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6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7.xml" ContentType="application/vnd.openxmlformats-officedocument.drawing+xml"/>
  <Override PartName="/xl/charts/chart30.xml" ContentType="application/vnd.openxmlformats-officedocument.drawingml.chart+xml"/>
  <Override PartName="/xl/drawings/drawing18.xml" ContentType="application/vnd.openxmlformats-officedocument.drawing+xml"/>
  <Override PartName="/xl/charts/chart31.xml" ContentType="application/vnd.openxmlformats-officedocument.drawingml.chart+xml"/>
  <Override PartName="/xl/drawings/drawing19.xml" ContentType="application/vnd.openxmlformats-officedocument.drawing+xml"/>
  <Override PartName="/xl/charts/chart32.xml" ContentType="application/vnd.openxmlformats-officedocument.drawingml.chart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21.xml" ContentType="application/vnd.openxmlformats-officedocument.drawing+xml"/>
  <Override PartName="/xl/charts/chart35.xml" ContentType="application/vnd.openxmlformats-officedocument.drawingml.chart+xml"/>
  <Override PartName="/xl/drawings/drawing22.xml" ContentType="application/vnd.openxmlformats-officedocument.drawing+xml"/>
  <Override PartName="/xl/charts/chart36.xml" ContentType="application/vnd.openxmlformats-officedocument.drawingml.chart+xml"/>
  <Override PartName="/xl/drawings/drawing23.xml" ContentType="application/vnd.openxmlformats-officedocument.drawing+xml"/>
  <Override PartName="/xl/charts/chart37.xml" ContentType="application/vnd.openxmlformats-officedocument.drawingml.chart+xml"/>
  <Override PartName="/xl/drawings/drawing24.xml" ContentType="application/vnd.openxmlformats-officedocument.drawing+xml"/>
  <Override PartName="/xl/charts/chart38.xml" ContentType="application/vnd.openxmlformats-officedocument.drawingml.chart+xml"/>
  <Override PartName="/xl/drawings/drawing25.xml" ContentType="application/vnd.openxmlformats-officedocument.drawing+xml"/>
  <Override PartName="/xl/charts/chart39.xml" ContentType="application/vnd.openxmlformats-officedocument.drawingml.chart+xml"/>
  <Override PartName="/xl/drawings/drawing26.xml" ContentType="application/vnd.openxmlformats-officedocument.drawing+xml"/>
  <Override PartName="/xl/charts/chart40.xml" ContentType="application/vnd.openxmlformats-officedocument.drawingml.chart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9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30.xml" ContentType="application/vnd.openxmlformats-officedocument.drawing+xml"/>
  <Override PartName="/xl/charts/chart54.xml" ContentType="application/vnd.openxmlformats-officedocument.drawingml.chart+xml"/>
  <Override PartName="/xl/drawings/drawing3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32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33.xml" ContentType="application/vnd.openxmlformats-officedocument.drawing+xml"/>
  <Override PartName="/xl/charts/chart67.xml" ContentType="application/vnd.openxmlformats-officedocument.drawingml.chart+xml"/>
  <Override PartName="/xl/drawings/drawing34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6.xml" ContentType="application/vnd.openxmlformats-officedocument.drawing+xml"/>
  <Override PartName="/xl/charts/chart72.xml" ContentType="application/vnd.openxmlformats-officedocument.drawingml.chart+xml"/>
  <Override PartName="/xl/drawings/drawing37.xml" ContentType="application/vnd.openxmlformats-officedocument.drawing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drawings/drawing40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41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42.xml" ContentType="application/vnd.openxmlformats-officedocument.drawing+xml"/>
  <Override PartName="/xl/charts/chart81.xml" ContentType="application/vnd.openxmlformats-officedocument.drawingml.chart+xml"/>
  <Override PartName="/xl/drawings/drawing43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charts/chart88.xml" ContentType="application/vnd.openxmlformats-officedocument.drawingml.chart+xml"/>
  <Override PartName="/xl/drawings/drawing45.xml" ContentType="application/vnd.openxmlformats-officedocument.drawing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47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48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49.xml" ContentType="application/vnd.openxmlformats-officedocument.drawing+xml"/>
  <Override PartName="/xl/charts/chart106.xml" ContentType="application/vnd.openxmlformats-officedocument.drawingml.chart+xml"/>
  <Override PartName="/xl/drawings/drawing50.xml" ContentType="application/vnd.openxmlformats-officedocument.drawing+xml"/>
  <Override PartName="/xl/charts/chart107.xml" ContentType="application/vnd.openxmlformats-officedocument.drawingml.chart+xml"/>
  <Override PartName="/xl/drawings/drawing51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52.xml" ContentType="application/vnd.openxmlformats-officedocument.drawing+xml"/>
  <Override PartName="/xl/charts/chart110.xml" ContentType="application/vnd.openxmlformats-officedocument.drawingml.chart+xml"/>
  <Override PartName="/xl/drawings/drawing53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5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55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56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57.xml" ContentType="application/vnd.openxmlformats-officedocument.drawing+xml"/>
  <Override PartName="/xl/charts/chart124.xml" ContentType="application/vnd.openxmlformats-officedocument.drawingml.chart+xml"/>
  <Override PartName="/xl/drawings/drawing58.xml" ContentType="application/vnd.openxmlformats-officedocument.drawing+xml"/>
  <Override PartName="/xl/charts/chart125.xml" ContentType="application/vnd.openxmlformats-officedocument.drawingml.chart+xml"/>
  <Override PartName="/xl/drawings/drawing59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60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61.xml" ContentType="application/vnd.openxmlformats-officedocument.drawing+xml"/>
  <Override PartName="/xl/charts/chart134.xml" ContentType="application/vnd.openxmlformats-officedocument.drawingml.chart+xml"/>
  <Override PartName="/xl/drawings/drawing62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63.xml" ContentType="application/vnd.openxmlformats-officedocument.drawing+xml"/>
  <Override PartName="/xl/charts/chart144.xml" ContentType="application/vnd.openxmlformats-officedocument.drawingml.chart+xml"/>
  <Override PartName="/xl/drawings/drawing64.xml" ContentType="application/vnd.openxmlformats-officedocument.drawing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65.xml" ContentType="application/vnd.openxmlformats-officedocument.drawing+xml"/>
  <Override PartName="/xl/charts/chart151.xml" ContentType="application/vnd.openxmlformats-officedocument.drawingml.chart+xml"/>
  <Override PartName="/xl/drawings/drawing66.xml" ContentType="application/vnd.openxmlformats-officedocument.drawing+xml"/>
  <Override PartName="/xl/charts/chart152.xml" ContentType="application/vnd.openxmlformats-officedocument.drawingml.chart+xml"/>
  <Override PartName="/xl/drawings/drawing6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68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9.xml" ContentType="application/vnd.openxmlformats-officedocument.drawing+xml"/>
  <Override PartName="/xl/charts/chart165.xml" ContentType="application/vnd.openxmlformats-officedocument.drawingml.chart+xml"/>
  <Override PartName="/xl/drawings/drawing70.xml" ContentType="application/vnd.openxmlformats-officedocument.drawing+xml"/>
  <Override PartName="/xl/charts/chart166.xml" ContentType="application/vnd.openxmlformats-officedocument.drawingml.chart+xml"/>
  <Override PartName="/xl/drawings/drawing71.xml" ContentType="application/vnd.openxmlformats-officedocument.drawing+xml"/>
  <Override PartName="/xl/charts/chart167.xml" ContentType="application/vnd.openxmlformats-officedocument.drawingml.chart+xml"/>
  <Override PartName="/xl/drawings/drawing7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73.xml" ContentType="application/vnd.openxmlformats-officedocument.drawing+xml"/>
  <Override PartName="/xl/charts/chart170.xml" ContentType="application/vnd.openxmlformats-officedocument.drawingml.chart+xml"/>
  <Override PartName="/xl/drawings/drawing74.xml" ContentType="application/vnd.openxmlformats-officedocument.drawing+xml"/>
  <Override PartName="/xl/charts/chart171.xml" ContentType="application/vnd.openxmlformats-officedocument.drawingml.chart+xml"/>
  <Override PartName="/xl/drawings/drawing75.xml" ContentType="application/vnd.openxmlformats-officedocument.drawing+xml"/>
  <Override PartName="/xl/charts/chart172.xml" ContentType="application/vnd.openxmlformats-officedocument.drawingml.chart+xml"/>
  <Override PartName="/xl/drawings/drawing76.xml" ContentType="application/vnd.openxmlformats-officedocument.drawing+xml"/>
  <Override PartName="/xl/charts/chart173.xml" ContentType="application/vnd.openxmlformats-officedocument.drawingml.chart+xml"/>
  <Override PartName="/xl/drawings/drawing77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drawings/drawing78.xml" ContentType="application/vnd.openxmlformats-officedocument.drawing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79.xml" ContentType="application/vnd.openxmlformats-officedocument.drawing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80.xml" ContentType="application/vnd.openxmlformats-officedocument.drawing+xml"/>
  <Override PartName="/xl/charts/chart180.xml" ContentType="application/vnd.openxmlformats-officedocument.drawingml.chart+xml"/>
  <Override PartName="/xl/drawings/drawing81.xml" ContentType="application/vnd.openxmlformats-officedocument.drawing+xml"/>
  <Override PartName="/xl/charts/chart181.xml" ContentType="application/vnd.openxmlformats-officedocument.drawingml.chart+xml"/>
  <Override PartName="/xl/drawings/drawing82.xml" ContentType="application/vnd.openxmlformats-officedocument.drawing+xml"/>
  <Override PartName="/xl/charts/chart182.xml" ContentType="application/vnd.openxmlformats-officedocument.drawingml.chart+xml"/>
  <Override PartName="/xl/drawings/drawing8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84.xml" ContentType="application/vnd.openxmlformats-officedocument.drawing+xml"/>
  <Override PartName="/xl/charts/chart185.xml" ContentType="application/vnd.openxmlformats-officedocument.drawingml.chart+xml"/>
  <Override PartName="/xl/drawings/drawing85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86.xml" ContentType="application/vnd.openxmlformats-officedocument.drawing+xml"/>
  <Override PartName="/xl/charts/chart188.xml" ContentType="application/vnd.openxmlformats-officedocument.drawingml.chart+xml"/>
  <Override PartName="/xl/drawings/drawing87.xml" ContentType="application/vnd.openxmlformats-officedocument.drawing+xml"/>
  <Override PartName="/xl/charts/chart189.xml" ContentType="application/vnd.openxmlformats-officedocument.drawingml.chart+xml"/>
  <Override PartName="/xl/drawings/drawing88.xml" ContentType="application/vnd.openxmlformats-officedocument.drawing+xml"/>
  <Override PartName="/xl/charts/chart190.xml" ContentType="application/vnd.openxmlformats-officedocument.drawingml.chart+xml"/>
  <Override PartName="/xl/drawings/drawing89.xml" ContentType="application/vnd.openxmlformats-officedocument.drawing+xml"/>
  <Override PartName="/xl/charts/chart191.xml" ContentType="application/vnd.openxmlformats-officedocument.drawingml.chart+xml"/>
  <Override PartName="/xl/drawings/drawing90.xml" ContentType="application/vnd.openxmlformats-officedocument.drawing+xml"/>
  <Override PartName="/xl/charts/chart192.xml" ContentType="application/vnd.openxmlformats-officedocument.drawingml.chart+xml"/>
  <Override PartName="/xl/drawings/drawing91.xml" ContentType="application/vnd.openxmlformats-officedocument.drawing+xml"/>
  <Override PartName="/xl/charts/chart193.xml" ContentType="application/vnd.openxmlformats-officedocument.drawingml.chart+xml"/>
  <Override PartName="/xl/drawings/drawing92.xml" ContentType="application/vnd.openxmlformats-officedocument.drawing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drawings/drawing93.xml" ContentType="application/vnd.openxmlformats-officedocument.drawing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94.xml" ContentType="application/vnd.openxmlformats-officedocument.drawing+xml"/>
  <Override PartName="/xl/charts/chart198.xml" ContentType="application/vnd.openxmlformats-officedocument.drawingml.chart+xml"/>
  <Override PartName="/xl/drawings/drawing95.xml" ContentType="application/vnd.openxmlformats-officedocument.drawing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96.xml" ContentType="application/vnd.openxmlformats-officedocument.drawing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97.xml" ContentType="application/vnd.openxmlformats-officedocument.drawing+xml"/>
  <Override PartName="/xl/charts/chart207.xml" ContentType="application/vnd.openxmlformats-officedocument.drawingml.chart+xml"/>
  <Override PartName="/xl/drawings/drawing98.xml" ContentType="application/vnd.openxmlformats-officedocument.drawing+xml"/>
  <Override PartName="/xl/charts/chart208.xml" ContentType="application/vnd.openxmlformats-officedocument.drawingml.chart+xml"/>
  <Override PartName="/xl/drawings/drawing99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00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01.xml" ContentType="application/vnd.openxmlformats-officedocument.drawing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102.xml" ContentType="application/vnd.openxmlformats-officedocument.drawing+xml"/>
  <Override PartName="/xl/charts/chart219.xml" ContentType="application/vnd.openxmlformats-officedocument.drawingml.chart+xml"/>
  <Override PartName="/xl/drawings/drawing103.xml" ContentType="application/vnd.openxmlformats-officedocument.drawing+xml"/>
  <Override PartName="/xl/charts/chart220.xml" ContentType="application/vnd.openxmlformats-officedocument.drawingml.chart+xml"/>
  <Override PartName="/xl/drawings/drawing104.xml" ContentType="application/vnd.openxmlformats-officedocument.drawing+xml"/>
  <Override PartName="/xl/charts/chart221.xml" ContentType="application/vnd.openxmlformats-officedocument.drawingml.chart+xml"/>
  <Override PartName="/xl/drawings/drawing105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106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07.xml" ContentType="application/vnd.openxmlformats-officedocument.drawing+xml"/>
  <Override PartName="/xl/charts/chart227.xml" ContentType="application/vnd.openxmlformats-officedocument.drawingml.chart+xml"/>
  <Override PartName="/xl/drawings/drawing108.xml" ContentType="application/vnd.openxmlformats-officedocument.drawing+xml"/>
  <Override PartName="/xl/charts/chart228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Xxxx.jk" sheetId="1" r:id="rId4"/>
    <sheet name="Ranks" sheetId="2" r:id="rId5"/>
    <sheet name="AALI.jk" sheetId="3" r:id="rId6"/>
    <sheet name="ACES.jk" sheetId="4" r:id="rId7"/>
    <sheet name="ADES.jk" sheetId="5" r:id="rId8"/>
    <sheet name="ADHI.jk" sheetId="6" r:id="rId9"/>
    <sheet name="ADRO" sheetId="7" r:id="rId10"/>
    <sheet name="AGII.jk" sheetId="8" r:id="rId11"/>
    <sheet name="AMRT.jk" sheetId="9" r:id="rId12"/>
    <sheet name="ANTM.jk" sheetId="10" r:id="rId13"/>
    <sheet name="ASII" sheetId="11" r:id="rId14"/>
    <sheet name="ASRI.jk" sheetId="12" r:id="rId15"/>
    <sheet name="ARCI.jk" sheetId="13" r:id="rId16"/>
    <sheet name="AUTO.jk" sheetId="14" r:id="rId17"/>
    <sheet name="BANK.jk" sheetId="15" r:id="rId18"/>
    <sheet name="BBCA.jk" sheetId="16" r:id="rId19"/>
    <sheet name="BBHI.jk" sheetId="17" r:id="rId20"/>
    <sheet name="BBRI.jk" sheetId="18" r:id="rId21"/>
    <sheet name="BHIT.jk" sheetId="19" r:id="rId22"/>
    <sheet name="BLTZ.jk" sheetId="20" r:id="rId23"/>
    <sheet name="BMRI.jk" sheetId="21" r:id="rId24"/>
    <sheet name="BMTR.jk" sheetId="22" r:id="rId25"/>
    <sheet name="BNII" sheetId="23" r:id="rId26"/>
    <sheet name="BNLI.jk" sheetId="24" r:id="rId27"/>
    <sheet name="BOLA.jk" sheetId="25" r:id="rId28"/>
    <sheet name="BRIS" sheetId="26" r:id="rId29"/>
    <sheet name="BRMS.jk" sheetId="27" r:id="rId30"/>
    <sheet name="BSDE.jk" sheetId="28" r:id="rId31"/>
    <sheet name="BUMI.jk" sheetId="29" r:id="rId32"/>
    <sheet name="BYAN" sheetId="30" r:id="rId33"/>
    <sheet name="CARE.jk" sheetId="31" r:id="rId34"/>
    <sheet name="CLEO.jk" sheetId="32" r:id="rId35"/>
    <sheet name="CMPP.jk" sheetId="33" r:id="rId36"/>
    <sheet name="CMNP.JK" sheetId="34" r:id="rId37"/>
    <sheet name="CMNT.jk" sheetId="35" r:id="rId38"/>
    <sheet name="CSRA.jk" sheetId="36" r:id="rId39"/>
    <sheet name="CTRA.jk" sheetId="37" r:id="rId40"/>
    <sheet name="DGIK.jk" sheetId="38" r:id="rId41"/>
    <sheet name="DGNS.jk" sheetId="39" r:id="rId42"/>
    <sheet name="DILD.jk" sheetId="40" r:id="rId43"/>
    <sheet name="DLTA" sheetId="41" r:id="rId44"/>
    <sheet name="DMMX.jk" sheetId="42" r:id="rId45"/>
    <sheet name="DNET.jk" sheetId="43" r:id="rId46"/>
    <sheet name="DRMA.jk" sheetId="44" r:id="rId47"/>
    <sheet name="DSNG.jk" sheetId="45" r:id="rId48"/>
    <sheet name="DVLA.jk" sheetId="46" r:id="rId49"/>
    <sheet name="DYAN.jk" sheetId="47" r:id="rId50"/>
    <sheet name="EMTK.jk" sheetId="48" r:id="rId51"/>
    <sheet name="EPMT.jk" sheetId="49" r:id="rId52"/>
    <sheet name="ERAA" sheetId="50" r:id="rId53"/>
    <sheet name="FAPA.jk" sheetId="51" r:id="rId54"/>
    <sheet name="FAST.jk" sheetId="52" r:id="rId55"/>
    <sheet name="FASW.jk" sheetId="53" r:id="rId56"/>
    <sheet name="GDYR.jk" sheetId="54" r:id="rId57"/>
    <sheet name="GGRM.jk" sheetId="55" r:id="rId58"/>
    <sheet name="GIAA.jk" sheetId="56" r:id="rId59"/>
    <sheet name="GJTL.jk" sheetId="57" r:id="rId60"/>
    <sheet name="GOOD.jk" sheetId="58" r:id="rId61"/>
    <sheet name="GOTO.jk" sheetId="59" r:id="rId62"/>
    <sheet name="GPSO.jk" sheetId="60" r:id="rId63"/>
    <sheet name="GZCO.jk" sheetId="61" r:id="rId64"/>
    <sheet name="HMSP.jk" sheetId="62" r:id="rId65"/>
    <sheet name="HOKI.jk" sheetId="63" r:id="rId66"/>
    <sheet name="HRUM" sheetId="64" r:id="rId67"/>
    <sheet name="ICBP.jk" sheetId="65" r:id="rId68"/>
    <sheet name="INAF.jk" sheetId="66" r:id="rId69"/>
    <sheet name="INDF.jk" sheetId="67" r:id="rId70"/>
    <sheet name="INDR.jk" sheetId="68" r:id="rId71"/>
    <sheet name="INDY.jk" sheetId="69" r:id="rId72"/>
    <sheet name="INKP.jk" sheetId="70" r:id="rId73"/>
    <sheet name="INTD.jk" sheetId="71" r:id="rId74"/>
    <sheet name="INTP.jk" sheetId="72" r:id="rId75"/>
    <sheet name="IPCC" sheetId="73" r:id="rId76"/>
    <sheet name="IPCM" sheetId="74" r:id="rId77"/>
    <sheet name="IPOL.jk" sheetId="75" r:id="rId78"/>
    <sheet name="IPPE.jk" sheetId="76" r:id="rId79"/>
    <sheet name="IPTV.jk" sheetId="77" r:id="rId80"/>
    <sheet name="ISSP.jk" sheetId="78" r:id="rId81"/>
    <sheet name="ITMG.jk" sheetId="79" r:id="rId82"/>
    <sheet name="JAWA.jk" sheetId="80" r:id="rId83"/>
    <sheet name="JRPT.jk" sheetId="81" r:id="rId84"/>
    <sheet name="KDSI.jk" sheetId="82" r:id="rId85"/>
    <sheet name="KEJU.jk" sheetId="83" r:id="rId86"/>
    <sheet name="KLBF.jk" sheetId="84" r:id="rId87"/>
    <sheet name="LINK.jk" sheetId="85" r:id="rId88"/>
    <sheet name="LINK1.jk" sheetId="86" r:id="rId89"/>
    <sheet name="LSIP.jk" sheetId="87" r:id="rId90"/>
    <sheet name="MAIN.jk" sheetId="88" r:id="rId91"/>
    <sheet name="MASA.jk" sheetId="89" r:id="rId92"/>
    <sheet name="MBTO.jk" sheetId="90" r:id="rId93"/>
    <sheet name="MDKA.jk" sheetId="91" r:id="rId94"/>
    <sheet name="MEDC.jk" sheetId="92" r:id="rId95"/>
    <sheet name="MEGA.jk" sheetId="93" r:id="rId96"/>
    <sheet name="MERK.jk" sheetId="94" r:id="rId97"/>
    <sheet name="META.jk" sheetId="95" r:id="rId98"/>
    <sheet name="MGRO.jk" sheetId="96" r:id="rId99"/>
    <sheet name="MIKA" sheetId="97" r:id="rId100"/>
    <sheet name="MLPL.jk" sheetId="98" r:id="rId101"/>
    <sheet name="MLPT.jk" sheetId="99" r:id="rId102"/>
    <sheet name="MNCN.jk" sheetId="100" r:id="rId103"/>
    <sheet name="MPPA.jk" sheetId="101" r:id="rId104"/>
    <sheet name="MRAT.jk" sheetId="102" r:id="rId105"/>
    <sheet name="MTEL.jk" sheetId="103" r:id="rId106"/>
    <sheet name="NIKL.jk" sheetId="104" r:id="rId107"/>
    <sheet name="NISP.jk" sheetId="105" r:id="rId108"/>
    <sheet name="NRCA.jk" sheetId="106" r:id="rId109"/>
    <sheet name="OKAS.jk" sheetId="107" r:id="rId110"/>
    <sheet name="PGAS.jk" sheetId="108" r:id="rId111"/>
    <sheet name="POWR.jk" sheetId="109" r:id="rId112"/>
    <sheet name="PSAB.jk" sheetId="110" r:id="rId113"/>
    <sheet name="PSKT.jk" sheetId="111" r:id="rId114"/>
    <sheet name="PTBA.jk" sheetId="112" r:id="rId115"/>
    <sheet name="PTPP" sheetId="113" r:id="rId116"/>
    <sheet name="PZZA.jk" sheetId="114" r:id="rId117"/>
    <sheet name="RAJA.jk" sheetId="115" r:id="rId118"/>
    <sheet name="RALS.jk" sheetId="116" r:id="rId119"/>
    <sheet name="RANC.jk" sheetId="117" r:id="rId120"/>
    <sheet name="SAFE" sheetId="118" r:id="rId121"/>
    <sheet name="SCMA.jk" sheetId="119" r:id="rId122"/>
    <sheet name="SGRO.jk" sheetId="120" r:id="rId123"/>
    <sheet name="SLIS.jk" sheetId="121" r:id="rId124"/>
    <sheet name="SIMP.jk" sheetId="122" r:id="rId125"/>
    <sheet name="SMCB.jk" sheetId="123" r:id="rId126"/>
    <sheet name="SMGR.jk" sheetId="124" r:id="rId127"/>
    <sheet name="SMMA.jk" sheetId="125" r:id="rId128"/>
    <sheet name="SMRA.jk" sheetId="126" r:id="rId129"/>
    <sheet name="SPTO.jk" sheetId="127" r:id="rId130"/>
    <sheet name="SRIL.jk" sheetId="128" r:id="rId131"/>
    <sheet name="SRTG.jk" sheetId="129" r:id="rId132"/>
    <sheet name="SSIA.jk" sheetId="130" r:id="rId133"/>
    <sheet name="STAA.jk" sheetId="131" r:id="rId134"/>
    <sheet name="STTP" sheetId="132" r:id="rId135"/>
    <sheet name="TBIG.jk" sheetId="133" r:id="rId136"/>
    <sheet name="TBLA.jk" sheetId="134" r:id="rId137"/>
    <sheet name="TGKA.jk" sheetId="135" r:id="rId138"/>
    <sheet name="TKIM.jk" sheetId="136" r:id="rId139"/>
    <sheet name="TLKM" sheetId="137" r:id="rId140"/>
    <sheet name="TOBA.jk" sheetId="138" r:id="rId141"/>
    <sheet name="TOWR.jk" sheetId="139" r:id="rId142"/>
    <sheet name="TSPC.jk" sheetId="140" r:id="rId143"/>
    <sheet name="UCID.jk" sheetId="141" r:id="rId144"/>
    <sheet name="UFOE.jk" sheetId="142" r:id="rId145"/>
    <sheet name="ULTJ" sheetId="143" r:id="rId146"/>
    <sheet name="UNSP.jk" sheetId="144" r:id="rId147"/>
    <sheet name="UNVR.jk" sheetId="145" r:id="rId148"/>
    <sheet name="WEGE" sheetId="146" r:id="rId149"/>
    <sheet name="WIKA" sheetId="147" r:id="rId150"/>
    <sheet name="WINE.jk" sheetId="148" r:id="rId151"/>
    <sheet name="WIRG.jk" sheetId="149" r:id="rId152"/>
    <sheet name="WOOD.jk" sheetId="150" r:id="rId153"/>
    <sheet name="WOMF.jk" sheetId="151" r:id="rId154"/>
    <sheet name="WSKT.jk" sheetId="152" r:id="rId155"/>
    <sheet name="WTON" sheetId="153" r:id="rId156"/>
  </sheets>
</workbook>
</file>

<file path=xl/sharedStrings.xml><?xml version="1.0" encoding="utf-8"?>
<sst xmlns="http://schemas.openxmlformats.org/spreadsheetml/2006/main" uniqueCount="813">
  <si>
    <t>XXXX</t>
  </si>
  <si>
    <t>billion rupiah</t>
  </si>
  <si>
    <t xml:space="preserve">Sales </t>
  </si>
  <si>
    <t xml:space="preserve">Non cash costs </t>
  </si>
  <si>
    <t xml:space="preserve">Profit </t>
  </si>
  <si>
    <t>Cash</t>
  </si>
  <si>
    <t xml:space="preserve">Liabilities </t>
  </si>
  <si>
    <t xml:space="preserve">Assets </t>
  </si>
  <si>
    <t xml:space="preserve">Receipts </t>
  </si>
  <si>
    <t xml:space="preserve">Operating </t>
  </si>
  <si>
    <t xml:space="preserve">Investment </t>
  </si>
  <si>
    <t xml:space="preserve">Equity </t>
  </si>
  <si>
    <t xml:space="preserve">Forecast </t>
  </si>
  <si>
    <t xml:space="preserve">Growth </t>
  </si>
  <si>
    <t>Margin</t>
  </si>
  <si>
    <t xml:space="preserve">Cashflow </t>
  </si>
  <si>
    <t>CF</t>
  </si>
  <si>
    <t xml:space="preserve">Capital </t>
  </si>
  <si>
    <t xml:space="preserve">Net cash </t>
  </si>
  <si>
    <t>Target</t>
  </si>
  <si>
    <t xml:space="preserve">Rupiah </t>
  </si>
  <si>
    <t>XXXX.jk</t>
  </si>
  <si>
    <r>
      <rPr>
        <b val="1"/>
        <sz val="10"/>
        <color indexed="8"/>
        <rFont val="Helvetica Neue"/>
      </rPr>
      <t>billion rupiah</t>
    </r>
  </si>
  <si>
    <t>3Q</t>
  </si>
  <si>
    <t>4Q</t>
  </si>
  <si>
    <t>1Q</t>
  </si>
  <si>
    <t>2Q</t>
  </si>
  <si>
    <t xml:space="preserve">Last 12m, forecast </t>
  </si>
  <si>
    <t>Sales</t>
  </si>
  <si>
    <t>Investment</t>
  </si>
  <si>
    <t xml:space="preserve">Free cashflow </t>
  </si>
  <si>
    <t xml:space="preserve">Liabilities payback </t>
  </si>
  <si>
    <t xml:space="preserve">Equity payout ratio </t>
  </si>
  <si>
    <t xml:space="preserve">Equity payout </t>
  </si>
  <si>
    <t xml:space="preserve">Before revolver </t>
  </si>
  <si>
    <t xml:space="preserve">Revolver debt </t>
  </si>
  <si>
    <t xml:space="preserve">Beginning cash </t>
  </si>
  <si>
    <t xml:space="preserve">Change </t>
  </si>
  <si>
    <t xml:space="preserve">Ending cash </t>
  </si>
  <si>
    <t>Balance sheet</t>
  </si>
  <si>
    <t xml:space="preserve">Gross other assets </t>
  </si>
  <si>
    <t xml:space="preserve">Depreciation </t>
  </si>
  <si>
    <t>Net other assets</t>
  </si>
  <si>
    <t xml:space="preserve">Check </t>
  </si>
  <si>
    <t>Capital paid (raised)</t>
  </si>
  <si>
    <t xml:space="preserve">Valuation </t>
  </si>
  <si>
    <t xml:space="preserve">Current value </t>
  </si>
  <si>
    <t xml:space="preserve">Number of shares </t>
  </si>
  <si>
    <t xml:space="preserve">Price to assets </t>
  </si>
  <si>
    <t xml:space="preserve">Dividend yield </t>
  </si>
  <si>
    <t xml:space="preserve">Free cashflow forecast </t>
  </si>
  <si>
    <t xml:space="preserve">Assets/CF years </t>
  </si>
  <si>
    <t xml:space="preserve">Multiple now, forecast </t>
  </si>
  <si>
    <t xml:space="preserve">Target value </t>
  </si>
  <si>
    <t xml:space="preserve">Target price </t>
  </si>
  <si>
    <t xml:space="preserve">Target v current </t>
  </si>
  <si>
    <t xml:space="preserve">12 month sales growth </t>
  </si>
  <si>
    <t xml:space="preserve">Forecast v sales </t>
  </si>
  <si>
    <t>less</t>
  </si>
  <si>
    <t>positive</t>
  </si>
  <si>
    <t>Current</t>
  </si>
  <si>
    <t xml:space="preserve">Target </t>
  </si>
  <si>
    <t xml:space="preserve">1 minute read </t>
  </si>
  <si>
    <t xml:space="preserve">Last 12 months </t>
  </si>
  <si>
    <t xml:space="preserve">sales growth </t>
  </si>
  <si>
    <t xml:space="preserve">cash flow </t>
  </si>
  <si>
    <t>of market cap</t>
  </si>
  <si>
    <t xml:space="preserve">Capital (debt &amp; equity)  paid (raised) </t>
  </si>
  <si>
    <t>Latest</t>
  </si>
  <si>
    <t xml:space="preserve">cash minus liabilities </t>
  </si>
  <si>
    <t>Last 5 quarters</t>
  </si>
  <si>
    <t xml:space="preserve">quarterly sales growth, quarterly ales </t>
  </si>
  <si>
    <t>;</t>
  </si>
  <si>
    <t xml:space="preserve">in the </t>
  </si>
  <si>
    <t>third</t>
  </si>
  <si>
    <t xml:space="preserve">quarter </t>
  </si>
  <si>
    <t>to</t>
  </si>
  <si>
    <t xml:space="preserve">; our total forecasts v actual sales are </t>
  </si>
  <si>
    <t>now.</t>
  </si>
  <si>
    <t xml:space="preserve">This brings the average to </t>
  </si>
  <si>
    <t>growth.</t>
  </si>
  <si>
    <t xml:space="preserve">We predict average growth of </t>
  </si>
  <si>
    <t xml:space="preserve">in this next 12 months </t>
  </si>
  <si>
    <t xml:space="preserve">to bring sales to </t>
  </si>
  <si>
    <t>in the</t>
  </si>
  <si>
    <t>2023.</t>
  </si>
  <si>
    <t>profit</t>
  </si>
  <si>
    <t>down</t>
  </si>
  <si>
    <t xml:space="preserve">cash margin, profit </t>
  </si>
  <si>
    <t xml:space="preserve">The cash margin  went from </t>
  </si>
  <si>
    <t xml:space="preserve">profit from </t>
  </si>
  <si>
    <t>quarter.</t>
  </si>
  <si>
    <t>The average cash margin is at</t>
  </si>
  <si>
    <t>We use a</t>
  </si>
  <si>
    <t xml:space="preserve">cash margin to predict a </t>
  </si>
  <si>
    <t>profit in the</t>
  </si>
  <si>
    <t xml:space="preserve">operating, investment cashflow </t>
  </si>
  <si>
    <t xml:space="preserve">Free cashflow went from </t>
  </si>
  <si>
    <t xml:space="preserve">quarter with </t>
  </si>
  <si>
    <t>investment cashflow.</t>
  </si>
  <si>
    <t xml:space="preserve">Average quarterly Cashflow is at </t>
  </si>
  <si>
    <t xml:space="preserve">We assume </t>
  </si>
  <si>
    <t xml:space="preserve">investment spending </t>
  </si>
  <si>
    <t>which with</t>
  </si>
  <si>
    <t>lower</t>
  </si>
  <si>
    <t>sales gives</t>
  </si>
  <si>
    <t xml:space="preserve">average Cashflow </t>
  </si>
  <si>
    <t>in the next 12 months.</t>
  </si>
  <si>
    <t>up</t>
  </si>
  <si>
    <t xml:space="preserve">cash, liabilities </t>
  </si>
  <si>
    <t xml:space="preserve">Cash </t>
  </si>
  <si>
    <t>increased</t>
  </si>
  <si>
    <t>Liabilities</t>
  </si>
  <si>
    <t>so</t>
  </si>
  <si>
    <t>net cash was</t>
  </si>
  <si>
    <t>.</t>
  </si>
  <si>
    <t xml:space="preserve">With our forecast cashflow &amp; a </t>
  </si>
  <si>
    <t xml:space="preserve">equity payout </t>
  </si>
  <si>
    <t xml:space="preserve">liabilities  </t>
  </si>
  <si>
    <t xml:space="preserve">net cash will be </t>
  </si>
  <si>
    <t>in 12 months time.</t>
  </si>
  <si>
    <t>(raised)</t>
  </si>
  <si>
    <t xml:space="preserve">capital (raised) paid from liabilities, equity </t>
  </si>
  <si>
    <t xml:space="preserve">liabilities </t>
  </si>
  <si>
    <t xml:space="preserve">equity, </t>
  </si>
  <si>
    <t xml:space="preserve">will  </t>
  </si>
  <si>
    <t>this next 12 months.</t>
  </si>
  <si>
    <t xml:space="preserve">At the current market cap of </t>
  </si>
  <si>
    <t xml:space="preserve">based on our forecasts </t>
  </si>
  <si>
    <t xml:space="preserve">it’s at </t>
  </si>
  <si>
    <t>X</t>
  </si>
  <si>
    <t xml:space="preserve">assets </t>
  </si>
  <si>
    <t>with a</t>
  </si>
  <si>
    <t xml:space="preserve">years payback &amp; a </t>
  </si>
  <si>
    <t>yield.</t>
  </si>
  <si>
    <t xml:space="preserve">Our cashflow forecast is </t>
  </si>
  <si>
    <t>which means a</t>
  </si>
  <si>
    <t>valuation.</t>
  </si>
  <si>
    <t>A</t>
  </si>
  <si>
    <t xml:space="preserve"> X</t>
  </si>
  <si>
    <t xml:space="preserve">valuation </t>
  </si>
  <si>
    <t>gives a</t>
  </si>
  <si>
    <t>target price</t>
  </si>
  <si>
    <t>rupiah.</t>
  </si>
  <si>
    <t>Cashflow</t>
  </si>
  <si>
    <t>Capital</t>
  </si>
  <si>
    <t>Net cash</t>
  </si>
  <si>
    <t>Indonesia</t>
  </si>
  <si>
    <t>Stock</t>
  </si>
  <si>
    <t>S</t>
  </si>
  <si>
    <t>Cap</t>
  </si>
  <si>
    <t>BS</t>
  </si>
  <si>
    <t>MC</t>
  </si>
  <si>
    <t>,</t>
  </si>
  <si>
    <t>NC</t>
  </si>
  <si>
    <t>Now</t>
  </si>
  <si>
    <t>TP</t>
  </si>
  <si>
    <t>OKAS.jk</t>
  </si>
  <si>
    <t>INDY.jk</t>
  </si>
  <si>
    <t>KRAS.jk</t>
  </si>
  <si>
    <t>SIMP.jk</t>
  </si>
  <si>
    <t>ELSA.jk</t>
  </si>
  <si>
    <t>ASGR.jk</t>
  </si>
  <si>
    <t>ADRO.jk</t>
  </si>
  <si>
    <t>ITMG.jk</t>
  </si>
  <si>
    <t>PSAB.jk</t>
  </si>
  <si>
    <t>BHIT.jk</t>
  </si>
  <si>
    <t>BMTR.jk</t>
  </si>
  <si>
    <t>TINS.jk</t>
  </si>
  <si>
    <t>GJTL.jk</t>
  </si>
  <si>
    <t>SSIA.jk</t>
  </si>
  <si>
    <t>AMFG.jk</t>
  </si>
  <si>
    <t>SAFE.jk</t>
  </si>
  <si>
    <t>PGAS.jk</t>
  </si>
  <si>
    <t>WIIM.jk</t>
  </si>
  <si>
    <t>ADMF.jk</t>
  </si>
  <si>
    <t>WTON.jk</t>
  </si>
  <si>
    <t>TOTL.jk</t>
  </si>
  <si>
    <t>SMRA.jk</t>
  </si>
  <si>
    <t>PNBN.jk</t>
  </si>
  <si>
    <t>UNTR.jk</t>
  </si>
  <si>
    <t>IPCC.jk</t>
  </si>
  <si>
    <t>GZCO.jk</t>
  </si>
  <si>
    <t>ESSA.jk</t>
  </si>
  <si>
    <t>BDMN.jk</t>
  </si>
  <si>
    <t>ASRI.jk</t>
  </si>
  <si>
    <t>PTBA.jk</t>
  </si>
  <si>
    <t>MLIA.jk</t>
  </si>
  <si>
    <t>CSRA.jk</t>
  </si>
  <si>
    <t>MNCN.jk</t>
  </si>
  <si>
    <t>BSDE.jk</t>
  </si>
  <si>
    <t>RALS.jk</t>
  </si>
  <si>
    <t>LPPF.jk</t>
  </si>
  <si>
    <t>BIRD.jk</t>
  </si>
  <si>
    <t>WEHA.jk</t>
  </si>
  <si>
    <t>MBSS.jk</t>
  </si>
  <si>
    <t>NRCA.jk</t>
  </si>
  <si>
    <t>TAPG.jk</t>
  </si>
  <si>
    <t>HRUM.jk</t>
  </si>
  <si>
    <t>MPMX.jk</t>
  </si>
  <si>
    <t>INDF.jk</t>
  </si>
  <si>
    <t>CTRA.jk</t>
  </si>
  <si>
    <t>ANJT.jk</t>
  </si>
  <si>
    <t>BBNI.jk</t>
  </si>
  <si>
    <t>AKRA.jk</t>
  </si>
  <si>
    <t>LSIP.jk</t>
  </si>
  <si>
    <t>WINS.jk</t>
  </si>
  <si>
    <t>DSNG.jk</t>
  </si>
  <si>
    <t>HOKI.jk</t>
  </si>
  <si>
    <t>KDSI.jk</t>
  </si>
  <si>
    <t>MLPT.jk</t>
  </si>
  <si>
    <t>SMCB.jk</t>
  </si>
  <si>
    <t>MAPI.jk</t>
  </si>
  <si>
    <t>ASII.jk</t>
  </si>
  <si>
    <t>BWPT.jk</t>
  </si>
  <si>
    <t>BISI.jk</t>
  </si>
  <si>
    <t>TGKA.jk</t>
  </si>
  <si>
    <t>MARK.jk</t>
  </si>
  <si>
    <t>DYAN.jk</t>
  </si>
  <si>
    <t>SRTG.jk</t>
  </si>
  <si>
    <t>ISAT.jk</t>
  </si>
  <si>
    <t>LTLS.jk</t>
  </si>
  <si>
    <t>RAJA.jk</t>
  </si>
  <si>
    <t>BYAN.jk</t>
  </si>
  <si>
    <t>STAA.jk</t>
  </si>
  <si>
    <t>PWON.jk</t>
  </si>
  <si>
    <t>GGRM.jk</t>
  </si>
  <si>
    <t>SPTO.jk</t>
  </si>
  <si>
    <t>SGRO.jk</t>
  </si>
  <si>
    <t>CAMP.jk</t>
  </si>
  <si>
    <t>PSGO.jk</t>
  </si>
  <si>
    <t>DILD.jk</t>
  </si>
  <si>
    <t>SMGR.jk</t>
  </si>
  <si>
    <t>EAST.jk</t>
  </si>
  <si>
    <t>TOBA.jk</t>
  </si>
  <si>
    <t>TBLA.jk</t>
  </si>
  <si>
    <t>TLKM.jk</t>
  </si>
  <si>
    <t>CMPP.jk</t>
  </si>
  <si>
    <t>ACST.jk</t>
  </si>
  <si>
    <t>AUTO.jk</t>
  </si>
  <si>
    <t>DLTA.jk</t>
  </si>
  <si>
    <t>MLBI.jk</t>
  </si>
  <si>
    <t>ARNA.jk</t>
  </si>
  <si>
    <t>AALI.jk</t>
  </si>
  <si>
    <t>ROTI.jk</t>
  </si>
  <si>
    <t>BLTZ.jk</t>
  </si>
  <si>
    <t>ULTJ.jk</t>
  </si>
  <si>
    <t>ACES.jk</t>
  </si>
  <si>
    <t>ICBP.jk</t>
  </si>
  <si>
    <t>SMAR.jk</t>
  </si>
  <si>
    <t>SRIL.jk</t>
  </si>
  <si>
    <t>DVLA.jk</t>
  </si>
  <si>
    <t>FASW.jk</t>
  </si>
  <si>
    <t>CPRO.jk</t>
  </si>
  <si>
    <t>SMMA.jk</t>
  </si>
  <si>
    <t>MASA.jk</t>
  </si>
  <si>
    <t>AGII.jk</t>
  </si>
  <si>
    <t>SSMS.jk</t>
  </si>
  <si>
    <t>SIDO.jk</t>
  </si>
  <si>
    <t>INTP.jk</t>
  </si>
  <si>
    <t>INCO.jk</t>
  </si>
  <si>
    <t>UFOE.jk</t>
  </si>
  <si>
    <t>ANTM.jk</t>
  </si>
  <si>
    <t>SILO.jk</t>
  </si>
  <si>
    <t>TKIM.jk</t>
  </si>
  <si>
    <t>BBRI.jk</t>
  </si>
  <si>
    <t>DRMA.jk</t>
  </si>
  <si>
    <t>ADES.jk</t>
  </si>
  <si>
    <t>INAF.jk</t>
  </si>
  <si>
    <t>PSKT.jk</t>
  </si>
  <si>
    <t>JSMR.jk</t>
  </si>
  <si>
    <t>INTD.jk</t>
  </si>
  <si>
    <t>KEJU.jk</t>
  </si>
  <si>
    <t>AMRT.jk</t>
  </si>
  <si>
    <t>BRIS.jk</t>
  </si>
  <si>
    <t>KLBF.jk</t>
  </si>
  <si>
    <t>STTP.jk</t>
  </si>
  <si>
    <t>DCII.jk</t>
  </si>
  <si>
    <t>BBCA.jk</t>
  </si>
  <si>
    <t>MERK.jk</t>
  </si>
  <si>
    <t>INKP.jk</t>
  </si>
  <si>
    <t>TRIM.jk</t>
  </si>
  <si>
    <t>MEGA.jk</t>
  </si>
  <si>
    <t>INDR.jk</t>
  </si>
  <si>
    <t>UCID.jk</t>
  </si>
  <si>
    <t>LPCK.jk</t>
  </si>
  <si>
    <t>CPIN.jk</t>
  </si>
  <si>
    <t>CMNP.jk</t>
  </si>
  <si>
    <t>CLEO.jk</t>
  </si>
  <si>
    <t>JRPT.jk</t>
  </si>
  <si>
    <t>IPTV.jk</t>
  </si>
  <si>
    <t>TSPC.jk</t>
  </si>
  <si>
    <t>ARTO.jk</t>
  </si>
  <si>
    <t>BNGA.jk</t>
  </si>
  <si>
    <t>SLIS.jk</t>
  </si>
  <si>
    <t>CMRY.jk</t>
  </si>
  <si>
    <t>EPMT.jk</t>
  </si>
  <si>
    <t>BANK.jk</t>
  </si>
  <si>
    <t>RANC.jk</t>
  </si>
  <si>
    <t>DGNS.jk</t>
  </si>
  <si>
    <t>TBIG.jk</t>
  </si>
  <si>
    <t>BUMI.jk</t>
  </si>
  <si>
    <t>CMNT.jk</t>
  </si>
  <si>
    <t>FAST.jk</t>
  </si>
  <si>
    <t>EMTK.jk</t>
  </si>
  <si>
    <t>ARCI.jk</t>
  </si>
  <si>
    <t>CARE.jk</t>
  </si>
  <si>
    <t>BMRI.jk</t>
  </si>
  <si>
    <t>BOLA.jk</t>
  </si>
  <si>
    <t>CENT.jk</t>
  </si>
  <si>
    <t>GIAA.jk</t>
  </si>
  <si>
    <t>FREN.jk</t>
  </si>
  <si>
    <t>HMSP.jk</t>
  </si>
  <si>
    <t>HEXA.jk</t>
  </si>
  <si>
    <t>IPOL.jk</t>
  </si>
  <si>
    <t>KAEF.jk</t>
  </si>
  <si>
    <t>MAIN.jk</t>
  </si>
  <si>
    <t>TPIA.jk</t>
  </si>
  <si>
    <t>MDKA.jk</t>
  </si>
  <si>
    <t>IPPE.jk</t>
  </si>
  <si>
    <t>SCMA.jk</t>
  </si>
  <si>
    <t>EXCL.jk</t>
  </si>
  <si>
    <t>MBTO.jk</t>
  </si>
  <si>
    <t>BBHI.jk</t>
  </si>
  <si>
    <t>PZZA.jk</t>
  </si>
  <si>
    <t>BRMS.jk</t>
  </si>
  <si>
    <t>ADHI.jk</t>
  </si>
  <si>
    <t>HERO.jk</t>
  </si>
  <si>
    <t>WOMF.jk</t>
  </si>
  <si>
    <t>GDYR.jk</t>
  </si>
  <si>
    <t>WOOD.jk</t>
  </si>
  <si>
    <t>GOTO.jk</t>
  </si>
  <si>
    <t>CEKA.jk</t>
  </si>
  <si>
    <t>WEGE.jk</t>
  </si>
  <si>
    <t>BFIN.jk</t>
  </si>
  <si>
    <t>WIRG.jk</t>
  </si>
  <si>
    <t>ERAA.jk</t>
  </si>
  <si>
    <t>BRPT.jk</t>
  </si>
  <si>
    <t>MGRO.jk</t>
  </si>
  <si>
    <t>MTEL.jk</t>
  </si>
  <si>
    <t>MEDC.jk</t>
  </si>
  <si>
    <t>LINK.jk</t>
  </si>
  <si>
    <t>SAME.jk</t>
  </si>
  <si>
    <t>BUKA.jk</t>
  </si>
  <si>
    <t>NIKL.jk</t>
  </si>
  <si>
    <t>TOWR.jk</t>
  </si>
  <si>
    <t>NISP.jk</t>
  </si>
  <si>
    <t>BNII.jk</t>
  </si>
  <si>
    <t>MPPA.jk</t>
  </si>
  <si>
    <t>ISSP.jk</t>
  </si>
  <si>
    <t>GPSO.jk</t>
  </si>
  <si>
    <t>JAWA.jk</t>
  </si>
  <si>
    <t>LPKR.jk</t>
  </si>
  <si>
    <t>PTPP.jk</t>
  </si>
  <si>
    <t>WIKA.jk</t>
  </si>
  <si>
    <t>UNSP.jk</t>
  </si>
  <si>
    <t>WSKT.jk</t>
  </si>
  <si>
    <t>DOID.jk</t>
  </si>
  <si>
    <t>AALI</t>
  </si>
  <si>
    <r>
      <rPr>
        <sz val="10"/>
        <color indexed="8"/>
        <rFont val="Helvetica Neue"/>
      </rPr>
      <t>AALI.jk</t>
    </r>
  </si>
  <si>
    <t>more</t>
  </si>
  <si>
    <t>+</t>
  </si>
  <si>
    <t>grew</t>
  </si>
  <si>
    <t>higher</t>
  </si>
  <si>
    <t>pay</t>
  </si>
  <si>
    <t>ACES</t>
  </si>
  <si>
    <t>Rpbn</t>
  </si>
  <si>
    <t>Data</t>
  </si>
  <si>
    <r>
      <rPr>
        <sz val="10"/>
        <color indexed="8"/>
        <rFont val="Helvetica Neue"/>
      </rPr>
      <t>ACES.jk</t>
    </r>
  </si>
  <si>
    <t>net cash</t>
  </si>
  <si>
    <t>declined</t>
  </si>
  <si>
    <t xml:space="preserve">growth, sales </t>
  </si>
  <si>
    <t xml:space="preserve">billion rupiah </t>
  </si>
  <si>
    <t xml:space="preserve">; our forecasts v sales is </t>
  </si>
  <si>
    <t>paid</t>
  </si>
  <si>
    <t xml:space="preserve">At the current market value of </t>
  </si>
  <si>
    <t>ADES</t>
  </si>
  <si>
    <r>
      <rPr>
        <sz val="10"/>
        <color indexed="8"/>
        <rFont val="Helvetica Neue"/>
      </rPr>
      <t>ADES.jk</t>
    </r>
  </si>
  <si>
    <t xml:space="preserve">our forecasts v sales is </t>
  </si>
  <si>
    <t xml:space="preserve">capital from liabilities, equity </t>
  </si>
  <si>
    <t>DNET.jk</t>
  </si>
  <si>
    <r>
      <rPr>
        <sz val="10"/>
        <color indexed="8"/>
        <rFont val="Helvetica Neue"/>
      </rPr>
      <t>ADHI.jk</t>
    </r>
  </si>
  <si>
    <t xml:space="preserve">Operating Cashflow </t>
  </si>
  <si>
    <t>raise</t>
  </si>
  <si>
    <t>ADRO</t>
  </si>
  <si>
    <t>AGII</t>
  </si>
  <si>
    <r>
      <rPr>
        <sz val="10"/>
        <color indexed="8"/>
        <rFont val="Helvetica Neue"/>
      </rPr>
      <t>AGII.jk</t>
    </r>
  </si>
  <si>
    <t>AMRT</t>
  </si>
  <si>
    <r>
      <rPr>
        <sz val="10"/>
        <color indexed="8"/>
        <rFont val="Helvetica Neue"/>
      </rPr>
      <t>AMRT.jk</t>
    </r>
  </si>
  <si>
    <t xml:space="preserve">equity </t>
  </si>
  <si>
    <t xml:space="preserve">, will  </t>
  </si>
  <si>
    <t>ANTM</t>
  </si>
  <si>
    <r>
      <rPr>
        <sz val="10"/>
        <color indexed="8"/>
        <rFont val="Helvetica Neue"/>
      </rPr>
      <t>ANTM.jk</t>
    </r>
  </si>
  <si>
    <t xml:space="preserve">quarterly sales growth, quarterlysales </t>
  </si>
  <si>
    <t>Penjualan</t>
  </si>
  <si>
    <t>tumbuh</t>
  </si>
  <si>
    <t>Harga saat ini</t>
  </si>
  <si>
    <t>Waktu baca 1 menit</t>
  </si>
  <si>
    <t>Pertumbuhan penjualan</t>
  </si>
  <si>
    <t>12 bulan terakhir</t>
  </si>
  <si>
    <t>Arus cash</t>
  </si>
  <si>
    <t>dari kapitalisasi pasar</t>
  </si>
  <si>
    <t>Kapital  (hutang &amp; ekuitas)</t>
  </si>
  <si>
    <t>Posisi kas bersih (kas minus liabilitas)</t>
  </si>
  <si>
    <t>saat ini</t>
  </si>
  <si>
    <t>Pertumbuhan penjualan dan angka penjualan</t>
  </si>
  <si>
    <t xml:space="preserve">5 kuartal terakhir </t>
  </si>
  <si>
    <t>miliar rupiah</t>
  </si>
  <si>
    <t xml:space="preserve">di kuartal </t>
  </si>
  <si>
    <t>ketiga</t>
  </si>
  <si>
    <t>menjadi</t>
  </si>
  <si>
    <t>Estimasi kami atas angka penjualan dibandingkan dengan aktual</t>
  </si>
  <si>
    <t>Ini menjadikan rata-rata pertumbuhan menjadi</t>
  </si>
  <si>
    <t>‘.</t>
  </si>
  <si>
    <t xml:space="preserve">Kami memprediksikan rata-rata  pertumbuhan </t>
  </si>
  <si>
    <t>dalam waktu 12 bulan</t>
  </si>
  <si>
    <t xml:space="preserve">sehingga penjualan akan menjadi </t>
  </si>
  <si>
    <t>Marjin</t>
  </si>
  <si>
    <t>laba bersih</t>
  </si>
  <si>
    <t>turun</t>
  </si>
  <si>
    <t>Marjin dan laba bersih</t>
  </si>
  <si>
    <t xml:space="preserve">Marjin kas terhadap biaya nonkas berubah dari </t>
  </si>
  <si>
    <t xml:space="preserve"> menjadi </t>
  </si>
  <si>
    <t xml:space="preserve">dan laba bersih dari </t>
  </si>
  <si>
    <t>Rata-rata marjin kas  sebesar</t>
  </si>
  <si>
    <t>saat ini.</t>
  </si>
  <si>
    <t>Kami menggunakan marjin kas</t>
  </si>
  <si>
    <t>untuk memperkirakan laba</t>
  </si>
  <si>
    <t>Arus kas</t>
  </si>
  <si>
    <t>positif</t>
  </si>
  <si>
    <t>Berikut ini arus kas operasional dan investasi</t>
  </si>
  <si>
    <t>Arus kas bebas (free cashflow) berubah dari</t>
  </si>
  <si>
    <t xml:space="preserve">dengan arus kas investasi sebesar </t>
  </si>
  <si>
    <t xml:space="preserve">Rata-rata arus kas per kuartal adalah </t>
  </si>
  <si>
    <t>Pengeluaran investasi kami asumsikan sebesar</t>
  </si>
  <si>
    <t xml:space="preserve">di mana dengan penjualan yang meningkat maka rata-rata arus kas akan menjadi sebesar </t>
  </si>
  <si>
    <t>Kas bersih</t>
  </si>
  <si>
    <t>naik</t>
  </si>
  <si>
    <t>Kas dan liabilitas</t>
  </si>
  <si>
    <t>Kas</t>
  </si>
  <si>
    <t>naik dari</t>
  </si>
  <si>
    <t>Liabilitas</t>
  </si>
  <si>
    <t>sehingga</t>
  </si>
  <si>
    <t>kas bersih</t>
  </si>
  <si>
    <t xml:space="preserve">Dengan estimasi arus kas kami berupa pembayaran ekuitas sebesar </t>
  </si>
  <si>
    <t xml:space="preserve">dan pembayaran liabilitas sebesar </t>
  </si>
  <si>
    <t xml:space="preserve">kas bersih akan menjadi sebesar </t>
  </si>
  <si>
    <t xml:space="preserve"> dalam 12 bulan ke depan.
</t>
  </si>
  <si>
    <t>Kapital</t>
  </si>
  <si>
    <t>(yang dibayarkan)</t>
  </si>
  <si>
    <t>Berikut ini kapital (yang dihimpun) yang dibayarkan dari liabilitas dan ekuitas</t>
  </si>
  <si>
    <t>(membayarkan)</t>
  </si>
  <si>
    <t>yang terdiri dari</t>
  </si>
  <si>
    <t>liabilitas sebesar</t>
  </si>
  <si>
    <t>dan ekuitas sebesar</t>
  </si>
  <si>
    <t>di mana Perusahaan akan</t>
  </si>
  <si>
    <t>membayar pengembalian sebesar</t>
  </si>
  <si>
    <t xml:space="preserve">Pada nilai kapitalisasi pasar saat ini yang sebesar </t>
  </si>
  <si>
    <t xml:space="preserve">prakiraan kami menunjukkan nilai tersebut setara dengan </t>
  </si>
  <si>
    <t>X aset</t>
  </si>
  <si>
    <t xml:space="preserve">dengan lama pengembalian hingga </t>
  </si>
  <si>
    <t xml:space="preserve">tahun dan imbal hasil (yield) </t>
  </si>
  <si>
    <t xml:space="preserve">Kami mengestimasikan arus kas sebesar </t>
  </si>
  <si>
    <t xml:space="preserve">yang berarti valuasi sebesar berarti valuasi sebesar </t>
  </si>
  <si>
    <t>X.</t>
  </si>
  <si>
    <t xml:space="preserve">Pada valuasi </t>
  </si>
  <si>
    <t>X,</t>
  </si>
  <si>
    <t xml:space="preserve">target harga saham akan </t>
  </si>
  <si>
    <t xml:space="preserve">menjadi </t>
  </si>
  <si>
    <t>ASII</t>
  </si>
  <si>
    <t>ASRI</t>
  </si>
  <si>
    <t xml:space="preserve">Margin </t>
  </si>
  <si>
    <r>
      <rPr>
        <sz val="10"/>
        <color indexed="8"/>
        <rFont val="Helvetica Neue"/>
      </rPr>
      <t>ASRI.jk</t>
    </r>
  </si>
  <si>
    <r>
      <rPr>
        <sz val="12"/>
        <color indexed="8"/>
        <rFont val="Helvetica Neue"/>
      </rPr>
      <t>ASRI.jk</t>
    </r>
  </si>
  <si>
    <t xml:space="preserve">margin, profit </t>
  </si>
  <si>
    <t xml:space="preserve">&amp; will  </t>
  </si>
  <si>
    <t>ARCI</t>
  </si>
  <si>
    <t>9m22</t>
  </si>
  <si>
    <r>
      <rPr>
        <sz val="10"/>
        <color indexed="8"/>
        <rFont val="Helvetica Neue"/>
      </rPr>
      <t>ARCI.jk</t>
    </r>
  </si>
  <si>
    <r>
      <rPr>
        <sz val="12"/>
        <color indexed="8"/>
        <rFont val="Helvetica Neue"/>
      </rPr>
      <t>ARCI.jk</t>
    </r>
  </si>
  <si>
    <t>AUTO</t>
  </si>
  <si>
    <r>
      <rPr>
        <sz val="10"/>
        <color indexed="8"/>
        <rFont val="Helvetica Neue"/>
      </rPr>
      <t>AUTO.jk</t>
    </r>
  </si>
  <si>
    <t>BANK</t>
  </si>
  <si>
    <r>
      <rPr>
        <b val="1"/>
        <sz val="10"/>
        <color indexed="8"/>
        <rFont val="Helvetica Neue"/>
      </rPr>
      <t>BANK.jk</t>
    </r>
  </si>
  <si>
    <r>
      <rPr>
        <sz val="10"/>
        <color indexed="8"/>
        <rFont val="Helvetica Neue"/>
      </rPr>
      <t>BANK.jk</t>
    </r>
  </si>
  <si>
    <t>negative</t>
  </si>
  <si>
    <t>BBCA</t>
  </si>
  <si>
    <r>
      <rPr>
        <sz val="10"/>
        <color indexed="8"/>
        <rFont val="Helvetica Neue"/>
      </rPr>
      <t>BBCA.jk</t>
    </r>
  </si>
  <si>
    <t>BBHI</t>
  </si>
  <si>
    <t xml:space="preserve">Growth forecast </t>
  </si>
  <si>
    <r>
      <rPr>
        <sz val="10"/>
        <color indexed="8"/>
        <rFont val="Helvetica Neue"/>
      </rPr>
      <t>BBHI.jk</t>
    </r>
  </si>
  <si>
    <t>BBRI</t>
  </si>
  <si>
    <t xml:space="preserve">Provisions </t>
  </si>
  <si>
    <t>Cost ratio</t>
  </si>
  <si>
    <t>BHIT</t>
  </si>
  <si>
    <r>
      <rPr>
        <sz val="10"/>
        <color indexed="8"/>
        <rFont val="Helvetica Neue"/>
      </rPr>
      <t>BHIT.jk</t>
    </r>
  </si>
  <si>
    <t>BLTZ</t>
  </si>
  <si>
    <r>
      <rPr>
        <sz val="10"/>
        <color indexed="8"/>
        <rFont val="Helvetica Neue"/>
      </rPr>
      <t>BLTZ.jk</t>
    </r>
  </si>
  <si>
    <t>BMRI</t>
  </si>
  <si>
    <t xml:space="preserve">Asset/liabilities </t>
  </si>
  <si>
    <r>
      <rPr>
        <sz val="10"/>
        <color indexed="8"/>
        <rFont val="Helvetica Neue"/>
      </rPr>
      <t>BMRI.jk</t>
    </r>
  </si>
  <si>
    <t>BMTR</t>
  </si>
  <si>
    <r>
      <rPr>
        <sz val="10"/>
        <color indexed="8"/>
        <rFont val="Helvetica Neue"/>
      </rPr>
      <t>BMTR.jk</t>
    </r>
  </si>
  <si>
    <t>BNII</t>
  </si>
  <si>
    <t>BNLI</t>
  </si>
  <si>
    <t>BNLI.jk</t>
  </si>
  <si>
    <r>
      <rPr>
        <sz val="10"/>
        <color indexed="8"/>
        <rFont val="Helvetica Neue"/>
      </rPr>
      <t>BNLI.jk</t>
    </r>
  </si>
  <si>
    <t>BOLA</t>
  </si>
  <si>
    <r>
      <rPr>
        <sz val="10"/>
        <color indexed="8"/>
        <rFont val="Helvetica Neue"/>
      </rPr>
      <t>BOLA.jk</t>
    </r>
  </si>
  <si>
    <t>BRIS</t>
  </si>
  <si>
    <t>BRMS</t>
  </si>
  <si>
    <r>
      <rPr>
        <b val="1"/>
        <sz val="10"/>
        <color indexed="8"/>
        <rFont val="Helvetica Neue"/>
      </rPr>
      <t>BRMS.jk</t>
    </r>
  </si>
  <si>
    <r>
      <rPr>
        <sz val="10"/>
        <color indexed="8"/>
        <rFont val="Helvetica Neue"/>
      </rPr>
      <t>BRMS.jk</t>
    </r>
  </si>
  <si>
    <t>BUMI Serpong Damai</t>
  </si>
  <si>
    <r>
      <rPr>
        <b val="1"/>
        <sz val="10"/>
        <color indexed="8"/>
        <rFont val="Helvetica Neue"/>
      </rPr>
      <t xml:space="preserve">billion rupiah </t>
    </r>
  </si>
  <si>
    <r>
      <rPr>
        <sz val="10"/>
        <color indexed="8"/>
        <rFont val="Helvetica Neue"/>
      </rPr>
      <t>BSDE.jk</t>
    </r>
  </si>
  <si>
    <t>turun dari</t>
  </si>
  <si>
    <t>BUMI</t>
  </si>
  <si>
    <r>
      <rPr>
        <sz val="10"/>
        <color indexed="8"/>
        <rFont val="Helvetica Neue"/>
      </rPr>
      <t>BUMI.jk</t>
    </r>
  </si>
  <si>
    <t>BYAN</t>
  </si>
  <si>
    <t>CARE</t>
  </si>
  <si>
    <r>
      <rPr>
        <sz val="10"/>
        <color indexed="8"/>
        <rFont val="Helvetica Neue"/>
      </rPr>
      <t>CARE.jk</t>
    </r>
  </si>
  <si>
    <t>CLEO</t>
  </si>
  <si>
    <r>
      <rPr>
        <sz val="10"/>
        <color indexed="8"/>
        <rFont val="Helvetica Neue"/>
      </rPr>
      <t>CLEO.jk</t>
    </r>
  </si>
  <si>
    <t>negatif</t>
  </si>
  <si>
    <t>(yang dihimpun)</t>
  </si>
  <si>
    <t>(menghimpun)</t>
  </si>
  <si>
    <t>CMPP</t>
  </si>
  <si>
    <r>
      <rPr>
        <sz val="10"/>
        <color indexed="8"/>
        <rFont val="Helvetica Neue"/>
      </rPr>
      <t>CMPP.jk</t>
    </r>
  </si>
  <si>
    <t>CMNP</t>
  </si>
  <si>
    <r>
      <rPr>
        <sz val="10"/>
        <color indexed="8"/>
        <rFont val="Helvetica Neue"/>
      </rPr>
      <t>CMNP.jk</t>
    </r>
  </si>
  <si>
    <t>CMNT</t>
  </si>
  <si>
    <r>
      <rPr>
        <sz val="10"/>
        <color indexed="8"/>
        <rFont val="Helvetica Neue"/>
      </rPr>
      <t>CMNT.jk</t>
    </r>
  </si>
  <si>
    <t>Cisadane</t>
  </si>
  <si>
    <r>
      <rPr>
        <sz val="10"/>
        <color indexed="8"/>
        <rFont val="Helvetica Neue"/>
      </rPr>
      <t>CSRA.jk</t>
    </r>
  </si>
  <si>
    <t>Ciputra</t>
  </si>
  <si>
    <r>
      <rPr>
        <sz val="10"/>
        <color indexed="8"/>
        <rFont val="Helvetica Neue"/>
      </rPr>
      <t>CTRA.jk</t>
    </r>
  </si>
  <si>
    <t>DGIK</t>
  </si>
  <si>
    <t>DGIK.jk</t>
  </si>
  <si>
    <r>
      <rPr>
        <sz val="10"/>
        <color indexed="8"/>
        <rFont val="Helvetica Neue"/>
      </rPr>
      <t>DGIK.jk</t>
    </r>
  </si>
  <si>
    <t>Capital paid (raised) debt &amp; equity</t>
  </si>
  <si>
    <t>Posisi kas bersih (kas minus liabilitas) saat ini</t>
  </si>
  <si>
    <t>rupiah miliar</t>
  </si>
  <si>
    <t>Ini menjadikan rata-rata pertumbuhan memjadi</t>
  </si>
  <si>
    <t>berkurang</t>
  </si>
  <si>
    <t>Arus kas bebas (free cashflow) beruba dari</t>
  </si>
  <si>
    <t>DGNS</t>
  </si>
  <si>
    <r>
      <rPr>
        <sz val="10"/>
        <color indexed="8"/>
        <rFont val="Helvetica Neue"/>
      </rPr>
      <t>DGNS.jk</t>
    </r>
  </si>
  <si>
    <t>DILD</t>
  </si>
  <si>
    <r>
      <rPr>
        <sz val="10"/>
        <color indexed="8"/>
        <rFont val="Helvetica Neue"/>
      </rPr>
      <t>DILD.jk</t>
    </r>
  </si>
  <si>
    <t>DLTA</t>
  </si>
  <si>
    <t>DMMX</t>
  </si>
  <si>
    <t>DMMX.jk</t>
  </si>
  <si>
    <r>
      <rPr>
        <sz val="10"/>
        <color indexed="8"/>
        <rFont val="Helvetica Neue"/>
      </rPr>
      <t>DMMX.jk</t>
    </r>
  </si>
  <si>
    <t>DNET</t>
  </si>
  <si>
    <r>
      <rPr>
        <sz val="10"/>
        <color indexed="8"/>
        <rFont val="Helvetica Neue"/>
      </rPr>
      <t>DNET.jk</t>
    </r>
  </si>
  <si>
    <t>DRMA</t>
  </si>
  <si>
    <r>
      <rPr>
        <sz val="10"/>
        <color indexed="8"/>
        <rFont val="Helvetica Neue"/>
      </rPr>
      <t>DRMA.jk</t>
    </r>
  </si>
  <si>
    <t xml:space="preserve">million dollars </t>
  </si>
  <si>
    <t xml:space="preserve">cost ratio to predict a </t>
  </si>
  <si>
    <t>DSNG</t>
  </si>
  <si>
    <r>
      <rPr>
        <sz val="10"/>
        <color indexed="8"/>
        <rFont val="Helvetica Neue"/>
      </rPr>
      <t>DSNG.jk</t>
    </r>
  </si>
  <si>
    <t>DVLA</t>
  </si>
  <si>
    <r>
      <rPr>
        <sz val="10"/>
        <color indexed="8"/>
        <rFont val="Helvetica Neue"/>
      </rPr>
      <t>DVLA.jk</t>
    </r>
  </si>
  <si>
    <t>DYAN</t>
  </si>
  <si>
    <r>
      <rPr>
        <sz val="10"/>
        <color indexed="8"/>
        <rFont val="Helvetica Neue"/>
      </rPr>
      <t>DYAN.jk</t>
    </r>
  </si>
  <si>
    <t>EMTK</t>
  </si>
  <si>
    <r>
      <rPr>
        <sz val="10"/>
        <color indexed="8"/>
        <rFont val="Helvetica Neue"/>
      </rPr>
      <t>EMTK.jk</t>
    </r>
  </si>
  <si>
    <r>
      <rPr>
        <sz val="12"/>
        <color indexed="8"/>
        <rFont val="Helvetica Neue"/>
      </rPr>
      <t>EMTK.jk</t>
    </r>
  </si>
  <si>
    <t>EPMT</t>
  </si>
  <si>
    <t xml:space="preserve">Cost ratio </t>
  </si>
  <si>
    <t>Cash costs</t>
  </si>
  <si>
    <r>
      <rPr>
        <sz val="10"/>
        <color indexed="8"/>
        <rFont val="Helvetica Neue"/>
      </rPr>
      <t>EPMT.jk</t>
    </r>
  </si>
  <si>
    <r>
      <rPr>
        <sz val="12"/>
        <color indexed="8"/>
        <rFont val="Helvetica Neue"/>
      </rPr>
      <t>EPMT.jk</t>
    </r>
  </si>
  <si>
    <t xml:space="preserve">Costs </t>
  </si>
  <si>
    <t xml:space="preserve">cost ratio, profit </t>
  </si>
  <si>
    <t xml:space="preserve">The cash cost ratio went from </t>
  </si>
  <si>
    <t>The average cost ratio is at</t>
  </si>
  <si>
    <t>ERAA</t>
  </si>
  <si>
    <t>FAPA</t>
  </si>
  <si>
    <t>FAPA.jk</t>
  </si>
  <si>
    <r>
      <rPr>
        <sz val="10"/>
        <color indexed="8"/>
        <rFont val="Helvetica Neue"/>
      </rPr>
      <t>FAPA.jk</t>
    </r>
  </si>
  <si>
    <t>FAST</t>
  </si>
  <si>
    <r>
      <rPr>
        <b val="1"/>
        <sz val="10"/>
        <color indexed="8"/>
        <rFont val="Helvetica Neue"/>
      </rPr>
      <t>FAST.jk</t>
    </r>
  </si>
  <si>
    <r>
      <rPr>
        <sz val="10"/>
        <color indexed="8"/>
        <rFont val="Helvetica Neue"/>
      </rPr>
      <t>FAST.jk</t>
    </r>
  </si>
  <si>
    <t>FASW</t>
  </si>
  <si>
    <r>
      <rPr>
        <b val="1"/>
        <sz val="10"/>
        <color indexed="8"/>
        <rFont val="Helvetica Neue"/>
      </rPr>
      <t>FASW.jk</t>
    </r>
  </si>
  <si>
    <r>
      <rPr>
        <sz val="10"/>
        <color indexed="8"/>
        <rFont val="Helvetica Neue"/>
      </rPr>
      <t>FASW.jk</t>
    </r>
  </si>
  <si>
    <t>GDYR</t>
  </si>
  <si>
    <r>
      <rPr>
        <sz val="10"/>
        <color indexed="8"/>
        <rFont val="Helvetica Neue"/>
      </rPr>
      <t>GDYR.jk</t>
    </r>
  </si>
  <si>
    <t>GGRM</t>
  </si>
  <si>
    <r>
      <rPr>
        <sz val="10"/>
        <color indexed="8"/>
        <rFont val="Helvetica Neue"/>
      </rPr>
      <t>GGRM.jk</t>
    </r>
  </si>
  <si>
    <t>GIAA</t>
  </si>
  <si>
    <r>
      <rPr>
        <sz val="10"/>
        <color indexed="8"/>
        <rFont val="Helvetica Neue"/>
      </rPr>
      <t>GIAA.jk</t>
    </r>
  </si>
  <si>
    <t>GJTL</t>
  </si>
  <si>
    <r>
      <rPr>
        <sz val="10"/>
        <color indexed="8"/>
        <rFont val="Helvetica Neue"/>
      </rPr>
      <t>GJTL.jk</t>
    </r>
  </si>
  <si>
    <t>GOOD</t>
  </si>
  <si>
    <t>GOOD.jk</t>
  </si>
  <si>
    <r>
      <rPr>
        <sz val="10"/>
        <color indexed="8"/>
        <rFont val="Helvetica Neue"/>
      </rPr>
      <t>GOOD.jk</t>
    </r>
  </si>
  <si>
    <t>GOTO</t>
  </si>
  <si>
    <t>Cost</t>
  </si>
  <si>
    <r>
      <rPr>
        <sz val="10"/>
        <color indexed="8"/>
        <rFont val="Helvetica Neue"/>
      </rPr>
      <t>GOTO.jk</t>
    </r>
  </si>
  <si>
    <t>GPSO</t>
  </si>
  <si>
    <r>
      <rPr>
        <b val="1"/>
        <sz val="10"/>
        <color indexed="8"/>
        <rFont val="Helvetica Neue"/>
      </rPr>
      <t>GPSO.jk</t>
    </r>
  </si>
  <si>
    <r>
      <rPr>
        <sz val="10"/>
        <color indexed="8"/>
        <rFont val="Helvetica Neue"/>
      </rPr>
      <t>GPSO.jk</t>
    </r>
  </si>
  <si>
    <t>GZCO</t>
  </si>
  <si>
    <r>
      <rPr>
        <sz val="10"/>
        <color indexed="8"/>
        <rFont val="Helvetica Neue"/>
      </rPr>
      <t>GZCO.jk</t>
    </r>
  </si>
  <si>
    <t>HMSP</t>
  </si>
  <si>
    <t>HSM.jk</t>
  </si>
  <si>
    <r>
      <rPr>
        <sz val="10"/>
        <color indexed="8"/>
        <rFont val="Helvetica Neue"/>
      </rPr>
      <t>HMSP.jk</t>
    </r>
  </si>
  <si>
    <t>HOKI</t>
  </si>
  <si>
    <r>
      <rPr>
        <sz val="10"/>
        <color indexed="8"/>
        <rFont val="Helvetica Neue"/>
      </rPr>
      <t>HOKI.jk</t>
    </r>
  </si>
  <si>
    <t>HRUM</t>
  </si>
  <si>
    <t>ICBP</t>
  </si>
  <si>
    <r>
      <rPr>
        <sz val="10"/>
        <color indexed="8"/>
        <rFont val="Helvetica Neue"/>
      </rPr>
      <t>ICBP.jk</t>
    </r>
  </si>
  <si>
    <t>INAF</t>
  </si>
  <si>
    <r>
      <rPr>
        <sz val="10"/>
        <color indexed="8"/>
        <rFont val="Helvetica Neue"/>
      </rPr>
      <t>INAF.jk</t>
    </r>
  </si>
  <si>
    <t>INDF</t>
  </si>
  <si>
    <r>
      <rPr>
        <sz val="10"/>
        <color indexed="8"/>
        <rFont val="Helvetica Neue"/>
      </rPr>
      <t>INDF.jk</t>
    </r>
  </si>
  <si>
    <r>
      <rPr>
        <sz val="10"/>
        <color indexed="8"/>
        <rFont val="Helvetica Neue"/>
      </rPr>
      <t>INDR.jk</t>
    </r>
  </si>
  <si>
    <r>
      <rPr>
        <sz val="12"/>
        <color indexed="8"/>
        <rFont val="Helvetica Neue"/>
      </rPr>
      <t>INDR.jk</t>
    </r>
  </si>
  <si>
    <t>INDY</t>
  </si>
  <si>
    <r>
      <rPr>
        <sz val="10"/>
        <color indexed="8"/>
        <rFont val="Helvetica Neue"/>
      </rPr>
      <t>INDY.jk</t>
    </r>
  </si>
  <si>
    <t>INKP</t>
  </si>
  <si>
    <r>
      <rPr>
        <sz val="10"/>
        <color indexed="8"/>
        <rFont val="Helvetica Neue"/>
      </rPr>
      <t>INKP.jk</t>
    </r>
  </si>
  <si>
    <t>INTD</t>
  </si>
  <si>
    <r>
      <rPr>
        <sz val="10"/>
        <color indexed="8"/>
        <rFont val="Helvetica Neue"/>
      </rPr>
      <t>INTD.jk</t>
    </r>
  </si>
  <si>
    <t>INTP</t>
  </si>
  <si>
    <t>Growth last 12m</t>
  </si>
  <si>
    <t>Growth forecast</t>
  </si>
  <si>
    <r>
      <rPr>
        <sz val="10"/>
        <color indexed="8"/>
        <rFont val="Helvetica Neue"/>
      </rPr>
      <t>INTP.jk</t>
    </r>
  </si>
  <si>
    <t>IPCC</t>
  </si>
  <si>
    <t>IPCM</t>
  </si>
  <si>
    <t>IPOL</t>
  </si>
  <si>
    <r>
      <rPr>
        <sz val="10"/>
        <color indexed="8"/>
        <rFont val="Helvetica Neue"/>
      </rPr>
      <t>IPOL.jk</t>
    </r>
  </si>
  <si>
    <t>IPPE</t>
  </si>
  <si>
    <r>
      <rPr>
        <b val="1"/>
        <sz val="10"/>
        <color indexed="8"/>
        <rFont val="Helvetica Neue"/>
      </rPr>
      <t>IPPE.jk</t>
    </r>
  </si>
  <si>
    <r>
      <rPr>
        <sz val="10"/>
        <color indexed="8"/>
        <rFont val="Helvetica Neue"/>
      </rPr>
      <t>IPPE.jk</t>
    </r>
  </si>
  <si>
    <t>IPTV</t>
  </si>
  <si>
    <r>
      <rPr>
        <sz val="10"/>
        <color indexed="8"/>
        <rFont val="Helvetica Neue"/>
      </rPr>
      <t>IPTV.jk</t>
    </r>
  </si>
  <si>
    <t>ISSP</t>
  </si>
  <si>
    <r>
      <rPr>
        <b val="1"/>
        <sz val="10"/>
        <color indexed="8"/>
        <rFont val="Helvetica Neue"/>
      </rPr>
      <t>ISSP.jk</t>
    </r>
  </si>
  <si>
    <r>
      <rPr>
        <sz val="10"/>
        <color indexed="8"/>
        <rFont val="Helvetica Neue"/>
      </rPr>
      <t>ISSP.jk</t>
    </r>
  </si>
  <si>
    <t>ITMG</t>
  </si>
  <si>
    <r>
      <rPr>
        <sz val="10"/>
        <color indexed="8"/>
        <rFont val="Helvetica Neue"/>
      </rPr>
      <t>ITMG.jk</t>
    </r>
  </si>
  <si>
    <t>JAWA</t>
  </si>
  <si>
    <r>
      <rPr>
        <sz val="10"/>
        <color indexed="8"/>
        <rFont val="Helvetica Neue"/>
      </rPr>
      <t>JAWA.jk</t>
    </r>
  </si>
  <si>
    <t>JRPT</t>
  </si>
  <si>
    <r>
      <rPr>
        <sz val="10"/>
        <color indexed="8"/>
        <rFont val="Helvetica Neue"/>
      </rPr>
      <t>JRPT.jk</t>
    </r>
  </si>
  <si>
    <t>KDSI</t>
  </si>
  <si>
    <r>
      <rPr>
        <b val="1"/>
        <sz val="10"/>
        <color indexed="8"/>
        <rFont val="Helvetica Neue"/>
      </rPr>
      <t>KDSI.jk</t>
    </r>
  </si>
  <si>
    <r>
      <rPr>
        <sz val="10"/>
        <color indexed="8"/>
        <rFont val="Helvetica Neue"/>
      </rPr>
      <t>KDSI.jk</t>
    </r>
  </si>
  <si>
    <t>KEJU</t>
  </si>
  <si>
    <r>
      <rPr>
        <sz val="10"/>
        <color indexed="8"/>
        <rFont val="Helvetica Neue"/>
      </rPr>
      <t>KEJU.jk</t>
    </r>
  </si>
  <si>
    <t>KLBF</t>
  </si>
  <si>
    <r>
      <rPr>
        <sz val="10"/>
        <color indexed="8"/>
        <rFont val="Helvetica Neue"/>
      </rPr>
      <t>KLBF.jk</t>
    </r>
  </si>
  <si>
    <t>LINK</t>
  </si>
  <si>
    <r>
      <rPr>
        <sz val="10"/>
        <color indexed="8"/>
        <rFont val="Helvetica Neue"/>
      </rPr>
      <t>LINK.jk</t>
    </r>
  </si>
  <si>
    <t>LSIP</t>
  </si>
  <si>
    <r>
      <rPr>
        <sz val="10"/>
        <color indexed="8"/>
        <rFont val="Helvetica Neue"/>
      </rPr>
      <t>LSIP.jk</t>
    </r>
  </si>
  <si>
    <t>MAIN</t>
  </si>
  <si>
    <r>
      <rPr>
        <sz val="10"/>
        <color indexed="8"/>
        <rFont val="Helvetica Neue"/>
      </rPr>
      <t>MAIN.jk</t>
    </r>
  </si>
  <si>
    <r>
      <rPr>
        <sz val="12"/>
        <color indexed="8"/>
        <rFont val="Helvetica Neue"/>
      </rPr>
      <t>MAIN.jk</t>
    </r>
  </si>
  <si>
    <t xml:space="preserve"> Margin  </t>
  </si>
  <si>
    <t>MASA</t>
  </si>
  <si>
    <r>
      <rPr>
        <sz val="10"/>
        <color indexed="8"/>
        <rFont val="Helvetica Neue"/>
      </rPr>
      <t>MASA.jk</t>
    </r>
  </si>
  <si>
    <t>MBTO</t>
  </si>
  <si>
    <r>
      <rPr>
        <sz val="10"/>
        <color indexed="8"/>
        <rFont val="Helvetica Neue"/>
      </rPr>
      <t>MBTO.jk</t>
    </r>
  </si>
  <si>
    <r>
      <rPr>
        <sz val="12"/>
        <color indexed="8"/>
        <rFont val="Helvetica Neue"/>
      </rPr>
      <t>MBTO.jk</t>
    </r>
  </si>
  <si>
    <t>MDKA</t>
  </si>
  <si>
    <r>
      <rPr>
        <sz val="10"/>
        <color indexed="8"/>
        <rFont val="Helvetica Neue"/>
      </rPr>
      <t>MDKA.jk</t>
    </r>
  </si>
  <si>
    <t>MEDC</t>
  </si>
  <si>
    <r>
      <rPr>
        <sz val="10"/>
        <color indexed="8"/>
        <rFont val="Helvetica Neue"/>
      </rPr>
      <t>MEDC.jk</t>
    </r>
  </si>
  <si>
    <t>MEGA</t>
  </si>
  <si>
    <r>
      <rPr>
        <sz val="10"/>
        <color indexed="8"/>
        <rFont val="Helvetica Neue"/>
      </rPr>
      <t>MEGA.jk</t>
    </r>
  </si>
  <si>
    <t>MERK</t>
  </si>
  <si>
    <r>
      <rPr>
        <sz val="10"/>
        <color indexed="8"/>
        <rFont val="Helvetica Neue"/>
      </rPr>
      <t>MERK.jk</t>
    </r>
  </si>
  <si>
    <r>
      <rPr>
        <sz val="12"/>
        <color indexed="8"/>
        <rFont val="Helvetica Neue"/>
      </rPr>
      <t>MERK.jk</t>
    </r>
  </si>
  <si>
    <t>META</t>
  </si>
  <si>
    <t>META.jk</t>
  </si>
  <si>
    <r>
      <rPr>
        <sz val="10"/>
        <color indexed="8"/>
        <rFont val="Helvetica Neue"/>
      </rPr>
      <t>META.jk</t>
    </r>
  </si>
  <si>
    <t>MGRO</t>
  </si>
  <si>
    <r>
      <rPr>
        <sz val="10"/>
        <color indexed="8"/>
        <rFont val="Helvetica Neue"/>
      </rPr>
      <t>MGRO.jk</t>
    </r>
  </si>
  <si>
    <t>MIKA</t>
  </si>
  <si>
    <t>MLPL</t>
  </si>
  <si>
    <t>MLPL.jk</t>
  </si>
  <si>
    <r>
      <rPr>
        <sz val="10"/>
        <color indexed="8"/>
        <rFont val="Helvetica Neue"/>
      </rPr>
      <t>MLPL.jk</t>
    </r>
  </si>
  <si>
    <t>MLPT</t>
  </si>
  <si>
    <r>
      <rPr>
        <b val="1"/>
        <sz val="10"/>
        <color indexed="8"/>
        <rFont val="Helvetica Neue"/>
      </rPr>
      <t>MLPT.jk</t>
    </r>
  </si>
  <si>
    <r>
      <rPr>
        <sz val="10"/>
        <color indexed="8"/>
        <rFont val="Helvetica Neue"/>
      </rPr>
      <t>MLPT.jk</t>
    </r>
  </si>
  <si>
    <t>MNCN</t>
  </si>
  <si>
    <r>
      <rPr>
        <sz val="10"/>
        <color indexed="8"/>
        <rFont val="Helvetica Neue"/>
      </rPr>
      <t>MNCN.jk</t>
    </r>
  </si>
  <si>
    <t>Matahari</t>
  </si>
  <si>
    <r>
      <rPr>
        <sz val="10"/>
        <color indexed="8"/>
        <rFont val="Helvetica Neue"/>
      </rPr>
      <t>MPPA.jk</t>
    </r>
  </si>
  <si>
    <t>MRAT</t>
  </si>
  <si>
    <t>MRAT.jk</t>
  </si>
  <si>
    <r>
      <rPr>
        <sz val="10"/>
        <color indexed="8"/>
        <rFont val="Helvetica Neue"/>
      </rPr>
      <t>MRAT.jk</t>
    </r>
  </si>
  <si>
    <t>MTEL</t>
  </si>
  <si>
    <r>
      <rPr>
        <sz val="10"/>
        <color indexed="8"/>
        <rFont val="Helvetica Neue"/>
      </rPr>
      <t>MTEL.jk</t>
    </r>
  </si>
  <si>
    <t>NIKL</t>
  </si>
  <si>
    <r>
      <rPr>
        <sz val="10"/>
        <color indexed="8"/>
        <rFont val="Helvetica Neue"/>
      </rPr>
      <t>NIKL.jk</t>
    </r>
  </si>
  <si>
    <t>NISP</t>
  </si>
  <si>
    <r>
      <rPr>
        <sz val="10"/>
        <color indexed="8"/>
        <rFont val="Helvetica Neue"/>
      </rPr>
      <t>NISP.jk</t>
    </r>
  </si>
  <si>
    <t>NRCA</t>
  </si>
  <si>
    <r>
      <rPr>
        <b val="1"/>
        <sz val="10"/>
        <color indexed="8"/>
        <rFont val="Helvetica Neue"/>
      </rPr>
      <t>NRCA.jk</t>
    </r>
  </si>
  <si>
    <r>
      <rPr>
        <sz val="10"/>
        <color indexed="8"/>
        <rFont val="Helvetica Neue"/>
      </rPr>
      <t>NRCA.jk</t>
    </r>
  </si>
  <si>
    <t>OKAS</t>
  </si>
  <si>
    <r>
      <rPr>
        <b val="1"/>
        <sz val="10"/>
        <color indexed="8"/>
        <rFont val="Helvetica Neue"/>
      </rPr>
      <t>OKAS.jk</t>
    </r>
  </si>
  <si>
    <r>
      <rPr>
        <sz val="10"/>
        <color indexed="8"/>
        <rFont val="Helvetica Neue"/>
      </rPr>
      <t>OKAS.jk</t>
    </r>
  </si>
  <si>
    <t>PGAS</t>
  </si>
  <si>
    <r>
      <rPr>
        <b val="1"/>
        <sz val="10"/>
        <color indexed="8"/>
        <rFont val="Helvetica Neue"/>
      </rPr>
      <t>PGAS.jk</t>
    </r>
  </si>
  <si>
    <r>
      <rPr>
        <sz val="10"/>
        <color indexed="8"/>
        <rFont val="Helvetica Neue"/>
      </rPr>
      <t>PGAS.jk</t>
    </r>
  </si>
  <si>
    <t>POWR</t>
  </si>
  <si>
    <t>POWR.jk</t>
  </si>
  <si>
    <t>POWE.jk</t>
  </si>
  <si>
    <r>
      <rPr>
        <sz val="10"/>
        <color indexed="8"/>
        <rFont val="Helvetica Neue"/>
      </rPr>
      <t>POWR.jk</t>
    </r>
  </si>
  <si>
    <t>PSAB</t>
  </si>
  <si>
    <t xml:space="preserve">Rp billion </t>
  </si>
  <si>
    <r>
      <rPr>
        <b val="1"/>
        <sz val="10"/>
        <color indexed="8"/>
        <rFont val="Helvetica Neue"/>
      </rPr>
      <t xml:space="preserve">Rp billion </t>
    </r>
  </si>
  <si>
    <r>
      <rPr>
        <sz val="10"/>
        <color indexed="8"/>
        <rFont val="Helvetica Neue"/>
      </rPr>
      <t>PSAB.jk</t>
    </r>
  </si>
  <si>
    <t>PSKT</t>
  </si>
  <si>
    <r>
      <rPr>
        <sz val="10"/>
        <color indexed="8"/>
        <rFont val="Helvetica Neue"/>
      </rPr>
      <t>PSKT.jk</t>
    </r>
  </si>
  <si>
    <t>PTBA</t>
  </si>
  <si>
    <r>
      <rPr>
        <sz val="10"/>
        <color indexed="8"/>
        <rFont val="Helvetica Neue"/>
      </rPr>
      <t>PTBA.jk</t>
    </r>
  </si>
  <si>
    <t>PTPP</t>
  </si>
  <si>
    <t>PZZA</t>
  </si>
  <si>
    <r>
      <rPr>
        <sz val="10"/>
        <color indexed="8"/>
        <rFont val="Helvetica Neue"/>
      </rPr>
      <t>PZZA.jk</t>
    </r>
  </si>
  <si>
    <t>RAJA</t>
  </si>
  <si>
    <r>
      <rPr>
        <sz val="10"/>
        <color indexed="8"/>
        <rFont val="Helvetica Neue"/>
      </rPr>
      <t>RAJA.jk</t>
    </r>
  </si>
  <si>
    <t>RALS</t>
  </si>
  <si>
    <r>
      <rPr>
        <b val="1"/>
        <sz val="10"/>
        <color indexed="8"/>
        <rFont val="Helvetica Neue"/>
      </rPr>
      <t>RALS.jk</t>
    </r>
  </si>
  <si>
    <r>
      <rPr>
        <sz val="10"/>
        <color indexed="8"/>
        <rFont val="Helvetica Neue"/>
      </rPr>
      <t>RALS.jk</t>
    </r>
  </si>
  <si>
    <t>Table 1</t>
  </si>
  <si>
    <t>RALS vol</t>
  </si>
  <si>
    <t>RANC</t>
  </si>
  <si>
    <r>
      <rPr>
        <sz val="10"/>
        <color indexed="8"/>
        <rFont val="Helvetica Neue"/>
      </rPr>
      <t>RANC.jk</t>
    </r>
  </si>
  <si>
    <t>SAFE</t>
  </si>
  <si>
    <t>SCMA</t>
  </si>
  <si>
    <r>
      <rPr>
        <sz val="10"/>
        <color indexed="8"/>
        <rFont val="Helvetica Neue"/>
      </rPr>
      <t>SCMA.jk</t>
    </r>
  </si>
  <si>
    <r>
      <rPr>
        <sz val="12"/>
        <color indexed="8"/>
        <rFont val="Helvetica Neue"/>
      </rPr>
      <t>SCMA.jk</t>
    </r>
  </si>
  <si>
    <t>SGRO</t>
  </si>
  <si>
    <r>
      <rPr>
        <sz val="10"/>
        <color indexed="8"/>
        <rFont val="Helvetica Neue"/>
      </rPr>
      <t>SGRO.jk</t>
    </r>
  </si>
  <si>
    <t>SLIS</t>
  </si>
  <si>
    <r>
      <rPr>
        <sz val="10"/>
        <color indexed="8"/>
        <rFont val="Helvetica Neue"/>
      </rPr>
      <t>SLIS.jk</t>
    </r>
  </si>
  <si>
    <t>SIMP</t>
  </si>
  <si>
    <r>
      <rPr>
        <sz val="10"/>
        <color indexed="8"/>
        <rFont val="Helvetica Neue"/>
      </rPr>
      <t>SIMP.jk</t>
    </r>
  </si>
  <si>
    <t>SMCB</t>
  </si>
  <si>
    <t xml:space="preserve">rupiah billion </t>
  </si>
  <si>
    <r>
      <rPr>
        <b val="1"/>
        <sz val="10"/>
        <color indexed="8"/>
        <rFont val="Helvetica Neue"/>
      </rPr>
      <t xml:space="preserve">rupiah billion </t>
    </r>
  </si>
  <si>
    <r>
      <rPr>
        <sz val="10"/>
        <color indexed="8"/>
        <rFont val="Helvetica Neue"/>
      </rPr>
      <t>SMCB.jk</t>
    </r>
  </si>
  <si>
    <t>SMGR</t>
  </si>
  <si>
    <r>
      <rPr>
        <sz val="10"/>
        <color indexed="8"/>
        <rFont val="Helvetica Neue"/>
      </rPr>
      <t>SMGR.jk</t>
    </r>
  </si>
  <si>
    <t>SMMA</t>
  </si>
  <si>
    <r>
      <rPr>
        <sz val="10"/>
        <color indexed="8"/>
        <rFont val="Helvetica Neue"/>
      </rPr>
      <t>SMMA.jk</t>
    </r>
  </si>
  <si>
    <t xml:space="preserve">Target history </t>
  </si>
  <si>
    <t>Sumarecon</t>
  </si>
  <si>
    <r>
      <rPr>
        <sz val="10"/>
        <color indexed="8"/>
        <rFont val="Helvetica Neue"/>
      </rPr>
      <t>SMRA.jk</t>
    </r>
  </si>
  <si>
    <t>SPTO</t>
  </si>
  <si>
    <r>
      <rPr>
        <b val="1"/>
        <sz val="10"/>
        <color indexed="8"/>
        <rFont val="Helvetica Neue"/>
      </rPr>
      <t>SPTO.jk</t>
    </r>
  </si>
  <si>
    <r>
      <rPr>
        <sz val="10"/>
        <color indexed="8"/>
        <rFont val="Helvetica Neue"/>
      </rPr>
      <t>SPTO.jk</t>
    </r>
  </si>
  <si>
    <t>SRIL</t>
  </si>
  <si>
    <r>
      <rPr>
        <sz val="10"/>
        <color indexed="8"/>
        <rFont val="Helvetica Neue"/>
      </rPr>
      <t>SRIL.jk</t>
    </r>
  </si>
  <si>
    <t>SRTG</t>
  </si>
  <si>
    <r>
      <rPr>
        <sz val="10"/>
        <color indexed="8"/>
        <rFont val="Helvetica Neue"/>
      </rPr>
      <t>SRTG.jk</t>
    </r>
  </si>
  <si>
    <t>SSIA</t>
  </si>
  <si>
    <r>
      <rPr>
        <sz val="10"/>
        <color indexed="8"/>
        <rFont val="Helvetica Neue"/>
      </rPr>
      <t>SSIA.jk</t>
    </r>
  </si>
  <si>
    <t>STAA</t>
  </si>
  <si>
    <r>
      <rPr>
        <b val="1"/>
        <sz val="10"/>
        <color indexed="8"/>
        <rFont val="Helvetica Neue"/>
      </rPr>
      <t>STAA.jk</t>
    </r>
  </si>
  <si>
    <r>
      <rPr>
        <sz val="10"/>
        <color indexed="8"/>
        <rFont val="Helvetica Neue"/>
      </rPr>
      <t>STAA.jk</t>
    </r>
  </si>
  <si>
    <t>STTP</t>
  </si>
  <si>
    <t>TBIG</t>
  </si>
  <si>
    <r>
      <rPr>
        <sz val="10"/>
        <color indexed="8"/>
        <rFont val="Helvetica Neue"/>
      </rPr>
      <t>TBIG.jk</t>
    </r>
  </si>
  <si>
    <t>TBLA</t>
  </si>
  <si>
    <r>
      <rPr>
        <sz val="10"/>
        <color indexed="8"/>
        <rFont val="Helvetica Neue"/>
      </rPr>
      <t>TBLA.jk</t>
    </r>
  </si>
  <si>
    <t>Targets v price</t>
  </si>
  <si>
    <t>TGKA</t>
  </si>
  <si>
    <r>
      <rPr>
        <sz val="10"/>
        <color indexed="8"/>
        <rFont val="Helvetica Neue"/>
      </rPr>
      <t>TGKA.jk</t>
    </r>
  </si>
  <si>
    <t>TKIM</t>
  </si>
  <si>
    <r>
      <rPr>
        <b val="1"/>
        <sz val="10"/>
        <color indexed="8"/>
        <rFont val="Helvetica Neue"/>
      </rPr>
      <t>TKIM.jk</t>
    </r>
  </si>
  <si>
    <r>
      <rPr>
        <sz val="10"/>
        <color indexed="8"/>
        <rFont val="Helvetica Neue"/>
      </rPr>
      <t>TKIM.jk</t>
    </r>
  </si>
  <si>
    <t>TLKM</t>
  </si>
  <si>
    <t>TOBA</t>
  </si>
  <si>
    <r>
      <rPr>
        <sz val="10"/>
        <color indexed="8"/>
        <rFont val="Helvetica Neue"/>
      </rPr>
      <t>TOBA.jk</t>
    </r>
  </si>
  <si>
    <t>TOWR</t>
  </si>
  <si>
    <r>
      <rPr>
        <sz val="10"/>
        <color indexed="8"/>
        <rFont val="Helvetica Neue"/>
      </rPr>
      <t>TOWR.jk</t>
    </r>
  </si>
  <si>
    <t>TSPC</t>
  </si>
  <si>
    <r>
      <rPr>
        <sz val="10"/>
        <color indexed="8"/>
        <rFont val="Helvetica Neue"/>
      </rPr>
      <t>TSPC.jk</t>
    </r>
  </si>
  <si>
    <r>
      <rPr>
        <sz val="12"/>
        <color indexed="8"/>
        <rFont val="Helvetica Neue"/>
      </rPr>
      <t>TSPC.jk</t>
    </r>
  </si>
  <si>
    <t>UCID</t>
  </si>
  <si>
    <r>
      <rPr>
        <b val="1"/>
        <sz val="10"/>
        <color indexed="8"/>
        <rFont val="Helvetica Neue"/>
      </rPr>
      <t>UCID.jk</t>
    </r>
  </si>
  <si>
    <r>
      <rPr>
        <sz val="10"/>
        <color indexed="8"/>
        <rFont val="Helvetica Neue"/>
      </rPr>
      <t>UCID.jk</t>
    </r>
  </si>
  <si>
    <t>UFOE</t>
  </si>
  <si>
    <r>
      <rPr>
        <sz val="10"/>
        <color indexed="8"/>
        <rFont val="Helvetica Neue"/>
      </rPr>
      <t>UFOE.jk</t>
    </r>
  </si>
  <si>
    <t>ULTJ</t>
  </si>
  <si>
    <t>UNSP</t>
  </si>
  <si>
    <r>
      <rPr>
        <sz val="10"/>
        <color indexed="8"/>
        <rFont val="Helvetica Neue"/>
      </rPr>
      <t>UNSP.jk</t>
    </r>
  </si>
  <si>
    <t>UNVR</t>
  </si>
  <si>
    <t>UNVR.jk</t>
  </si>
  <si>
    <r>
      <rPr>
        <sz val="10"/>
        <color indexed="8"/>
        <rFont val="Helvetica Neue"/>
      </rPr>
      <t>UNVR.jk</t>
    </r>
  </si>
  <si>
    <t>WEGE</t>
  </si>
  <si>
    <t>WIKA</t>
  </si>
  <si>
    <r>
      <rPr>
        <b val="1"/>
        <sz val="10"/>
        <color indexed="8"/>
        <rFont val="Helvetica Neue"/>
      </rPr>
      <t>WINE.jk</t>
    </r>
  </si>
  <si>
    <t>WINE.jk</t>
  </si>
  <si>
    <r>
      <rPr>
        <sz val="10"/>
        <color indexed="8"/>
        <rFont val="Helvetica Neue"/>
      </rPr>
      <t>WINE.jk</t>
    </r>
  </si>
  <si>
    <t>WIRG</t>
  </si>
  <si>
    <r>
      <rPr>
        <b val="1"/>
        <sz val="10"/>
        <color indexed="8"/>
        <rFont val="Helvetica Neue"/>
      </rPr>
      <t>WIRG.jk</t>
    </r>
  </si>
  <si>
    <r>
      <rPr>
        <sz val="10"/>
        <color indexed="8"/>
        <rFont val="Helvetica Neue"/>
      </rPr>
      <t>WIRG.jk</t>
    </r>
  </si>
  <si>
    <t>WOOD</t>
  </si>
  <si>
    <r>
      <rPr>
        <sz val="10"/>
        <color indexed="8"/>
        <rFont val="Helvetica Neue"/>
      </rPr>
      <t>WOOD.jk</t>
    </r>
  </si>
  <si>
    <t>WOMF</t>
  </si>
  <si>
    <r>
      <rPr>
        <sz val="10"/>
        <color indexed="8"/>
        <rFont val="Helvetica Neue"/>
      </rPr>
      <t>WOMF.jk</t>
    </r>
  </si>
  <si>
    <r>
      <rPr>
        <sz val="10"/>
        <color indexed="8"/>
        <rFont val="Helvetica Neue"/>
      </rPr>
      <t>WSKT.jk</t>
    </r>
  </si>
  <si>
    <t>WTON</t>
  </si>
</sst>
</file>

<file path=xl/styles.xml><?xml version="1.0" encoding="utf-8"?>
<styleSheet xmlns="http://schemas.openxmlformats.org/spreadsheetml/2006/main">
  <numFmts count="9">
    <numFmt numFmtId="0" formatCode="General"/>
    <numFmt numFmtId="59" formatCode="#,##0%"/>
    <numFmt numFmtId="60" formatCode="#,##0.0"/>
    <numFmt numFmtId="61" formatCode="m/d/yyyy"/>
    <numFmt numFmtId="62" formatCode="#,##0.0%"/>
    <numFmt numFmtId="63" formatCode="0_);[Red]\(0\)"/>
    <numFmt numFmtId="64" formatCode="#,##0%_);[Red]\(#,##0%\)"/>
    <numFmt numFmtId="65" formatCode="#,##0.0#"/>
    <numFmt numFmtId="66" formatCode="0.0%"/>
  </numFmts>
  <fonts count="10">
    <font>
      <sz val="10"/>
      <color indexed="8"/>
      <name val="Helvetica Neue"/>
    </font>
    <font>
      <sz val="12"/>
      <color indexed="8"/>
      <name val="Helvetica Neue"/>
    </font>
    <font>
      <b val="1"/>
      <sz val="10"/>
      <color indexed="8"/>
      <name val="Helvetica Neue"/>
    </font>
    <font>
      <sz val="10"/>
      <color indexed="13"/>
      <name val="Arial"/>
    </font>
    <font>
      <shadow val="1"/>
      <sz val="12"/>
      <color indexed="15"/>
      <name val="Helvetica"/>
    </font>
    <font>
      <sz val="12"/>
      <color indexed="8"/>
      <name val="Helvetica"/>
    </font>
    <font>
      <sz val="10"/>
      <color indexed="8"/>
      <name val="Arial"/>
    </font>
    <font>
      <sz val="11"/>
      <color indexed="8"/>
      <name val="Helvetica Neue"/>
    </font>
    <font>
      <sz val="12"/>
      <color indexed="15"/>
      <name val="Helvetica Neue"/>
    </font>
    <font>
      <sz val="10"/>
      <color indexed="13"/>
      <name val="Helvetica Neue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</fills>
  <borders count="33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/>
      <top style="thin">
        <color indexed="11"/>
      </top>
      <bottom style="thin">
        <color indexed="10"/>
      </bottom>
      <diagonal/>
    </border>
    <border>
      <left/>
      <right/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8"/>
      </bottom>
      <diagonal/>
    </border>
    <border>
      <left style="thin">
        <color indexed="10"/>
      </left>
      <right style="thin">
        <color indexed="10"/>
      </right>
      <top style="thin">
        <color indexed="18"/>
      </top>
      <bottom style="thin">
        <color indexed="18"/>
      </bottom>
      <diagonal/>
    </border>
    <border>
      <left style="thin">
        <color indexed="10"/>
      </left>
      <right style="thin">
        <color indexed="10"/>
      </right>
      <top style="thin">
        <color indexed="1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>
        <color indexed="8"/>
      </bottom>
      <diagonal/>
    </border>
    <border>
      <left style="thin">
        <color indexed="10"/>
      </left>
      <right style="thin">
        <color indexed="10"/>
      </right>
      <top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>
        <color indexed="8"/>
      </top>
      <bottom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9"/>
      </bottom>
      <diagonal/>
    </border>
    <border>
      <left style="thin">
        <color indexed="10"/>
      </left>
      <right style="thin">
        <color indexed="19"/>
      </right>
      <top style="thin">
        <color indexed="10"/>
      </top>
      <bottom style="thin">
        <color indexed="10"/>
      </bottom>
      <diagonal/>
    </border>
    <border>
      <left style="thin">
        <color indexed="19"/>
      </left>
      <right style="thin">
        <color indexed="19"/>
      </right>
      <top style="thin">
        <color indexed="19"/>
      </top>
      <bottom style="thin">
        <color indexed="19"/>
      </bottom>
      <diagonal/>
    </border>
    <border>
      <left style="thin">
        <color indexed="19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9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>
        <color indexed="8"/>
      </right>
      <top style="thin">
        <color indexed="11"/>
      </top>
      <bottom style="thin">
        <color indexed="10"/>
      </bottom>
      <diagonal/>
    </border>
    <border>
      <left>
        <color indexed="8"/>
      </left>
      <right style="thin">
        <color indexed="10"/>
      </right>
      <top>
        <color indexed="8"/>
      </top>
      <bottom style="thin">
        <color indexed="10"/>
      </bottom>
      <diagonal/>
    </border>
    <border>
      <left style="thin">
        <color indexed="10"/>
      </left>
      <right>
        <color indexed="8"/>
      </right>
      <top>
        <color indexed="8"/>
      </top>
      <bottom style="thin">
        <color indexed="10"/>
      </bottom>
      <diagonal/>
    </border>
    <border>
      <left style="thin">
        <color indexed="10"/>
      </left>
      <right>
        <color indexed="8"/>
      </right>
      <top style="thin">
        <color indexed="10"/>
      </top>
      <bottom style="thin">
        <color indexed="10"/>
      </bottom>
      <diagonal/>
    </border>
    <border>
      <left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>
        <color indexed="8"/>
      </left>
      <right style="thin">
        <color indexed="10"/>
      </right>
      <top style="thin">
        <color indexed="10"/>
      </top>
      <bottom>
        <color indexed="8"/>
      </bottom>
      <diagonal/>
    </border>
    <border>
      <left style="thin">
        <color indexed="10"/>
      </left>
      <right>
        <color indexed="8"/>
      </right>
      <top style="thin">
        <color indexed="10"/>
      </top>
      <bottom>
        <color indexed="8"/>
      </bottom>
      <diagonal/>
    </border>
    <border>
      <left style="thin">
        <color indexed="19"/>
      </left>
      <right/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4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1" applyNumberFormat="0" applyFont="1" applyFill="0" applyBorder="0" applyAlignment="1" applyProtection="0">
      <alignment horizontal="center" vertical="center"/>
    </xf>
    <xf numFmtId="49" fontId="2" fillId="2" borderId="1" applyNumberFormat="1" applyFont="1" applyFill="1" applyBorder="1" applyAlignment="1" applyProtection="0">
      <alignment horizontal="right" vertical="top" wrapText="1"/>
    </xf>
    <xf numFmtId="0" fontId="2" fillId="2" borderId="1" applyNumberFormat="1" applyFont="1" applyFill="1" applyBorder="1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right" vertical="top" wrapText="1"/>
    </xf>
    <xf numFmtId="0" fontId="2" fillId="3" borderId="2" applyNumberFormat="1" applyFont="1" applyFill="1" applyBorder="1" applyAlignment="1" applyProtection="0">
      <alignment vertical="top" wrapText="1"/>
    </xf>
    <xf numFmtId="3" fontId="0" borderId="3" applyNumberFormat="1" applyFont="1" applyFill="0" applyBorder="1" applyAlignment="1" applyProtection="0">
      <alignment vertical="top" wrapText="1"/>
    </xf>
    <xf numFmtId="3" fontId="0" borderId="4" applyNumberFormat="1" applyFont="1" applyFill="0" applyBorder="1" applyAlignment="1" applyProtection="0">
      <alignment vertical="top" wrapText="1"/>
    </xf>
    <xf numFmtId="0" fontId="0" borderId="4" applyNumberFormat="0" applyFont="1" applyFill="0" applyBorder="1" applyAlignment="1" applyProtection="0">
      <alignment vertical="top" wrapText="1"/>
    </xf>
    <xf numFmtId="3" fontId="3" borderId="4" applyNumberFormat="1" applyFont="1" applyFill="0" applyBorder="1" applyAlignment="1" applyProtection="0">
      <alignment horizontal="right" vertical="center" wrapText="1" readingOrder="1"/>
    </xf>
    <xf numFmtId="0" fontId="0" borderId="5" applyNumberFormat="0" applyFont="1" applyFill="0" applyBorder="1" applyAlignment="1" applyProtection="0">
      <alignment vertical="top" wrapText="1"/>
    </xf>
    <xf numFmtId="3" fontId="0" borderId="6" applyNumberFormat="1" applyFont="1" applyFill="0" applyBorder="1" applyAlignment="1" applyProtection="0">
      <alignment vertical="center" wrapText="1"/>
    </xf>
    <xf numFmtId="0" fontId="2" fillId="3" borderId="7" applyNumberFormat="0" applyFont="1" applyFill="1" applyBorder="1" applyAlignment="1" applyProtection="0">
      <alignment vertical="top" wrapText="1"/>
    </xf>
    <xf numFmtId="3" fontId="0" borderId="8" applyNumberFormat="1" applyFont="1" applyFill="0" applyBorder="1" applyAlignment="1" applyProtection="0">
      <alignment vertical="top" wrapText="1"/>
    </xf>
    <xf numFmtId="3" fontId="0" borderId="9" applyNumberFormat="1" applyFont="1" applyFill="0" applyBorder="1" applyAlignment="1" applyProtection="0">
      <alignment vertical="top" wrapText="1"/>
    </xf>
    <xf numFmtId="59" fontId="0" borderId="9" applyNumberFormat="1" applyFont="1" applyFill="0" applyBorder="1" applyAlignment="1" applyProtection="0">
      <alignment vertical="top" wrapText="1"/>
    </xf>
    <xf numFmtId="0" fontId="0" borderId="9" applyNumberFormat="0" applyFont="1" applyFill="0" applyBorder="1" applyAlignment="1" applyProtection="0">
      <alignment vertical="top" wrapText="1"/>
    </xf>
    <xf numFmtId="3" fontId="3" borderId="9" applyNumberFormat="1" applyFont="1" applyFill="0" applyBorder="1" applyAlignment="1" applyProtection="0">
      <alignment horizontal="right" vertical="center" wrapText="1" readingOrder="1"/>
    </xf>
    <xf numFmtId="0" fontId="0" borderId="10" applyNumberFormat="0" applyFont="1" applyFill="0" applyBorder="1" applyAlignment="1" applyProtection="0">
      <alignment vertical="top" wrapText="1"/>
    </xf>
    <xf numFmtId="3" fontId="0" borderId="11" applyNumberFormat="1" applyFont="1" applyFill="0" applyBorder="1" applyAlignment="1" applyProtection="0">
      <alignment vertical="center" wrapText="1"/>
    </xf>
    <xf numFmtId="0" fontId="2" fillId="3" borderId="7" applyNumberFormat="1" applyFont="1" applyFill="1" applyBorder="1" applyAlignment="1" applyProtection="0">
      <alignment vertical="top" wrapText="1"/>
    </xf>
    <xf numFmtId="1" fontId="3" borderId="10" applyNumberFormat="1" applyFont="1" applyFill="0" applyBorder="1" applyAlignment="1" applyProtection="0">
      <alignment horizontal="right" vertical="center" wrapText="1" readingOrder="1"/>
    </xf>
    <xf numFmtId="38" fontId="0" borderId="9" applyNumberFormat="1" applyFont="1" applyFill="0" applyBorder="1" applyAlignment="1" applyProtection="0">
      <alignment vertical="top" wrapText="1"/>
    </xf>
    <xf numFmtId="1" fontId="3" borderId="9" applyNumberFormat="1" applyFont="1" applyFill="0" applyBorder="1" applyAlignment="1" applyProtection="0">
      <alignment horizontal="right" vertical="center" wrapText="1" readingOrder="1"/>
    </xf>
    <xf numFmtId="1" fontId="0" borderId="9" applyNumberFormat="1" applyFont="1" applyFill="0" applyBorder="1" applyAlignment="1" applyProtection="0">
      <alignment vertical="top" wrapText="1"/>
    </xf>
    <xf numFmtId="0" fontId="0" borderId="9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2" fillId="4" borderId="1" applyNumberFormat="1" applyFont="1" applyFill="1" applyBorder="1" applyAlignment="1" applyProtection="0">
      <alignment horizontal="left" vertical="top" wrapText="1"/>
    </xf>
    <xf numFmtId="49" fontId="2" fillId="4" borderId="1" applyNumberFormat="1" applyFont="1" applyFill="1" applyBorder="1" applyAlignment="1" applyProtection="0">
      <alignment horizontal="right" vertical="top" wrapText="1"/>
    </xf>
    <xf numFmtId="0" fontId="2" fillId="4" borderId="1" applyNumberFormat="0" applyFont="1" applyFill="1" applyBorder="1" applyAlignment="1" applyProtection="0">
      <alignment horizontal="right" vertical="top" wrapText="1"/>
    </xf>
    <xf numFmtId="49" fontId="2" fillId="4" borderId="2" applyNumberFormat="1" applyFont="1" applyFill="1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0" fillId="4" borderId="7" applyNumberFormat="1" applyFont="1" applyFill="1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9" fontId="0" borderId="9" applyNumberFormat="1" applyFont="1" applyFill="0" applyBorder="1" applyAlignment="1" applyProtection="0">
      <alignment vertical="top" wrapText="1"/>
    </xf>
    <xf numFmtId="0" fontId="0" fillId="4" borderId="7" applyNumberFormat="0" applyFont="1" applyFill="1" applyBorder="1" applyAlignment="1" applyProtection="0">
      <alignment vertical="top" wrapText="1"/>
    </xf>
    <xf numFmtId="9" fontId="0" borderId="8" applyNumberFormat="1" applyFont="1" applyFill="0" applyBorder="1" applyAlignment="1" applyProtection="0">
      <alignment vertical="top" wrapText="1"/>
    </xf>
    <xf numFmtId="38" fontId="0" borderId="8" applyNumberFormat="1" applyFont="1" applyFill="0" applyBorder="1" applyAlignment="1" applyProtection="0">
      <alignment vertical="top" wrapText="1"/>
    </xf>
    <xf numFmtId="60" fontId="0" borderId="8" applyNumberFormat="1" applyFont="1" applyFill="0" applyBorder="1" applyAlignment="1" applyProtection="0">
      <alignment vertical="top" wrapText="1"/>
    </xf>
    <xf numFmtId="60" fontId="0" borderId="9" applyNumberFormat="1" applyFont="1" applyFill="0" applyBorder="1" applyAlignment="1" applyProtection="0">
      <alignment vertical="top" wrapText="1"/>
    </xf>
    <xf numFmtId="49" fontId="2" fillId="4" borderId="7" applyNumberFormat="1" applyFont="1" applyFill="1" applyBorder="1" applyAlignment="1" applyProtection="0">
      <alignment vertical="top" wrapText="1"/>
    </xf>
    <xf numFmtId="0" fontId="0" fillId="4" borderId="7" applyNumberFormat="1" applyFont="1" applyFill="1" applyBorder="1" applyAlignment="1" applyProtection="0">
      <alignment vertical="top" wrapText="1"/>
    </xf>
    <xf numFmtId="4" fontId="0" borderId="9" applyNumberFormat="1" applyFont="1" applyFill="0" applyBorder="1" applyAlignment="1" applyProtection="0">
      <alignment vertical="top" wrapText="1"/>
    </xf>
    <xf numFmtId="49" fontId="0" borderId="9" applyNumberFormat="1" applyFont="1" applyFill="0" applyBorder="1" applyAlignment="1" applyProtection="0">
      <alignment vertical="top" wrapText="1"/>
    </xf>
    <xf numFmtId="49" fontId="0" borderId="8" applyNumberFormat="1" applyFont="1" applyFill="0" applyBorder="1" applyAlignment="1" applyProtection="0">
      <alignment vertical="top" wrapText="1"/>
    </xf>
    <xf numFmtId="61" fontId="0" borderId="8" applyNumberFormat="1" applyFont="1" applyFill="0" applyBorder="1" applyAlignment="1" applyProtection="0">
      <alignment vertical="top" wrapText="1"/>
    </xf>
    <xf numFmtId="61" fontId="0" borderId="9" applyNumberFormat="1" applyFont="1" applyFill="0" applyBorder="1" applyAlignment="1" applyProtection="0">
      <alignment vertical="top" wrapText="1"/>
    </xf>
    <xf numFmtId="49" fontId="2" borderId="9" applyNumberFormat="1" applyFont="1" applyFill="0" applyBorder="1" applyAlignment="1" applyProtection="0">
      <alignment horizontal="left" vertical="top" wrapText="1"/>
    </xf>
    <xf numFmtId="0" fontId="0" applyNumberFormat="1" applyFont="1" applyFill="0" applyBorder="0" applyAlignment="1" applyProtection="0">
      <alignment vertical="top" wrapText="1"/>
    </xf>
    <xf numFmtId="49" fontId="2" fillId="2" borderId="1" applyNumberFormat="1" applyFont="1" applyFill="1" applyBorder="1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3" borderId="2" applyNumberFormat="1" applyFont="1" applyFill="1" applyBorder="1" applyAlignment="1" applyProtection="0">
      <alignment vertical="top" wrapText="1"/>
    </xf>
    <xf numFmtId="49" fontId="0" borderId="4" applyNumberFormat="1" applyFont="1" applyFill="0" applyBorder="1" applyAlignment="1" applyProtection="0">
      <alignment vertical="top" wrapText="1"/>
    </xf>
    <xf numFmtId="9" fontId="0" borderId="4" applyNumberFormat="1" applyFont="1" applyFill="0" applyBorder="1" applyAlignment="1" applyProtection="0">
      <alignment vertical="top" wrapText="1"/>
    </xf>
    <xf numFmtId="59" fontId="0" borderId="4" applyNumberFormat="1" applyFont="1" applyFill="0" applyBorder="1" applyAlignment="1" applyProtection="0">
      <alignment vertical="top" wrapText="1"/>
    </xf>
    <xf numFmtId="49" fontId="2" fillId="3" borderId="7" applyNumberFormat="1" applyFont="1" applyFill="1" applyBorder="1" applyAlignment="1" applyProtection="0">
      <alignment vertical="top" wrapText="1"/>
    </xf>
    <xf numFmtId="62" fontId="0" borderId="9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4" applyNumberFormat="1" applyFont="1" applyFill="0" applyBorder="1" applyAlignment="1" applyProtection="0">
      <alignment vertical="top" wrapText="1"/>
    </xf>
    <xf numFmtId="3" fontId="0" borderId="9" applyNumberFormat="1" applyFont="1" applyFill="0" applyBorder="1" applyAlignment="1" applyProtection="0">
      <alignment horizontal="right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3" applyNumberFormat="1" applyFont="1" applyFill="0" applyBorder="1" applyAlignment="1" applyProtection="0">
      <alignment vertical="top" wrapText="1"/>
    </xf>
    <xf numFmtId="38" fontId="6" borderId="4" applyNumberFormat="1" applyFont="1" applyFill="0" applyBorder="1" applyAlignment="1" applyProtection="0">
      <alignment horizontal="right" vertical="center" wrapText="1" readingOrder="1"/>
    </xf>
    <xf numFmtId="0" fontId="0" borderId="8" applyNumberFormat="1" applyFont="1" applyFill="0" applyBorder="1" applyAlignment="1" applyProtection="0">
      <alignment vertical="top" wrapText="1"/>
    </xf>
    <xf numFmtId="38" fontId="6" borderId="9" applyNumberFormat="1" applyFont="1" applyFill="0" applyBorder="1" applyAlignment="1" applyProtection="0">
      <alignment horizontal="right" vertical="center" wrapText="1" readingOrder="1"/>
    </xf>
    <xf numFmtId="63" fontId="6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59" fontId="0" borderId="8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borderId="4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6" fillId="5" borderId="4" applyNumberFormat="1" applyFont="1" applyFill="1" applyBorder="1" applyAlignment="1" applyProtection="0">
      <alignment horizontal="right" vertical="center" wrapText="1" readingOrder="1"/>
    </xf>
    <xf numFmtId="3" fontId="6" fillId="5" borderId="9" applyNumberFormat="1" applyFont="1" applyFill="1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4" fontId="0" borderId="9" applyNumberFormat="1" applyFont="1" applyFill="0" applyBorder="1" applyAlignment="1" applyProtection="0">
      <alignment vertical="top" wrapText="1"/>
    </xf>
    <xf numFmtId="49" fontId="7" borderId="9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8" fontId="0" borderId="3" applyNumberFormat="1" applyFont="1" applyFill="0" applyBorder="1" applyAlignment="1" applyProtection="0">
      <alignment vertical="top" wrapText="1"/>
    </xf>
    <xf numFmtId="38" fontId="0" borderId="4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2" fillId="2" borderId="12" applyNumberFormat="1" applyFont="1" applyFill="1" applyBorder="1" applyAlignment="1" applyProtection="0">
      <alignment horizontal="right" vertical="top" wrapText="1"/>
    </xf>
    <xf numFmtId="3" fontId="6" borderId="13" applyNumberFormat="1" applyFont="1" applyFill="0" applyBorder="1" applyAlignment="1" applyProtection="0">
      <alignment horizontal="right" vertical="center" wrapText="1" readingOrder="1"/>
    </xf>
    <xf numFmtId="3" fontId="6" borderId="14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2" fillId="4" borderId="15" applyNumberFormat="0" applyFont="1" applyFill="1" applyBorder="1" applyAlignment="1" applyProtection="0">
      <alignment horizontal="right" vertical="top" wrapText="1"/>
    </xf>
    <xf numFmtId="0" fontId="0" borderId="16" applyNumberFormat="0" applyFont="1" applyFill="0" applyBorder="1" applyAlignment="1" applyProtection="0">
      <alignment vertical="top" wrapText="1"/>
    </xf>
    <xf numFmtId="49" fontId="0" fillId="4" borderId="7" applyNumberFormat="1" applyFont="1" applyFill="1" applyBorder="1" applyAlignment="1" applyProtection="0">
      <alignment horizontal="left" vertical="top" wrapText="1"/>
    </xf>
    <xf numFmtId="59" fontId="0" borderId="15" applyNumberFormat="1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59" fontId="0" borderId="17" applyNumberFormat="1" applyFont="1" applyFill="0" applyBorder="1" applyAlignment="1" applyProtection="0">
      <alignment vertical="top" wrapText="1"/>
    </xf>
    <xf numFmtId="49" fontId="1" borderId="8" applyNumberFormat="1" applyFont="1" applyFill="0" applyBorder="1" applyAlignment="1" applyProtection="0">
      <alignment horizontal="left" vertical="top" wrapText="1"/>
    </xf>
    <xf numFmtId="0" fontId="0" borderId="17" applyNumberFormat="1" applyFont="1" applyFill="0" applyBorder="1" applyAlignment="1" applyProtection="0">
      <alignment vertical="top" wrapText="1"/>
    </xf>
    <xf numFmtId="49" fontId="0" borderId="17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0" fontId="0" borderId="4" applyNumberFormat="1" applyFont="1" applyFill="0" applyBorder="1" applyAlignment="1" applyProtection="0">
      <alignment vertical="top" wrapText="1"/>
    </xf>
    <xf numFmtId="3" fontId="0" borderId="18" applyNumberFormat="1" applyFont="1" applyFill="0" applyBorder="1" applyAlignment="1" applyProtection="0">
      <alignment vertical="top" wrapText="1"/>
    </xf>
    <xf numFmtId="1" fontId="3" borderId="19" applyNumberFormat="1" applyFont="1" applyFill="0" applyBorder="1" applyAlignment="1" applyProtection="0">
      <alignment horizontal="right" vertical="center" wrapText="1" readingOrder="1"/>
    </xf>
    <xf numFmtId="3" fontId="0" borderId="20" applyNumberFormat="1" applyFont="1" applyFill="0" applyBorder="1" applyAlignment="1" applyProtection="0">
      <alignment vertical="center" wrapText="1" readingOrder="1"/>
    </xf>
    <xf numFmtId="1" fontId="3" borderId="21" applyNumberFormat="1" applyFont="1" applyFill="0" applyBorder="1" applyAlignment="1" applyProtection="0">
      <alignment horizontal="right" vertical="center" wrapText="1" readingOrder="1"/>
    </xf>
    <xf numFmtId="3" fontId="0" borderId="20" applyNumberFormat="1" applyFont="1" applyFill="0" applyBorder="1" applyAlignment="1" applyProtection="0">
      <alignment vertical="top" wrapText="1"/>
    </xf>
    <xf numFmtId="3" fontId="0" borderId="22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" fontId="0" borderId="6" applyNumberFormat="1" applyFont="1" applyFill="0" applyBorder="1" applyAlignment="1" applyProtection="0">
      <alignment vertical="center" wrapText="1"/>
    </xf>
    <xf numFmtId="4" fontId="0" borderId="11" applyNumberFormat="1" applyFont="1" applyFill="0" applyBorder="1" applyAlignment="1" applyProtection="0">
      <alignment vertical="center" wrapText="1"/>
    </xf>
    <xf numFmtId="4" fontId="0" borderId="9" applyNumberFormat="1" applyFont="1" applyFill="0" applyBorder="1" applyAlignment="1" applyProtection="0">
      <alignment vertical="center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9" borderId="9" applyNumberFormat="1" applyFont="1" applyFill="0" applyBorder="1" applyAlignment="1" applyProtection="0">
      <alignment horizontal="right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0" borderId="4" applyNumberFormat="1" applyFont="1" applyFill="0" applyBorder="1" applyAlignment="1" applyProtection="0">
      <alignment horizontal="right" vertical="top" wrapText="1"/>
    </xf>
    <xf numFmtId="0" fontId="6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3" fontId="3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9" fontId="0" borderId="24" applyNumberFormat="1" applyFont="1" applyFill="0" applyBorder="1" applyAlignment="1" applyProtection="0">
      <alignment vertical="top" wrapText="1"/>
    </xf>
    <xf numFmtId="38" fontId="0" borderId="24" applyNumberFormat="1" applyFont="1" applyFill="0" applyBorder="1" applyAlignment="1" applyProtection="0">
      <alignment vertical="top" wrapText="1"/>
    </xf>
    <xf numFmtId="3" fontId="0" borderId="24" applyNumberFormat="1" applyFont="1" applyFill="0" applyBorder="1" applyAlignment="1" applyProtection="0">
      <alignment vertical="top" wrapText="1"/>
    </xf>
    <xf numFmtId="60" fontId="0" borderId="24" applyNumberFormat="1" applyFont="1" applyFill="0" applyBorder="1" applyAlignment="1" applyProtection="0">
      <alignment vertical="top" wrapText="1"/>
    </xf>
    <xf numFmtId="49" fontId="0" borderId="24" applyNumberFormat="1" applyFont="1" applyFill="0" applyBorder="1" applyAlignment="1" applyProtection="0">
      <alignment vertical="top" wrapText="1"/>
    </xf>
    <xf numFmtId="61" fontId="0" borderId="24" applyNumberFormat="1" applyFont="1" applyFill="0" applyBorder="1" applyAlignment="1" applyProtection="0">
      <alignment vertical="top" wrapText="1"/>
    </xf>
    <xf numFmtId="59" fontId="0" borderId="24" applyNumberFormat="1" applyFont="1" applyFill="0" applyBorder="1" applyAlignment="1" applyProtection="0">
      <alignment vertical="top" wrapText="1"/>
    </xf>
    <xf numFmtId="0" fontId="0" borderId="24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borderId="4" applyNumberFormat="0" applyFont="1" applyFill="0" applyBorder="1" applyAlignment="1" applyProtection="0">
      <alignment horizontal="right" vertical="center" wrapText="1" readingOrder="1"/>
    </xf>
    <xf numFmtId="0" fontId="3" borderId="9" applyNumberFormat="0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0" borderId="17" applyNumberFormat="1" applyFont="1" applyFill="0" applyBorder="1" applyAlignment="1" applyProtection="0">
      <alignment vertical="top" wrapText="1"/>
    </xf>
    <xf numFmtId="38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6" applyNumberFormat="0" applyFont="1" applyFill="0" applyBorder="1" applyAlignment="1" applyProtection="0">
      <alignment vertical="top" wrapText="1"/>
    </xf>
    <xf numFmtId="0" fontId="0" borderId="27" applyNumberFormat="0" applyFont="1" applyFill="0" applyBorder="1" applyAlignment="1" applyProtection="0">
      <alignment vertical="top" wrapText="1"/>
    </xf>
    <xf numFmtId="9" fontId="0" borderId="28" applyNumberFormat="1" applyFont="1" applyFill="0" applyBorder="1" applyAlignment="1" applyProtection="0">
      <alignment vertical="top" wrapText="1"/>
    </xf>
    <xf numFmtId="9" fontId="0" borderId="29" applyNumberFormat="1" applyFont="1" applyFill="0" applyBorder="1" applyAlignment="1" applyProtection="0">
      <alignment vertical="top" wrapText="1"/>
    </xf>
    <xf numFmtId="38" fontId="0" borderId="28" applyNumberFormat="1" applyFont="1" applyFill="0" applyBorder="1" applyAlignment="1" applyProtection="0">
      <alignment vertical="top" wrapText="1"/>
    </xf>
    <xf numFmtId="38" fontId="0" borderId="29" applyNumberFormat="1" applyFont="1" applyFill="0" applyBorder="1" applyAlignment="1" applyProtection="0">
      <alignment vertical="top" wrapText="1"/>
    </xf>
    <xf numFmtId="3" fontId="0" borderId="28" applyNumberFormat="1" applyFont="1" applyFill="0" applyBorder="1" applyAlignment="1" applyProtection="0">
      <alignment vertical="top" wrapText="1"/>
    </xf>
    <xf numFmtId="3" fontId="0" borderId="29" applyNumberFormat="1" applyFont="1" applyFill="0" applyBorder="1" applyAlignment="1" applyProtection="0">
      <alignment vertical="top" wrapText="1"/>
    </xf>
    <xf numFmtId="0" fontId="0" borderId="28" applyNumberFormat="0" applyFont="1" applyFill="0" applyBorder="1" applyAlignment="1" applyProtection="0">
      <alignment vertical="top" wrapText="1"/>
    </xf>
    <xf numFmtId="0" fontId="0" borderId="29" applyNumberFormat="0" applyFont="1" applyFill="0" applyBorder="1" applyAlignment="1" applyProtection="0">
      <alignment vertical="top" wrapText="1"/>
    </xf>
    <xf numFmtId="4" fontId="0" borderId="28" applyNumberFormat="1" applyFont="1" applyFill="0" applyBorder="1" applyAlignment="1" applyProtection="0">
      <alignment vertical="top" wrapText="1"/>
    </xf>
    <xf numFmtId="4" fontId="0" borderId="29" applyNumberFormat="1" applyFont="1" applyFill="0" applyBorder="1" applyAlignment="1" applyProtection="0">
      <alignment vertical="top" wrapText="1"/>
    </xf>
    <xf numFmtId="59" fontId="0" borderId="28" applyNumberFormat="1" applyFont="1" applyFill="0" applyBorder="1" applyAlignment="1" applyProtection="0">
      <alignment vertical="top" wrapText="1"/>
    </xf>
    <xf numFmtId="59" fontId="0" borderId="29" applyNumberFormat="1" applyFont="1" applyFill="0" applyBorder="1" applyAlignment="1" applyProtection="0">
      <alignment vertical="top" wrapText="1"/>
    </xf>
    <xf numFmtId="59" fontId="0" borderId="30" applyNumberFormat="1" applyFont="1" applyFill="0" applyBorder="1" applyAlignment="1" applyProtection="0">
      <alignment vertical="top" wrapText="1"/>
    </xf>
    <xf numFmtId="59" fontId="0" borderId="31" applyNumberFormat="1" applyFont="1" applyFill="0" applyBorder="1" applyAlignment="1" applyProtection="0">
      <alignment vertical="top" wrapText="1"/>
    </xf>
    <xf numFmtId="59" fontId="0" borderId="16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6" fillId="5" borderId="9" applyNumberFormat="0" applyFont="1" applyFill="1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9" applyNumberFormat="1" applyFont="1" applyFill="0" applyBorder="1" applyAlignment="1" applyProtection="0">
      <alignment horizontal="right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0" borderId="12" applyNumberFormat="1" applyFont="1" applyFill="0" applyBorder="1" applyAlignment="1" applyProtection="0">
      <alignment vertical="top" wrapText="1"/>
    </xf>
    <xf numFmtId="3" fontId="6" fillId="5" borderId="13" applyNumberFormat="1" applyFont="1" applyFill="1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borderId="5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8" fontId="3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3" borderId="5" applyNumberFormat="1" applyFont="1" applyFill="0" applyBorder="1" applyAlignment="1" applyProtection="0">
      <alignment horizontal="right" vertical="center" wrapText="1" readingOrder="1"/>
    </xf>
    <xf numFmtId="3" fontId="3" borderId="10" applyNumberFormat="1" applyFont="1" applyFill="0" applyBorder="1" applyAlignment="1" applyProtection="0">
      <alignment horizontal="right" vertical="center" wrapText="1" readingOrder="1"/>
    </xf>
    <xf numFmtId="0" fontId="9" borderId="9" applyNumberFormat="0" applyFont="1" applyFill="0" applyBorder="1" applyAlignment="1" applyProtection="0">
      <alignment horizontal="right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8" fontId="3" borderId="4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0" borderId="4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3" fillId="5" borderId="13" applyNumberFormat="1" applyFont="1" applyFill="1" applyBorder="1" applyAlignment="1" applyProtection="0">
      <alignment vertical="center" wrapText="1" readingOrder="1"/>
    </xf>
    <xf numFmtId="3" fontId="3" fillId="5" borderId="14" applyNumberFormat="1" applyFont="1" applyFill="1" applyBorder="1" applyAlignment="1" applyProtection="0">
      <alignment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5" fontId="0" borderId="9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6" fontId="0" borderId="9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3" fontId="6" borderId="4" applyNumberFormat="1" applyFont="1" applyFill="0" applyBorder="1" applyAlignment="1" applyProtection="0">
      <alignment horizontal="right" vertical="center" wrapText="1" readingOrder="1"/>
    </xf>
    <xf numFmtId="3" fontId="6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borderId="18" applyNumberFormat="1" applyFont="1" applyFill="0" applyBorder="1" applyAlignment="1" applyProtection="0">
      <alignment horizontal="right" vertical="center" wrapText="1" readingOrder="1"/>
    </xf>
    <xf numFmtId="1" fontId="6" borderId="20" applyNumberFormat="1" applyFont="1" applyFill="0" applyBorder="1" applyAlignment="1" applyProtection="0">
      <alignment horizontal="right" vertical="center" wrapText="1" readingOrder="1"/>
    </xf>
    <xf numFmtId="1" fontId="3" borderId="32" applyNumberFormat="1" applyFont="1" applyFill="0" applyBorder="1" applyAlignment="1" applyProtection="0">
      <alignment horizontal="right" vertical="center" wrapText="1" readingOrder="1"/>
    </xf>
    <xf numFmtId="3" fontId="6" borderId="22" applyNumberFormat="1" applyFont="1" applyFill="0" applyBorder="1" applyAlignment="1" applyProtection="0">
      <alignment horizontal="right" vertical="center" wrapText="1" readingOrder="1"/>
    </xf>
    <xf numFmtId="1" fontId="6" borderId="9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9" borderId="9" applyNumberFormat="1" applyFont="1" applyFill="0" applyBorder="1" applyAlignment="1" applyProtection="0">
      <alignment horizontal="right"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borderId="4" applyNumberFormat="1" applyFont="1" applyFill="0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6" fillId="5" borderId="9" applyNumberFormat="1" applyFont="1" applyFill="1" applyBorder="1" applyAlignment="1" applyProtection="0">
      <alignment horizontal="right" vertical="center" wrapText="1" readingOrder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333333"/>
      <rgbColor rgb="ffd6d6d6"/>
      <rgbColor rgb="ffffffff"/>
      <rgbColor rgb="ffb8b8b8"/>
      <rgbColor rgb="ff919191"/>
      <rgbColor rgb="ffd9d9d9"/>
      <rgbColor rgb="ffbfbfbf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Relationship Id="rId47" Type="http://schemas.openxmlformats.org/officeDocument/2006/relationships/worksheet" Target="worksheets/sheet44.xml"/><Relationship Id="rId48" Type="http://schemas.openxmlformats.org/officeDocument/2006/relationships/worksheet" Target="worksheets/sheet45.xml"/><Relationship Id="rId49" Type="http://schemas.openxmlformats.org/officeDocument/2006/relationships/worksheet" Target="worksheets/sheet46.xml"/><Relationship Id="rId50" Type="http://schemas.openxmlformats.org/officeDocument/2006/relationships/worksheet" Target="worksheets/sheet47.xml"/><Relationship Id="rId51" Type="http://schemas.openxmlformats.org/officeDocument/2006/relationships/worksheet" Target="worksheets/sheet48.xml"/><Relationship Id="rId52" Type="http://schemas.openxmlformats.org/officeDocument/2006/relationships/worksheet" Target="worksheets/sheet49.xml"/><Relationship Id="rId53" Type="http://schemas.openxmlformats.org/officeDocument/2006/relationships/worksheet" Target="worksheets/sheet50.xml"/><Relationship Id="rId54" Type="http://schemas.openxmlformats.org/officeDocument/2006/relationships/worksheet" Target="worksheets/sheet51.xml"/><Relationship Id="rId55" Type="http://schemas.openxmlformats.org/officeDocument/2006/relationships/worksheet" Target="worksheets/sheet52.xml"/><Relationship Id="rId56" Type="http://schemas.openxmlformats.org/officeDocument/2006/relationships/worksheet" Target="worksheets/sheet53.xml"/><Relationship Id="rId57" Type="http://schemas.openxmlformats.org/officeDocument/2006/relationships/worksheet" Target="worksheets/sheet54.xml"/><Relationship Id="rId58" Type="http://schemas.openxmlformats.org/officeDocument/2006/relationships/worksheet" Target="worksheets/sheet55.xml"/><Relationship Id="rId59" Type="http://schemas.openxmlformats.org/officeDocument/2006/relationships/worksheet" Target="worksheets/sheet56.xml"/><Relationship Id="rId60" Type="http://schemas.openxmlformats.org/officeDocument/2006/relationships/worksheet" Target="worksheets/sheet57.xml"/><Relationship Id="rId61" Type="http://schemas.openxmlformats.org/officeDocument/2006/relationships/worksheet" Target="worksheets/sheet58.xml"/><Relationship Id="rId62" Type="http://schemas.openxmlformats.org/officeDocument/2006/relationships/worksheet" Target="worksheets/sheet59.xml"/><Relationship Id="rId63" Type="http://schemas.openxmlformats.org/officeDocument/2006/relationships/worksheet" Target="worksheets/sheet60.xml"/><Relationship Id="rId64" Type="http://schemas.openxmlformats.org/officeDocument/2006/relationships/worksheet" Target="worksheets/sheet61.xml"/><Relationship Id="rId65" Type="http://schemas.openxmlformats.org/officeDocument/2006/relationships/worksheet" Target="worksheets/sheet62.xml"/><Relationship Id="rId66" Type="http://schemas.openxmlformats.org/officeDocument/2006/relationships/worksheet" Target="worksheets/sheet63.xml"/><Relationship Id="rId67" Type="http://schemas.openxmlformats.org/officeDocument/2006/relationships/worksheet" Target="worksheets/sheet64.xml"/><Relationship Id="rId68" Type="http://schemas.openxmlformats.org/officeDocument/2006/relationships/worksheet" Target="worksheets/sheet65.xml"/><Relationship Id="rId69" Type="http://schemas.openxmlformats.org/officeDocument/2006/relationships/worksheet" Target="worksheets/sheet66.xml"/><Relationship Id="rId70" Type="http://schemas.openxmlformats.org/officeDocument/2006/relationships/worksheet" Target="worksheets/sheet67.xml"/><Relationship Id="rId71" Type="http://schemas.openxmlformats.org/officeDocument/2006/relationships/worksheet" Target="worksheets/sheet68.xml"/><Relationship Id="rId72" Type="http://schemas.openxmlformats.org/officeDocument/2006/relationships/worksheet" Target="worksheets/sheet69.xml"/><Relationship Id="rId73" Type="http://schemas.openxmlformats.org/officeDocument/2006/relationships/worksheet" Target="worksheets/sheet70.xml"/><Relationship Id="rId74" Type="http://schemas.openxmlformats.org/officeDocument/2006/relationships/worksheet" Target="worksheets/sheet71.xml"/><Relationship Id="rId75" Type="http://schemas.openxmlformats.org/officeDocument/2006/relationships/worksheet" Target="worksheets/sheet72.xml"/><Relationship Id="rId76" Type="http://schemas.openxmlformats.org/officeDocument/2006/relationships/worksheet" Target="worksheets/sheet73.xml"/><Relationship Id="rId77" Type="http://schemas.openxmlformats.org/officeDocument/2006/relationships/worksheet" Target="worksheets/sheet74.xml"/><Relationship Id="rId78" Type="http://schemas.openxmlformats.org/officeDocument/2006/relationships/worksheet" Target="worksheets/sheet75.xml"/><Relationship Id="rId79" Type="http://schemas.openxmlformats.org/officeDocument/2006/relationships/worksheet" Target="worksheets/sheet76.xml"/><Relationship Id="rId80" Type="http://schemas.openxmlformats.org/officeDocument/2006/relationships/worksheet" Target="worksheets/sheet77.xml"/><Relationship Id="rId81" Type="http://schemas.openxmlformats.org/officeDocument/2006/relationships/worksheet" Target="worksheets/sheet78.xml"/><Relationship Id="rId82" Type="http://schemas.openxmlformats.org/officeDocument/2006/relationships/worksheet" Target="worksheets/sheet79.xml"/><Relationship Id="rId83" Type="http://schemas.openxmlformats.org/officeDocument/2006/relationships/worksheet" Target="worksheets/sheet80.xml"/><Relationship Id="rId84" Type="http://schemas.openxmlformats.org/officeDocument/2006/relationships/worksheet" Target="worksheets/sheet81.xml"/><Relationship Id="rId85" Type="http://schemas.openxmlformats.org/officeDocument/2006/relationships/worksheet" Target="worksheets/sheet82.xml"/><Relationship Id="rId86" Type="http://schemas.openxmlformats.org/officeDocument/2006/relationships/worksheet" Target="worksheets/sheet83.xml"/><Relationship Id="rId87" Type="http://schemas.openxmlformats.org/officeDocument/2006/relationships/worksheet" Target="worksheets/sheet84.xml"/><Relationship Id="rId88" Type="http://schemas.openxmlformats.org/officeDocument/2006/relationships/worksheet" Target="worksheets/sheet85.xml"/><Relationship Id="rId89" Type="http://schemas.openxmlformats.org/officeDocument/2006/relationships/worksheet" Target="worksheets/sheet86.xml"/><Relationship Id="rId90" Type="http://schemas.openxmlformats.org/officeDocument/2006/relationships/worksheet" Target="worksheets/sheet87.xml"/><Relationship Id="rId91" Type="http://schemas.openxmlformats.org/officeDocument/2006/relationships/worksheet" Target="worksheets/sheet88.xml"/><Relationship Id="rId92" Type="http://schemas.openxmlformats.org/officeDocument/2006/relationships/worksheet" Target="worksheets/sheet89.xml"/><Relationship Id="rId93" Type="http://schemas.openxmlformats.org/officeDocument/2006/relationships/worksheet" Target="worksheets/sheet90.xml"/><Relationship Id="rId94" Type="http://schemas.openxmlformats.org/officeDocument/2006/relationships/worksheet" Target="worksheets/sheet91.xml"/><Relationship Id="rId95" Type="http://schemas.openxmlformats.org/officeDocument/2006/relationships/worksheet" Target="worksheets/sheet92.xml"/><Relationship Id="rId96" Type="http://schemas.openxmlformats.org/officeDocument/2006/relationships/worksheet" Target="worksheets/sheet93.xml"/><Relationship Id="rId97" Type="http://schemas.openxmlformats.org/officeDocument/2006/relationships/worksheet" Target="worksheets/sheet94.xml"/><Relationship Id="rId98" Type="http://schemas.openxmlformats.org/officeDocument/2006/relationships/worksheet" Target="worksheets/sheet95.xml"/><Relationship Id="rId99" Type="http://schemas.openxmlformats.org/officeDocument/2006/relationships/worksheet" Target="worksheets/sheet96.xml"/><Relationship Id="rId100" Type="http://schemas.openxmlformats.org/officeDocument/2006/relationships/worksheet" Target="worksheets/sheet97.xml"/><Relationship Id="rId101" Type="http://schemas.openxmlformats.org/officeDocument/2006/relationships/worksheet" Target="worksheets/sheet98.xml"/><Relationship Id="rId102" Type="http://schemas.openxmlformats.org/officeDocument/2006/relationships/worksheet" Target="worksheets/sheet99.xml"/><Relationship Id="rId103" Type="http://schemas.openxmlformats.org/officeDocument/2006/relationships/worksheet" Target="worksheets/sheet100.xml"/><Relationship Id="rId104" Type="http://schemas.openxmlformats.org/officeDocument/2006/relationships/worksheet" Target="worksheets/sheet101.xml"/><Relationship Id="rId105" Type="http://schemas.openxmlformats.org/officeDocument/2006/relationships/worksheet" Target="worksheets/sheet102.xml"/><Relationship Id="rId106" Type="http://schemas.openxmlformats.org/officeDocument/2006/relationships/worksheet" Target="worksheets/sheet103.xml"/><Relationship Id="rId107" Type="http://schemas.openxmlformats.org/officeDocument/2006/relationships/worksheet" Target="worksheets/sheet104.xml"/><Relationship Id="rId108" Type="http://schemas.openxmlformats.org/officeDocument/2006/relationships/worksheet" Target="worksheets/sheet105.xml"/><Relationship Id="rId109" Type="http://schemas.openxmlformats.org/officeDocument/2006/relationships/worksheet" Target="worksheets/sheet106.xml"/><Relationship Id="rId110" Type="http://schemas.openxmlformats.org/officeDocument/2006/relationships/worksheet" Target="worksheets/sheet107.xml"/><Relationship Id="rId111" Type="http://schemas.openxmlformats.org/officeDocument/2006/relationships/worksheet" Target="worksheets/sheet108.xml"/><Relationship Id="rId112" Type="http://schemas.openxmlformats.org/officeDocument/2006/relationships/worksheet" Target="worksheets/sheet109.xml"/><Relationship Id="rId113" Type="http://schemas.openxmlformats.org/officeDocument/2006/relationships/worksheet" Target="worksheets/sheet110.xml"/><Relationship Id="rId114" Type="http://schemas.openxmlformats.org/officeDocument/2006/relationships/worksheet" Target="worksheets/sheet111.xml"/><Relationship Id="rId115" Type="http://schemas.openxmlformats.org/officeDocument/2006/relationships/worksheet" Target="worksheets/sheet112.xml"/><Relationship Id="rId116" Type="http://schemas.openxmlformats.org/officeDocument/2006/relationships/worksheet" Target="worksheets/sheet113.xml"/><Relationship Id="rId117" Type="http://schemas.openxmlformats.org/officeDocument/2006/relationships/worksheet" Target="worksheets/sheet114.xml"/><Relationship Id="rId118" Type="http://schemas.openxmlformats.org/officeDocument/2006/relationships/worksheet" Target="worksheets/sheet115.xml"/><Relationship Id="rId119" Type="http://schemas.openxmlformats.org/officeDocument/2006/relationships/worksheet" Target="worksheets/sheet116.xml"/><Relationship Id="rId120" Type="http://schemas.openxmlformats.org/officeDocument/2006/relationships/worksheet" Target="worksheets/sheet117.xml"/><Relationship Id="rId121" Type="http://schemas.openxmlformats.org/officeDocument/2006/relationships/worksheet" Target="worksheets/sheet118.xml"/><Relationship Id="rId122" Type="http://schemas.openxmlformats.org/officeDocument/2006/relationships/worksheet" Target="worksheets/sheet119.xml"/><Relationship Id="rId123" Type="http://schemas.openxmlformats.org/officeDocument/2006/relationships/worksheet" Target="worksheets/sheet120.xml"/><Relationship Id="rId124" Type="http://schemas.openxmlformats.org/officeDocument/2006/relationships/worksheet" Target="worksheets/sheet121.xml"/><Relationship Id="rId125" Type="http://schemas.openxmlformats.org/officeDocument/2006/relationships/worksheet" Target="worksheets/sheet122.xml"/><Relationship Id="rId126" Type="http://schemas.openxmlformats.org/officeDocument/2006/relationships/worksheet" Target="worksheets/sheet123.xml"/><Relationship Id="rId127" Type="http://schemas.openxmlformats.org/officeDocument/2006/relationships/worksheet" Target="worksheets/sheet124.xml"/><Relationship Id="rId128" Type="http://schemas.openxmlformats.org/officeDocument/2006/relationships/worksheet" Target="worksheets/sheet125.xml"/><Relationship Id="rId129" Type="http://schemas.openxmlformats.org/officeDocument/2006/relationships/worksheet" Target="worksheets/sheet126.xml"/><Relationship Id="rId130" Type="http://schemas.openxmlformats.org/officeDocument/2006/relationships/worksheet" Target="worksheets/sheet127.xml"/><Relationship Id="rId131" Type="http://schemas.openxmlformats.org/officeDocument/2006/relationships/worksheet" Target="worksheets/sheet128.xml"/><Relationship Id="rId132" Type="http://schemas.openxmlformats.org/officeDocument/2006/relationships/worksheet" Target="worksheets/sheet129.xml"/><Relationship Id="rId133" Type="http://schemas.openxmlformats.org/officeDocument/2006/relationships/worksheet" Target="worksheets/sheet130.xml"/><Relationship Id="rId134" Type="http://schemas.openxmlformats.org/officeDocument/2006/relationships/worksheet" Target="worksheets/sheet131.xml"/><Relationship Id="rId135" Type="http://schemas.openxmlformats.org/officeDocument/2006/relationships/worksheet" Target="worksheets/sheet132.xml"/><Relationship Id="rId136" Type="http://schemas.openxmlformats.org/officeDocument/2006/relationships/worksheet" Target="worksheets/sheet133.xml"/><Relationship Id="rId137" Type="http://schemas.openxmlformats.org/officeDocument/2006/relationships/worksheet" Target="worksheets/sheet134.xml"/><Relationship Id="rId138" Type="http://schemas.openxmlformats.org/officeDocument/2006/relationships/worksheet" Target="worksheets/sheet135.xml"/><Relationship Id="rId139" Type="http://schemas.openxmlformats.org/officeDocument/2006/relationships/worksheet" Target="worksheets/sheet136.xml"/><Relationship Id="rId140" Type="http://schemas.openxmlformats.org/officeDocument/2006/relationships/worksheet" Target="worksheets/sheet137.xml"/><Relationship Id="rId141" Type="http://schemas.openxmlformats.org/officeDocument/2006/relationships/worksheet" Target="worksheets/sheet138.xml"/><Relationship Id="rId142" Type="http://schemas.openxmlformats.org/officeDocument/2006/relationships/worksheet" Target="worksheets/sheet139.xml"/><Relationship Id="rId143" Type="http://schemas.openxmlformats.org/officeDocument/2006/relationships/worksheet" Target="worksheets/sheet140.xml"/><Relationship Id="rId144" Type="http://schemas.openxmlformats.org/officeDocument/2006/relationships/worksheet" Target="worksheets/sheet141.xml"/><Relationship Id="rId145" Type="http://schemas.openxmlformats.org/officeDocument/2006/relationships/worksheet" Target="worksheets/sheet142.xml"/><Relationship Id="rId146" Type="http://schemas.openxmlformats.org/officeDocument/2006/relationships/worksheet" Target="worksheets/sheet143.xml"/><Relationship Id="rId147" Type="http://schemas.openxmlformats.org/officeDocument/2006/relationships/worksheet" Target="worksheets/sheet144.xml"/><Relationship Id="rId148" Type="http://schemas.openxmlformats.org/officeDocument/2006/relationships/worksheet" Target="worksheets/sheet145.xml"/><Relationship Id="rId149" Type="http://schemas.openxmlformats.org/officeDocument/2006/relationships/worksheet" Target="worksheets/sheet146.xml"/><Relationship Id="rId150" Type="http://schemas.openxmlformats.org/officeDocument/2006/relationships/worksheet" Target="worksheets/sheet147.xml"/><Relationship Id="rId151" Type="http://schemas.openxmlformats.org/officeDocument/2006/relationships/worksheet" Target="worksheets/sheet148.xml"/><Relationship Id="rId152" Type="http://schemas.openxmlformats.org/officeDocument/2006/relationships/worksheet" Target="worksheets/sheet149.xml"/><Relationship Id="rId153" Type="http://schemas.openxmlformats.org/officeDocument/2006/relationships/worksheet" Target="worksheets/sheet150.xml"/><Relationship Id="rId154" Type="http://schemas.openxmlformats.org/officeDocument/2006/relationships/worksheet" Target="worksheets/sheet151.xml"/><Relationship Id="rId155" Type="http://schemas.openxmlformats.org/officeDocument/2006/relationships/worksheet" Target="worksheets/sheet152.xml"/><Relationship Id="rId156" Type="http://schemas.openxmlformats.org/officeDocument/2006/relationships/worksheet" Target="worksheets/sheet15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Xxxx</a:t>
            </a:r>
          </a:p>
        </c:rich>
      </c:tx>
      <c:layout>
        <c:manualLayout>
          <c:xMode val="edge"/>
          <c:yMode val="edge"/>
          <c:x val="0.444787"/>
          <c:y val="0"/>
          <c:w val="0.11042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738938"/>
          <c:y val="0.0918283"/>
          <c:w val="0.85008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'Xxxx.jk'!$AA$128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'Xxxx.jk'!$AB$36:$AF$36</c:f>
              <c:strCache>
                <c:ptCount val="0"/>
              </c:strCache>
            </c:strRef>
          </c:cat>
          <c:val>
            <c:numRef>
              <c:f>'Xxxx.jk'!$AB$128:$AF$128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'Xxxx.jk'!$AA$129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'Xxxx.jk'!$AB$36:$AF$36</c:f>
              <c:strCache>
                <c:ptCount val="0"/>
              </c:strCache>
            </c:strRef>
          </c:cat>
          <c:val>
            <c:numRef>
              <c:f>'Xxxx.jk'!$AB$129:$AF$129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'Xxxx.jk'!$AA$127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'Xxxx.jk'!$AB$36:$AF$36</c:f>
              <c:strCache>
                <c:ptCount val="0"/>
              </c:strCache>
            </c:strRef>
          </c:cat>
          <c:val>
            <c:numRef>
              <c:f>'Xxxx.jk'!$AB$127:$AF$127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"/>
        <c:minorUnit val="0.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"/>
        <c:minorUnit val="0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447728"/>
          <c:y val="0.732472"/>
          <c:w val="0.43924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AUTO cashflow more positive </a:t>
            </a:r>
          </a:p>
        </c:rich>
      </c:tx>
      <c:layout>
        <c:manualLayout>
          <c:xMode val="edge"/>
          <c:yMode val="edge"/>
          <c:x val="0.198465"/>
          <c:y val="0"/>
          <c:w val="0.6030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'AUTO.jk'!$AC$140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'AUTO.jk'!$AD$47:$AH$47</c:f>
              <c:strCache>
                <c:ptCount val="0"/>
              </c:strCache>
            </c:strRef>
          </c:cat>
          <c:val>
            <c:numRef>
              <c:f>'AUTO.jk'!$AD$140:$AH$140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'AUTO.jk'!$AC$141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'AUTO.jk'!$AD$47:$AH$47</c:f>
              <c:strCache>
                <c:ptCount val="0"/>
              </c:strCache>
            </c:strRef>
          </c:cat>
          <c:val>
            <c:numRef>
              <c:f>'AUTO.jk'!$AD$141:$AH$141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'AUTO.jk'!$AC$139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'AUTO.jk'!$AD$47:$AH$47</c:f>
              <c:strCache>
                <c:ptCount val="0"/>
              </c:strCache>
            </c:strRef>
          </c:cat>
          <c:val>
            <c:numRef>
              <c:f>'AUTO.jk'!$AD$139:$AH$139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3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66.667"/>
        <c:minorUnit val="3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"/>
        <c:minorUnit val="6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16221"/>
          <c:y val="0.137495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1552"/>
          <c:y val="0.0446026"/>
          <c:w val="0.839871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'INKP.jk'!$V$12:$V$27</c:f>
              <c:numCache>
                <c:ptCount val="15"/>
                <c:pt idx="0">
                  <c:v>-6332.960250</c:v>
                </c:pt>
                <c:pt idx="1">
                  <c:v>-4627.125000</c:v>
                </c:pt>
                <c:pt idx="2">
                  <c:v>-2913.078750</c:v>
                </c:pt>
                <c:pt idx="3">
                  <c:v>-1236.827250</c:v>
                </c:pt>
                <c:pt idx="4">
                  <c:v>-364.242250</c:v>
                </c:pt>
                <c:pt idx="5">
                  <c:v>398.400250</c:v>
                </c:pt>
                <c:pt idx="6">
                  <c:v>1189.665250</c:v>
                </c:pt>
                <c:pt idx="7">
                  <c:v>1944.015250</c:v>
                </c:pt>
                <c:pt idx="8">
                  <c:v>1282.363450</c:v>
                </c:pt>
                <c:pt idx="9">
                  <c:v>5350.038450</c:v>
                </c:pt>
                <c:pt idx="10">
                  <c:v>5894.502450</c:v>
                </c:pt>
                <c:pt idx="11">
                  <c:v>2851.072450</c:v>
                </c:pt>
                <c:pt idx="12">
                  <c:v>872.513750</c:v>
                </c:pt>
                <c:pt idx="13">
                  <c:v>4289.759750</c:v>
                </c:pt>
                <c:pt idx="14">
                  <c:v>3447.971750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'INKP.jk'!$W$12:$W$27</c:f>
              <c:numCache>
                <c:ptCount val="2"/>
                <c:pt idx="14">
                  <c:v>3447.971750</c:v>
                </c:pt>
                <c:pt idx="15">
                  <c:v>15316.264396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81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366.67"/>
        <c:minorUnit val="4183.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567"/>
          <c:y val="0.148075"/>
          <c:w val="0.39833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717"/>
          <c:y val="0.0446026"/>
          <c:w val="0.81307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'INKP.jk'!$Z$3</c:f>
              <c:strCache>
                <c:ptCount val="1"/>
                <c:pt idx="0">
                  <c:v>INKP.jk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'INKP.jk'!$Z$12:$Z$28</c:f>
              <c:numCache>
                <c:ptCount val="16"/>
                <c:pt idx="0">
                  <c:v>8600.000000</c:v>
                </c:pt>
                <c:pt idx="1">
                  <c:v>9375.000000</c:v>
                </c:pt>
                <c:pt idx="2">
                  <c:v>6475.000000</c:v>
                </c:pt>
                <c:pt idx="3">
                  <c:v>7700.000000</c:v>
                </c:pt>
                <c:pt idx="4">
                  <c:v>4010.000000</c:v>
                </c:pt>
                <c:pt idx="5">
                  <c:v>5975.000000</c:v>
                </c:pt>
                <c:pt idx="6">
                  <c:v>8975.000000</c:v>
                </c:pt>
                <c:pt idx="7">
                  <c:v>10600.000000</c:v>
                </c:pt>
                <c:pt idx="8">
                  <c:v>10450.000000</c:v>
                </c:pt>
                <c:pt idx="9">
                  <c:v>7450.000000</c:v>
                </c:pt>
                <c:pt idx="10">
                  <c:v>8575.000000</c:v>
                </c:pt>
                <c:pt idx="11">
                  <c:v>7825.000000</c:v>
                </c:pt>
                <c:pt idx="12">
                  <c:v>7900.000000</c:v>
                </c:pt>
                <c:pt idx="13">
                  <c:v>7600.000000</c:v>
                </c:pt>
                <c:pt idx="14">
                  <c:v>9050.000000</c:v>
                </c:pt>
                <c:pt idx="15">
                  <c:v>8625.000000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'INKP.jk'!$AA$12:$AA$28</c:f>
              <c:numCache>
                <c:ptCount val="6"/>
                <c:pt idx="11">
                  <c:v>17399.570833</c:v>
                </c:pt>
                <c:pt idx="12">
                  <c:v>15984.545494</c:v>
                </c:pt>
                <c:pt idx="13">
                  <c:v>15285.719586</c:v>
                </c:pt>
                <c:pt idx="14">
                  <c:v>11675.987263</c:v>
                </c:pt>
                <c:pt idx="15">
                  <c:v>15285.719586</c:v>
                </c:pt>
                <c:pt idx="16">
                  <c:v>10079.328036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000"/>
        <c:minorUnit val="30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0685"/>
          <c:y val="0.148075"/>
          <c:w val="0.358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66648"/>
          <c:y val="0.12368"/>
          <c:w val="0.82392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'INKP.jk'!$I$3</c:f>
              <c:strCache>
                <c:ptCount val="1"/>
                <c:pt idx="0">
                  <c:v>Receipts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'INKP.jk'!$B$16:$B$26</c:f>
              <c:strCache>
                <c:ptCount val="11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</c:strCache>
            </c:strRef>
          </c:cat>
          <c:val>
            <c:numRef>
              <c:f>'INKP.jk'!$I$16:$I$26</c:f>
              <c:numCache>
                <c:ptCount val="11"/>
                <c:pt idx="0">
                  <c:v>13778.688000</c:v>
                </c:pt>
                <c:pt idx="1">
                  <c:v>8431.832500</c:v>
                </c:pt>
                <c:pt idx="2">
                  <c:v>10877.453400</c:v>
                </c:pt>
                <c:pt idx="3">
                  <c:v>9675.984000</c:v>
                </c:pt>
                <c:pt idx="4">
                  <c:v>9654.566000</c:v>
                </c:pt>
                <c:pt idx="5">
                  <c:v>17077.010000</c:v>
                </c:pt>
                <c:pt idx="6">
                  <c:v>12640.161600</c:v>
                </c:pt>
                <c:pt idx="7">
                  <c:v>9715.565000</c:v>
                </c:pt>
                <c:pt idx="8">
                  <c:v>11007.434100</c:v>
                </c:pt>
                <c:pt idx="9">
                  <c:v>12499.116000</c:v>
                </c:pt>
                <c:pt idx="10">
                  <c:v>15591.924000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'INKP.jk'!$C$3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'INKP.jk'!$B$16:$B$26</c:f>
              <c:strCache>
                <c:ptCount val="11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</c:strCache>
            </c:strRef>
          </c:cat>
          <c:val>
            <c:numRef>
              <c:f>'INKP.jk'!$C$16:$C$26</c:f>
              <c:numCache>
                <c:ptCount val="11"/>
                <c:pt idx="0">
                  <c:v>12729.465700</c:v>
                </c:pt>
                <c:pt idx="1">
                  <c:v>10028.820150</c:v>
                </c:pt>
                <c:pt idx="2">
                  <c:v>10469.841000</c:v>
                </c:pt>
                <c:pt idx="3">
                  <c:v>11196.810000</c:v>
                </c:pt>
                <c:pt idx="4">
                  <c:v>11703.787800</c:v>
                </c:pt>
                <c:pt idx="5">
                  <c:v>11934.255000</c:v>
                </c:pt>
                <c:pt idx="6">
                  <c:v>12602.908800</c:v>
                </c:pt>
                <c:pt idx="7">
                  <c:v>14414.895000</c:v>
                </c:pt>
                <c:pt idx="8">
                  <c:v>14265.393900</c:v>
                </c:pt>
                <c:pt idx="9">
                  <c:v>13858.098000</c:v>
                </c:pt>
                <c:pt idx="10">
                  <c:v>16601.755500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500"/>
        <c:minorUnit val="2250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762313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2594"/>
          <c:y val="0.12368"/>
          <c:w val="0.848117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'INKP.jk'!$T$3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'INKP.jk'!$B$16:$B$26</c:f>
              <c:strCache>
                <c:ptCount val="11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</c:strCache>
            </c:strRef>
          </c:cat>
          <c:val>
            <c:numRef>
              <c:f>'INKP.jk'!$T$16:$T$26</c:f>
              <c:numCache>
                <c:ptCount val="11"/>
                <c:pt idx="0">
                  <c:v>2258.766680</c:v>
                </c:pt>
                <c:pt idx="1">
                  <c:v>2011.750165</c:v>
                </c:pt>
                <c:pt idx="2">
                  <c:v>1824.720628</c:v>
                </c:pt>
                <c:pt idx="3">
                  <c:v>1284.320813</c:v>
                </c:pt>
                <c:pt idx="4">
                  <c:v>67.675888</c:v>
                </c:pt>
                <c:pt idx="5">
                  <c:v>957.798450</c:v>
                </c:pt>
                <c:pt idx="6">
                  <c:v>941.989650</c:v>
                </c:pt>
                <c:pt idx="7">
                  <c:v>889.202775</c:v>
                </c:pt>
                <c:pt idx="8">
                  <c:v>1719.551225</c:v>
                </c:pt>
                <c:pt idx="9">
                  <c:v>354.797475</c:v>
                </c:pt>
                <c:pt idx="10">
                  <c:v>-46.483725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937.5"/>
        <c:minorUnit val="468.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2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INTD cashflow more negative </a:t>
            </a:r>
          </a:p>
        </c:rich>
      </c:tx>
      <c:layout>
        <c:manualLayout>
          <c:xMode val="edge"/>
          <c:yMode val="edge"/>
          <c:x val="0.170824"/>
          <c:y val="0"/>
          <c:w val="0.65835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37602"/>
          <c:y val="0.0918283"/>
          <c:w val="0.81726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'INTD.jk'!$AA$134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'INTD.jk'!$AB$42:$AF$42</c:f>
              <c:strCache>
                <c:ptCount val="0"/>
              </c:strCache>
            </c:strRef>
          </c:cat>
          <c:val>
            <c:numRef>
              <c:f>'INTD.jk'!$AB$134:$AF$134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'INTD.jk'!$AA$135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'INTD.jk'!$AB$42:$AF$42</c:f>
              <c:strCache>
                <c:ptCount val="0"/>
              </c:strCache>
            </c:strRef>
          </c:cat>
          <c:val>
            <c:numRef>
              <c:f>'INTD.jk'!$AB$135:$AF$135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'INTD.jk'!$AA$133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'INTD.jk'!$AB$42:$AF$42</c:f>
              <c:strCache>
                <c:ptCount val="0"/>
              </c:strCache>
            </c:strRef>
          </c:cat>
          <c:val>
            <c:numRef>
              <c:f>'INTD.jk'!$AB$133:$AF$133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"/>
        <c:minorUnit val="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"/>
        <c:minorUnit val="1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7637"/>
          <c:y val="0.732472"/>
          <c:w val="0.42228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INTD</a:t>
            </a:r>
          </a:p>
        </c:rich>
      </c:tx>
      <c:layout>
        <c:manualLayout>
          <c:xMode val="edge"/>
          <c:yMode val="edge"/>
          <c:x val="0.438643"/>
          <c:y val="0"/>
          <c:w val="0.12271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037"/>
          <c:y val="0.0918283"/>
          <c:w val="0.86009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'INTD.jk'!$T$3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'INTD.jk'!$T$4:$T$26</c:f>
              <c:numCache>
                <c:ptCount val="23"/>
                <c:pt idx="0">
                  <c:v>0.900000</c:v>
                </c:pt>
                <c:pt idx="1">
                  <c:v>1.800000</c:v>
                </c:pt>
                <c:pt idx="2">
                  <c:v>2.700000</c:v>
                </c:pt>
                <c:pt idx="3">
                  <c:v>3.600000</c:v>
                </c:pt>
                <c:pt idx="4">
                  <c:v>3.175000</c:v>
                </c:pt>
                <c:pt idx="5">
                  <c:v>2.750000</c:v>
                </c:pt>
                <c:pt idx="6">
                  <c:v>2.325000</c:v>
                </c:pt>
                <c:pt idx="7">
                  <c:v>1.900000</c:v>
                </c:pt>
                <c:pt idx="8">
                  <c:v>1.300000</c:v>
                </c:pt>
                <c:pt idx="9">
                  <c:v>0.700000</c:v>
                </c:pt>
                <c:pt idx="10">
                  <c:v>0.100000</c:v>
                </c:pt>
                <c:pt idx="11">
                  <c:v>-0.500000</c:v>
                </c:pt>
                <c:pt idx="12">
                  <c:v>1.667500</c:v>
                </c:pt>
                <c:pt idx="13">
                  <c:v>3.835000</c:v>
                </c:pt>
                <c:pt idx="14">
                  <c:v>6.002500</c:v>
                </c:pt>
                <c:pt idx="15">
                  <c:v>8.170000</c:v>
                </c:pt>
                <c:pt idx="16">
                  <c:v>12.170000</c:v>
                </c:pt>
                <c:pt idx="17">
                  <c:v>13.870000</c:v>
                </c:pt>
                <c:pt idx="18">
                  <c:v>12.960000</c:v>
                </c:pt>
                <c:pt idx="19">
                  <c:v>18.070000</c:v>
                </c:pt>
                <c:pt idx="20">
                  <c:v>20.170000</c:v>
                </c:pt>
                <c:pt idx="21">
                  <c:v>19.470000</c:v>
                </c:pt>
                <c:pt idx="22">
                  <c:v>14.070000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'INTD.jk'!$U$3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'INTD.jk'!$U$4:$U$26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0.075000</c:v>
                </c:pt>
                <c:pt idx="5">
                  <c:v>0.150000</c:v>
                </c:pt>
                <c:pt idx="6">
                  <c:v>0.225000</c:v>
                </c:pt>
                <c:pt idx="7">
                  <c:v>0.300000</c:v>
                </c:pt>
                <c:pt idx="8">
                  <c:v>0.350000</c:v>
                </c:pt>
                <c:pt idx="9">
                  <c:v>0.400000</c:v>
                </c:pt>
                <c:pt idx="10">
                  <c:v>0.450000</c:v>
                </c:pt>
                <c:pt idx="11">
                  <c:v>0.500000</c:v>
                </c:pt>
                <c:pt idx="12">
                  <c:v>0.575000</c:v>
                </c:pt>
                <c:pt idx="13">
                  <c:v>0.650000</c:v>
                </c:pt>
                <c:pt idx="14">
                  <c:v>0.725000</c:v>
                </c:pt>
                <c:pt idx="15">
                  <c:v>0.800000</c:v>
                </c:pt>
                <c:pt idx="16">
                  <c:v>0.860000</c:v>
                </c:pt>
                <c:pt idx="17">
                  <c:v>0.900000</c:v>
                </c:pt>
                <c:pt idx="18">
                  <c:v>0.900000</c:v>
                </c:pt>
                <c:pt idx="19">
                  <c:v>0.940000</c:v>
                </c:pt>
                <c:pt idx="20">
                  <c:v>0.940000</c:v>
                </c:pt>
                <c:pt idx="21">
                  <c:v>0.940000</c:v>
                </c:pt>
                <c:pt idx="22">
                  <c:v>0.940000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'INTD.jk'!$V$3</c:f>
              <c:strCache>
                <c:ptCount val="1"/>
                <c:pt idx="0">
                  <c:v>INTD.jk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'INTD.jk'!$V$4:$V$26</c:f>
              <c:numCache>
                <c:ptCount val="23"/>
                <c:pt idx="0">
                  <c:v>124.283873</c:v>
                </c:pt>
                <c:pt idx="1">
                  <c:v>124.283873</c:v>
                </c:pt>
                <c:pt idx="2">
                  <c:v>124.283873</c:v>
                </c:pt>
                <c:pt idx="3">
                  <c:v>124.283873</c:v>
                </c:pt>
                <c:pt idx="4">
                  <c:v>124.283873</c:v>
                </c:pt>
                <c:pt idx="5">
                  <c:v>124.283873</c:v>
                </c:pt>
                <c:pt idx="6">
                  <c:v>124.283873</c:v>
                </c:pt>
                <c:pt idx="7">
                  <c:v>124.283873</c:v>
                </c:pt>
                <c:pt idx="8">
                  <c:v>124.283873</c:v>
                </c:pt>
                <c:pt idx="9">
                  <c:v>124.283873</c:v>
                </c:pt>
                <c:pt idx="10">
                  <c:v>124.283873</c:v>
                </c:pt>
                <c:pt idx="11">
                  <c:v>124.283873</c:v>
                </c:pt>
                <c:pt idx="12">
                  <c:v>124.283873</c:v>
                </c:pt>
                <c:pt idx="13">
                  <c:v>124.283873</c:v>
                </c:pt>
                <c:pt idx="14">
                  <c:v>124.283873</c:v>
                </c:pt>
                <c:pt idx="15">
                  <c:v>124.283873</c:v>
                </c:pt>
                <c:pt idx="16">
                  <c:v>124.283873</c:v>
                </c:pt>
                <c:pt idx="17">
                  <c:v>124.283873</c:v>
                </c:pt>
                <c:pt idx="18">
                  <c:v>124.283873</c:v>
                </c:pt>
                <c:pt idx="19">
                  <c:v>124.283873</c:v>
                </c:pt>
                <c:pt idx="20">
                  <c:v>124.283873</c:v>
                </c:pt>
                <c:pt idx="21">
                  <c:v>124.283873</c:v>
                </c:pt>
                <c:pt idx="22">
                  <c:v>124.283873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1.8333"/>
        <c:minorUnit val="20.91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5577"/>
          <c:y val="0.16602"/>
          <c:w val="0.38701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RAJA big cashflow</a:t>
            </a:r>
          </a:p>
        </c:rich>
      </c:tx>
      <c:layout>
        <c:manualLayout>
          <c:xMode val="edge"/>
          <c:yMode val="edge"/>
          <c:x val="0.315639"/>
          <c:y val="0"/>
          <c:w val="0.36872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'INTP.jk'!$AC$138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'INTP.jk'!$AD$47:$AH$47</c:f>
              <c:strCache>
                <c:ptCount val="0"/>
              </c:strCache>
            </c:strRef>
          </c:cat>
          <c:val>
            <c:numRef>
              <c:f>'INTP.jk'!$AD$138:$AH$138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'INTP.jk'!$AC$139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'INTP.jk'!$AD$47:$AH$47</c:f>
              <c:strCache>
                <c:ptCount val="0"/>
              </c:strCache>
            </c:strRef>
          </c:cat>
          <c:val>
            <c:numRef>
              <c:f>'INTP.jk'!$AD$139:$AH$139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'INTP.jk'!$AC$137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'INTP.jk'!$AD$47:$AH$47</c:f>
              <c:strCache>
                <c:ptCount val="0"/>
              </c:strCache>
            </c:strRef>
          </c:cat>
          <c:val>
            <c:numRef>
              <c:f>'INTP.jk'!$AD$137:$AH$137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00"/>
        <c:minorUnit val="8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7.5"/>
        <c:minorUnit val="468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75648"/>
          <c:y val="0.775351"/>
          <c:w val="0.396551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IPOL negative cashflow reverses</a:t>
            </a:r>
          </a:p>
        </c:rich>
      </c:tx>
      <c:layout>
        <c:manualLayout>
          <c:xMode val="edge"/>
          <c:yMode val="edge"/>
          <c:x val="0.165065"/>
          <c:y val="0"/>
          <c:w val="0.6698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'IPOL.jk'!$AC$138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'IPOL.jk'!$AD$47:$AH$47</c:f>
              <c:strCache>
                <c:ptCount val="0"/>
              </c:strCache>
            </c:strRef>
          </c:cat>
          <c:val>
            <c:numRef>
              <c:f>'IPOL.jk'!$AD$138:$AH$138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'IPOL.jk'!$AC$139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'IPOL.jk'!$AD$47:$AH$47</c:f>
              <c:strCache>
                <c:ptCount val="0"/>
              </c:strCache>
            </c:strRef>
          </c:cat>
          <c:val>
            <c:numRef>
              <c:f>'IPOL.jk'!$AD$139:$AH$139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'IPOL.jk'!$AC$137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'IPOL.jk'!$AD$47:$AH$47</c:f>
              <c:strCache>
                <c:ptCount val="0"/>
              </c:strCache>
            </c:strRef>
          </c:cat>
          <c:val>
            <c:numRef>
              <c:f>'IPOL.jk'!$AD$137:$AH$137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.3333"/>
        <c:minorUnit val="11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31.25"/>
        <c:minorUnit val="65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8047"/>
          <c:y val="0.126528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IPPE Cashflow turns positive </a:t>
            </a:r>
          </a:p>
        </c:rich>
      </c:tx>
      <c:layout>
        <c:manualLayout>
          <c:xMode val="edge"/>
          <c:yMode val="edge"/>
          <c:x val="0.18437"/>
          <c:y val="0"/>
          <c:w val="0.63126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16773"/>
          <c:y val="0.0918283"/>
          <c:w val="0.79910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'IPPE.jk'!$AA$139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'IPPE.jk'!$AB$47:$AF$47</c:f>
              <c:strCache>
                <c:ptCount val="0"/>
              </c:strCache>
            </c:strRef>
          </c:cat>
          <c:val>
            <c:numRef>
              <c:f>'IPPE.jk'!$AB$139:$AF$139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'IPPE.jk'!$AA$140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'IPPE.jk'!$AB$47:$AF$47</c:f>
              <c:strCache>
                <c:ptCount val="0"/>
              </c:strCache>
            </c:strRef>
          </c:cat>
          <c:val>
            <c:numRef>
              <c:f>'IPPE.jk'!$AB$140:$AF$140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'IPPE.jk'!$AA$138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'IPPE.jk'!$AB$47:$AF$47</c:f>
              <c:strCache>
                <c:ptCount val="0"/>
              </c:strCache>
            </c:strRef>
          </c:cat>
          <c:val>
            <c:numRef>
              <c:f>'IPPE.jk'!$AB$138:$AF$138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.66667"/>
        <c:minorUnit val="3.3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.5"/>
        <c:minorUnit val="6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3599"/>
          <c:y val="0.735456"/>
          <c:w val="0.41290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IPPE</a:t>
            </a:r>
          </a:p>
        </c:rich>
      </c:tx>
      <c:layout>
        <c:manualLayout>
          <c:xMode val="edge"/>
          <c:yMode val="edge"/>
          <c:x val="0.442187"/>
          <c:y val="0"/>
          <c:w val="0.11562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4109"/>
          <c:y val="0.0918283"/>
          <c:w val="0.845215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'IPPE.jk'!$T$3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'IPPE.jk'!$T$4:$T$26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-43.750000</c:v>
                </c:pt>
                <c:pt idx="13">
                  <c:v>-87.500000</c:v>
                </c:pt>
                <c:pt idx="14">
                  <c:v>-131.250000</c:v>
                </c:pt>
                <c:pt idx="15">
                  <c:v>-175.000000</c:v>
                </c:pt>
                <c:pt idx="16">
                  <c:v>-172.400000</c:v>
                </c:pt>
                <c:pt idx="17">
                  <c:v>-172.700000</c:v>
                </c:pt>
                <c:pt idx="18">
                  <c:v>-197.900000</c:v>
                </c:pt>
                <c:pt idx="19">
                  <c:v>-223.100000</c:v>
                </c:pt>
                <c:pt idx="20">
                  <c:v>-230.900000</c:v>
                </c:pt>
                <c:pt idx="21">
                  <c:v>-243.500000</c:v>
                </c:pt>
                <c:pt idx="22">
                  <c:v>-242.465000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'IPPE.jk'!$U$3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'IPPE.jk'!$U$4:$U$26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-43.750000</c:v>
                </c:pt>
                <c:pt idx="13">
                  <c:v>-87.500000</c:v>
                </c:pt>
                <c:pt idx="14">
                  <c:v>-131.250000</c:v>
                </c:pt>
                <c:pt idx="15">
                  <c:v>-175.000000</c:v>
                </c:pt>
                <c:pt idx="16">
                  <c:v>-174.700000</c:v>
                </c:pt>
                <c:pt idx="17">
                  <c:v>-172.600000</c:v>
                </c:pt>
                <c:pt idx="18">
                  <c:v>-204.366667</c:v>
                </c:pt>
                <c:pt idx="19">
                  <c:v>-236.133333</c:v>
                </c:pt>
                <c:pt idx="20">
                  <c:v>-236.133333</c:v>
                </c:pt>
                <c:pt idx="21">
                  <c:v>-236.133333</c:v>
                </c:pt>
                <c:pt idx="22">
                  <c:v>-236.133333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'IPPE.jk'!$V$3</c:f>
              <c:strCache>
                <c:ptCount val="1"/>
                <c:pt idx="0">
                  <c:v>IPPE.jk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'IPPE.jk'!$B$4:$B$26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'IPPE.jk'!$V$4:$V$26</c:f>
              <c:numCache>
                <c:ptCount val="23"/>
                <c:pt idx="0">
                  <c:v>487.600000</c:v>
                </c:pt>
                <c:pt idx="1">
                  <c:v>487.600000</c:v>
                </c:pt>
                <c:pt idx="2">
                  <c:v>487.600000</c:v>
                </c:pt>
                <c:pt idx="3">
                  <c:v>487.600000</c:v>
                </c:pt>
                <c:pt idx="4">
                  <c:v>487.600000</c:v>
                </c:pt>
                <c:pt idx="5">
                  <c:v>487.600000</c:v>
                </c:pt>
                <c:pt idx="6">
                  <c:v>487.600000</c:v>
                </c:pt>
                <c:pt idx="7">
                  <c:v>487.600000</c:v>
                </c:pt>
                <c:pt idx="8">
                  <c:v>487.600000</c:v>
                </c:pt>
                <c:pt idx="9">
                  <c:v>487.600000</c:v>
                </c:pt>
                <c:pt idx="10">
                  <c:v>487.600000</c:v>
                </c:pt>
                <c:pt idx="11">
                  <c:v>487.600000</c:v>
                </c:pt>
                <c:pt idx="12">
                  <c:v>487.600000</c:v>
                </c:pt>
                <c:pt idx="13">
                  <c:v>487.600000</c:v>
                </c:pt>
                <c:pt idx="14">
                  <c:v>487.600000</c:v>
                </c:pt>
                <c:pt idx="15">
                  <c:v>487.600000</c:v>
                </c:pt>
                <c:pt idx="16">
                  <c:v>487.600000</c:v>
                </c:pt>
                <c:pt idx="17">
                  <c:v>487.600000</c:v>
                </c:pt>
                <c:pt idx="18">
                  <c:v>487.600000</c:v>
                </c:pt>
                <c:pt idx="19">
                  <c:v>487.600000</c:v>
                </c:pt>
                <c:pt idx="20">
                  <c:v>487.600000</c:v>
                </c:pt>
                <c:pt idx="21">
                  <c:v>487.600000</c:v>
                </c:pt>
                <c:pt idx="22">
                  <c:v>487.600000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57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90"/>
        <c:minorUnit val="14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6556"/>
          <c:y val="0.16602"/>
          <c:w val="0.380321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BANK cashflow less negative </a:t>
            </a:r>
          </a:p>
        </c:rich>
      </c:tx>
      <c:layout>
        <c:manualLayout>
          <c:xMode val="edge"/>
          <c:yMode val="edge"/>
          <c:x val="0.202591"/>
          <c:y val="0"/>
          <c:w val="0.60205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34652"/>
          <c:y val="0.0918283"/>
          <c:w val="0.751578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'BANK.jk'!$AA$139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'BANK.jk'!$AB$47:$AF$47</c:f>
              <c:strCache>
                <c:ptCount val="0"/>
              </c:strCache>
            </c:strRef>
          </c:cat>
          <c:val>
            <c:numRef>
              <c:f>'BANK.jk'!$AB$139:$AF$139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'BANK.jk'!$AA$140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'BANK.jk'!$AB$47:$AF$47</c:f>
              <c:strCache>
                <c:ptCount val="0"/>
              </c:strCache>
            </c:strRef>
          </c:cat>
          <c:val>
            <c:numRef>
              <c:f>'BANK.jk'!$AB$140:$AF$140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'BANK.jk'!$AA$138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'BANK.jk'!$AB$47:$AF$47</c:f>
              <c:strCache>
                <c:ptCount val="0"/>
              </c:strCache>
            </c:strRef>
          </c:cat>
          <c:val>
            <c:numRef>
              <c:f>'BANK.jk'!$AB$138:$AF$138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9.33333"/>
        <c:minorUnit val="4.6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600"/>
        <c:minorUnit val="3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736916"/>
          <c:w val="0.38834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IPTV, cashflow lower, positive </a:t>
            </a:r>
          </a:p>
        </c:rich>
      </c:tx>
      <c:layout>
        <c:manualLayout>
          <c:xMode val="edge"/>
          <c:yMode val="edge"/>
          <c:x val="0.187215"/>
          <c:y val="0"/>
          <c:w val="0.6255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'IPTV.jk'!$AC$138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'IPTV.jk'!$AD$47:$AH$47</c:f>
              <c:strCache>
                <c:ptCount val="0"/>
              </c:strCache>
            </c:strRef>
          </c:cat>
          <c:val>
            <c:numRef>
              <c:f>'IPTV.jk'!$AD$138:$AH$138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'IPTV.jk'!$AC$139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'IPTV.jk'!$AD$47:$AH$47</c:f>
              <c:strCache>
                <c:ptCount val="0"/>
              </c:strCache>
            </c:strRef>
          </c:cat>
          <c:val>
            <c:numRef>
              <c:f>'IPTV.jk'!$AD$139:$AH$139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'IPTV.jk'!$AC$137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'IPTV.jk'!$AD$47:$AH$47</c:f>
              <c:strCache>
                <c:ptCount val="0"/>
              </c:strCache>
            </c:strRef>
          </c:cat>
          <c:val>
            <c:numRef>
              <c:f>'IPTV.jk'!$AD$137:$AH$137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00"/>
        <c:minorUnit val="1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87.5"/>
        <c:minorUnit val="93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3758"/>
          <c:y val="0.730316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ISSP negative Cashflow </a:t>
            </a:r>
          </a:p>
        </c:rich>
      </c:tx>
      <c:layout>
        <c:manualLayout>
          <c:xMode val="edge"/>
          <c:yMode val="edge"/>
          <c:x val="0.255765"/>
          <c:y val="0"/>
          <c:w val="0.4884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'ISSP.jk'!$AA$140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'ISSP.jk'!$AB$47:$AF$47</c:f>
              <c:strCache>
                <c:ptCount val="0"/>
              </c:strCache>
            </c:strRef>
          </c:cat>
          <c:val>
            <c:numRef>
              <c:f>'ISSP.jk'!$AB$140:$AF$140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'ISSP.jk'!$AA$141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'ISSP.jk'!$AB$47:$AF$47</c:f>
              <c:strCache>
                <c:ptCount val="0"/>
              </c:strCache>
            </c:strRef>
          </c:cat>
          <c:val>
            <c:numRef>
              <c:f>'ISSP.jk'!$AB$141:$AF$141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'ISSP.jk'!$AA$139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'ISSP.jk'!$AB$47:$AF$47</c:f>
              <c:strCache>
                <c:ptCount val="0"/>
              </c:strCache>
            </c:strRef>
          </c:cat>
          <c:val>
            <c:numRef>
              <c:f>'ISSP.jk'!$AB$139:$AF$139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700"/>
        <c:minorUnit val="3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"/>
        <c:minorUnit val="6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75194"/>
          <c:y val="0.719008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ISSP big drop</a:t>
            </a:r>
          </a:p>
        </c:rich>
      </c:tx>
      <c:layout>
        <c:manualLayout>
          <c:xMode val="edge"/>
          <c:yMode val="edge"/>
          <c:x val="0.336655"/>
          <c:y val="0"/>
          <c:w val="0.3266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'ISSP.jk'!$T$3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'ISSP.jk'!$T$4:$T$26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-123.500000</c:v>
                </c:pt>
                <c:pt idx="5">
                  <c:v>-350.000000</c:v>
                </c:pt>
                <c:pt idx="6">
                  <c:v>-484.500000</c:v>
                </c:pt>
                <c:pt idx="7">
                  <c:v>-448.000000</c:v>
                </c:pt>
                <c:pt idx="8">
                  <c:v>-303.750000</c:v>
                </c:pt>
                <c:pt idx="9">
                  <c:v>-413.700000</c:v>
                </c:pt>
                <c:pt idx="10">
                  <c:v>-540.050000</c:v>
                </c:pt>
                <c:pt idx="11">
                  <c:v>-135.400000</c:v>
                </c:pt>
                <c:pt idx="12">
                  <c:v>-354.675000</c:v>
                </c:pt>
                <c:pt idx="13">
                  <c:v>-199.950000</c:v>
                </c:pt>
                <c:pt idx="14">
                  <c:v>-299.225000</c:v>
                </c:pt>
                <c:pt idx="15">
                  <c:v>140.500000</c:v>
                </c:pt>
                <c:pt idx="16">
                  <c:v>587.500000</c:v>
                </c:pt>
                <c:pt idx="17">
                  <c:v>388.500000</c:v>
                </c:pt>
                <c:pt idx="18">
                  <c:v>129.000000</c:v>
                </c:pt>
                <c:pt idx="19">
                  <c:v>90.900000</c:v>
                </c:pt>
                <c:pt idx="20">
                  <c:v>-115.000000</c:v>
                </c:pt>
                <c:pt idx="21">
                  <c:v>-103.400000</c:v>
                </c:pt>
                <c:pt idx="22">
                  <c:v>-442.100000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'ISSP.jk'!$U$3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'ISSP.jk'!$U$4:$U$26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-127.100000</c:v>
                </c:pt>
                <c:pt idx="5">
                  <c:v>-254.200000</c:v>
                </c:pt>
                <c:pt idx="6">
                  <c:v>-381.300000</c:v>
                </c:pt>
                <c:pt idx="7">
                  <c:v>-508.400000</c:v>
                </c:pt>
                <c:pt idx="8">
                  <c:v>-426.925000</c:v>
                </c:pt>
                <c:pt idx="9">
                  <c:v>-345.450000</c:v>
                </c:pt>
                <c:pt idx="10">
                  <c:v>-263.975000</c:v>
                </c:pt>
                <c:pt idx="11">
                  <c:v>-182.500000</c:v>
                </c:pt>
                <c:pt idx="12">
                  <c:v>-73.825000</c:v>
                </c:pt>
                <c:pt idx="13">
                  <c:v>34.850000</c:v>
                </c:pt>
                <c:pt idx="14">
                  <c:v>143.525000</c:v>
                </c:pt>
                <c:pt idx="15">
                  <c:v>252.200000</c:v>
                </c:pt>
                <c:pt idx="16">
                  <c:v>721.200000</c:v>
                </c:pt>
                <c:pt idx="17">
                  <c:v>523.500000</c:v>
                </c:pt>
                <c:pt idx="18">
                  <c:v>246.300000</c:v>
                </c:pt>
                <c:pt idx="19">
                  <c:v>213.100000</c:v>
                </c:pt>
                <c:pt idx="20">
                  <c:v>29.000000</c:v>
                </c:pt>
                <c:pt idx="21">
                  <c:v>47.200000</c:v>
                </c:pt>
                <c:pt idx="22">
                  <c:v>-337.900000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'ISSP.jk'!$V$3</c:f>
              <c:strCache>
                <c:ptCount val="1"/>
                <c:pt idx="0">
                  <c:v>ISSP.jk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'ISSP.jk'!$B$4:$B$26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'ISSP.jk'!$V$4:$V$26</c:f>
              <c:numCache>
                <c:ptCount val="23"/>
                <c:pt idx="0">
                  <c:v>1625.028178</c:v>
                </c:pt>
                <c:pt idx="1">
                  <c:v>1625.028178</c:v>
                </c:pt>
                <c:pt idx="2">
                  <c:v>1625.028178</c:v>
                </c:pt>
                <c:pt idx="3">
                  <c:v>1625.028178</c:v>
                </c:pt>
                <c:pt idx="4">
                  <c:v>1625.028178</c:v>
                </c:pt>
                <c:pt idx="5">
                  <c:v>1625.028178</c:v>
                </c:pt>
                <c:pt idx="6">
                  <c:v>1625.028178</c:v>
                </c:pt>
                <c:pt idx="7">
                  <c:v>1625.028178</c:v>
                </c:pt>
                <c:pt idx="8">
                  <c:v>1625.028178</c:v>
                </c:pt>
                <c:pt idx="9">
                  <c:v>1625.028178</c:v>
                </c:pt>
                <c:pt idx="10">
                  <c:v>1625.028178</c:v>
                </c:pt>
                <c:pt idx="11">
                  <c:v>1625.028178</c:v>
                </c:pt>
                <c:pt idx="12">
                  <c:v>1625.028178</c:v>
                </c:pt>
                <c:pt idx="13">
                  <c:v>1625.028178</c:v>
                </c:pt>
                <c:pt idx="14">
                  <c:v>1625.028178</c:v>
                </c:pt>
                <c:pt idx="15">
                  <c:v>1625.028178</c:v>
                </c:pt>
                <c:pt idx="16">
                  <c:v>1625.028178</c:v>
                </c:pt>
                <c:pt idx="17">
                  <c:v>1625.028178</c:v>
                </c:pt>
                <c:pt idx="18">
                  <c:v>1625.028178</c:v>
                </c:pt>
                <c:pt idx="19">
                  <c:v>1625.028178</c:v>
                </c:pt>
                <c:pt idx="20">
                  <c:v>1625.028178</c:v>
                </c:pt>
                <c:pt idx="21">
                  <c:v>1625.028178</c:v>
                </c:pt>
                <c:pt idx="22">
                  <c:v>1625.028178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7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83.333"/>
        <c:minorUnit val="39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8658"/>
          <c:y val="0.16602"/>
          <c:w val="0.37293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'JAWA.jk'!$N$12:$N$27</c:f>
              <c:numCache>
                <c:ptCount val="15"/>
                <c:pt idx="0">
                  <c:v>187.025000</c:v>
                </c:pt>
                <c:pt idx="1">
                  <c:v>186.225000</c:v>
                </c:pt>
                <c:pt idx="2">
                  <c:v>179.575000</c:v>
                </c:pt>
                <c:pt idx="3">
                  <c:v>180.825000</c:v>
                </c:pt>
                <c:pt idx="4">
                  <c:v>189.850000</c:v>
                </c:pt>
                <c:pt idx="5">
                  <c:v>156.675000</c:v>
                </c:pt>
                <c:pt idx="6">
                  <c:v>127.475000</c:v>
                </c:pt>
                <c:pt idx="7">
                  <c:v>115.325000</c:v>
                </c:pt>
                <c:pt idx="8">
                  <c:v>100.900000</c:v>
                </c:pt>
                <c:pt idx="9">
                  <c:v>147.575000</c:v>
                </c:pt>
                <c:pt idx="10">
                  <c:v>168.550000</c:v>
                </c:pt>
                <c:pt idx="11">
                  <c:v>210.800000</c:v>
                </c:pt>
                <c:pt idx="12">
                  <c:v>241.250000</c:v>
                </c:pt>
                <c:pt idx="13">
                  <c:v>248.475000</c:v>
                </c:pt>
                <c:pt idx="14">
                  <c:v>210.900000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'JAWA.jk'!$O$12:$O$27</c:f>
              <c:numCache>
                <c:ptCount val="5"/>
                <c:pt idx="11">
                  <c:v>233.002500</c:v>
                </c:pt>
                <c:pt idx="12">
                  <c:v>223.135000</c:v>
                </c:pt>
                <c:pt idx="13">
                  <c:v>238.191250</c:v>
                </c:pt>
                <c:pt idx="14">
                  <c:v>247.172500</c:v>
                </c:pt>
                <c:pt idx="15">
                  <c:v>241.230283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6.6667"/>
        <c:minorUnit val="4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09037"/>
          <c:y val="0.117927"/>
          <c:w val="0.38192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'JAWA.jk'!$R$12:$R$27</c:f>
              <c:numCache>
                <c:ptCount val="15"/>
                <c:pt idx="0">
                  <c:v>-0.301732</c:v>
                </c:pt>
                <c:pt idx="1">
                  <c:v>-0.337160</c:v>
                </c:pt>
                <c:pt idx="2">
                  <c:v>-0.317246</c:v>
                </c:pt>
                <c:pt idx="3">
                  <c:v>-0.241109</c:v>
                </c:pt>
                <c:pt idx="4">
                  <c:v>-0.186392</c:v>
                </c:pt>
                <c:pt idx="5">
                  <c:v>-0.403907</c:v>
                </c:pt>
                <c:pt idx="6">
                  <c:v>-0.510245</c:v>
                </c:pt>
                <c:pt idx="7">
                  <c:v>-0.564884</c:v>
                </c:pt>
                <c:pt idx="8">
                  <c:v>-0.567450</c:v>
                </c:pt>
                <c:pt idx="9">
                  <c:v>-0.274515</c:v>
                </c:pt>
                <c:pt idx="10">
                  <c:v>-0.164306</c:v>
                </c:pt>
                <c:pt idx="11">
                  <c:v>-0.082386</c:v>
                </c:pt>
                <c:pt idx="12">
                  <c:v>-0.076270</c:v>
                </c:pt>
                <c:pt idx="13">
                  <c:v>-0.109166</c:v>
                </c:pt>
                <c:pt idx="14">
                  <c:v>-0.131675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'JAWA.jk'!$S$12:$S$27</c:f>
              <c:numCache>
                <c:ptCount val="2"/>
                <c:pt idx="14">
                  <c:v>-0.089674</c:v>
                </c:pt>
                <c:pt idx="15">
                  <c:v>-0.089674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2"/>
        <c:minorUnit val="0.1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5262"/>
          <c:y val="0.117927"/>
          <c:w val="0.25525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'JAWA.jk'!$T$12:$T$27</c:f>
              <c:numCache>
                <c:ptCount val="15"/>
                <c:pt idx="0">
                  <c:v>-85.650000</c:v>
                </c:pt>
                <c:pt idx="1">
                  <c:v>-103.650000</c:v>
                </c:pt>
                <c:pt idx="2">
                  <c:v>-69.650000</c:v>
                </c:pt>
                <c:pt idx="3">
                  <c:v>-59.000000</c:v>
                </c:pt>
                <c:pt idx="4">
                  <c:v>-54.575000</c:v>
                </c:pt>
                <c:pt idx="5">
                  <c:v>-52.775000</c:v>
                </c:pt>
                <c:pt idx="6">
                  <c:v>-60.300000</c:v>
                </c:pt>
                <c:pt idx="7">
                  <c:v>-79.675000</c:v>
                </c:pt>
                <c:pt idx="8">
                  <c:v>-85.225000</c:v>
                </c:pt>
                <c:pt idx="9">
                  <c:v>-70.450000</c:v>
                </c:pt>
                <c:pt idx="10">
                  <c:v>-66.550000</c:v>
                </c:pt>
                <c:pt idx="11">
                  <c:v>-55.200000</c:v>
                </c:pt>
                <c:pt idx="12">
                  <c:v>-50.475000</c:v>
                </c:pt>
                <c:pt idx="13">
                  <c:v>-66.475000</c:v>
                </c:pt>
                <c:pt idx="14">
                  <c:v>-62.300000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'JAWA.jk'!$U$12:$U$27</c:f>
              <c:numCache>
                <c:ptCount val="4"/>
                <c:pt idx="12">
                  <c:v>10.035133</c:v>
                </c:pt>
                <c:pt idx="13">
                  <c:v>11.679573</c:v>
                </c:pt>
                <c:pt idx="14">
                  <c:v>-10.725862</c:v>
                </c:pt>
                <c:pt idx="15">
                  <c:v>-33.232063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5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8.3333"/>
        <c:minorUnit val="29.1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4491"/>
          <c:y val="0.109529"/>
          <c:w val="0.42219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'JAWA.jk'!$X$12:$X$27</c:f>
              <c:numCache>
                <c:ptCount val="15"/>
                <c:pt idx="0">
                  <c:v>-2892.000000</c:v>
                </c:pt>
                <c:pt idx="1">
                  <c:v>-2977.000000</c:v>
                </c:pt>
                <c:pt idx="2">
                  <c:v>-3044.000000</c:v>
                </c:pt>
                <c:pt idx="3">
                  <c:v>-3094.000000</c:v>
                </c:pt>
                <c:pt idx="4">
                  <c:v>-3164.000000</c:v>
                </c:pt>
                <c:pt idx="5">
                  <c:v>-3267.000000</c:v>
                </c:pt>
                <c:pt idx="6">
                  <c:v>-3342.000000</c:v>
                </c:pt>
                <c:pt idx="7">
                  <c:v>-3242.000000</c:v>
                </c:pt>
                <c:pt idx="8">
                  <c:v>-3303.000000</c:v>
                </c:pt>
                <c:pt idx="9">
                  <c:v>-3313.000000</c:v>
                </c:pt>
                <c:pt idx="10">
                  <c:v>-3332.000000</c:v>
                </c:pt>
                <c:pt idx="11">
                  <c:v>-3330.000000</c:v>
                </c:pt>
                <c:pt idx="12">
                  <c:v>-3426.000000</c:v>
                </c:pt>
                <c:pt idx="13">
                  <c:v>-3426.000000</c:v>
                </c:pt>
                <c:pt idx="14">
                  <c:v>-3506.000000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'JAWA.jk'!$Y$12:$Y$27</c:f>
              <c:numCache>
                <c:ptCount val="4"/>
                <c:pt idx="12">
                  <c:v>-3379.524867</c:v>
                </c:pt>
                <c:pt idx="13">
                  <c:v>-3449.750507</c:v>
                </c:pt>
                <c:pt idx="14">
                  <c:v>-3468.903448</c:v>
                </c:pt>
                <c:pt idx="15">
                  <c:v>-3638.928254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33.33"/>
        <c:minorUnit val="6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2786"/>
          <c:y val="0.109529"/>
          <c:w val="0.41154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'JAWA.jk'!$V$12:$V$27</c:f>
              <c:numCache>
                <c:ptCount val="15"/>
                <c:pt idx="0">
                  <c:v>-680.500000</c:v>
                </c:pt>
                <c:pt idx="1">
                  <c:v>-730.000000</c:v>
                </c:pt>
                <c:pt idx="2">
                  <c:v>-779.500000</c:v>
                </c:pt>
                <c:pt idx="3">
                  <c:v>-829.000000</c:v>
                </c:pt>
                <c:pt idx="4">
                  <c:v>-910.250000</c:v>
                </c:pt>
                <c:pt idx="5">
                  <c:v>-991.500000</c:v>
                </c:pt>
                <c:pt idx="6">
                  <c:v>-1072.750000</c:v>
                </c:pt>
                <c:pt idx="7">
                  <c:v>-1154.000000</c:v>
                </c:pt>
                <c:pt idx="8">
                  <c:v>-1210.250000</c:v>
                </c:pt>
                <c:pt idx="9">
                  <c:v>-1266.500000</c:v>
                </c:pt>
                <c:pt idx="10">
                  <c:v>-1322.750000</c:v>
                </c:pt>
                <c:pt idx="11">
                  <c:v>-1379.000000</c:v>
                </c:pt>
                <c:pt idx="12">
                  <c:v>-1426.000000</c:v>
                </c:pt>
                <c:pt idx="13">
                  <c:v>-1521.100000</c:v>
                </c:pt>
                <c:pt idx="14">
                  <c:v>-1567.600000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'JAWA.jk'!$W$12:$W$27</c:f>
              <c:numCache>
                <c:ptCount val="2"/>
                <c:pt idx="14">
                  <c:v>-1700.528254</c:v>
                </c:pt>
                <c:pt idx="15">
                  <c:v>-1700.528254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00"/>
        <c:minorUnit val="3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45252"/>
          <c:y val="0.440918"/>
          <c:w val="0.40072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607"/>
          <c:y val="0.0446026"/>
          <c:w val="0.85415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'JAWA.jk'!$Z$3</c:f>
              <c:strCache>
                <c:ptCount val="1"/>
                <c:pt idx="0">
                  <c:v>JAWA.jk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'JAWA.jk'!$Z$12:$Z$28</c:f>
              <c:numCache>
                <c:ptCount val="16"/>
                <c:pt idx="0">
                  <c:v>136.000000</c:v>
                </c:pt>
                <c:pt idx="1">
                  <c:v>123.000000</c:v>
                </c:pt>
                <c:pt idx="2">
                  <c:v>108.000000</c:v>
                </c:pt>
                <c:pt idx="3">
                  <c:v>92.000000</c:v>
                </c:pt>
                <c:pt idx="4">
                  <c:v>87.000000</c:v>
                </c:pt>
                <c:pt idx="5">
                  <c:v>68.000000</c:v>
                </c:pt>
                <c:pt idx="6">
                  <c:v>52.000000</c:v>
                </c:pt>
                <c:pt idx="7">
                  <c:v>98.000000</c:v>
                </c:pt>
                <c:pt idx="8">
                  <c:v>89.000000</c:v>
                </c:pt>
                <c:pt idx="9">
                  <c:v>116.000000</c:v>
                </c:pt>
                <c:pt idx="10">
                  <c:v>132.000000</c:v>
                </c:pt>
                <c:pt idx="11">
                  <c:v>270.000000</c:v>
                </c:pt>
                <c:pt idx="12">
                  <c:v>186.000000</c:v>
                </c:pt>
                <c:pt idx="13">
                  <c:v>136.000000</c:v>
                </c:pt>
                <c:pt idx="14">
                  <c:v>142.000000</c:v>
                </c:pt>
                <c:pt idx="15">
                  <c:v>125.000000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'JAWA.jk'!$AA$3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'JAWA.jk'!$AA$12:$AA$28</c:f>
              <c:numCache>
                <c:ptCount val="5"/>
                <c:pt idx="12">
                  <c:v>127.639298</c:v>
                </c:pt>
                <c:pt idx="13">
                  <c:v>110.164871</c:v>
                </c:pt>
                <c:pt idx="14">
                  <c:v>140.817682</c:v>
                </c:pt>
                <c:pt idx="15">
                  <c:v>110.164871</c:v>
                </c:pt>
                <c:pt idx="16">
                  <c:v>102.251694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0"/>
        <c:minorUnit val="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78516"/>
          <c:y val="0.134565"/>
          <c:w val="0.3767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JAWA cashflow less negative </a:t>
            </a:r>
          </a:p>
        </c:rich>
      </c:tx>
      <c:layout>
        <c:manualLayout>
          <c:xMode val="edge"/>
          <c:yMode val="edge"/>
          <c:x val="0.225331"/>
          <c:y val="0"/>
          <c:w val="0.549337"/>
          <c:h val="0.088053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75995"/>
          <c:y val="0.0880533"/>
          <c:w val="0.78977"/>
          <c:h val="0.8437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'JAWA.jk'!$AB$137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'JAWA.jk'!$AC$45:$AG$45</c:f>
              <c:strCache>
                <c:ptCount val="0"/>
              </c:strCache>
            </c:strRef>
          </c:cat>
          <c:val>
            <c:numRef>
              <c:f>'JAWA.jk'!$AC$137:$AG$137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'JAWA.jk'!$AB$138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'JAWA.jk'!$AC$45:$AG$45</c:f>
              <c:strCache>
                <c:ptCount val="0"/>
              </c:strCache>
            </c:strRef>
          </c:cat>
          <c:val>
            <c:numRef>
              <c:f>'JAWA.jk'!$AC$138:$AG$138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'JAWA.jk'!$AB$136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'JAWA.jk'!$AC$45:$AG$45</c:f>
              <c:strCache>
                <c:ptCount val="0"/>
              </c:strCache>
            </c:strRef>
          </c:cat>
          <c:val>
            <c:numRef>
              <c:f>'JAWA.jk'!$AC$136:$AG$136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0"/>
        <c:minorUnit val="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3.3333"/>
        <c:minorUnit val="1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58699"/>
          <c:y val="0.733392"/>
          <c:w val="0.321962"/>
          <c:h val="0.14696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BANK</a:t>
            </a:r>
          </a:p>
        </c:rich>
      </c:tx>
      <c:layout>
        <c:manualLayout>
          <c:xMode val="edge"/>
          <c:yMode val="edge"/>
          <c:x val="0.431578"/>
          <c:y val="0"/>
          <c:w val="0.13684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9395"/>
          <c:y val="0.0918283"/>
          <c:w val="0.795995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'BANK.jk'!$T$3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'BANK.jk'!$T$4:$T$26</c:f>
              <c:numCache>
                <c:ptCount val="23"/>
                <c:pt idx="0">
                  <c:v>-10.018000</c:v>
                </c:pt>
                <c:pt idx="1">
                  <c:v>-20.036000</c:v>
                </c:pt>
                <c:pt idx="2">
                  <c:v>-30.054000</c:v>
                </c:pt>
                <c:pt idx="3">
                  <c:v>-40.072000</c:v>
                </c:pt>
                <c:pt idx="4">
                  <c:v>-16.810750</c:v>
                </c:pt>
                <c:pt idx="5">
                  <c:v>-81.974000</c:v>
                </c:pt>
                <c:pt idx="6">
                  <c:v>-58.712750</c:v>
                </c:pt>
                <c:pt idx="7">
                  <c:v>-35.451500</c:v>
                </c:pt>
                <c:pt idx="8">
                  <c:v>-100.614750</c:v>
                </c:pt>
                <c:pt idx="9">
                  <c:v>-165.778000</c:v>
                </c:pt>
                <c:pt idx="10">
                  <c:v>-230.941250</c:v>
                </c:pt>
                <c:pt idx="11">
                  <c:v>-296.104500</c:v>
                </c:pt>
                <c:pt idx="12">
                  <c:v>-371.833500</c:v>
                </c:pt>
                <c:pt idx="13">
                  <c:v>-297.239500</c:v>
                </c:pt>
                <c:pt idx="14">
                  <c:v>-151.484500</c:v>
                </c:pt>
                <c:pt idx="15">
                  <c:v>-362.382500</c:v>
                </c:pt>
                <c:pt idx="16">
                  <c:v>-886.392500</c:v>
                </c:pt>
                <c:pt idx="17">
                  <c:v>-847.661500</c:v>
                </c:pt>
                <c:pt idx="18">
                  <c:v>-897.079500</c:v>
                </c:pt>
                <c:pt idx="19">
                  <c:v>222.237500</c:v>
                </c:pt>
                <c:pt idx="20">
                  <c:v>-580.257500</c:v>
                </c:pt>
                <c:pt idx="21">
                  <c:v>-1081.530500</c:v>
                </c:pt>
                <c:pt idx="22">
                  <c:v>-1504.970500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'BANK.jk'!$U$3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'BANK.jk'!$U$4:$U$26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0.000000</c:v>
                </c:pt>
                <c:pt idx="15">
                  <c:v>0.000000</c:v>
                </c:pt>
                <c:pt idx="16">
                  <c:v>-510.388000</c:v>
                </c:pt>
                <c:pt idx="17">
                  <c:v>-510.388000</c:v>
                </c:pt>
                <c:pt idx="18">
                  <c:v>-515.672000</c:v>
                </c:pt>
                <c:pt idx="19">
                  <c:v>-518.382000</c:v>
                </c:pt>
                <c:pt idx="20">
                  <c:v>-528.436000</c:v>
                </c:pt>
                <c:pt idx="21">
                  <c:v>-1571.965000</c:v>
                </c:pt>
                <c:pt idx="22">
                  <c:v>-1641.785000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'BANK.jk'!$V$3</c:f>
              <c:strCache>
                <c:ptCount val="1"/>
                <c:pt idx="0">
                  <c:v>BANK.jk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'BANK.jk'!$B$4:$B$26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'BANK.jk'!$V$4:$V$26</c:f>
              <c:numCache>
                <c:ptCount val="23"/>
                <c:pt idx="0">
                  <c:v>20022.558044</c:v>
                </c:pt>
                <c:pt idx="1">
                  <c:v>20022.558044</c:v>
                </c:pt>
                <c:pt idx="2">
                  <c:v>20022.558044</c:v>
                </c:pt>
                <c:pt idx="3">
                  <c:v>20022.558044</c:v>
                </c:pt>
                <c:pt idx="4">
                  <c:v>20022.558044</c:v>
                </c:pt>
                <c:pt idx="5">
                  <c:v>20022.558044</c:v>
                </c:pt>
                <c:pt idx="6">
                  <c:v>20022.558044</c:v>
                </c:pt>
                <c:pt idx="7">
                  <c:v>20022.558044</c:v>
                </c:pt>
                <c:pt idx="8">
                  <c:v>20022.558044</c:v>
                </c:pt>
                <c:pt idx="9">
                  <c:v>20022.558044</c:v>
                </c:pt>
                <c:pt idx="10">
                  <c:v>20022.558044</c:v>
                </c:pt>
                <c:pt idx="11">
                  <c:v>20022.558044</c:v>
                </c:pt>
                <c:pt idx="12">
                  <c:v>20022.558044</c:v>
                </c:pt>
                <c:pt idx="13">
                  <c:v>20022.558044</c:v>
                </c:pt>
                <c:pt idx="14">
                  <c:v>20022.558044</c:v>
                </c:pt>
                <c:pt idx="15">
                  <c:v>20022.558044</c:v>
                </c:pt>
                <c:pt idx="16">
                  <c:v>20022.558044</c:v>
                </c:pt>
                <c:pt idx="17">
                  <c:v>20022.558044</c:v>
                </c:pt>
                <c:pt idx="18">
                  <c:v>20022.558044</c:v>
                </c:pt>
                <c:pt idx="19">
                  <c:v>20022.558044</c:v>
                </c:pt>
                <c:pt idx="20">
                  <c:v>20022.558044</c:v>
                </c:pt>
                <c:pt idx="21">
                  <c:v>20022.558044</c:v>
                </c:pt>
                <c:pt idx="22">
                  <c:v>20022.558044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333.3"/>
        <c:minorUnit val="66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12861"/>
          <c:y val="0.16602"/>
          <c:w val="0.35817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JRPT average Cashflow negative </a:t>
            </a:r>
          </a:p>
        </c:rich>
      </c:tx>
      <c:layout>
        <c:manualLayout>
          <c:xMode val="edge"/>
          <c:yMode val="edge"/>
          <c:x val="0.154874"/>
          <c:y val="0"/>
          <c:w val="0.69025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'JRPT.jk'!$AD$138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'JRPT.jk'!$AE$47:$AI$47</c:f>
              <c:strCache>
                <c:ptCount val="0"/>
              </c:strCache>
            </c:strRef>
          </c:cat>
          <c:val>
            <c:numRef>
              <c:f>'JRPT.jk'!$AE$138:$AI$138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'JRPT.jk'!$AD$139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'JRPT.jk'!$AE$47:$AI$47</c:f>
              <c:strCache>
                <c:ptCount val="0"/>
              </c:strCache>
            </c:strRef>
          </c:cat>
          <c:val>
            <c:numRef>
              <c:f>'JRPT.jk'!$AE$139:$AI$139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'JRPT.jk'!$AD$137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'JRPT.jk'!$AE$47:$AI$47</c:f>
              <c:strCache>
                <c:ptCount val="0"/>
              </c:strCache>
            </c:strRef>
          </c:cat>
          <c:val>
            <c:numRef>
              <c:f>'JRPT.jk'!$AE$137:$AI$137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1082"/>
          <c:y val="0.712796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JRPT</a:t>
            </a:r>
          </a:p>
        </c:rich>
      </c:tx>
      <c:layout>
        <c:manualLayout>
          <c:xMode val="edge"/>
          <c:yMode val="edge"/>
          <c:x val="0.436505"/>
          <c:y val="0"/>
          <c:w val="0.12699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'JRPT.jk'!$V$3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'JRPT.jk'!$V$4:$V$26</c:f>
              <c:numCache>
                <c:ptCount val="23"/>
                <c:pt idx="0">
                  <c:v>-11.200000</c:v>
                </c:pt>
                <c:pt idx="1">
                  <c:v>81.000000</c:v>
                </c:pt>
                <c:pt idx="2">
                  <c:v>205.900000</c:v>
                </c:pt>
                <c:pt idx="3">
                  <c:v>406.900000</c:v>
                </c:pt>
                <c:pt idx="4">
                  <c:v>862.900000</c:v>
                </c:pt>
                <c:pt idx="5">
                  <c:v>1033.600000</c:v>
                </c:pt>
                <c:pt idx="6">
                  <c:v>1116.400000</c:v>
                </c:pt>
                <c:pt idx="7">
                  <c:v>1096.200000</c:v>
                </c:pt>
                <c:pt idx="8">
                  <c:v>1200.400000</c:v>
                </c:pt>
                <c:pt idx="9">
                  <c:v>1246.800000</c:v>
                </c:pt>
                <c:pt idx="10">
                  <c:v>1396.200000</c:v>
                </c:pt>
                <c:pt idx="11">
                  <c:v>1275.400000</c:v>
                </c:pt>
                <c:pt idx="12">
                  <c:v>1334.600000</c:v>
                </c:pt>
                <c:pt idx="13">
                  <c:v>1477.200000</c:v>
                </c:pt>
                <c:pt idx="14">
                  <c:v>1688.100000</c:v>
                </c:pt>
                <c:pt idx="15">
                  <c:v>1921.100000</c:v>
                </c:pt>
                <c:pt idx="16">
                  <c:v>2126.700000</c:v>
                </c:pt>
                <c:pt idx="17">
                  <c:v>2290.800000</c:v>
                </c:pt>
                <c:pt idx="18">
                  <c:v>2439.500000</c:v>
                </c:pt>
                <c:pt idx="19">
                  <c:v>1967.400000</c:v>
                </c:pt>
                <c:pt idx="20">
                  <c:v>2238.400000</c:v>
                </c:pt>
                <c:pt idx="21">
                  <c:v>2441.500000</c:v>
                </c:pt>
                <c:pt idx="22">
                  <c:v>2304.000000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'JRPT.jk'!$W$3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'JRPT.jk'!$W$4:$W$26</c:f>
              <c:numCache>
                <c:ptCount val="23"/>
                <c:pt idx="0">
                  <c:v>6.500000</c:v>
                </c:pt>
                <c:pt idx="1">
                  <c:v>13.000000</c:v>
                </c:pt>
                <c:pt idx="2">
                  <c:v>19.500000</c:v>
                </c:pt>
                <c:pt idx="3">
                  <c:v>26.000000</c:v>
                </c:pt>
                <c:pt idx="4">
                  <c:v>138.000000</c:v>
                </c:pt>
                <c:pt idx="5">
                  <c:v>250.000000</c:v>
                </c:pt>
                <c:pt idx="6">
                  <c:v>362.000000</c:v>
                </c:pt>
                <c:pt idx="7">
                  <c:v>474.000000</c:v>
                </c:pt>
                <c:pt idx="8">
                  <c:v>556.625000</c:v>
                </c:pt>
                <c:pt idx="9">
                  <c:v>639.250000</c:v>
                </c:pt>
                <c:pt idx="10">
                  <c:v>721.875000</c:v>
                </c:pt>
                <c:pt idx="11">
                  <c:v>804.500000</c:v>
                </c:pt>
                <c:pt idx="12">
                  <c:v>749.100000</c:v>
                </c:pt>
                <c:pt idx="13">
                  <c:v>752.900000</c:v>
                </c:pt>
                <c:pt idx="14">
                  <c:v>1091.900000</c:v>
                </c:pt>
                <c:pt idx="15">
                  <c:v>1257.600000</c:v>
                </c:pt>
                <c:pt idx="16">
                  <c:v>1335.600000</c:v>
                </c:pt>
                <c:pt idx="17">
                  <c:v>1343.800000</c:v>
                </c:pt>
                <c:pt idx="18">
                  <c:v>1725.600000</c:v>
                </c:pt>
                <c:pt idx="19">
                  <c:v>1766.800000</c:v>
                </c:pt>
                <c:pt idx="20">
                  <c:v>1809.800000</c:v>
                </c:pt>
                <c:pt idx="21">
                  <c:v>1828.800000</c:v>
                </c:pt>
                <c:pt idx="22">
                  <c:v>2113.300000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'JRPT.jk'!$X$3</c:f>
              <c:strCache>
                <c:ptCount val="1"/>
                <c:pt idx="0">
                  <c:v>JRPT.jk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'JRPT.jk'!$B$4:$B$26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'JRPT.jk'!$X$4:$X$26</c:f>
              <c:numCache>
                <c:ptCount val="23"/>
                <c:pt idx="0">
                  <c:v>6453.849600</c:v>
                </c:pt>
                <c:pt idx="1">
                  <c:v>6453.849600</c:v>
                </c:pt>
                <c:pt idx="2">
                  <c:v>6453.849600</c:v>
                </c:pt>
                <c:pt idx="3">
                  <c:v>6453.849600</c:v>
                </c:pt>
                <c:pt idx="4">
                  <c:v>6453.849600</c:v>
                </c:pt>
                <c:pt idx="5">
                  <c:v>6453.849600</c:v>
                </c:pt>
                <c:pt idx="6">
                  <c:v>6453.849600</c:v>
                </c:pt>
                <c:pt idx="7">
                  <c:v>6453.849600</c:v>
                </c:pt>
                <c:pt idx="8">
                  <c:v>6453.849600</c:v>
                </c:pt>
                <c:pt idx="9">
                  <c:v>6453.849600</c:v>
                </c:pt>
                <c:pt idx="10">
                  <c:v>6453.849600</c:v>
                </c:pt>
                <c:pt idx="11">
                  <c:v>6453.849600</c:v>
                </c:pt>
                <c:pt idx="12">
                  <c:v>6453.849600</c:v>
                </c:pt>
                <c:pt idx="13">
                  <c:v>6453.849600</c:v>
                </c:pt>
                <c:pt idx="14">
                  <c:v>6453.849600</c:v>
                </c:pt>
                <c:pt idx="15">
                  <c:v>6453.849600</c:v>
                </c:pt>
                <c:pt idx="16">
                  <c:v>6453.849600</c:v>
                </c:pt>
                <c:pt idx="17">
                  <c:v>6453.849600</c:v>
                </c:pt>
                <c:pt idx="18">
                  <c:v>6453.849600</c:v>
                </c:pt>
                <c:pt idx="19">
                  <c:v>6453.849600</c:v>
                </c:pt>
                <c:pt idx="20">
                  <c:v>6453.849600</c:v>
                </c:pt>
                <c:pt idx="21">
                  <c:v>6453.849600</c:v>
                </c:pt>
                <c:pt idx="22">
                  <c:v>6453.849600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657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195.67"/>
        <c:minorUnit val="1097.8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31147"/>
          <c:y val="0.16915"/>
          <c:w val="0.287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KDSI cashflow positive </a:t>
            </a:r>
          </a:p>
        </c:rich>
      </c:tx>
      <c:layout>
        <c:manualLayout>
          <c:xMode val="edge"/>
          <c:yMode val="edge"/>
          <c:x val="0.285333"/>
          <c:y val="0"/>
          <c:w val="0.46652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2182"/>
          <c:y val="0.0918283"/>
          <c:w val="0.73665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'KDSI.jk'!$AA$140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'KDSI.jk'!$AB$47:$AF$47</c:f>
              <c:strCache>
                <c:ptCount val="0"/>
              </c:strCache>
            </c:strRef>
          </c:cat>
          <c:val>
            <c:numRef>
              <c:f>'KDSI.jk'!$AB$140:$AF$140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'KDSI.jk'!$AA$141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'KDSI.jk'!$AB$47:$AF$47</c:f>
              <c:strCache>
                <c:ptCount val="0"/>
              </c:strCache>
            </c:strRef>
          </c:cat>
          <c:val>
            <c:numRef>
              <c:f>'KDSI.jk'!$AB$141:$AF$141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'KDSI.jk'!$AA$139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'KDSI.jk'!$AB$47:$AF$47</c:f>
              <c:strCache>
                <c:ptCount val="0"/>
              </c:strCache>
            </c:strRef>
          </c:cat>
          <c:val>
            <c:numRef>
              <c:f>'KDSI.jk'!$AB$139:$AF$139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6.6667"/>
        <c:minorUnit val="33.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70"/>
        <c:minorUnit val="3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143975"/>
          <c:w val="0.38063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KDSI</a:t>
            </a:r>
          </a:p>
        </c:rich>
      </c:tx>
      <c:layout>
        <c:manualLayout>
          <c:xMode val="edge"/>
          <c:yMode val="edge"/>
          <c:x val="0.439198"/>
          <c:y val="0"/>
          <c:w val="0.12160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4109"/>
          <c:y val="0.0918283"/>
          <c:w val="0.845215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'KDSI.jk'!$T$3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'KDSI.jk'!$T$4:$T$26</c:f>
              <c:numCache>
                <c:ptCount val="23"/>
                <c:pt idx="0">
                  <c:v>52.300000</c:v>
                </c:pt>
                <c:pt idx="1">
                  <c:v>-96.100000</c:v>
                </c:pt>
                <c:pt idx="2">
                  <c:v>-110.100000</c:v>
                </c:pt>
                <c:pt idx="3">
                  <c:v>-144.700000</c:v>
                </c:pt>
                <c:pt idx="4">
                  <c:v>-69.350000</c:v>
                </c:pt>
                <c:pt idx="5">
                  <c:v>-147.200000</c:v>
                </c:pt>
                <c:pt idx="6">
                  <c:v>-61.100000</c:v>
                </c:pt>
                <c:pt idx="7">
                  <c:v>-172.500000</c:v>
                </c:pt>
                <c:pt idx="8">
                  <c:v>-162.600000</c:v>
                </c:pt>
                <c:pt idx="9">
                  <c:v>-92.750000</c:v>
                </c:pt>
                <c:pt idx="10">
                  <c:v>-59.600000</c:v>
                </c:pt>
                <c:pt idx="11">
                  <c:v>-13.100000</c:v>
                </c:pt>
                <c:pt idx="12">
                  <c:v>70.700000</c:v>
                </c:pt>
                <c:pt idx="13">
                  <c:v>-13.500000</c:v>
                </c:pt>
                <c:pt idx="14">
                  <c:v>15.700000</c:v>
                </c:pt>
                <c:pt idx="15">
                  <c:v>64.400000</c:v>
                </c:pt>
                <c:pt idx="16">
                  <c:v>99.300000</c:v>
                </c:pt>
                <c:pt idx="17">
                  <c:v>-30.650000</c:v>
                </c:pt>
                <c:pt idx="18">
                  <c:v>-75.000000</c:v>
                </c:pt>
                <c:pt idx="19">
                  <c:v>-11.400000</c:v>
                </c:pt>
                <c:pt idx="20">
                  <c:v>-14.500000</c:v>
                </c:pt>
                <c:pt idx="21">
                  <c:v>-125.400000</c:v>
                </c:pt>
                <c:pt idx="22">
                  <c:v>-10.900000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'KDSI.jk'!$U$3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'KDSI.jk'!$U$4:$U$26</c:f>
              <c:numCache>
                <c:ptCount val="23"/>
                <c:pt idx="0">
                  <c:v>-42.750000</c:v>
                </c:pt>
                <c:pt idx="1">
                  <c:v>-85.500000</c:v>
                </c:pt>
                <c:pt idx="2">
                  <c:v>-128.250000</c:v>
                </c:pt>
                <c:pt idx="3">
                  <c:v>-171.000000</c:v>
                </c:pt>
                <c:pt idx="4">
                  <c:v>-166.250000</c:v>
                </c:pt>
                <c:pt idx="5">
                  <c:v>-161.500000</c:v>
                </c:pt>
                <c:pt idx="6">
                  <c:v>-156.750000</c:v>
                </c:pt>
                <c:pt idx="7">
                  <c:v>-152.000000</c:v>
                </c:pt>
                <c:pt idx="8">
                  <c:v>-113.500000</c:v>
                </c:pt>
                <c:pt idx="9">
                  <c:v>-75.000000</c:v>
                </c:pt>
                <c:pt idx="10">
                  <c:v>-36.500000</c:v>
                </c:pt>
                <c:pt idx="11">
                  <c:v>2.000000</c:v>
                </c:pt>
                <c:pt idx="12">
                  <c:v>19.500000</c:v>
                </c:pt>
                <c:pt idx="13">
                  <c:v>37.000000</c:v>
                </c:pt>
                <c:pt idx="14">
                  <c:v>54.500000</c:v>
                </c:pt>
                <c:pt idx="15">
                  <c:v>72.000000</c:v>
                </c:pt>
                <c:pt idx="16">
                  <c:v>45.500000</c:v>
                </c:pt>
                <c:pt idx="17">
                  <c:v>19.000000</c:v>
                </c:pt>
                <c:pt idx="18">
                  <c:v>-7.500000</c:v>
                </c:pt>
                <c:pt idx="19">
                  <c:v>-34.000000</c:v>
                </c:pt>
                <c:pt idx="20">
                  <c:v>1.600000</c:v>
                </c:pt>
                <c:pt idx="21">
                  <c:v>-125.400000</c:v>
                </c:pt>
                <c:pt idx="22">
                  <c:v>-52.500000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'KDSI.jk'!$V$3</c:f>
              <c:strCache>
                <c:ptCount val="1"/>
                <c:pt idx="0">
                  <c:v>KDSI.jk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'KDSI.jk'!$B$4:$B$26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'KDSI.jk'!$V$4:$V$26</c:f>
              <c:numCache>
                <c:ptCount val="23"/>
                <c:pt idx="0">
                  <c:v>433.350000</c:v>
                </c:pt>
                <c:pt idx="1">
                  <c:v>433.350000</c:v>
                </c:pt>
                <c:pt idx="2">
                  <c:v>433.350000</c:v>
                </c:pt>
                <c:pt idx="3">
                  <c:v>433.350000</c:v>
                </c:pt>
                <c:pt idx="4">
                  <c:v>433.350000</c:v>
                </c:pt>
                <c:pt idx="5">
                  <c:v>433.350000</c:v>
                </c:pt>
                <c:pt idx="6">
                  <c:v>433.350000</c:v>
                </c:pt>
                <c:pt idx="7">
                  <c:v>433.350000</c:v>
                </c:pt>
                <c:pt idx="8">
                  <c:v>433.350000</c:v>
                </c:pt>
                <c:pt idx="9">
                  <c:v>433.350000</c:v>
                </c:pt>
                <c:pt idx="10">
                  <c:v>433.350000</c:v>
                </c:pt>
                <c:pt idx="11">
                  <c:v>433.350000</c:v>
                </c:pt>
                <c:pt idx="12">
                  <c:v>433.350000</c:v>
                </c:pt>
                <c:pt idx="13">
                  <c:v>433.350000</c:v>
                </c:pt>
                <c:pt idx="14">
                  <c:v>433.350000</c:v>
                </c:pt>
                <c:pt idx="15">
                  <c:v>433.350000</c:v>
                </c:pt>
                <c:pt idx="16">
                  <c:v>433.350000</c:v>
                </c:pt>
                <c:pt idx="17">
                  <c:v>433.350000</c:v>
                </c:pt>
                <c:pt idx="18">
                  <c:v>433.350000</c:v>
                </c:pt>
                <c:pt idx="19">
                  <c:v>433.350000</c:v>
                </c:pt>
                <c:pt idx="20">
                  <c:v>433.350000</c:v>
                </c:pt>
                <c:pt idx="21">
                  <c:v>433.350000</c:v>
                </c:pt>
                <c:pt idx="22">
                  <c:v>433.350000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10"/>
        <c:minorUnit val="10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6556"/>
          <c:y val="0.16602"/>
          <c:w val="0.380321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KEJU cashflow negative </a:t>
            </a:r>
          </a:p>
        </c:rich>
      </c:tx>
      <c:layout>
        <c:manualLayout>
          <c:xMode val="edge"/>
          <c:yMode val="edge"/>
          <c:x val="0.244966"/>
          <c:y val="0"/>
          <c:w val="0.51006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'KEJU.jk'!$AC$184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'KEJU.jk'!$AD$47:$AH$47</c:f>
              <c:strCache>
                <c:ptCount val="0"/>
              </c:strCache>
            </c:strRef>
          </c:cat>
          <c:val>
            <c:numRef>
              <c:f>'KEJU.jk'!$AD$184:$AH$184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'KEJU.jk'!$AC$185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'KEJU.jk'!$AD$47:$AH$47</c:f>
              <c:strCache>
                <c:ptCount val="0"/>
              </c:strCache>
            </c:strRef>
          </c:cat>
          <c:val>
            <c:numRef>
              <c:f>'KEJU.jk'!$AD$185:$AH$185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'KEJU.jk'!$AC$183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'KEJU.jk'!$AD$47:$AH$47</c:f>
              <c:strCache>
                <c:ptCount val="0"/>
              </c:strCache>
            </c:strRef>
          </c:cat>
          <c:val>
            <c:numRef>
              <c:f>'KEJU.jk'!$AD$183:$AH$183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3.333"/>
        <c:minorUnit val="51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"/>
        <c:minorUnit val="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28374"/>
          <c:y val="0.732472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KLBF, higher sales </a:t>
            </a:r>
          </a:p>
        </c:rich>
      </c:tx>
      <c:layout>
        <c:manualLayout>
          <c:xMode val="edge"/>
          <c:yMode val="edge"/>
          <c:x val="0.310321"/>
          <c:y val="0"/>
          <c:w val="0.37935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'KLBF.jk'!$AC$138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'KLBF.jk'!$AD$47:$AH$47</c:f>
              <c:strCache>
                <c:ptCount val="0"/>
              </c:strCache>
            </c:strRef>
          </c:cat>
          <c:val>
            <c:numRef>
              <c:f>'KLBF.jk'!$AD$138:$AH$138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'KLBF.jk'!$AC$139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'KLBF.jk'!$AD$47:$AH$47</c:f>
              <c:strCache>
                <c:ptCount val="0"/>
              </c:strCache>
            </c:strRef>
          </c:cat>
          <c:val>
            <c:numRef>
              <c:f>'KLBF.jk'!$AD$139:$AH$139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'KLBF.jk'!$AC$137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'KLBF.jk'!$AD$47:$AH$47</c:f>
              <c:strCache>
                <c:ptCount val="0"/>
              </c:strCache>
            </c:strRef>
          </c:cat>
          <c:val>
            <c:numRef>
              <c:f>'KLBF.jk'!$AD$137:$AH$137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7.5"/>
        <c:minorUnit val="468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8981"/>
          <c:y val="0.780439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'LINK.jk'!$N$12:$N$27</c:f>
              <c:numCache>
                <c:ptCount val="15"/>
                <c:pt idx="0">
                  <c:v>222.750000</c:v>
                </c:pt>
                <c:pt idx="1">
                  <c:v>451.500000</c:v>
                </c:pt>
                <c:pt idx="2">
                  <c:v>691.750000</c:v>
                </c:pt>
                <c:pt idx="3">
                  <c:v>938.750000</c:v>
                </c:pt>
                <c:pt idx="4">
                  <c:v>955.725000</c:v>
                </c:pt>
                <c:pt idx="5">
                  <c:v>969.750000</c:v>
                </c:pt>
                <c:pt idx="6">
                  <c:v>985.500000</c:v>
                </c:pt>
                <c:pt idx="7">
                  <c:v>1012.000000</c:v>
                </c:pt>
                <c:pt idx="8">
                  <c:v>1039.475000</c:v>
                </c:pt>
                <c:pt idx="9">
                  <c:v>1068.450000</c:v>
                </c:pt>
                <c:pt idx="10">
                  <c:v>1083.950000</c:v>
                </c:pt>
                <c:pt idx="11">
                  <c:v>1116.250000</c:v>
                </c:pt>
                <c:pt idx="12">
                  <c:v>1112.800000</c:v>
                </c:pt>
                <c:pt idx="13">
                  <c:v>1104.800000</c:v>
                </c:pt>
                <c:pt idx="14">
                  <c:v>1103.300000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'LINK.jk'!$O$12:$O$27</c:f>
              <c:numCache>
                <c:ptCount val="12"/>
                <c:pt idx="4">
                  <c:v>956.917500</c:v>
                </c:pt>
                <c:pt idx="5">
                  <c:v>936.845000</c:v>
                </c:pt>
                <c:pt idx="6">
                  <c:v>947.633750</c:v>
                </c:pt>
                <c:pt idx="7">
                  <c:v>966.742500</c:v>
                </c:pt>
                <c:pt idx="8">
                  <c:v>993.898200</c:v>
                </c:pt>
                <c:pt idx="9">
                  <c:v>1042.267200</c:v>
                </c:pt>
                <c:pt idx="10">
                  <c:v>1080.712960</c:v>
                </c:pt>
                <c:pt idx="11">
                  <c:v>1102.107960</c:v>
                </c:pt>
                <c:pt idx="12">
                  <c:v>1143.806760</c:v>
                </c:pt>
                <c:pt idx="13">
                  <c:v>1145.562760</c:v>
                </c:pt>
                <c:pt idx="14">
                  <c:v>1104.463886</c:v>
                </c:pt>
                <c:pt idx="15">
                  <c:v>1132.081229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00"/>
        <c:minorUnit val="2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644"/>
          <c:y val="0.727734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'LINK.jk'!$Q$3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'LINK.jk'!$Q$12:$Q$27</c:f>
              <c:numCache>
                <c:ptCount val="15"/>
                <c:pt idx="0">
                  <c:v>-0.590532</c:v>
                </c:pt>
                <c:pt idx="1">
                  <c:v>-0.589563</c:v>
                </c:pt>
                <c:pt idx="2">
                  <c:v>-0.593290</c:v>
                </c:pt>
                <c:pt idx="3">
                  <c:v>-0.555260</c:v>
                </c:pt>
                <c:pt idx="4">
                  <c:v>-0.575532</c:v>
                </c:pt>
                <c:pt idx="5">
                  <c:v>-0.581335</c:v>
                </c:pt>
                <c:pt idx="6">
                  <c:v>-0.574607</c:v>
                </c:pt>
                <c:pt idx="7">
                  <c:v>-0.537352</c:v>
                </c:pt>
                <c:pt idx="8">
                  <c:v>-0.510546</c:v>
                </c:pt>
                <c:pt idx="9">
                  <c:v>-0.502410</c:v>
                </c:pt>
                <c:pt idx="10">
                  <c:v>-0.500254</c:v>
                </c:pt>
                <c:pt idx="11">
                  <c:v>-0.515118</c:v>
                </c:pt>
                <c:pt idx="12">
                  <c:v>-0.541472</c:v>
                </c:pt>
                <c:pt idx="13">
                  <c:v>-0.566392</c:v>
                </c:pt>
                <c:pt idx="14">
                  <c:v>-0.587578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'LINK.jk'!$R$12:$R$27</c:f>
              <c:numCache>
                <c:ptCount val="4"/>
                <c:pt idx="12">
                  <c:v>-0.512996</c:v>
                </c:pt>
                <c:pt idx="13">
                  <c:v>-0.540639</c:v>
                </c:pt>
                <c:pt idx="14">
                  <c:v>-0.566426</c:v>
                </c:pt>
                <c:pt idx="15">
                  <c:v>-0.587578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-0.4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5"/>
        <c:minorUnit val="0.0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14468"/>
          <c:y val="0.149396"/>
          <c:w val="0.296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'LINK.jk'!$S$12:$S$27</c:f>
              <c:numCache>
                <c:ptCount val="15"/>
                <c:pt idx="0">
                  <c:v>37.300000</c:v>
                </c:pt>
                <c:pt idx="1">
                  <c:v>-16.000000</c:v>
                </c:pt>
                <c:pt idx="2">
                  <c:v>2.875000</c:v>
                </c:pt>
                <c:pt idx="3">
                  <c:v>-18.150000</c:v>
                </c:pt>
                <c:pt idx="4">
                  <c:v>-18.097500</c:v>
                </c:pt>
                <c:pt idx="5">
                  <c:v>60.825000</c:v>
                </c:pt>
                <c:pt idx="6">
                  <c:v>19.975000</c:v>
                </c:pt>
                <c:pt idx="7">
                  <c:v>-21.575000</c:v>
                </c:pt>
                <c:pt idx="8">
                  <c:v>-54.402500</c:v>
                </c:pt>
                <c:pt idx="9">
                  <c:v>-183.616750</c:v>
                </c:pt>
                <c:pt idx="10">
                  <c:v>-275.300000</c:v>
                </c:pt>
                <c:pt idx="11">
                  <c:v>-322.750000</c:v>
                </c:pt>
                <c:pt idx="12">
                  <c:v>-284.175000</c:v>
                </c:pt>
                <c:pt idx="13">
                  <c:v>-244.933250</c:v>
                </c:pt>
                <c:pt idx="14">
                  <c:v>-376.525000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'LINK.jk'!$T$12:$T$27</c:f>
              <c:numCache>
                <c:ptCount val="4"/>
                <c:pt idx="12">
                  <c:v>84.497213</c:v>
                </c:pt>
                <c:pt idx="13">
                  <c:v>184.017458</c:v>
                </c:pt>
                <c:pt idx="14">
                  <c:v>97.166888</c:v>
                </c:pt>
                <c:pt idx="15">
                  <c:v>85.195007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9519"/>
          <c:y val="0.106682"/>
          <c:w val="0.37157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'LINK.jk'!$U$12:$U$27</c:f>
              <c:numCache>
                <c:ptCount val="15"/>
                <c:pt idx="0">
                  <c:v>45.750000</c:v>
                </c:pt>
                <c:pt idx="1">
                  <c:v>91.500000</c:v>
                </c:pt>
                <c:pt idx="2">
                  <c:v>137.250000</c:v>
                </c:pt>
                <c:pt idx="3">
                  <c:v>183.000000</c:v>
                </c:pt>
                <c:pt idx="4">
                  <c:v>207.500000</c:v>
                </c:pt>
                <c:pt idx="5">
                  <c:v>232.000000</c:v>
                </c:pt>
                <c:pt idx="6">
                  <c:v>256.500000</c:v>
                </c:pt>
                <c:pt idx="7">
                  <c:v>281.000000</c:v>
                </c:pt>
                <c:pt idx="8">
                  <c:v>-718.900000</c:v>
                </c:pt>
                <c:pt idx="9">
                  <c:v>-36.367000</c:v>
                </c:pt>
                <c:pt idx="10">
                  <c:v>-636.316000</c:v>
                </c:pt>
                <c:pt idx="11">
                  <c:v>-936.413000</c:v>
                </c:pt>
                <c:pt idx="12">
                  <c:v>-870.413000</c:v>
                </c:pt>
                <c:pt idx="13">
                  <c:v>-911.413000</c:v>
                </c:pt>
                <c:pt idx="14">
                  <c:v>-1980.413000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'LINK.jk'!$V$12:$V$27</c:f>
              <c:numCache>
                <c:ptCount val="2"/>
                <c:pt idx="14">
                  <c:v>-1980.413000</c:v>
                </c:pt>
                <c:pt idx="15">
                  <c:v>-1639.632972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7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900"/>
        <c:minorUnit val="4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0582"/>
          <c:y val="0.711608"/>
          <c:w val="0.32882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BBHI cashflow still negative </a:t>
            </a:r>
          </a:p>
        </c:rich>
      </c:tx>
      <c:layout>
        <c:manualLayout>
          <c:xMode val="edge"/>
          <c:yMode val="edge"/>
          <c:x val="0.217461"/>
          <c:y val="0"/>
          <c:w val="0.56507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5676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'BBHI.jk'!$AC$138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'BBHI.jk'!$AD$47:$AH$47</c:f>
              <c:strCache>
                <c:ptCount val="0"/>
              </c:strCache>
            </c:strRef>
          </c:cat>
          <c:val>
            <c:numRef>
              <c:f>'BBHI.jk'!$AD$138:$AH$138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'BBHI.jk'!$AC$139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'BBHI.jk'!$AD$47:$AH$47</c:f>
              <c:strCache>
                <c:ptCount val="0"/>
              </c:strCache>
            </c:strRef>
          </c:cat>
          <c:val>
            <c:numRef>
              <c:f>'BBHI.jk'!$AD$139:$AH$139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'BBHI.jk'!$AC$137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'BBHI.jk'!$AD$47:$AH$47</c:f>
              <c:strCache>
                <c:ptCount val="0"/>
              </c:strCache>
            </c:strRef>
          </c:cat>
          <c:val>
            <c:numRef>
              <c:f>'BBHI.jk'!$AD$137:$AH$137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80"/>
        <c:minorUnit val="4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62.5"/>
        <c:minorUnit val="781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0638821"/>
          <c:y val="0.750246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'LINK.jk'!$Y$3</c:f>
              <c:strCache>
                <c:ptCount val="1"/>
                <c:pt idx="0">
                  <c:v>LINK.jk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'LINK.jk'!$Y$12:$Y$28</c:f>
              <c:numCache>
                <c:ptCount val="16"/>
                <c:pt idx="0">
                  <c:v>4490.000000</c:v>
                </c:pt>
                <c:pt idx="1">
                  <c:v>4250.000000</c:v>
                </c:pt>
                <c:pt idx="2">
                  <c:v>4100.000000</c:v>
                </c:pt>
                <c:pt idx="3">
                  <c:v>3687.673828</c:v>
                </c:pt>
                <c:pt idx="4">
                  <c:v>2449.136963</c:v>
                </c:pt>
                <c:pt idx="5">
                  <c:v>2250.000000</c:v>
                </c:pt>
                <c:pt idx="6">
                  <c:v>1765.000000</c:v>
                </c:pt>
                <c:pt idx="7">
                  <c:v>2410.000000</c:v>
                </c:pt>
                <c:pt idx="8">
                  <c:v>3200.000000</c:v>
                </c:pt>
                <c:pt idx="9">
                  <c:v>4300.000000</c:v>
                </c:pt>
                <c:pt idx="10">
                  <c:v>4030.000000</c:v>
                </c:pt>
                <c:pt idx="11">
                  <c:v>4470.000000</c:v>
                </c:pt>
                <c:pt idx="12">
                  <c:v>4290.000000</c:v>
                </c:pt>
                <c:pt idx="13">
                  <c:v>4670.000000</c:v>
                </c:pt>
                <c:pt idx="14">
                  <c:v>3300.000000</c:v>
                </c:pt>
                <c:pt idx="15">
                  <c:v>2270.000000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'LINK.jk'!$Z$12:$Z$28</c:f>
              <c:numCache>
                <c:ptCount val="5"/>
                <c:pt idx="12">
                  <c:v>3400.851390</c:v>
                </c:pt>
                <c:pt idx="13">
                  <c:v>3930.702968</c:v>
                </c:pt>
                <c:pt idx="14">
                  <c:v>5350.161431</c:v>
                </c:pt>
                <c:pt idx="15">
                  <c:v>4520.080132</c:v>
                </c:pt>
                <c:pt idx="16">
                  <c:v>2724.674867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000"/>
        <c:minorUnit val="10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2065"/>
          <c:y val="0.13031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'LINK.jk'!$W$3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'LINK.jk'!$W$12:$W$27</c:f>
              <c:numCache>
                <c:ptCount val="15"/>
                <c:pt idx="0">
                  <c:v>-532.000000</c:v>
                </c:pt>
                <c:pt idx="1">
                  <c:v>-1325.000000</c:v>
                </c:pt>
                <c:pt idx="2">
                  <c:v>-1412.000000</c:v>
                </c:pt>
                <c:pt idx="3">
                  <c:v>-1699.000000</c:v>
                </c:pt>
                <c:pt idx="4">
                  <c:v>-2168.000000</c:v>
                </c:pt>
                <c:pt idx="5">
                  <c:v>-2547.000000</c:v>
                </c:pt>
                <c:pt idx="6">
                  <c:v>-2728.000000</c:v>
                </c:pt>
                <c:pt idx="7">
                  <c:v>-2817.000000</c:v>
                </c:pt>
                <c:pt idx="8">
                  <c:v>-2988.000000</c:v>
                </c:pt>
                <c:pt idx="9">
                  <c:v>-3491.000000</c:v>
                </c:pt>
                <c:pt idx="10">
                  <c:v>-3830.000000</c:v>
                </c:pt>
                <c:pt idx="11">
                  <c:v>-4227.900000</c:v>
                </c:pt>
                <c:pt idx="12">
                  <c:v>-4678.000000</c:v>
                </c:pt>
                <c:pt idx="13">
                  <c:v>-5161.000000</c:v>
                </c:pt>
                <c:pt idx="14">
                  <c:v>-5438.000000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'LINK.jk'!$X$12:$X$27</c:f>
              <c:numCache>
                <c:ptCount val="4"/>
                <c:pt idx="12">
                  <c:v>-4150.508017</c:v>
                </c:pt>
                <c:pt idx="13">
                  <c:v>-4151.295731</c:v>
                </c:pt>
                <c:pt idx="14">
                  <c:v>-4772.332448</c:v>
                </c:pt>
                <c:pt idx="15">
                  <c:v>-5097.219972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000"/>
        <c:minorUnit val="10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6033"/>
          <c:y val="0.106682"/>
          <c:w val="0.40576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LINK</a:t>
            </a:r>
          </a:p>
        </c:rich>
      </c:tx>
      <c:layout>
        <c:manualLayout>
          <c:xMode val="edge"/>
          <c:yMode val="edge"/>
          <c:x val="0.452445"/>
          <c:y val="0"/>
          <c:w val="0.095109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'LINK1.jk'!$AA$128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'LINK1.jk'!$AB$36:$AF$36</c:f>
              <c:strCache>
                <c:ptCount val="0"/>
              </c:strCache>
            </c:strRef>
          </c:cat>
          <c:val>
            <c:numRef>
              <c:f>'LINK1.jk'!$AB$128:$AF$128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'LINK1.jk'!$AA$129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'LINK1.jk'!$AB$36:$AF$36</c:f>
              <c:strCache>
                <c:ptCount val="0"/>
              </c:strCache>
            </c:strRef>
          </c:cat>
          <c:val>
            <c:numRef>
              <c:f>'LINK1.jk'!$AB$129:$AF$129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'LINK1.jk'!$AA$127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'LINK1.jk'!$AB$36:$AF$36</c:f>
              <c:strCache>
                <c:ptCount val="0"/>
              </c:strCache>
            </c:strRef>
          </c:cat>
          <c:val>
            <c:numRef>
              <c:f>'LINK1.jk'!$AB$127:$AF$127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0"/>
        <c:minorUnit val="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"/>
        <c:minorUnit val="18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786"/>
          <c:y val="0.732472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LINK when Cashflow sinks…</a:t>
            </a:r>
          </a:p>
        </c:rich>
      </c:tx>
      <c:layout>
        <c:manualLayout>
          <c:xMode val="edge"/>
          <c:yMode val="edge"/>
          <c:x val="0.167823"/>
          <c:y val="0"/>
          <c:w val="0.66435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74727"/>
          <c:y val="0.0918283"/>
          <c:w val="0.81497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'LINK1.jk'!$T$3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'LINK1.jk'!$T$4:$T$26</c:f>
              <c:numCache>
                <c:ptCount val="23"/>
                <c:pt idx="0">
                  <c:v>118.500000</c:v>
                </c:pt>
                <c:pt idx="1">
                  <c:v>290.400000</c:v>
                </c:pt>
                <c:pt idx="2">
                  <c:v>438.500000</c:v>
                </c:pt>
                <c:pt idx="3">
                  <c:v>551.200000</c:v>
                </c:pt>
                <c:pt idx="4">
                  <c:v>674.200000</c:v>
                </c:pt>
                <c:pt idx="5">
                  <c:v>929.600000</c:v>
                </c:pt>
                <c:pt idx="6">
                  <c:v>951.300000</c:v>
                </c:pt>
                <c:pt idx="7">
                  <c:v>1081.800000</c:v>
                </c:pt>
                <c:pt idx="8">
                  <c:v>1100.500000</c:v>
                </c:pt>
                <c:pt idx="9">
                  <c:v>1017.800000</c:v>
                </c:pt>
                <c:pt idx="10">
                  <c:v>1093.300000</c:v>
                </c:pt>
                <c:pt idx="11">
                  <c:v>1009.200000</c:v>
                </c:pt>
                <c:pt idx="12">
                  <c:v>1028.110000</c:v>
                </c:pt>
                <c:pt idx="13">
                  <c:v>1261.100000</c:v>
                </c:pt>
                <c:pt idx="14">
                  <c:v>1173.200000</c:v>
                </c:pt>
                <c:pt idx="15">
                  <c:v>922.900000</c:v>
                </c:pt>
                <c:pt idx="16">
                  <c:v>810.500000</c:v>
                </c:pt>
                <c:pt idx="17">
                  <c:v>526.633000</c:v>
                </c:pt>
                <c:pt idx="18">
                  <c:v>72.000000</c:v>
                </c:pt>
                <c:pt idx="19">
                  <c:v>-368.100000</c:v>
                </c:pt>
                <c:pt idx="20">
                  <c:v>-326.200000</c:v>
                </c:pt>
                <c:pt idx="21">
                  <c:v>-453.100000</c:v>
                </c:pt>
                <c:pt idx="22">
                  <c:v>-1434.100000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'LINK1.jk'!$U$3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'LINK1.jk'!$U$4:$U$26</c:f>
              <c:numCache>
                <c:ptCount val="23"/>
                <c:pt idx="0">
                  <c:v>75.500000</c:v>
                </c:pt>
                <c:pt idx="1">
                  <c:v>151.000000</c:v>
                </c:pt>
                <c:pt idx="2">
                  <c:v>226.500000</c:v>
                </c:pt>
                <c:pt idx="3">
                  <c:v>302.000000</c:v>
                </c:pt>
                <c:pt idx="4">
                  <c:v>483.750000</c:v>
                </c:pt>
                <c:pt idx="5">
                  <c:v>665.500000</c:v>
                </c:pt>
                <c:pt idx="6">
                  <c:v>847.250000</c:v>
                </c:pt>
                <c:pt idx="7">
                  <c:v>1029.000000</c:v>
                </c:pt>
                <c:pt idx="8">
                  <c:v>1074.750000</c:v>
                </c:pt>
                <c:pt idx="9">
                  <c:v>1120.500000</c:v>
                </c:pt>
                <c:pt idx="10">
                  <c:v>1166.250000</c:v>
                </c:pt>
                <c:pt idx="11">
                  <c:v>1212.000000</c:v>
                </c:pt>
                <c:pt idx="12">
                  <c:v>1236.500000</c:v>
                </c:pt>
                <c:pt idx="13">
                  <c:v>1261.000000</c:v>
                </c:pt>
                <c:pt idx="14">
                  <c:v>1285.500000</c:v>
                </c:pt>
                <c:pt idx="15">
                  <c:v>1310.000000</c:v>
                </c:pt>
                <c:pt idx="16">
                  <c:v>310.100000</c:v>
                </c:pt>
                <c:pt idx="17">
                  <c:v>992.633000</c:v>
                </c:pt>
                <c:pt idx="18">
                  <c:v>392.684000</c:v>
                </c:pt>
                <c:pt idx="19">
                  <c:v>92.587000</c:v>
                </c:pt>
                <c:pt idx="20">
                  <c:v>158.587000</c:v>
                </c:pt>
                <c:pt idx="21">
                  <c:v>117.587000</c:v>
                </c:pt>
                <c:pt idx="22">
                  <c:v>-951.413000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'LINK1.jk'!$V$3</c:f>
              <c:strCache>
                <c:ptCount val="1"/>
                <c:pt idx="0">
                  <c:v>LINK.jk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'LINK1.jk'!$B$4:$B$26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'LINK1.jk'!$V$4:$V$26</c:f>
              <c:numCache>
                <c:ptCount val="23"/>
                <c:pt idx="0">
                  <c:v>6246.086382</c:v>
                </c:pt>
                <c:pt idx="1">
                  <c:v>6246.086382</c:v>
                </c:pt>
                <c:pt idx="2">
                  <c:v>6246.086382</c:v>
                </c:pt>
                <c:pt idx="3">
                  <c:v>6246.086382</c:v>
                </c:pt>
                <c:pt idx="4">
                  <c:v>6246.086382</c:v>
                </c:pt>
                <c:pt idx="5">
                  <c:v>6246.086382</c:v>
                </c:pt>
                <c:pt idx="6">
                  <c:v>6246.086382</c:v>
                </c:pt>
                <c:pt idx="7">
                  <c:v>6246.086382</c:v>
                </c:pt>
                <c:pt idx="8">
                  <c:v>6246.086382</c:v>
                </c:pt>
                <c:pt idx="9">
                  <c:v>6246.086382</c:v>
                </c:pt>
                <c:pt idx="10">
                  <c:v>6246.086382</c:v>
                </c:pt>
                <c:pt idx="11">
                  <c:v>6246.086382</c:v>
                </c:pt>
                <c:pt idx="12">
                  <c:v>6246.086382</c:v>
                </c:pt>
                <c:pt idx="13">
                  <c:v>6246.086382</c:v>
                </c:pt>
                <c:pt idx="14">
                  <c:v>6246.086382</c:v>
                </c:pt>
                <c:pt idx="15">
                  <c:v>6246.086382</c:v>
                </c:pt>
                <c:pt idx="16">
                  <c:v>6246.086382</c:v>
                </c:pt>
                <c:pt idx="17">
                  <c:v>6246.086382</c:v>
                </c:pt>
                <c:pt idx="18">
                  <c:v>6246.086382</c:v>
                </c:pt>
                <c:pt idx="19">
                  <c:v>6246.086382</c:v>
                </c:pt>
                <c:pt idx="20">
                  <c:v>6246.086382</c:v>
                </c:pt>
                <c:pt idx="21">
                  <c:v>6246.086382</c:v>
                </c:pt>
                <c:pt idx="22">
                  <c:v>6246.086382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6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700"/>
        <c:minorUnit val="13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8859"/>
          <c:y val="0.16602"/>
          <c:w val="0.36671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6393"/>
          <c:y val="0.12368"/>
          <c:w val="0.774109"/>
          <c:h val="0.8103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'LSIP.jk'!$AB$139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'LSIP.jk'!$AC$48:$AG$48</c:f>
              <c:strCache>
                <c:ptCount val="0"/>
              </c:strCache>
            </c:strRef>
          </c:cat>
          <c:val>
            <c:numRef>
              <c:f>'LSIP.jk'!$AC$139:$AG$139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'LSIP.jk'!$AB$140</c:f>
              <c:strCache/>
            </c:strRef>
          </c:tx>
          <c:spPr>
            <a:solidFill>
              <a:schemeClr val="accent4">
                <a:hueOff val="-461056"/>
                <a:satOff val="4338"/>
                <a:lumOff val="-10225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'LSIP.jk'!$AC$48:$AG$48</c:f>
              <c:strCache>
                <c:ptCount val="0"/>
              </c:strCache>
            </c:strRef>
          </c:cat>
          <c:val>
            <c:numRef>
              <c:f>'LSIP.jk'!$AC$140:$AG$140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'LSIP.jk'!$AB$138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'LSIP.jk'!$AC$48:$AG$48</c:f>
              <c:strCache>
                <c:ptCount val="0"/>
              </c:strCache>
            </c:strRef>
          </c:cat>
          <c:val>
            <c:numRef>
              <c:f>'LSIP.jk'!$AC$138:$AG$138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25"/>
        <c:minorUnit val="162.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"/>
        <c:minorUnit val="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39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'MAIN.jk'!$N$12:$N$27</c:f>
              <c:numCache>
                <c:ptCount val="15"/>
                <c:pt idx="0">
                  <c:v>1794.200000</c:v>
                </c:pt>
                <c:pt idx="1">
                  <c:v>1876.340000</c:v>
                </c:pt>
                <c:pt idx="2">
                  <c:v>1884.200000</c:v>
                </c:pt>
                <c:pt idx="3">
                  <c:v>1863.725000</c:v>
                </c:pt>
                <c:pt idx="4">
                  <c:v>1800.675000</c:v>
                </c:pt>
                <c:pt idx="5">
                  <c:v>1693.890000</c:v>
                </c:pt>
                <c:pt idx="6">
                  <c:v>1698.700000</c:v>
                </c:pt>
                <c:pt idx="7">
                  <c:v>1750.150000</c:v>
                </c:pt>
                <c:pt idx="8">
                  <c:v>1863.475000</c:v>
                </c:pt>
                <c:pt idx="9">
                  <c:v>2096.720000</c:v>
                </c:pt>
                <c:pt idx="10">
                  <c:v>2176.550000</c:v>
                </c:pt>
                <c:pt idx="11">
                  <c:v>2282.650000</c:v>
                </c:pt>
                <c:pt idx="12">
                  <c:v>2434.675000</c:v>
                </c:pt>
                <c:pt idx="13">
                  <c:v>2515.100000</c:v>
                </c:pt>
                <c:pt idx="14">
                  <c:v>2696.625000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'MAIN.jk'!$O$12:$O$27</c:f>
              <c:numCache>
                <c:ptCount val="7"/>
                <c:pt idx="9">
                  <c:v>2112.241500</c:v>
                </c:pt>
                <c:pt idx="10">
                  <c:v>2194.895667</c:v>
                </c:pt>
                <c:pt idx="11">
                  <c:v>2217.525000</c:v>
                </c:pt>
                <c:pt idx="12">
                  <c:v>2296.056250</c:v>
                </c:pt>
                <c:pt idx="13">
                  <c:v>2455.682500</c:v>
                </c:pt>
                <c:pt idx="14">
                  <c:v>2588.556500</c:v>
                </c:pt>
                <c:pt idx="15">
                  <c:v>2998.651800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66.667"/>
        <c:minorUnit val="3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005"/>
          <c:y val="0.134235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424"/>
          <c:y val="0.0446026"/>
          <c:w val="0.8875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'MAIN.jk'!$Q$3</c:f>
              <c:strCache>
                <c:ptCount val="1"/>
                <c:pt idx="0">
                  <c:v>Margin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'MAIN.jk'!$Q$12:$Q$27</c:f>
              <c:numCache>
                <c:ptCount val="15"/>
                <c:pt idx="0">
                  <c:v>0.053924</c:v>
                </c:pt>
                <c:pt idx="1">
                  <c:v>0.049098</c:v>
                </c:pt>
                <c:pt idx="2">
                  <c:v>0.046784</c:v>
                </c:pt>
                <c:pt idx="3">
                  <c:v>0.043260</c:v>
                </c:pt>
                <c:pt idx="4">
                  <c:v>0.041457</c:v>
                </c:pt>
                <c:pt idx="5">
                  <c:v>0.047361</c:v>
                </c:pt>
                <c:pt idx="6">
                  <c:v>0.044799</c:v>
                </c:pt>
                <c:pt idx="7">
                  <c:v>0.037383</c:v>
                </c:pt>
                <c:pt idx="8">
                  <c:v>0.038611</c:v>
                </c:pt>
                <c:pt idx="9">
                  <c:v>0.033123</c:v>
                </c:pt>
                <c:pt idx="10">
                  <c:v>0.036595</c:v>
                </c:pt>
                <c:pt idx="11">
                  <c:v>0.044225</c:v>
                </c:pt>
                <c:pt idx="12">
                  <c:v>0.037839</c:v>
                </c:pt>
                <c:pt idx="13">
                  <c:v>0.028528</c:v>
                </c:pt>
                <c:pt idx="14">
                  <c:v>0.023910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'MAIN.jk'!$R$12:$R$27</c:f>
              <c:numCache>
                <c:ptCount val="2"/>
                <c:pt idx="14">
                  <c:v>0.023910</c:v>
                </c:pt>
                <c:pt idx="15">
                  <c:v>0.033625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2"/>
        <c:minorUnit val="0.01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3571"/>
          <c:y val="0.736802"/>
          <c:w val="0.37412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'MAIN.jk'!$S$12:$S$27</c:f>
              <c:numCache>
                <c:ptCount val="15"/>
                <c:pt idx="0">
                  <c:v>22.687500</c:v>
                </c:pt>
                <c:pt idx="1">
                  <c:v>-58.625000</c:v>
                </c:pt>
                <c:pt idx="2">
                  <c:v>-94.510000</c:v>
                </c:pt>
                <c:pt idx="3">
                  <c:v>-48.895000</c:v>
                </c:pt>
                <c:pt idx="4">
                  <c:v>-94.095000</c:v>
                </c:pt>
                <c:pt idx="5">
                  <c:v>-98.420000</c:v>
                </c:pt>
                <c:pt idx="6">
                  <c:v>-53.570000</c:v>
                </c:pt>
                <c:pt idx="7">
                  <c:v>-7.225000</c:v>
                </c:pt>
                <c:pt idx="8">
                  <c:v>-3.775000</c:v>
                </c:pt>
                <c:pt idx="9">
                  <c:v>52.572500</c:v>
                </c:pt>
                <c:pt idx="10">
                  <c:v>-61.150000</c:v>
                </c:pt>
                <c:pt idx="11">
                  <c:v>-152.575000</c:v>
                </c:pt>
                <c:pt idx="12">
                  <c:v>-107.550000</c:v>
                </c:pt>
                <c:pt idx="13">
                  <c:v>-135.800000</c:v>
                </c:pt>
                <c:pt idx="14">
                  <c:v>-22.825000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'MAIN.jk'!$T$12:$T$27</c:f>
              <c:numCache>
                <c:ptCount val="4"/>
                <c:pt idx="12">
                  <c:v>30.083986</c:v>
                </c:pt>
                <c:pt idx="13">
                  <c:v>30.083986</c:v>
                </c:pt>
                <c:pt idx="14">
                  <c:v>41.584376</c:v>
                </c:pt>
                <c:pt idx="15">
                  <c:v>27.196970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1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90"/>
        <c:minorUnit val="4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142"/>
          <c:y val="0.102877"/>
          <c:w val="0.37157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'MAIN.jk'!$U$12:$U$27</c:f>
              <c:numCache>
                <c:ptCount val="15"/>
                <c:pt idx="0">
                  <c:v>-203.000000</c:v>
                </c:pt>
                <c:pt idx="1">
                  <c:v>-249.000000</c:v>
                </c:pt>
                <c:pt idx="2">
                  <c:v>-295.000000</c:v>
                </c:pt>
                <c:pt idx="3">
                  <c:v>-341.000000</c:v>
                </c:pt>
                <c:pt idx="4">
                  <c:v>-361.000000</c:v>
                </c:pt>
                <c:pt idx="5">
                  <c:v>-381.000000</c:v>
                </c:pt>
                <c:pt idx="6">
                  <c:v>-401.000000</c:v>
                </c:pt>
                <c:pt idx="7">
                  <c:v>-421.000000</c:v>
                </c:pt>
                <c:pt idx="8">
                  <c:v>-499.553000</c:v>
                </c:pt>
                <c:pt idx="9">
                  <c:v>-460.164000</c:v>
                </c:pt>
                <c:pt idx="10">
                  <c:v>-898.373000</c:v>
                </c:pt>
                <c:pt idx="11">
                  <c:v>-1016.873000</c:v>
                </c:pt>
                <c:pt idx="12">
                  <c:v>-811.073000</c:v>
                </c:pt>
                <c:pt idx="13">
                  <c:v>-1153.473000</c:v>
                </c:pt>
                <c:pt idx="14">
                  <c:v>-1116.273000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'MAIN.jk'!$V$12:$V$27</c:f>
              <c:numCache>
                <c:ptCount val="2"/>
                <c:pt idx="14">
                  <c:v>-1116.273000</c:v>
                </c:pt>
                <c:pt idx="15">
                  <c:v>-1007.485120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00"/>
        <c:minorUnit val="2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7575"/>
          <c:y val="0.130315"/>
          <c:w val="0.32882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'MAIN.jk'!$Y$3</c:f>
              <c:strCache>
                <c:ptCount val="1"/>
                <c:pt idx="0">
                  <c:v>MAIN.jk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'MAIN.jk'!$Y$12:$Y$28</c:f>
              <c:numCache>
                <c:ptCount val="16"/>
                <c:pt idx="0">
                  <c:v>1330.000000</c:v>
                </c:pt>
                <c:pt idx="1">
                  <c:v>1100.000000</c:v>
                </c:pt>
                <c:pt idx="2">
                  <c:v>915.000000</c:v>
                </c:pt>
                <c:pt idx="3">
                  <c:v>1005.000000</c:v>
                </c:pt>
                <c:pt idx="4">
                  <c:v>406.000000</c:v>
                </c:pt>
                <c:pt idx="5">
                  <c:v>585.000000</c:v>
                </c:pt>
                <c:pt idx="6">
                  <c:v>510.000000</c:v>
                </c:pt>
                <c:pt idx="7">
                  <c:v>740.000000</c:v>
                </c:pt>
                <c:pt idx="8">
                  <c:v>745.000000</c:v>
                </c:pt>
                <c:pt idx="9">
                  <c:v>710.000000</c:v>
                </c:pt>
                <c:pt idx="10">
                  <c:v>800.000000</c:v>
                </c:pt>
                <c:pt idx="11">
                  <c:v>670.000000</c:v>
                </c:pt>
                <c:pt idx="12">
                  <c:v>695.000000</c:v>
                </c:pt>
                <c:pt idx="13">
                  <c:v>610.000000</c:v>
                </c:pt>
                <c:pt idx="14">
                  <c:v>605.000000</c:v>
                </c:pt>
                <c:pt idx="15">
                  <c:v>474.000000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'MAIN.jk'!$Z$12:$Z$28</c:f>
              <c:numCache>
                <c:ptCount val="2"/>
                <c:pt idx="15">
                  <c:v>226.498882</c:v>
                </c:pt>
                <c:pt idx="16">
                  <c:v>534.524492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00"/>
        <c:minorUnit val="2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15368"/>
          <c:y val="0.13031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970564"/>
          <c:y val="0.12368"/>
          <c:w val="0.894772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'BBHI.jk'!$C$3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'BBHI.jk'!$B$16:$B$27</c:f>
              <c:strCache>
                <c:ptCount val="12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</c:strCache>
            </c:strRef>
          </c:cat>
          <c:val>
            <c:numRef>
              <c:f>'BBHI.jk'!$C$16:$C$27</c:f>
              <c:numCache>
                <c:ptCount val="11"/>
                <c:pt idx="0">
                  <c:v>50.100000</c:v>
                </c:pt>
                <c:pt idx="1">
                  <c:v>41.900000</c:v>
                </c:pt>
                <c:pt idx="2">
                  <c:v>35.100000</c:v>
                </c:pt>
                <c:pt idx="3">
                  <c:v>39.300000</c:v>
                </c:pt>
                <c:pt idx="4">
                  <c:v>56.200000</c:v>
                </c:pt>
                <c:pt idx="5">
                  <c:v>73.400000</c:v>
                </c:pt>
                <c:pt idx="6">
                  <c:v>131.400000</c:v>
                </c:pt>
                <c:pt idx="7">
                  <c:v>118.000000</c:v>
                </c:pt>
                <c:pt idx="8">
                  <c:v>158.000000</c:v>
                </c:pt>
                <c:pt idx="9">
                  <c:v>108.000000</c:v>
                </c:pt>
                <c:pt idx="10">
                  <c:v>226.300000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'BBHI.jk'!$I$3</c:f>
              <c:strCache>
                <c:ptCount val="1"/>
                <c:pt idx="0">
                  <c:v>Receipts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'BBHI.jk'!$B$16:$B$27</c:f>
              <c:strCache>
                <c:ptCount val="12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</c:strCache>
            </c:strRef>
          </c:cat>
          <c:val>
            <c:numRef>
              <c:f>'BBHI.jk'!$I$16:$I$27</c:f>
              <c:numCache>
                <c:ptCount val="11"/>
                <c:pt idx="0">
                  <c:v>51.400000</c:v>
                </c:pt>
                <c:pt idx="1">
                  <c:v>39.300000</c:v>
                </c:pt>
                <c:pt idx="2">
                  <c:v>40.500000</c:v>
                </c:pt>
                <c:pt idx="3">
                  <c:v>33.200000</c:v>
                </c:pt>
                <c:pt idx="4">
                  <c:v>51.400000</c:v>
                </c:pt>
                <c:pt idx="5">
                  <c:v>46.600000</c:v>
                </c:pt>
                <c:pt idx="6">
                  <c:v>73.900000</c:v>
                </c:pt>
                <c:pt idx="7">
                  <c:v>248.700000</c:v>
                </c:pt>
                <c:pt idx="8">
                  <c:v>154.000000</c:v>
                </c:pt>
                <c:pt idx="9">
                  <c:v>223.500000</c:v>
                </c:pt>
                <c:pt idx="10">
                  <c:v>215.800000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5"/>
        <c:minorUnit val="37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88563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'MAIN.jk'!$W$3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'MAIN.jk'!$W$12:$W$27</c:f>
              <c:numCache>
                <c:ptCount val="15"/>
                <c:pt idx="0">
                  <c:v>-2157.000000</c:v>
                </c:pt>
                <c:pt idx="1">
                  <c:v>-2386.000000</c:v>
                </c:pt>
                <c:pt idx="2">
                  <c:v>-2551.000000</c:v>
                </c:pt>
                <c:pt idx="3">
                  <c:v>-2417.000000</c:v>
                </c:pt>
                <c:pt idx="4">
                  <c:v>-2574.000000</c:v>
                </c:pt>
                <c:pt idx="5">
                  <c:v>-2835.000000</c:v>
                </c:pt>
                <c:pt idx="6">
                  <c:v>-2785.000000</c:v>
                </c:pt>
                <c:pt idx="7">
                  <c:v>-2351.000000</c:v>
                </c:pt>
                <c:pt idx="8">
                  <c:v>-2639.000000</c:v>
                </c:pt>
                <c:pt idx="9">
                  <c:v>-2811.000000</c:v>
                </c:pt>
                <c:pt idx="10">
                  <c:v>-3169.000000</c:v>
                </c:pt>
                <c:pt idx="11">
                  <c:v>-2868.000000</c:v>
                </c:pt>
                <c:pt idx="12">
                  <c:v>-2885.000000</c:v>
                </c:pt>
                <c:pt idx="13">
                  <c:v>-2570.000000</c:v>
                </c:pt>
                <c:pt idx="14">
                  <c:v>-2947.000000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'MAIN.jk'!$X$3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'MAIN.jk'!$X$12:$X$27</c:f>
              <c:numCache>
                <c:ptCount val="4"/>
                <c:pt idx="12">
                  <c:v>-3082.173052</c:v>
                </c:pt>
                <c:pt idx="13">
                  <c:v>-3082.173052</c:v>
                </c:pt>
                <c:pt idx="14">
                  <c:v>-2723.030424</c:v>
                </c:pt>
                <c:pt idx="15">
                  <c:v>-2838.212120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66.67"/>
        <c:minorUnit val="5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9413"/>
          <c:y val="0.102877"/>
          <c:w val="0.40576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3236"/>
          <c:y val="0.12368"/>
          <c:w val="0.847434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'MAIN.jk'!$C$3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'MAIN.jk'!$B$12:$B$26</c:f>
              <c:strCache>
                <c:ptCount val="15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'MAIN.jk'!$C$12:$C$26</c:f>
              <c:numCache>
                <c:ptCount val="15"/>
                <c:pt idx="0">
                  <c:v>1944.800000</c:v>
                </c:pt>
                <c:pt idx="1">
                  <c:v>1927.360000</c:v>
                </c:pt>
                <c:pt idx="2">
                  <c:v>1797.340000</c:v>
                </c:pt>
                <c:pt idx="3">
                  <c:v>1785.400000</c:v>
                </c:pt>
                <c:pt idx="4">
                  <c:v>1692.600000</c:v>
                </c:pt>
                <c:pt idx="5">
                  <c:v>1500.220000</c:v>
                </c:pt>
                <c:pt idx="6">
                  <c:v>1816.580000</c:v>
                </c:pt>
                <c:pt idx="7">
                  <c:v>1991.200000</c:v>
                </c:pt>
                <c:pt idx="8">
                  <c:v>2145.900000</c:v>
                </c:pt>
                <c:pt idx="9">
                  <c:v>2433.200000</c:v>
                </c:pt>
                <c:pt idx="10">
                  <c:v>2135.900000</c:v>
                </c:pt>
                <c:pt idx="11">
                  <c:v>2415.600000</c:v>
                </c:pt>
                <c:pt idx="12">
                  <c:v>2754.000000</c:v>
                </c:pt>
                <c:pt idx="13">
                  <c:v>2754.900000</c:v>
                </c:pt>
                <c:pt idx="14">
                  <c:v>2862.000000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50"/>
        <c:minorUnit val="3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2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43"/>
          <c:y val="0.130893"/>
          <c:w val="0.860657"/>
          <c:h val="0.8000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'MAIN.jk'!$S$3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chemeClr val="accent1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latin typeface="Helvetica Neue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'MAIN.jk'!$B$16:$B$26</c:f>
              <c:strCache>
                <c:ptCount val="11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</c:strCache>
            </c:strRef>
          </c:cat>
          <c:val>
            <c:numRef>
              <c:f>'MAIN.jk'!$S$16:$S$26</c:f>
              <c:numCache>
                <c:ptCount val="11"/>
                <c:pt idx="0">
                  <c:v>-94.095000</c:v>
                </c:pt>
                <c:pt idx="1">
                  <c:v>-98.420000</c:v>
                </c:pt>
                <c:pt idx="2">
                  <c:v>-53.570000</c:v>
                </c:pt>
                <c:pt idx="3">
                  <c:v>-7.225000</c:v>
                </c:pt>
                <c:pt idx="4">
                  <c:v>-3.775000</c:v>
                </c:pt>
                <c:pt idx="5">
                  <c:v>52.572500</c:v>
                </c:pt>
                <c:pt idx="6">
                  <c:v>-61.150000</c:v>
                </c:pt>
                <c:pt idx="7">
                  <c:v>-152.575000</c:v>
                </c:pt>
                <c:pt idx="8">
                  <c:v>-107.550000</c:v>
                </c:pt>
                <c:pt idx="9">
                  <c:v>-135.800000</c:v>
                </c:pt>
                <c:pt idx="10">
                  <c:v>-22.825000</c:v>
                </c:pt>
              </c:numCache>
            </c:numRef>
          </c:val>
        </c:ser>
        <c:gapWidth val="40"/>
        <c:overlap val="-10"/>
        <c:axId val="2094734552"/>
        <c:axId val="2094734553"/>
      </c:bar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0"/>
        <c:minorUnit val="30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48625"/>
          <c:y val="0"/>
          <c:w val="0.9"/>
          <c:h val="0.06634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81336"/>
          <c:y val="0.12368"/>
          <c:w val="0.80798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'MAIN.jk'!$W$3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'MAIN.jk'!$B$16:$B$26</c:f>
              <c:strCache>
                <c:ptCount val="11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</c:strCache>
            </c:strRef>
          </c:cat>
          <c:val>
            <c:numRef>
              <c:f>'MAIN.jk'!$W$16:$W$26</c:f>
              <c:numCache>
                <c:ptCount val="11"/>
                <c:pt idx="0">
                  <c:v>-2574.000000</c:v>
                </c:pt>
                <c:pt idx="1">
                  <c:v>-2835.000000</c:v>
                </c:pt>
                <c:pt idx="2">
                  <c:v>-2785.000000</c:v>
                </c:pt>
                <c:pt idx="3">
                  <c:v>-2351.000000</c:v>
                </c:pt>
                <c:pt idx="4">
                  <c:v>-2639.000000</c:v>
                </c:pt>
                <c:pt idx="5">
                  <c:v>-2811.000000</c:v>
                </c:pt>
                <c:pt idx="6">
                  <c:v>-3169.000000</c:v>
                </c:pt>
                <c:pt idx="7">
                  <c:v>-2868.000000</c:v>
                </c:pt>
                <c:pt idx="8">
                  <c:v>-2885.000000</c:v>
                </c:pt>
                <c:pt idx="9">
                  <c:v>-2570.000000</c:v>
                </c:pt>
                <c:pt idx="10">
                  <c:v>-2947.000000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00"/>
        <c:minorUnit val="400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741438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MASA strong cashflow, capital </a:t>
            </a:r>
          </a:p>
        </c:rich>
      </c:tx>
      <c:layout>
        <c:manualLayout>
          <c:xMode val="edge"/>
          <c:yMode val="edge"/>
          <c:x val="0.188589"/>
          <c:y val="0"/>
          <c:w val="0.62282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'MASA.jk'!$AC$138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'MASA.jk'!$AD$47:$AH$47</c:f>
              <c:strCache>
                <c:ptCount val="0"/>
              </c:strCache>
            </c:strRef>
          </c:cat>
          <c:val>
            <c:numRef>
              <c:f>'MASA.jk'!$AD$138:$AH$138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'MASA.jk'!$AC$139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'MASA.jk'!$AD$47:$AH$47</c:f>
              <c:strCache>
                <c:ptCount val="0"/>
              </c:strCache>
            </c:strRef>
          </c:cat>
          <c:val>
            <c:numRef>
              <c:f>'MASA.jk'!$AD$139:$AH$139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'MASA.jk'!$AC$137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'MASA.jk'!$AD$47:$AH$47</c:f>
              <c:strCache>
                <c:ptCount val="0"/>
              </c:strCache>
            </c:strRef>
          </c:cat>
          <c:val>
            <c:numRef>
              <c:f>'MASA.jk'!$AD$137:$AH$137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866.667"/>
        <c:minorUnit val="4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6.25"/>
        <c:minorUnit val="78.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0779"/>
          <c:y val="0.780439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'MBTO.jk'!$N$12:$N$27</c:f>
              <c:numCache>
                <c:ptCount val="15"/>
                <c:pt idx="0">
                  <c:v>123.464000</c:v>
                </c:pt>
                <c:pt idx="1">
                  <c:v>116.786500</c:v>
                </c:pt>
                <c:pt idx="2">
                  <c:v>127.382500</c:v>
                </c:pt>
                <c:pt idx="3">
                  <c:v>134.500000</c:v>
                </c:pt>
                <c:pt idx="4">
                  <c:v>121.048000</c:v>
                </c:pt>
                <c:pt idx="5">
                  <c:v>115.692000</c:v>
                </c:pt>
                <c:pt idx="6">
                  <c:v>94.338750</c:v>
                </c:pt>
                <c:pt idx="7">
                  <c:v>74.300000</c:v>
                </c:pt>
                <c:pt idx="8">
                  <c:v>65.035000</c:v>
                </c:pt>
                <c:pt idx="9">
                  <c:v>55.175000</c:v>
                </c:pt>
                <c:pt idx="10">
                  <c:v>53.775000</c:v>
                </c:pt>
                <c:pt idx="11">
                  <c:v>52.625000</c:v>
                </c:pt>
                <c:pt idx="12">
                  <c:v>58.625000</c:v>
                </c:pt>
                <c:pt idx="13">
                  <c:v>63.200000</c:v>
                </c:pt>
                <c:pt idx="14">
                  <c:v>80.475000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'MBTO.jk'!$O$12:$O$27</c:f>
              <c:numCache>
                <c:ptCount val="10"/>
                <c:pt idx="6">
                  <c:v>125.556300</c:v>
                </c:pt>
                <c:pt idx="7">
                  <c:v>113.327800</c:v>
                </c:pt>
                <c:pt idx="8">
                  <c:v>94.985800</c:v>
                </c:pt>
                <c:pt idx="9">
                  <c:v>77.549300</c:v>
                </c:pt>
                <c:pt idx="10">
                  <c:v>68.107500</c:v>
                </c:pt>
                <c:pt idx="11">
                  <c:v>61.098750</c:v>
                </c:pt>
                <c:pt idx="12">
                  <c:v>60.352500</c:v>
                </c:pt>
                <c:pt idx="13">
                  <c:v>64.752500</c:v>
                </c:pt>
                <c:pt idx="14">
                  <c:v>69.046250</c:v>
                </c:pt>
                <c:pt idx="15">
                  <c:v>131.177919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6.6667"/>
        <c:minorUnit val="2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9492"/>
          <c:y val="0.74887"/>
          <c:w val="0.38192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'MBTO.jk'!$Q$3</c:f>
              <c:strCache>
                <c:ptCount val="1"/>
                <c:pt idx="0">
                  <c:v>Margin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'MBTO.jk'!$Q$12:$Q$27</c:f>
              <c:numCache>
                <c:ptCount val="15"/>
                <c:pt idx="0">
                  <c:v>-0.181379</c:v>
                </c:pt>
                <c:pt idx="1">
                  <c:v>-0.179447</c:v>
                </c:pt>
                <c:pt idx="2">
                  <c:v>-0.112129</c:v>
                </c:pt>
                <c:pt idx="3">
                  <c:v>-0.076394</c:v>
                </c:pt>
                <c:pt idx="4">
                  <c:v>-0.120116</c:v>
                </c:pt>
                <c:pt idx="5">
                  <c:v>-0.118470</c:v>
                </c:pt>
                <c:pt idx="6">
                  <c:v>-0.192384</c:v>
                </c:pt>
                <c:pt idx="7">
                  <c:v>-0.629879</c:v>
                </c:pt>
                <c:pt idx="8">
                  <c:v>-0.720554</c:v>
                </c:pt>
                <c:pt idx="9">
                  <c:v>-0.885591</c:v>
                </c:pt>
                <c:pt idx="10">
                  <c:v>-0.817294</c:v>
                </c:pt>
                <c:pt idx="11">
                  <c:v>-0.702138</c:v>
                </c:pt>
                <c:pt idx="12">
                  <c:v>-0.577825</c:v>
                </c:pt>
                <c:pt idx="13">
                  <c:v>-0.503362</c:v>
                </c:pt>
                <c:pt idx="14">
                  <c:v>-0.361137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'MBTO.jk'!$R$12:$R$27</c:f>
              <c:numCache>
                <c:ptCount val="2"/>
                <c:pt idx="14">
                  <c:v>-0.361137</c:v>
                </c:pt>
                <c:pt idx="15">
                  <c:v>0.049121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0.1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333333"/>
        <c:minorUnit val="0.16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978033"/>
          <c:y val="0.748871"/>
          <c:w val="0.36122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881331"/>
          <c:y val="0.0446026"/>
          <c:w val="0.90264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'MBTO.jk'!$S$12:$S$27</c:f>
              <c:numCache>
                <c:ptCount val="15"/>
                <c:pt idx="0">
                  <c:v>-1.853750</c:v>
                </c:pt>
                <c:pt idx="1">
                  <c:v>-2.989500</c:v>
                </c:pt>
                <c:pt idx="2">
                  <c:v>-1.886000</c:v>
                </c:pt>
                <c:pt idx="3">
                  <c:v>-3.000000</c:v>
                </c:pt>
                <c:pt idx="4">
                  <c:v>-2.621975</c:v>
                </c:pt>
                <c:pt idx="5">
                  <c:v>-1.478725</c:v>
                </c:pt>
                <c:pt idx="6">
                  <c:v>-1.044750</c:v>
                </c:pt>
                <c:pt idx="7">
                  <c:v>-1.191250</c:v>
                </c:pt>
                <c:pt idx="8">
                  <c:v>-2.823025</c:v>
                </c:pt>
                <c:pt idx="9">
                  <c:v>-2.487275</c:v>
                </c:pt>
                <c:pt idx="10">
                  <c:v>11.008750</c:v>
                </c:pt>
                <c:pt idx="11">
                  <c:v>12.375000</c:v>
                </c:pt>
                <c:pt idx="12">
                  <c:v>10.925000</c:v>
                </c:pt>
                <c:pt idx="13">
                  <c:v>7.399250</c:v>
                </c:pt>
                <c:pt idx="14">
                  <c:v>-3.950000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'MBTO.jk'!$T$12:$T$27</c:f>
              <c:numCache>
                <c:ptCount val="4"/>
                <c:pt idx="12">
                  <c:v>2.216813</c:v>
                </c:pt>
                <c:pt idx="13">
                  <c:v>2.478357</c:v>
                </c:pt>
                <c:pt idx="14">
                  <c:v>-0.400000</c:v>
                </c:pt>
                <c:pt idx="15">
                  <c:v>6.843644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.33333"/>
        <c:minorUnit val="3.1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96789"/>
          <c:y val="0.102877"/>
          <c:w val="0.38506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'MBTO.jk'!$U$12:$U$27</c:f>
              <c:numCache>
                <c:ptCount val="15"/>
                <c:pt idx="0">
                  <c:v>-75.000000</c:v>
                </c:pt>
                <c:pt idx="1">
                  <c:v>-79.000000</c:v>
                </c:pt>
                <c:pt idx="2">
                  <c:v>-83.000000</c:v>
                </c:pt>
                <c:pt idx="3">
                  <c:v>-87.000000</c:v>
                </c:pt>
                <c:pt idx="4">
                  <c:v>-85.883000</c:v>
                </c:pt>
                <c:pt idx="5">
                  <c:v>-86.293000</c:v>
                </c:pt>
                <c:pt idx="6">
                  <c:v>-92.000000</c:v>
                </c:pt>
                <c:pt idx="7">
                  <c:v>-91.300000</c:v>
                </c:pt>
                <c:pt idx="8">
                  <c:v>-97.500000</c:v>
                </c:pt>
                <c:pt idx="9">
                  <c:v>-94.800000</c:v>
                </c:pt>
                <c:pt idx="10">
                  <c:v>-64.700000</c:v>
                </c:pt>
                <c:pt idx="11">
                  <c:v>-42.500000</c:v>
                </c:pt>
                <c:pt idx="12">
                  <c:v>-53.400000</c:v>
                </c:pt>
                <c:pt idx="13">
                  <c:v>-65.500000</c:v>
                </c:pt>
                <c:pt idx="14">
                  <c:v>-64.300000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'MBTO.jk'!$V$12:$V$27</c:f>
              <c:numCache>
                <c:ptCount val="2"/>
                <c:pt idx="14">
                  <c:v>-64.300000</c:v>
                </c:pt>
                <c:pt idx="15">
                  <c:v>-36.925425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3.3333"/>
        <c:minorUnit val="1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7716"/>
          <c:y val="0.130315"/>
          <c:w val="0.33898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607"/>
          <c:y val="0.0446026"/>
          <c:w val="0.85415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'MBTO.jk'!$Y$3</c:f>
              <c:strCache>
                <c:ptCount val="1"/>
                <c:pt idx="0">
                  <c:v>MBTO.jk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'MBTO.jk'!$Y$12:$Y$28</c:f>
              <c:numCache>
                <c:ptCount val="16"/>
                <c:pt idx="0">
                  <c:v>145.000000</c:v>
                </c:pt>
                <c:pt idx="1">
                  <c:v>135.000000</c:v>
                </c:pt>
                <c:pt idx="2">
                  <c:v>121.000000</c:v>
                </c:pt>
                <c:pt idx="3">
                  <c:v>94.000000</c:v>
                </c:pt>
                <c:pt idx="4">
                  <c:v>70.000000</c:v>
                </c:pt>
                <c:pt idx="5">
                  <c:v>63.000000</c:v>
                </c:pt>
                <c:pt idx="6">
                  <c:v>77.000000</c:v>
                </c:pt>
                <c:pt idx="7">
                  <c:v>95.000000</c:v>
                </c:pt>
                <c:pt idx="8">
                  <c:v>112.000000</c:v>
                </c:pt>
                <c:pt idx="9">
                  <c:v>150.000000</c:v>
                </c:pt>
                <c:pt idx="10">
                  <c:v>124.000000</c:v>
                </c:pt>
                <c:pt idx="11">
                  <c:v>146.000000</c:v>
                </c:pt>
                <c:pt idx="12">
                  <c:v>121.000000</c:v>
                </c:pt>
                <c:pt idx="13">
                  <c:v>111.000000</c:v>
                </c:pt>
                <c:pt idx="14">
                  <c:v>121.000000</c:v>
                </c:pt>
                <c:pt idx="15">
                  <c:v>125.000000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'MBTO.jk'!$Z$12:$Z$28</c:f>
              <c:numCache>
                <c:ptCount val="2"/>
                <c:pt idx="15">
                  <c:v>153.502287</c:v>
                </c:pt>
                <c:pt idx="16">
                  <c:v>166.294149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0"/>
        <c:minorUnit val="3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5767"/>
          <c:y val="0.709812"/>
          <c:w val="0.35378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BHIT lower sales, cheap</a:t>
            </a:r>
          </a:p>
        </c:rich>
      </c:tx>
      <c:layout>
        <c:manualLayout>
          <c:xMode val="edge"/>
          <c:yMode val="edge"/>
          <c:x val="0.262967"/>
          <c:y val="0"/>
          <c:w val="0.47406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'BHIT.jk'!$AC$138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'BHIT.jk'!$AD$47:$AH$47</c:f>
              <c:strCache>
                <c:ptCount val="0"/>
              </c:strCache>
            </c:strRef>
          </c:cat>
          <c:val>
            <c:numRef>
              <c:f>'BHIT.jk'!$AD$138:$AH$138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'BHIT.jk'!$AC$139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'BHIT.jk'!$AD$47:$AH$47</c:f>
              <c:strCache>
                <c:ptCount val="0"/>
              </c:strCache>
            </c:strRef>
          </c:cat>
          <c:val>
            <c:numRef>
              <c:f>'BHIT.jk'!$AD$139:$AH$139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'BHIT.jk'!$AC$137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'BHIT.jk'!$AD$47:$AH$47</c:f>
              <c:strCache>
                <c:ptCount val="0"/>
              </c:strCache>
            </c:strRef>
          </c:cat>
          <c:val>
            <c:numRef>
              <c:f>'BHIT.jk'!$AD$137:$AH$137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3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66.667"/>
        <c:minorUnit val="2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600"/>
        <c:minorUnit val="3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89178"/>
          <c:y val="0.716066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'MBTO.jk'!$W$3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'MBTO.jk'!$W$12:$W$27</c:f>
              <c:numCache>
                <c:ptCount val="15"/>
                <c:pt idx="0">
                  <c:v>-354.000000</c:v>
                </c:pt>
                <c:pt idx="1">
                  <c:v>-328.000000</c:v>
                </c:pt>
                <c:pt idx="2">
                  <c:v>-325.000000</c:v>
                </c:pt>
                <c:pt idx="3">
                  <c:v>-353.000000</c:v>
                </c:pt>
                <c:pt idx="4">
                  <c:v>-376.423000</c:v>
                </c:pt>
                <c:pt idx="5">
                  <c:v>-383.000000</c:v>
                </c:pt>
                <c:pt idx="6">
                  <c:v>-364.000000</c:v>
                </c:pt>
                <c:pt idx="7">
                  <c:v>-391.000000</c:v>
                </c:pt>
                <c:pt idx="8">
                  <c:v>-399.000000</c:v>
                </c:pt>
                <c:pt idx="9">
                  <c:v>-428.000000</c:v>
                </c:pt>
                <c:pt idx="10">
                  <c:v>-447.000000</c:v>
                </c:pt>
                <c:pt idx="11">
                  <c:v>-271.000000</c:v>
                </c:pt>
                <c:pt idx="12">
                  <c:v>-272.000000</c:v>
                </c:pt>
                <c:pt idx="13">
                  <c:v>-305.000000</c:v>
                </c:pt>
                <c:pt idx="14">
                  <c:v>-326.000000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'MBTO.jk'!$X$3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'MBTO.jk'!$B$12:$B$27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'MBTO.jk'!$X$12:$X$27</c:f>
              <c:numCache>
                <c:ptCount val="4"/>
                <c:pt idx="12">
                  <c:v>-439.535556</c:v>
                </c:pt>
                <c:pt idx="13">
                  <c:v>-439.535556</c:v>
                </c:pt>
                <c:pt idx="14">
                  <c:v>-301.166900</c:v>
                </c:pt>
                <c:pt idx="15">
                  <c:v>-298.625425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3.333"/>
        <c:minorUnit val="7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6435"/>
          <c:y val="0.102877"/>
          <c:w val="0.41830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MDKA less negative Cashflow </a:t>
            </a:r>
          </a:p>
        </c:rich>
      </c:tx>
      <c:layout>
        <c:manualLayout>
          <c:xMode val="edge"/>
          <c:yMode val="edge"/>
          <c:x val="0.204315"/>
          <c:y val="0"/>
          <c:w val="0.59136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'MDKA.jk'!$AC$138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'MDKA.jk'!$AD$47:$AH$47</c:f>
              <c:strCache>
                <c:ptCount val="0"/>
              </c:strCache>
            </c:strRef>
          </c:cat>
          <c:val>
            <c:numRef>
              <c:f>'MDKA.jk'!$AD$138:$AH$138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'MDKA.jk'!$AC$139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'MDKA.jk'!$AD$47:$AH$47</c:f>
              <c:strCache>
                <c:ptCount val="0"/>
              </c:strCache>
            </c:strRef>
          </c:cat>
          <c:val>
            <c:numRef>
              <c:f>'MDKA.jk'!$AD$139:$AH$139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'MDKA.jk'!$AC$137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'MDKA.jk'!$AD$47:$AH$47</c:f>
              <c:strCache>
                <c:ptCount val="0"/>
              </c:strCache>
            </c:strRef>
          </c:cat>
          <c:val>
            <c:numRef>
              <c:f>'MDKA.jk'!$AD$137:$AH$137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6.67"/>
        <c:minorUnit val="8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187.5"/>
        <c:minorUnit val="1093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786"/>
          <c:y val="0.732472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MEDC at 2X cashflow</a:t>
            </a:r>
          </a:p>
        </c:rich>
      </c:tx>
      <c:layout>
        <c:manualLayout>
          <c:xMode val="edge"/>
          <c:yMode val="edge"/>
          <c:x val="0.297905"/>
          <c:y val="0"/>
          <c:w val="0.40419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6629"/>
          <c:y val="0.0918283"/>
          <c:w val="0.691563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'MEDC.jk'!$AC$138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'MEDC.jk'!$AD$47:$AH$47</c:f>
              <c:strCache>
                <c:ptCount val="0"/>
              </c:strCache>
            </c:strRef>
          </c:cat>
          <c:val>
            <c:numRef>
              <c:f>'MEDC.jk'!$AD$138:$AH$138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'MEDC.jk'!$AC$139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'MEDC.jk'!$AD$47:$AH$47</c:f>
              <c:strCache>
                <c:ptCount val="0"/>
              </c:strCache>
            </c:strRef>
          </c:cat>
          <c:val>
            <c:numRef>
              <c:f>'MEDC.jk'!$AD$139:$AH$139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'MEDC.jk'!$AC$137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'MEDC.jk'!$AD$47:$AH$47</c:f>
              <c:strCache>
                <c:ptCount val="0"/>
              </c:strCache>
            </c:strRef>
          </c:cat>
          <c:val>
            <c:numRef>
              <c:f>'MEDC.jk'!$AD$137:$AH$137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666.67"/>
        <c:minorUnit val="1833.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0"/>
        <c:minorUnit val="18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9884"/>
          <c:y val="0.147888"/>
          <c:w val="0.35733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'MEGA.jk'!$N$4:$N$19</c:f>
              <c:numCache>
                <c:ptCount val="15"/>
                <c:pt idx="0">
                  <c:v>560.000000</c:v>
                </c:pt>
                <c:pt idx="1">
                  <c:v>1135.500000</c:v>
                </c:pt>
                <c:pt idx="2">
                  <c:v>1719.750000</c:v>
                </c:pt>
                <c:pt idx="3">
                  <c:v>2344.000000</c:v>
                </c:pt>
                <c:pt idx="4">
                  <c:v>2387.500000</c:v>
                </c:pt>
                <c:pt idx="5">
                  <c:v>2397.000000</c:v>
                </c:pt>
                <c:pt idx="6">
                  <c:v>2395.250000</c:v>
                </c:pt>
                <c:pt idx="7">
                  <c:v>2416.000000</c:v>
                </c:pt>
                <c:pt idx="8">
                  <c:v>2398.500000</c:v>
                </c:pt>
                <c:pt idx="9">
                  <c:v>2441.250000</c:v>
                </c:pt>
                <c:pt idx="10">
                  <c:v>2499.750000</c:v>
                </c:pt>
                <c:pt idx="11">
                  <c:v>2557.750000</c:v>
                </c:pt>
                <c:pt idx="12">
                  <c:v>2560.925000</c:v>
                </c:pt>
                <c:pt idx="13">
                  <c:v>2580.925000</c:v>
                </c:pt>
                <c:pt idx="14">
                  <c:v>2689.475000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'MEGA.jk'!$O$3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'MEGA.jk'!$O$4:$O$19</c:f>
              <c:numCache>
                <c:ptCount val="4"/>
                <c:pt idx="12">
                  <c:v>2783.880000</c:v>
                </c:pt>
                <c:pt idx="13">
                  <c:v>2558.506500</c:v>
                </c:pt>
                <c:pt idx="14">
                  <c:v>2483.382000</c:v>
                </c:pt>
                <c:pt idx="15">
                  <c:v>3050.738928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00"/>
        <c:minorUnit val="7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6637"/>
          <c:y val="0.138063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'MEGA.jk'!$Q$3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'MEGA.jk'!$Q$4:$Q$19</c:f>
              <c:numCache>
                <c:ptCount val="12"/>
                <c:pt idx="3">
                  <c:v>-0.767491</c:v>
                </c:pt>
                <c:pt idx="4">
                  <c:v>-0.741754</c:v>
                </c:pt>
                <c:pt idx="5">
                  <c:v>-0.730861</c:v>
                </c:pt>
                <c:pt idx="6">
                  <c:v>-0.716235</c:v>
                </c:pt>
                <c:pt idx="7">
                  <c:v>-0.645695</c:v>
                </c:pt>
                <c:pt idx="8">
                  <c:v>-0.643579</c:v>
                </c:pt>
                <c:pt idx="9">
                  <c:v>-0.618638</c:v>
                </c:pt>
                <c:pt idx="10">
                  <c:v>-0.585709</c:v>
                </c:pt>
                <c:pt idx="11">
                  <c:v>-0.571987</c:v>
                </c:pt>
                <c:pt idx="12">
                  <c:v>-0.572679</c:v>
                </c:pt>
                <c:pt idx="13">
                  <c:v>-0.574610</c:v>
                </c:pt>
                <c:pt idx="14">
                  <c:v>-0.575275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'MEGA.jk'!$R$3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'MEGA.jk'!$R$4:$R$19</c:f>
              <c:numCache>
                <c:ptCount val="4"/>
                <c:pt idx="12">
                  <c:v>-0.577474</c:v>
                </c:pt>
                <c:pt idx="13">
                  <c:v>-0.577474</c:v>
                </c:pt>
                <c:pt idx="14">
                  <c:v>-0.578120</c:v>
                </c:pt>
                <c:pt idx="15">
                  <c:v>-0.575275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-0.47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11"/>
        <c:minorUnit val="0.05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7596"/>
          <c:y val="0.138063"/>
          <c:w val="0.49037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'MEGA.jk'!$S$4:$S$19</c:f>
              <c:numCache>
                <c:ptCount val="15"/>
                <c:pt idx="0">
                  <c:v>-216.250000</c:v>
                </c:pt>
                <c:pt idx="1">
                  <c:v>-404.000000</c:v>
                </c:pt>
                <c:pt idx="2">
                  <c:v>-373.500000</c:v>
                </c:pt>
                <c:pt idx="3">
                  <c:v>1699.500000</c:v>
                </c:pt>
                <c:pt idx="4">
                  <c:v>2090.750000</c:v>
                </c:pt>
                <c:pt idx="5">
                  <c:v>535.500000</c:v>
                </c:pt>
                <c:pt idx="6">
                  <c:v>25.500000</c:v>
                </c:pt>
                <c:pt idx="7">
                  <c:v>-1369.500000</c:v>
                </c:pt>
                <c:pt idx="8">
                  <c:v>-1454.500000</c:v>
                </c:pt>
                <c:pt idx="9">
                  <c:v>1389.750000</c:v>
                </c:pt>
                <c:pt idx="10">
                  <c:v>2437.250000</c:v>
                </c:pt>
                <c:pt idx="11">
                  <c:v>2999.250000</c:v>
                </c:pt>
                <c:pt idx="12">
                  <c:v>1945.825000</c:v>
                </c:pt>
                <c:pt idx="13">
                  <c:v>1090.125000</c:v>
                </c:pt>
                <c:pt idx="14">
                  <c:v>-91.475000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'MEGA.jk'!$T$3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'MEGA.jk'!$T$4:$T$19</c:f>
              <c:numCache>
                <c:ptCount val="4"/>
                <c:pt idx="12">
                  <c:v>1006.375099</c:v>
                </c:pt>
                <c:pt idx="13">
                  <c:v>1006.375099</c:v>
                </c:pt>
                <c:pt idx="14">
                  <c:v>840.897429</c:v>
                </c:pt>
                <c:pt idx="15">
                  <c:v>902.005353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1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66.67"/>
        <c:minorUnit val="78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02225"/>
          <c:y val="0.106682"/>
          <c:w val="0.40953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'MEGA.jk'!$U$4:$U$19</c:f>
              <c:numCache>
                <c:ptCount val="15"/>
                <c:pt idx="0">
                  <c:v>-430.000000</c:v>
                </c:pt>
                <c:pt idx="1">
                  <c:v>800.000000</c:v>
                </c:pt>
                <c:pt idx="2">
                  <c:v>600.000000</c:v>
                </c:pt>
                <c:pt idx="3">
                  <c:v>800.000000</c:v>
                </c:pt>
                <c:pt idx="4">
                  <c:v>800.000000</c:v>
                </c:pt>
                <c:pt idx="5">
                  <c:v>1751.000000</c:v>
                </c:pt>
                <c:pt idx="6">
                  <c:v>1751.000000</c:v>
                </c:pt>
                <c:pt idx="7">
                  <c:v>1470.000000</c:v>
                </c:pt>
                <c:pt idx="8">
                  <c:v>3851.000000</c:v>
                </c:pt>
                <c:pt idx="9">
                  <c:v>3851.000000</c:v>
                </c:pt>
                <c:pt idx="10">
                  <c:v>3851.000000</c:v>
                </c:pt>
                <c:pt idx="11">
                  <c:v>3847.000000</c:v>
                </c:pt>
                <c:pt idx="12">
                  <c:v>6932.000000</c:v>
                </c:pt>
                <c:pt idx="13">
                  <c:v>6187.200000</c:v>
                </c:pt>
                <c:pt idx="14">
                  <c:v>5333.200000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'MEGA.jk'!$V$3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'MEGA.jk'!$V$4:$V$19</c:f>
              <c:numCache>
                <c:ptCount val="2"/>
                <c:pt idx="14">
                  <c:v>5333.200000</c:v>
                </c:pt>
                <c:pt idx="15">
                  <c:v>6326.140066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71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533.33"/>
        <c:minorUnit val="12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5226"/>
          <c:y val="0.118991"/>
          <c:w val="0.33348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717"/>
          <c:y val="0.0446026"/>
          <c:w val="0.81307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'MEGA.jk'!$Y$3</c:f>
              <c:strCache>
                <c:ptCount val="1"/>
                <c:pt idx="0">
                  <c:v>MEGA.jk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'MEGA.jk'!$B$4:$B$20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'MEGA.jk'!$Y$4:$Y$20</c:f>
              <c:numCache>
                <c:ptCount val="16"/>
                <c:pt idx="0">
                  <c:v>5575.000000</c:v>
                </c:pt>
                <c:pt idx="1">
                  <c:v>5850.000000</c:v>
                </c:pt>
                <c:pt idx="2">
                  <c:v>6000.000000</c:v>
                </c:pt>
                <c:pt idx="3">
                  <c:v>6350.000000</c:v>
                </c:pt>
                <c:pt idx="4">
                  <c:v>6500.000000</c:v>
                </c:pt>
                <c:pt idx="5">
                  <c:v>6550.000000</c:v>
                </c:pt>
                <c:pt idx="6">
                  <c:v>7000.000000</c:v>
                </c:pt>
                <c:pt idx="7">
                  <c:v>7200.000000</c:v>
                </c:pt>
                <c:pt idx="8">
                  <c:v>8925.000000</c:v>
                </c:pt>
                <c:pt idx="9">
                  <c:v>7975.000000</c:v>
                </c:pt>
                <c:pt idx="10">
                  <c:v>8700.000000</c:v>
                </c:pt>
                <c:pt idx="11">
                  <c:v>8475.000000</c:v>
                </c:pt>
                <c:pt idx="12">
                  <c:v>6400.000000</c:v>
                </c:pt>
                <c:pt idx="13">
                  <c:v>5225.000000</c:v>
                </c:pt>
                <c:pt idx="14">
                  <c:v>5750.000000</c:v>
                </c:pt>
                <c:pt idx="15">
                  <c:v>5375.000000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'MEGA.jk'!$Z$3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'MEGA.jk'!$B$4:$B$20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'MEGA.jk'!$Z$4:$Z$20</c:f>
              <c:numCache>
                <c:ptCount val="5"/>
                <c:pt idx="12">
                  <c:v>12273.046542</c:v>
                </c:pt>
                <c:pt idx="13">
                  <c:v>12273.046542</c:v>
                </c:pt>
                <c:pt idx="14">
                  <c:v>6569.718905</c:v>
                </c:pt>
                <c:pt idx="15">
                  <c:v>12273.046542</c:v>
                </c:pt>
                <c:pt idx="16">
                  <c:v>4916.858234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333.33"/>
        <c:minorUnit val="21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4026"/>
          <c:y val="0.714656"/>
          <c:w val="0.336774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0329"/>
          <c:y val="0.0446026"/>
          <c:w val="0.722255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'MEGA.jk'!$F$3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'MEGA.jk'!$B$4:$B$18</c:f>
              <c:strCache>
                <c:ptCount val="0"/>
              </c:strCache>
            </c:strRef>
          </c:cat>
          <c:val>
            <c:numRef>
              <c:f>'MEGA.jk'!$F$4:$F$18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lineChart>
        <c:grouping val="standard"/>
        <c:varyColors val="0"/>
        <c:ser>
          <c:idx val="1"/>
          <c:order val="1"/>
          <c:tx>
            <c:strRef>
              <c:f>'MEGA.jk'!$G$3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'MEGA.jk'!$B$4:$B$18</c:f>
              <c:strCache>
                <c:ptCount val="0"/>
              </c:strCache>
            </c:strRef>
          </c:cat>
          <c:val>
            <c:numRef>
              <c:f>'MEGA.jk'!$G$4:$G$18</c:f>
              <c:numCach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'MEGA.jk'!$H$3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'MEGA.jk'!$B$4:$B$18</c:f>
              <c:strCache>
                <c:ptCount val="0"/>
              </c:strCache>
            </c:strRef>
          </c:cat>
          <c:val>
            <c:numRef>
              <c:f>'MEGA.jk'!$H$4:$H$18</c:f>
              <c:numCache>
                <c:ptCount val="0"/>
              </c:numCache>
            </c:numRef>
          </c:val>
          <c:smooth val="0"/>
        </c:ser>
        <c:marker val="1"/>
        <c:axId val="2094734555"/>
        <c:axId val="2094734556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000"/>
        <c:minorUnit val="30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  <c:min val="45000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1666.7"/>
        <c:minorUnit val="15833.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38522"/>
          <c:y val="0.726386"/>
          <c:w val="0.358082"/>
          <c:h val="0.15880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'MERK.jk'!$N$4:$N$19</c:f>
              <c:numCache>
                <c:ptCount val="15"/>
                <c:pt idx="0">
                  <c:v>40.750000</c:v>
                </c:pt>
                <c:pt idx="1">
                  <c:v>79.250000</c:v>
                </c:pt>
                <c:pt idx="2">
                  <c:v>124.500000</c:v>
                </c:pt>
                <c:pt idx="3">
                  <c:v>186.250000</c:v>
                </c:pt>
                <c:pt idx="4">
                  <c:v>186.000000</c:v>
                </c:pt>
                <c:pt idx="5">
                  <c:v>177.750000</c:v>
                </c:pt>
                <c:pt idx="6">
                  <c:v>171.750000</c:v>
                </c:pt>
                <c:pt idx="7">
                  <c:v>164.000000</c:v>
                </c:pt>
                <c:pt idx="8">
                  <c:v>186.750000</c:v>
                </c:pt>
                <c:pt idx="9">
                  <c:v>220.000000</c:v>
                </c:pt>
                <c:pt idx="10">
                  <c:v>250.500000</c:v>
                </c:pt>
                <c:pt idx="11">
                  <c:v>266.000000</c:v>
                </c:pt>
                <c:pt idx="12">
                  <c:v>278.250000</c:v>
                </c:pt>
                <c:pt idx="13">
                  <c:v>289.250000</c:v>
                </c:pt>
                <c:pt idx="14">
                  <c:v>286.800000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'MERK.jk'!$O$4:$O$19</c:f>
              <c:numCache>
                <c:ptCount val="3"/>
                <c:pt idx="13">
                  <c:v>292.940000</c:v>
                </c:pt>
                <c:pt idx="14">
                  <c:v>305.900000</c:v>
                </c:pt>
                <c:pt idx="15">
                  <c:v>285.710709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3.333"/>
        <c:minorUnit val="6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8124"/>
          <c:y val="0.727734"/>
          <c:w val="0.38192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BLTZ positive cashflow </a:t>
            </a:r>
          </a:p>
        </c:rich>
      </c:tx>
      <c:layout>
        <c:manualLayout>
          <c:xMode val="edge"/>
          <c:yMode val="edge"/>
          <c:x val="0.254331"/>
          <c:y val="0"/>
          <c:w val="0.49133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'BLTZ.jk'!$AC$138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'BLTZ.jk'!$AD$47:$AH$47</c:f>
              <c:strCache>
                <c:ptCount val="0"/>
              </c:strCache>
            </c:strRef>
          </c:cat>
          <c:val>
            <c:numRef>
              <c:f>'BLTZ.jk'!$AD$138:$AH$138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'BLTZ.jk'!$AC$139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'BLTZ.jk'!$AD$47:$AH$47</c:f>
              <c:strCache>
                <c:ptCount val="0"/>
              </c:strCache>
            </c:strRef>
          </c:cat>
          <c:val>
            <c:numRef>
              <c:f>'BLTZ.jk'!$AD$139:$AH$139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'BLTZ.jk'!$AC$137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'BLTZ.jk'!$AD$47:$AH$47</c:f>
              <c:strCache>
                <c:ptCount val="0"/>
              </c:strCache>
            </c:strRef>
          </c:cat>
          <c:val>
            <c:numRef>
              <c:f>'BLTZ.jk'!$AD$137:$AH$137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3.333"/>
        <c:minorUnit val="66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"/>
        <c:minorUnit val="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5822"/>
          <c:y val="0.140353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'MERK.jk'!$Q$3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'MERK.jk'!$Q$4:$Q$19</c:f>
              <c:numCache>
                <c:ptCount val="12"/>
                <c:pt idx="3">
                  <c:v>-0.865772</c:v>
                </c:pt>
                <c:pt idx="4">
                  <c:v>-0.831653</c:v>
                </c:pt>
                <c:pt idx="5">
                  <c:v>-0.816456</c:v>
                </c:pt>
                <c:pt idx="6">
                  <c:v>-0.789301</c:v>
                </c:pt>
                <c:pt idx="7">
                  <c:v>-0.842988</c:v>
                </c:pt>
                <c:pt idx="8">
                  <c:v>-0.838353</c:v>
                </c:pt>
                <c:pt idx="9">
                  <c:v>-0.826705</c:v>
                </c:pt>
                <c:pt idx="10">
                  <c:v>-0.835080</c:v>
                </c:pt>
                <c:pt idx="11">
                  <c:v>-0.847744</c:v>
                </c:pt>
                <c:pt idx="12">
                  <c:v>-0.847709</c:v>
                </c:pt>
                <c:pt idx="13">
                  <c:v>-0.828868</c:v>
                </c:pt>
                <c:pt idx="14">
                  <c:v>-0.834902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'MERK.jk'!$R$4:$R$19</c:f>
              <c:numCache>
                <c:ptCount val="3"/>
                <c:pt idx="13">
                  <c:v>-0.856299</c:v>
                </c:pt>
                <c:pt idx="14">
                  <c:v>-0.830865</c:v>
                </c:pt>
                <c:pt idx="15">
                  <c:v>-0.834902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333333"/>
        <c:minorUnit val="0.016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593636"/>
          <c:y val="0.140799"/>
          <c:w val="0.296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1557"/>
          <c:y val="0.0446026"/>
          <c:w val="0.8893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'MERK.jk'!$S$4:$S$19</c:f>
              <c:numCache>
                <c:ptCount val="12"/>
                <c:pt idx="3">
                  <c:v>-60.250000</c:v>
                </c:pt>
                <c:pt idx="4">
                  <c:v>-61.450000</c:v>
                </c:pt>
                <c:pt idx="5">
                  <c:v>2.475000</c:v>
                </c:pt>
                <c:pt idx="6">
                  <c:v>10.850000</c:v>
                </c:pt>
                <c:pt idx="7">
                  <c:v>7.750000</c:v>
                </c:pt>
                <c:pt idx="8">
                  <c:v>26.125000</c:v>
                </c:pt>
                <c:pt idx="9">
                  <c:v>47.950000</c:v>
                </c:pt>
                <c:pt idx="10">
                  <c:v>50.650000</c:v>
                </c:pt>
                <c:pt idx="11">
                  <c:v>29.250000</c:v>
                </c:pt>
                <c:pt idx="12">
                  <c:v>31.775000</c:v>
                </c:pt>
                <c:pt idx="13">
                  <c:v>17.750000</c:v>
                </c:pt>
                <c:pt idx="14">
                  <c:v>-0.100000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'MERK.jk'!$T$4:$T$19</c:f>
              <c:numCache>
                <c:ptCount val="3"/>
                <c:pt idx="13">
                  <c:v>47.923671</c:v>
                </c:pt>
                <c:pt idx="14">
                  <c:v>49.155475</c:v>
                </c:pt>
                <c:pt idx="15">
                  <c:v>45.820161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6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5"/>
        <c:minorUnit val="2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61687"/>
          <c:y val="0.104535"/>
          <c:w val="0.37939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'MERK.jk'!$U$4:$U$19</c:f>
              <c:numCache>
                <c:ptCount val="15"/>
                <c:pt idx="0">
                  <c:v>1.300000</c:v>
                </c:pt>
                <c:pt idx="1">
                  <c:v>1.300000</c:v>
                </c:pt>
                <c:pt idx="2">
                  <c:v>1.300000</c:v>
                </c:pt>
                <c:pt idx="3">
                  <c:v>1.000000</c:v>
                </c:pt>
                <c:pt idx="4">
                  <c:v>1.500000</c:v>
                </c:pt>
                <c:pt idx="5">
                  <c:v>1.500000</c:v>
                </c:pt>
                <c:pt idx="6">
                  <c:v>60.000000</c:v>
                </c:pt>
                <c:pt idx="7">
                  <c:v>59.000000</c:v>
                </c:pt>
                <c:pt idx="8">
                  <c:v>60.100000</c:v>
                </c:pt>
                <c:pt idx="9">
                  <c:v>60.200000</c:v>
                </c:pt>
                <c:pt idx="10">
                  <c:v>115.000000</c:v>
                </c:pt>
                <c:pt idx="11">
                  <c:v>114.000000</c:v>
                </c:pt>
                <c:pt idx="12">
                  <c:v>114.400000</c:v>
                </c:pt>
                <c:pt idx="13">
                  <c:v>221.000000</c:v>
                </c:pt>
                <c:pt idx="14">
                  <c:v>221.100000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'MERK.jk'!$V$4:$V$19</c:f>
              <c:numCache>
                <c:ptCount val="2"/>
                <c:pt idx="14">
                  <c:v>221.100000</c:v>
                </c:pt>
                <c:pt idx="15">
                  <c:v>394.367274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3.333"/>
        <c:minorUnit val="6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115"/>
          <c:y val="0.130315"/>
          <c:w val="0.34394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'MERK.jk'!$Y$3</c:f>
              <c:strCache>
                <c:ptCount val="1"/>
                <c:pt idx="0">
                  <c:v>MERK.jk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'MERK.jk'!$B$4:$B$20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'MERK.jk'!$Y$4:$Y$20</c:f>
              <c:numCache>
                <c:ptCount val="16"/>
                <c:pt idx="0">
                  <c:v>3990.000000</c:v>
                </c:pt>
                <c:pt idx="1">
                  <c:v>3980.000000</c:v>
                </c:pt>
                <c:pt idx="2">
                  <c:v>2810.000000</c:v>
                </c:pt>
                <c:pt idx="3">
                  <c:v>2850.000000</c:v>
                </c:pt>
                <c:pt idx="4">
                  <c:v>1740.000000</c:v>
                </c:pt>
                <c:pt idx="5">
                  <c:v>2750.000000</c:v>
                </c:pt>
                <c:pt idx="6">
                  <c:v>2910.000000</c:v>
                </c:pt>
                <c:pt idx="7">
                  <c:v>3280.000000</c:v>
                </c:pt>
                <c:pt idx="8">
                  <c:v>3170.000000</c:v>
                </c:pt>
                <c:pt idx="9">
                  <c:v>3300.000000</c:v>
                </c:pt>
                <c:pt idx="10">
                  <c:v>3290.000000</c:v>
                </c:pt>
                <c:pt idx="11">
                  <c:v>3690.000000</c:v>
                </c:pt>
                <c:pt idx="12">
                  <c:v>4010.000000</c:v>
                </c:pt>
                <c:pt idx="13">
                  <c:v>4080.000000</c:v>
                </c:pt>
                <c:pt idx="14">
                  <c:v>5000.000000</c:v>
                </c:pt>
                <c:pt idx="15">
                  <c:v>4790.000000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'MERK.jk'!$B$4:$B$20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'MERK.jk'!$Z$4:$Z$20</c:f>
              <c:numCache>
                <c:ptCount val="3"/>
                <c:pt idx="14">
                  <c:v>8777.763371</c:v>
                </c:pt>
                <c:pt idx="15">
                  <c:v>8557.798441</c:v>
                </c:pt>
                <c:pt idx="16">
                  <c:v>7773.062965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000"/>
        <c:minorUnit val="1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2804"/>
          <c:y val="0.13031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19654"/>
          <c:y val="0.0446026"/>
          <c:w val="0.86799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'MERK.jk'!$W$3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'MERK.jk'!$W$4:$W$19</c:f>
              <c:numCache>
                <c:ptCount val="15"/>
                <c:pt idx="0">
                  <c:v>-359.000000</c:v>
                </c:pt>
                <c:pt idx="1">
                  <c:v>-246.000000</c:v>
                </c:pt>
                <c:pt idx="2">
                  <c:v>-183.000000</c:v>
                </c:pt>
                <c:pt idx="3">
                  <c:v>-145.000000</c:v>
                </c:pt>
                <c:pt idx="4">
                  <c:v>-216.000000</c:v>
                </c:pt>
                <c:pt idx="5">
                  <c:v>-241.000000</c:v>
                </c:pt>
                <c:pt idx="6">
                  <c:v>-264.000000</c:v>
                </c:pt>
                <c:pt idx="7">
                  <c:v>-182.000000</c:v>
                </c:pt>
                <c:pt idx="8">
                  <c:v>-57.000000</c:v>
                </c:pt>
                <c:pt idx="9">
                  <c:v>-26.000000</c:v>
                </c:pt>
                <c:pt idx="10">
                  <c:v>-32.000000</c:v>
                </c:pt>
                <c:pt idx="11">
                  <c:v>-146.000000</c:v>
                </c:pt>
                <c:pt idx="12">
                  <c:v>-77.000000</c:v>
                </c:pt>
                <c:pt idx="13">
                  <c:v>-160.000000</c:v>
                </c:pt>
                <c:pt idx="14">
                  <c:v>-115.000000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'MERK.jk'!$X$3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'MERK.jk'!$B$4:$B$19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'MERK.jk'!$X$4:$X$19</c:f>
              <c:numCache>
                <c:ptCount val="3"/>
                <c:pt idx="13">
                  <c:v>41.391718</c:v>
                </c:pt>
                <c:pt idx="14">
                  <c:v>-142.416259</c:v>
                </c:pt>
                <c:pt idx="15">
                  <c:v>-63.250538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66.667"/>
        <c:minorUnit val="8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583153"/>
          <c:y val="0.741654"/>
          <c:w val="0.41684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META more negative cashflow</a:t>
            </a:r>
          </a:p>
        </c:rich>
      </c:tx>
      <c:layout>
        <c:manualLayout>
          <c:xMode val="edge"/>
          <c:yMode val="edge"/>
          <c:x val="0.187995"/>
          <c:y val="0"/>
          <c:w val="0.62400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'META.jk'!$AC$138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'META.jk'!$AD$47:$AH$47</c:f>
              <c:strCache>
                <c:ptCount val="0"/>
              </c:strCache>
            </c:strRef>
          </c:cat>
          <c:val>
            <c:numRef>
              <c:f>'META.jk'!$AD$138:$AH$138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'META.jk'!$AC$139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'META.jk'!$AD$47:$AH$47</c:f>
              <c:strCache>
                <c:ptCount val="0"/>
              </c:strCache>
            </c:strRef>
          </c:cat>
          <c:val>
            <c:numRef>
              <c:f>'META.jk'!$AD$139:$AH$139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'META.jk'!$AC$137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'META.jk'!$AD$47:$AH$47</c:f>
              <c:strCache>
                <c:ptCount val="0"/>
              </c:strCache>
            </c:strRef>
          </c:cat>
          <c:val>
            <c:numRef>
              <c:f>'META.jk'!$AD$137:$AH$137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70"/>
        <c:minorUnit val="3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2676"/>
          <c:y val="0.713913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MGRO lower sales</a:t>
            </a:r>
          </a:p>
        </c:rich>
      </c:tx>
      <c:layout>
        <c:manualLayout>
          <c:xMode val="edge"/>
          <c:yMode val="edge"/>
          <c:x val="0.314243"/>
          <c:y val="0"/>
          <c:w val="0.37151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'MGRO.jk'!$AC$139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'MGRO.jk'!$AD$48:$AH$48</c:f>
              <c:strCache>
                <c:ptCount val="0"/>
              </c:strCache>
            </c:strRef>
          </c:cat>
          <c:val>
            <c:numRef>
              <c:f>'MGRO.jk'!$AD$139:$AH$139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'MGRO.jk'!$AC$140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'MGRO.jk'!$AD$48:$AH$48</c:f>
              <c:strCache>
                <c:ptCount val="0"/>
              </c:strCache>
            </c:strRef>
          </c:cat>
          <c:val>
            <c:numRef>
              <c:f>'MGRO.jk'!$AD$140:$AH$140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'MGRO.jk'!$AC$138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'MGRO.jk'!$AD$48:$AH$48</c:f>
              <c:strCache>
                <c:ptCount val="0"/>
              </c:strCache>
            </c:strRef>
          </c:cat>
          <c:val>
            <c:numRef>
              <c:f>'MGRO.jk'!$AD$138:$AH$138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866.667"/>
        <c:minorUnit val="4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"/>
        <c:minorUnit val="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0755359"/>
          <c:y val="0.7199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MLPL</a:t>
            </a:r>
          </a:p>
        </c:rich>
      </c:tx>
      <c:layout>
        <c:manualLayout>
          <c:xMode val="edge"/>
          <c:yMode val="edge"/>
          <c:x val="0.455431"/>
          <c:y val="0"/>
          <c:w val="0.117141"/>
          <c:h val="0.088053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4708"/>
          <c:y val="0.0880533"/>
          <c:w val="0.682299"/>
          <c:h val="0.84378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'MLPL.jk'!$AB$139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'MLPL.jk'!$AC$48:$AG$48</c:f>
              <c:strCache>
                <c:ptCount val="0"/>
              </c:strCache>
            </c:strRef>
          </c:cat>
          <c:val>
            <c:numRef>
              <c:f>'MLPL.jk'!$AC$139:$AG$139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'MLPL.jk'!$AB$140</c:f>
              <c:strCache/>
            </c:strRef>
          </c:tx>
          <c:spPr>
            <a:solidFill>
              <a:schemeClr val="accent4">
                <a:hueOff val="-461056"/>
                <a:satOff val="4338"/>
                <a:lumOff val="-10225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'MLPL.jk'!$AC$48:$AG$48</c:f>
              <c:strCache>
                <c:ptCount val="0"/>
              </c:strCache>
            </c:strRef>
          </c:cat>
          <c:val>
            <c:numRef>
              <c:f>'MLPL.jk'!$AC$140:$AG$140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'MLPL.jk'!$AB$138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'MLPL.jk'!$AC$48:$AG$48</c:f>
              <c:strCache>
                <c:ptCount val="0"/>
              </c:strCache>
            </c:strRef>
          </c:cat>
          <c:val>
            <c:numRef>
              <c:f>'MLPL.jk'!$AC$138:$AG$138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966.667"/>
        <c:minorUnit val="48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612.5"/>
        <c:minorUnit val="306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712947"/>
          <c:w val="0.376757"/>
          <c:h val="0.14696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MLPT cashflow more positive </a:t>
            </a:r>
          </a:p>
        </c:rich>
      </c:tx>
      <c:layout>
        <c:manualLayout>
          <c:xMode val="edge"/>
          <c:yMode val="edge"/>
          <c:x val="0.199689"/>
          <c:y val="0"/>
          <c:w val="0.60062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'MLPT.jk'!$AE$141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'MLPT.jk'!$AF$47:$AJ$47</c:f>
              <c:strCache>
                <c:ptCount val="0"/>
              </c:strCache>
            </c:strRef>
          </c:cat>
          <c:val>
            <c:numRef>
              <c:f>'MLPT.jk'!$AF$141:$AJ$141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'MLPT.jk'!$AE$142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'MLPT.jk'!$AF$47:$AJ$47</c:f>
              <c:strCache>
                <c:ptCount val="0"/>
              </c:strCache>
            </c:strRef>
          </c:cat>
          <c:val>
            <c:numRef>
              <c:f>'MLPT.jk'!$AF$142:$AJ$142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'MLPT.jk'!$AE$140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'MLPT.jk'!$AF$47:$AJ$47</c:f>
              <c:strCache>
                <c:ptCount val="0"/>
              </c:strCache>
            </c:strRef>
          </c:cat>
          <c:val>
            <c:numRef>
              <c:f>'MLPT.jk'!$AF$140:$AJ$140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66.667"/>
        <c:minorUnit val="18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00"/>
        <c:minorUnit val="1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1195"/>
          <c:y val="0.7324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MLPT coming up nicely</a:t>
            </a:r>
          </a:p>
        </c:rich>
      </c:tx>
      <c:layout>
        <c:manualLayout>
          <c:xMode val="edge"/>
          <c:yMode val="edge"/>
          <c:x val="0.224609"/>
          <c:y val="0"/>
          <c:w val="0.55078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'MLPT.jk'!$V$3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'MLPT.jk'!$V$4:$V$26</c:f>
              <c:numCache>
                <c:ptCount val="23"/>
                <c:pt idx="0">
                  <c:v>7.100000</c:v>
                </c:pt>
                <c:pt idx="1">
                  <c:v>-29.800000</c:v>
                </c:pt>
                <c:pt idx="2">
                  <c:v>-128.500000</c:v>
                </c:pt>
                <c:pt idx="3">
                  <c:v>92.400000</c:v>
                </c:pt>
                <c:pt idx="4">
                  <c:v>25.400000</c:v>
                </c:pt>
                <c:pt idx="5">
                  <c:v>-61.830000</c:v>
                </c:pt>
                <c:pt idx="6">
                  <c:v>-53.960000</c:v>
                </c:pt>
                <c:pt idx="7">
                  <c:v>56.240000</c:v>
                </c:pt>
                <c:pt idx="8">
                  <c:v>52.940000</c:v>
                </c:pt>
                <c:pt idx="9">
                  <c:v>39.640000</c:v>
                </c:pt>
                <c:pt idx="10">
                  <c:v>-275.260000</c:v>
                </c:pt>
                <c:pt idx="11">
                  <c:v>-153.760000</c:v>
                </c:pt>
                <c:pt idx="12">
                  <c:v>-116.460000</c:v>
                </c:pt>
                <c:pt idx="13">
                  <c:v>-48.460000</c:v>
                </c:pt>
                <c:pt idx="14">
                  <c:v>-79.560000</c:v>
                </c:pt>
                <c:pt idx="15">
                  <c:v>289.540000</c:v>
                </c:pt>
                <c:pt idx="16">
                  <c:v>239.140000</c:v>
                </c:pt>
                <c:pt idx="17">
                  <c:v>306.840000</c:v>
                </c:pt>
                <c:pt idx="18">
                  <c:v>304.040000</c:v>
                </c:pt>
                <c:pt idx="19">
                  <c:v>634.740000</c:v>
                </c:pt>
                <c:pt idx="20">
                  <c:v>311.840000</c:v>
                </c:pt>
                <c:pt idx="21">
                  <c:v>542.640000</c:v>
                </c:pt>
                <c:pt idx="22">
                  <c:v>811.340000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'MLPT.jk'!$W$3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'MLPT.jk'!$W$4:$W$26</c:f>
              <c:numCache>
                <c:ptCount val="23"/>
                <c:pt idx="0">
                  <c:v>14.750000</c:v>
                </c:pt>
                <c:pt idx="1">
                  <c:v>29.500000</c:v>
                </c:pt>
                <c:pt idx="2">
                  <c:v>44.250000</c:v>
                </c:pt>
                <c:pt idx="3">
                  <c:v>59.000000</c:v>
                </c:pt>
                <c:pt idx="4">
                  <c:v>62.000000</c:v>
                </c:pt>
                <c:pt idx="5">
                  <c:v>65.000000</c:v>
                </c:pt>
                <c:pt idx="6">
                  <c:v>68.000000</c:v>
                </c:pt>
                <c:pt idx="7">
                  <c:v>71.000000</c:v>
                </c:pt>
                <c:pt idx="8">
                  <c:v>71.943750</c:v>
                </c:pt>
                <c:pt idx="9">
                  <c:v>72.887500</c:v>
                </c:pt>
                <c:pt idx="10">
                  <c:v>73.831250</c:v>
                </c:pt>
                <c:pt idx="11">
                  <c:v>74.775000</c:v>
                </c:pt>
                <c:pt idx="12">
                  <c:v>129.368750</c:v>
                </c:pt>
                <c:pt idx="13">
                  <c:v>183.962500</c:v>
                </c:pt>
                <c:pt idx="14">
                  <c:v>238.556250</c:v>
                </c:pt>
                <c:pt idx="15">
                  <c:v>293.150000</c:v>
                </c:pt>
                <c:pt idx="16">
                  <c:v>309.400000</c:v>
                </c:pt>
                <c:pt idx="17">
                  <c:v>533.943000</c:v>
                </c:pt>
                <c:pt idx="18">
                  <c:v>559.589000</c:v>
                </c:pt>
                <c:pt idx="19">
                  <c:v>577.150000</c:v>
                </c:pt>
                <c:pt idx="20">
                  <c:v>751.550000</c:v>
                </c:pt>
                <c:pt idx="21">
                  <c:v>841.750000</c:v>
                </c:pt>
                <c:pt idx="22">
                  <c:v>1138.150000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'MLPT.jk'!$X$3</c:f>
              <c:strCache>
                <c:ptCount val="1"/>
                <c:pt idx="0">
                  <c:v>MLPT.jk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'MLPT.jk'!$B$4:$B$26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'MLPT.jk'!$X$4:$X$26</c:f>
              <c:numCache>
                <c:ptCount val="23"/>
                <c:pt idx="0">
                  <c:v>3684.375126</c:v>
                </c:pt>
                <c:pt idx="1">
                  <c:v>3684.375126</c:v>
                </c:pt>
                <c:pt idx="2">
                  <c:v>3684.375126</c:v>
                </c:pt>
                <c:pt idx="3">
                  <c:v>3684.375126</c:v>
                </c:pt>
                <c:pt idx="4">
                  <c:v>3684.375126</c:v>
                </c:pt>
                <c:pt idx="5">
                  <c:v>3684.375126</c:v>
                </c:pt>
                <c:pt idx="6">
                  <c:v>3684.375126</c:v>
                </c:pt>
                <c:pt idx="7">
                  <c:v>3684.375126</c:v>
                </c:pt>
                <c:pt idx="8">
                  <c:v>3684.375126</c:v>
                </c:pt>
                <c:pt idx="9">
                  <c:v>3684.375126</c:v>
                </c:pt>
                <c:pt idx="10">
                  <c:v>3684.375126</c:v>
                </c:pt>
                <c:pt idx="11">
                  <c:v>3684.375126</c:v>
                </c:pt>
                <c:pt idx="12">
                  <c:v>3684.375126</c:v>
                </c:pt>
                <c:pt idx="13">
                  <c:v>3684.375126</c:v>
                </c:pt>
                <c:pt idx="14">
                  <c:v>3684.375126</c:v>
                </c:pt>
                <c:pt idx="15">
                  <c:v>3684.375126</c:v>
                </c:pt>
                <c:pt idx="16">
                  <c:v>3684.375126</c:v>
                </c:pt>
                <c:pt idx="17">
                  <c:v>3684.375126</c:v>
                </c:pt>
                <c:pt idx="18">
                  <c:v>3684.375126</c:v>
                </c:pt>
                <c:pt idx="19">
                  <c:v>3684.375126</c:v>
                </c:pt>
                <c:pt idx="20">
                  <c:v>3684.375126</c:v>
                </c:pt>
                <c:pt idx="21">
                  <c:v>3684.375126</c:v>
                </c:pt>
                <c:pt idx="22">
                  <c:v>3684.375126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8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83.33"/>
        <c:minorUnit val="69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4443"/>
          <c:y val="0.180481"/>
          <c:w val="0.40084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BMTR higher cashflow </a:t>
            </a:r>
          </a:p>
        </c:rich>
      </c:tx>
      <c:layout>
        <c:manualLayout>
          <c:xMode val="edge"/>
          <c:yMode val="edge"/>
          <c:x val="0.284087"/>
          <c:y val="0"/>
          <c:w val="0.43182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6629"/>
          <c:y val="0.0918283"/>
          <c:w val="0.691563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'BMRI.jk'!$AD$138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'BMRI.jk'!$AE$47:$AI$47</c:f>
              <c:strCache>
                <c:ptCount val="0"/>
              </c:strCache>
            </c:strRef>
          </c:cat>
          <c:val>
            <c:numRef>
              <c:f>'BMRI.jk'!$AE$138:$AI$138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'BMRI.jk'!$AD$139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'BMRI.jk'!$AE$47:$AI$47</c:f>
              <c:strCache>
                <c:ptCount val="0"/>
              </c:strCache>
            </c:strRef>
          </c:cat>
          <c:val>
            <c:numRef>
              <c:f>'BMRI.jk'!$AE$139:$AI$139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'BMRI.jk'!$AD$137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'BMRI.jk'!$AE$47:$AI$47</c:f>
              <c:strCache>
                <c:ptCount val="0"/>
              </c:strCache>
            </c:strRef>
          </c:cat>
          <c:val>
            <c:numRef>
              <c:f>'BMRI.jk'!$AE$137:$AI$137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3.33"/>
        <c:minorUnit val="1166.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00"/>
        <c:minorUnit val="7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9065"/>
          <c:y val="0.780312"/>
          <c:w val="0.41006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MPPA cashflow less positive </a:t>
            </a:r>
          </a:p>
        </c:rich>
      </c:tx>
      <c:layout>
        <c:manualLayout>
          <c:xMode val="edge"/>
          <c:yMode val="edge"/>
          <c:x val="0.207963"/>
          <c:y val="0"/>
          <c:w val="0.58407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'MPPA.jk'!$AC$141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'MPPA.jk'!$AD$47:$AH$47</c:f>
              <c:strCache>
                <c:ptCount val="0"/>
              </c:strCache>
            </c:strRef>
          </c:cat>
          <c:val>
            <c:numRef>
              <c:f>'MPPA.jk'!$AD$141:$AH$141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'MPPA.jk'!$AC$142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'MPPA.jk'!$AD$47:$AH$47</c:f>
              <c:strCache>
                <c:ptCount val="0"/>
              </c:strCache>
            </c:strRef>
          </c:cat>
          <c:val>
            <c:numRef>
              <c:f>'MPPA.jk'!$AD$142:$AH$142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'MPPA.jk'!$AC$140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'MPPA.jk'!$AD$47:$AH$47</c:f>
              <c:strCache>
                <c:ptCount val="0"/>
              </c:strCache>
            </c:strRef>
          </c:cat>
          <c:val>
            <c:numRef>
              <c:f>'MPPA.jk'!$AD$140:$AH$140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33.333"/>
        <c:minorUnit val="2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00"/>
        <c:minorUnit val="1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71321"/>
          <c:y val="0.726773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MRAT Cashflow less negative </a:t>
            </a:r>
          </a:p>
        </c:rich>
      </c:tx>
      <c:layout>
        <c:manualLayout>
          <c:xMode val="edge"/>
          <c:yMode val="edge"/>
          <c:x val="0.181238"/>
          <c:y val="0"/>
          <c:w val="0.63752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1417"/>
          <c:y val="0.0918283"/>
          <c:w val="0.78173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'MRAT.jk'!$AC$138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'MRAT.jk'!$AD$47:$AH$47</c:f>
              <c:strCache>
                <c:ptCount val="0"/>
              </c:strCache>
            </c:strRef>
          </c:cat>
          <c:val>
            <c:numRef>
              <c:f>'MRAT.jk'!$AD$138:$AH$138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'MRAT.jk'!$AC$139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'MRAT.jk'!$AD$47:$AH$47</c:f>
              <c:strCache>
                <c:ptCount val="0"/>
              </c:strCache>
            </c:strRef>
          </c:cat>
          <c:val>
            <c:numRef>
              <c:f>'MRAT.jk'!$AD$139:$AH$139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'MRAT.jk'!$AC$137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'MRAT.jk'!$AD$47:$AH$47</c:f>
              <c:strCache>
                <c:ptCount val="0"/>
              </c:strCache>
            </c:strRef>
          </c:cat>
          <c:val>
            <c:numRef>
              <c:f>'MRAT.jk'!$AD$137:$AH$137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3.3333"/>
        <c:minorUnit val="16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1.25"/>
        <c:minorUnit val="5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41991"/>
          <c:y val="0.780439"/>
          <c:w val="0.40392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MTEL Cashflow big negative </a:t>
            </a:r>
          </a:p>
        </c:rich>
      </c:tx>
      <c:layout>
        <c:manualLayout>
          <c:xMode val="edge"/>
          <c:yMode val="edge"/>
          <c:x val="0.223819"/>
          <c:y val="0"/>
          <c:w val="0.55236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901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'MTEL.jk'!$AC$141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'MTEL.jk'!$AD$47:$AH$47</c:f>
              <c:strCache>
                <c:ptCount val="0"/>
              </c:strCache>
            </c:strRef>
          </c:cat>
          <c:val>
            <c:numRef>
              <c:f>'MTEL.jk'!$AD$141:$AH$141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'MTEL.jk'!$AC$142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'MTEL.jk'!$AD$47:$AH$47</c:f>
              <c:strCache>
                <c:ptCount val="0"/>
              </c:strCache>
            </c:strRef>
          </c:cat>
          <c:val>
            <c:numRef>
              <c:f>'MTEL.jk'!$AD$142:$AH$142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'MTEL.jk'!$AC$140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'MTEL.jk'!$AD$47:$AH$47</c:f>
              <c:strCache>
                <c:ptCount val="0"/>
              </c:strCache>
            </c:strRef>
          </c:cat>
          <c:val>
            <c:numRef>
              <c:f>'MTEL.jk'!$AD$140:$AH$140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0"/>
        <c:minorUnit val="6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0"/>
        <c:minorUnit val="18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21153"/>
          <c:y val="0.732472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NIKL cashflow more negative </a:t>
            </a:r>
          </a:p>
        </c:rich>
      </c:tx>
      <c:layout>
        <c:manualLayout>
          <c:xMode val="edge"/>
          <c:yMode val="edge"/>
          <c:x val="0.20258"/>
          <c:y val="0"/>
          <c:w val="0.59483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'NIKL.jk'!$AC$141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'NIKL.jk'!$AD$47:$AH$47</c:f>
              <c:strCache>
                <c:ptCount val="0"/>
              </c:strCache>
            </c:strRef>
          </c:cat>
          <c:val>
            <c:numRef>
              <c:f>'NIKL.jk'!$AD$141:$AH$141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'NIKL.jk'!$AC$142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'NIKL.jk'!$AD$47:$AH$47</c:f>
              <c:strCache>
                <c:ptCount val="0"/>
              </c:strCache>
            </c:strRef>
          </c:cat>
          <c:val>
            <c:numRef>
              <c:f>'NIKL.jk'!$AD$142:$AH$142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'NIKL.jk'!$AC$140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'NIKL.jk'!$AD$47:$AH$47</c:f>
              <c:strCache>
                <c:ptCount val="0"/>
              </c:strCache>
            </c:strRef>
          </c:cat>
          <c:val>
            <c:numRef>
              <c:f>'NIKL.jk'!$AD$140:$AH$140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66.667"/>
        <c:minorUnit val="18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"/>
        <c:minorUnit val="6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1195"/>
          <c:y val="0.7324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NRCA cashflow more positive </a:t>
            </a:r>
          </a:p>
        </c:rich>
      </c:tx>
      <c:layout>
        <c:manualLayout>
          <c:xMode val="edge"/>
          <c:yMode val="edge"/>
          <c:x val="0.187169"/>
          <c:y val="0"/>
          <c:w val="0.62566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'NRCA.jk'!$AA$139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'NRCA.jk'!$AB$47:$AF$47</c:f>
              <c:strCache>
                <c:ptCount val="0"/>
              </c:strCache>
            </c:strRef>
          </c:cat>
          <c:val>
            <c:numRef>
              <c:f>'NRCA.jk'!$AB$139:$AF$139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'NRCA.jk'!$AA$140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'NRCA.jk'!$AB$47:$AF$47</c:f>
              <c:strCache>
                <c:ptCount val="0"/>
              </c:strCache>
            </c:strRef>
          </c:cat>
          <c:val>
            <c:numRef>
              <c:f>'NRCA.jk'!$AB$140:$AF$140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'NRCA.jk'!$AA$138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'NRCA.jk'!$AB$47:$AF$47</c:f>
              <c:strCache>
                <c:ptCount val="0"/>
              </c:strCache>
            </c:strRef>
          </c:cat>
          <c:val>
            <c:numRef>
              <c:f>'NRCA.jk'!$AB$138:$AF$138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31.25"/>
        <c:minorUnit val="65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28374"/>
          <c:y val="0.732472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NRCA</a:t>
            </a:r>
          </a:p>
        </c:rich>
      </c:tx>
      <c:layout>
        <c:manualLayout>
          <c:xMode val="edge"/>
          <c:yMode val="edge"/>
          <c:x val="0.424574"/>
          <c:y val="0"/>
          <c:w val="0.15085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037"/>
          <c:y val="0.0918283"/>
          <c:w val="0.86009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'NRCA.jk'!$T$3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'NRCA.jk'!$T$4:$T$26</c:f>
              <c:numCache>
                <c:ptCount val="23"/>
                <c:pt idx="0">
                  <c:v>-6.300000</c:v>
                </c:pt>
                <c:pt idx="1">
                  <c:v>136.000000</c:v>
                </c:pt>
                <c:pt idx="2">
                  <c:v>218.000000</c:v>
                </c:pt>
                <c:pt idx="3">
                  <c:v>273.000000</c:v>
                </c:pt>
                <c:pt idx="4">
                  <c:v>462.000000</c:v>
                </c:pt>
                <c:pt idx="5">
                  <c:v>491.000000</c:v>
                </c:pt>
                <c:pt idx="6">
                  <c:v>484.000000</c:v>
                </c:pt>
                <c:pt idx="7">
                  <c:v>446.000000</c:v>
                </c:pt>
                <c:pt idx="8">
                  <c:v>447.300000</c:v>
                </c:pt>
                <c:pt idx="9">
                  <c:v>453.300000</c:v>
                </c:pt>
                <c:pt idx="10">
                  <c:v>405.100000</c:v>
                </c:pt>
                <c:pt idx="11">
                  <c:v>372.000000</c:v>
                </c:pt>
                <c:pt idx="12">
                  <c:v>363.000000</c:v>
                </c:pt>
                <c:pt idx="13">
                  <c:v>317.000000</c:v>
                </c:pt>
                <c:pt idx="14">
                  <c:v>237.000000</c:v>
                </c:pt>
                <c:pt idx="15">
                  <c:v>246.500000</c:v>
                </c:pt>
                <c:pt idx="16">
                  <c:v>263.100000</c:v>
                </c:pt>
                <c:pt idx="17">
                  <c:v>221.100000</c:v>
                </c:pt>
                <c:pt idx="18">
                  <c:v>165.800000</c:v>
                </c:pt>
                <c:pt idx="19">
                  <c:v>374.900000</c:v>
                </c:pt>
                <c:pt idx="20">
                  <c:v>206.700000</c:v>
                </c:pt>
                <c:pt idx="21">
                  <c:v>239.300000</c:v>
                </c:pt>
                <c:pt idx="22">
                  <c:v>294.700000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'NRCA.jk'!$U$3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'NRCA.jk'!$U$4:$U$26</c:f>
              <c:numCache>
                <c:ptCount val="23"/>
                <c:pt idx="0">
                  <c:v>20.750000</c:v>
                </c:pt>
                <c:pt idx="1">
                  <c:v>41.500000</c:v>
                </c:pt>
                <c:pt idx="2">
                  <c:v>62.250000</c:v>
                </c:pt>
                <c:pt idx="3">
                  <c:v>83.000000</c:v>
                </c:pt>
                <c:pt idx="4">
                  <c:v>105.250000</c:v>
                </c:pt>
                <c:pt idx="5">
                  <c:v>127.500000</c:v>
                </c:pt>
                <c:pt idx="6">
                  <c:v>149.750000</c:v>
                </c:pt>
                <c:pt idx="7">
                  <c:v>172.000000</c:v>
                </c:pt>
                <c:pt idx="8">
                  <c:v>165.075000</c:v>
                </c:pt>
                <c:pt idx="9">
                  <c:v>158.150000</c:v>
                </c:pt>
                <c:pt idx="10">
                  <c:v>151.225000</c:v>
                </c:pt>
                <c:pt idx="11">
                  <c:v>144.300000</c:v>
                </c:pt>
                <c:pt idx="12">
                  <c:v>140.800000</c:v>
                </c:pt>
                <c:pt idx="13">
                  <c:v>137.300000</c:v>
                </c:pt>
                <c:pt idx="14">
                  <c:v>133.800000</c:v>
                </c:pt>
                <c:pt idx="15">
                  <c:v>130.300000</c:v>
                </c:pt>
                <c:pt idx="16">
                  <c:v>127.800000</c:v>
                </c:pt>
                <c:pt idx="17">
                  <c:v>164.056000</c:v>
                </c:pt>
                <c:pt idx="18">
                  <c:v>159.488000</c:v>
                </c:pt>
                <c:pt idx="19">
                  <c:v>340.788000</c:v>
                </c:pt>
                <c:pt idx="20">
                  <c:v>142.788000</c:v>
                </c:pt>
                <c:pt idx="21">
                  <c:v>157.488000</c:v>
                </c:pt>
                <c:pt idx="22">
                  <c:v>148.488000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'NRCA.jk'!$V$3</c:f>
              <c:strCache>
                <c:ptCount val="1"/>
                <c:pt idx="0">
                  <c:v>NRCA.jk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'NRCA.jk'!$B$4:$B$26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'NRCA.jk'!$V$4:$V$26</c:f>
              <c:numCache>
                <c:ptCount val="23"/>
                <c:pt idx="0">
                  <c:v>710.621539</c:v>
                </c:pt>
                <c:pt idx="1">
                  <c:v>710.621539</c:v>
                </c:pt>
                <c:pt idx="2">
                  <c:v>710.621539</c:v>
                </c:pt>
                <c:pt idx="3">
                  <c:v>710.621539</c:v>
                </c:pt>
                <c:pt idx="4">
                  <c:v>710.621539</c:v>
                </c:pt>
                <c:pt idx="5">
                  <c:v>710.621539</c:v>
                </c:pt>
                <c:pt idx="6">
                  <c:v>710.621539</c:v>
                </c:pt>
                <c:pt idx="7">
                  <c:v>710.621539</c:v>
                </c:pt>
                <c:pt idx="8">
                  <c:v>710.621539</c:v>
                </c:pt>
                <c:pt idx="9">
                  <c:v>710.621539</c:v>
                </c:pt>
                <c:pt idx="10">
                  <c:v>710.621539</c:v>
                </c:pt>
                <c:pt idx="11">
                  <c:v>710.621539</c:v>
                </c:pt>
                <c:pt idx="12">
                  <c:v>710.621539</c:v>
                </c:pt>
                <c:pt idx="13">
                  <c:v>710.621539</c:v>
                </c:pt>
                <c:pt idx="14">
                  <c:v>710.621539</c:v>
                </c:pt>
                <c:pt idx="15">
                  <c:v>710.621539</c:v>
                </c:pt>
                <c:pt idx="16">
                  <c:v>710.621539</c:v>
                </c:pt>
                <c:pt idx="17">
                  <c:v>710.621539</c:v>
                </c:pt>
                <c:pt idx="18">
                  <c:v>710.621539</c:v>
                </c:pt>
                <c:pt idx="19">
                  <c:v>710.621539</c:v>
                </c:pt>
                <c:pt idx="20">
                  <c:v>710.621539</c:v>
                </c:pt>
                <c:pt idx="21">
                  <c:v>710.621539</c:v>
                </c:pt>
                <c:pt idx="22">
                  <c:v>710.621539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7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44"/>
        <c:minorUnit val="122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5577"/>
          <c:y val="0.16602"/>
          <c:w val="0.38701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OKAS cashflow more positive </a:t>
            </a:r>
          </a:p>
        </c:rich>
      </c:tx>
      <c:layout>
        <c:manualLayout>
          <c:xMode val="edge"/>
          <c:yMode val="edge"/>
          <c:x val="0.183702"/>
          <c:y val="0"/>
          <c:w val="0.63259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0695"/>
          <c:y val="0.0918283"/>
          <c:w val="0.77666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'OKAS.jk'!$AA$152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'OKAS.jk'!$AB$60:$AF$60</c:f>
              <c:strCache>
                <c:ptCount val="0"/>
              </c:strCache>
            </c:strRef>
          </c:cat>
          <c:val>
            <c:numRef>
              <c:f>'OKAS.jk'!$AB$152:$AF$152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'OKAS.jk'!$AA$153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'OKAS.jk'!$AB$60:$AF$60</c:f>
              <c:strCache>
                <c:ptCount val="0"/>
              </c:strCache>
            </c:strRef>
          </c:cat>
          <c:val>
            <c:numRef>
              <c:f>'OKAS.jk'!$AB$153:$AF$153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'OKAS.jk'!$AA$151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'OKAS.jk'!$AB$60:$AF$60</c:f>
              <c:strCache>
                <c:ptCount val="0"/>
              </c:strCache>
            </c:strRef>
          </c:cat>
          <c:val>
            <c:numRef>
              <c:f>'OKAS.jk'!$AB$151:$AF$151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0"/>
        <c:minorUnit val="2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95991"/>
          <c:y val="0.16602"/>
          <c:w val="0.40130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OKAS looks very cheap</a:t>
            </a:r>
          </a:p>
        </c:rich>
      </c:tx>
      <c:layout>
        <c:manualLayout>
          <c:xMode val="edge"/>
          <c:yMode val="edge"/>
          <c:x val="0.217716"/>
          <c:y val="0"/>
          <c:w val="0.56456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4109"/>
          <c:y val="0.0918283"/>
          <c:w val="0.845215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'OKAS.jk'!$T$3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'OKAS.jk'!$B$14:$B$36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'OKAS.jk'!$T$14:$T$36</c:f>
              <c:numCache>
                <c:ptCount val="23"/>
                <c:pt idx="0">
                  <c:v>-3.325000</c:v>
                </c:pt>
                <c:pt idx="1">
                  <c:v>-6.650000</c:v>
                </c:pt>
                <c:pt idx="2">
                  <c:v>-9.975000</c:v>
                </c:pt>
                <c:pt idx="3">
                  <c:v>-13.300000</c:v>
                </c:pt>
                <c:pt idx="4">
                  <c:v>-40.822000</c:v>
                </c:pt>
                <c:pt idx="5">
                  <c:v>-68.344000</c:v>
                </c:pt>
                <c:pt idx="6">
                  <c:v>-95.866000</c:v>
                </c:pt>
                <c:pt idx="7">
                  <c:v>-123.388000</c:v>
                </c:pt>
                <c:pt idx="8">
                  <c:v>-119.828000</c:v>
                </c:pt>
                <c:pt idx="9">
                  <c:v>-116.268000</c:v>
                </c:pt>
                <c:pt idx="10">
                  <c:v>-112.708000</c:v>
                </c:pt>
                <c:pt idx="11">
                  <c:v>-109.148000</c:v>
                </c:pt>
                <c:pt idx="12">
                  <c:v>-91.207000</c:v>
                </c:pt>
                <c:pt idx="13">
                  <c:v>-73.266000</c:v>
                </c:pt>
                <c:pt idx="14">
                  <c:v>-55.325000</c:v>
                </c:pt>
                <c:pt idx="15">
                  <c:v>-37.384000</c:v>
                </c:pt>
                <c:pt idx="16">
                  <c:v>25.421800</c:v>
                </c:pt>
                <c:pt idx="17">
                  <c:v>9.526800</c:v>
                </c:pt>
                <c:pt idx="18">
                  <c:v>41.048400</c:v>
                </c:pt>
                <c:pt idx="19">
                  <c:v>92.438400</c:v>
                </c:pt>
                <c:pt idx="20">
                  <c:v>129.688600</c:v>
                </c:pt>
                <c:pt idx="21">
                  <c:v>164.872600</c:v>
                </c:pt>
                <c:pt idx="22">
                  <c:v>321.922600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'OKAS.jk'!$U$3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'OKAS.jk'!$B$14:$B$36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'OKAS.jk'!$U$14:$U$36</c:f>
              <c:numCache>
                <c:ptCount val="23"/>
                <c:pt idx="0">
                  <c:v>-6.650000</c:v>
                </c:pt>
                <c:pt idx="1">
                  <c:v>-13.300000</c:v>
                </c:pt>
                <c:pt idx="2">
                  <c:v>-19.950000</c:v>
                </c:pt>
                <c:pt idx="3">
                  <c:v>-26.600000</c:v>
                </c:pt>
                <c:pt idx="4">
                  <c:v>-54.122000</c:v>
                </c:pt>
                <c:pt idx="5">
                  <c:v>-81.644000</c:v>
                </c:pt>
                <c:pt idx="6">
                  <c:v>-109.166000</c:v>
                </c:pt>
                <c:pt idx="7">
                  <c:v>-136.688000</c:v>
                </c:pt>
                <c:pt idx="8">
                  <c:v>-129.568000</c:v>
                </c:pt>
                <c:pt idx="9">
                  <c:v>-122.448000</c:v>
                </c:pt>
                <c:pt idx="10">
                  <c:v>-115.328000</c:v>
                </c:pt>
                <c:pt idx="11">
                  <c:v>-108.208000</c:v>
                </c:pt>
                <c:pt idx="12">
                  <c:v>-87.820500</c:v>
                </c:pt>
                <c:pt idx="13">
                  <c:v>-67.433000</c:v>
                </c:pt>
                <c:pt idx="14">
                  <c:v>-47.045500</c:v>
                </c:pt>
                <c:pt idx="15">
                  <c:v>-26.658000</c:v>
                </c:pt>
                <c:pt idx="16">
                  <c:v>17.160000</c:v>
                </c:pt>
                <c:pt idx="17">
                  <c:v>17.160000</c:v>
                </c:pt>
                <c:pt idx="18">
                  <c:v>45.816000</c:v>
                </c:pt>
                <c:pt idx="19">
                  <c:v>102.916000</c:v>
                </c:pt>
                <c:pt idx="20">
                  <c:v>131.570000</c:v>
                </c:pt>
                <c:pt idx="21">
                  <c:v>175.550000</c:v>
                </c:pt>
                <c:pt idx="22">
                  <c:v>316.895000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'OKAS.jk'!$V$3</c:f>
              <c:strCache>
                <c:ptCount val="1"/>
                <c:pt idx="0">
                  <c:v>OKAS.jk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'OKAS.jk'!$B$14:$B$36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'OKAS.jk'!$V$14:$V$36</c:f>
              <c:numCache>
                <c:ptCount val="23"/>
                <c:pt idx="0">
                  <c:v>176.592998</c:v>
                </c:pt>
                <c:pt idx="1">
                  <c:v>176.592998</c:v>
                </c:pt>
                <c:pt idx="2">
                  <c:v>176.592998</c:v>
                </c:pt>
                <c:pt idx="3">
                  <c:v>176.592998</c:v>
                </c:pt>
                <c:pt idx="4">
                  <c:v>176.592998</c:v>
                </c:pt>
                <c:pt idx="5">
                  <c:v>176.592998</c:v>
                </c:pt>
                <c:pt idx="6">
                  <c:v>176.592998</c:v>
                </c:pt>
                <c:pt idx="7">
                  <c:v>176.592998</c:v>
                </c:pt>
                <c:pt idx="8">
                  <c:v>176.592998</c:v>
                </c:pt>
                <c:pt idx="9">
                  <c:v>176.592998</c:v>
                </c:pt>
                <c:pt idx="10">
                  <c:v>176.592998</c:v>
                </c:pt>
                <c:pt idx="11">
                  <c:v>176.592998</c:v>
                </c:pt>
                <c:pt idx="12">
                  <c:v>176.592998</c:v>
                </c:pt>
                <c:pt idx="13">
                  <c:v>176.592998</c:v>
                </c:pt>
                <c:pt idx="14">
                  <c:v>176.592998</c:v>
                </c:pt>
                <c:pt idx="15">
                  <c:v>176.592998</c:v>
                </c:pt>
                <c:pt idx="16">
                  <c:v>176.592998</c:v>
                </c:pt>
                <c:pt idx="17">
                  <c:v>176.592998</c:v>
                </c:pt>
                <c:pt idx="18">
                  <c:v>176.592998</c:v>
                </c:pt>
                <c:pt idx="19">
                  <c:v>176.592998</c:v>
                </c:pt>
                <c:pt idx="20">
                  <c:v>176.592998</c:v>
                </c:pt>
                <c:pt idx="21">
                  <c:v>176.592998</c:v>
                </c:pt>
                <c:pt idx="22">
                  <c:v>176.592998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0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81.667"/>
        <c:minorUnit val="90.8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6556"/>
          <c:y val="0.16602"/>
          <c:w val="0.380321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PGAS</a:t>
            </a:r>
          </a:p>
        </c:rich>
      </c:tx>
      <c:layout>
        <c:manualLayout>
          <c:xMode val="edge"/>
          <c:yMode val="edge"/>
          <c:x val="0.442822"/>
          <c:y val="0"/>
          <c:w val="0.11435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9503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'PGAS.jk'!$AA$139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'PGAS.jk'!$AB$47:$AF$47</c:f>
              <c:strCache>
                <c:ptCount val="0"/>
              </c:strCache>
            </c:strRef>
          </c:cat>
          <c:val>
            <c:numRef>
              <c:f>'PGAS.jk'!$AB$139:$AF$139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'PGAS.jk'!$AA$140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'PGAS.jk'!$AB$47:$AF$47</c:f>
              <c:strCache>
                <c:ptCount val="0"/>
              </c:strCache>
            </c:strRef>
          </c:cat>
          <c:val>
            <c:numRef>
              <c:f>'PGAS.jk'!$AB$140:$AF$140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'PGAS.jk'!$AA$138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'PGAS.jk'!$AB$47:$AF$47</c:f>
              <c:strCache>
                <c:ptCount val="0"/>
              </c:strCache>
            </c:strRef>
          </c:cat>
          <c:val>
            <c:numRef>
              <c:f>'PGAS.jk'!$AB$138:$AF$138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000"/>
        <c:minorUnit val="25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875"/>
        <c:minorUnit val="93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514"/>
          <c:y val="0.4033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PGAS looking attractive </a:t>
            </a:r>
          </a:p>
        </c:rich>
      </c:tx>
      <c:layout>
        <c:manualLayout>
          <c:xMode val="edge"/>
          <c:yMode val="edge"/>
          <c:x val="0.220807"/>
          <c:y val="0"/>
          <c:w val="0.55838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'PGAS.jk'!$T$3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'PGAS.jk'!$T$4:$T$26</c:f>
              <c:numCache>
                <c:ptCount val="23"/>
                <c:pt idx="0">
                  <c:v>2589.377000</c:v>
                </c:pt>
                <c:pt idx="1">
                  <c:v>2162.646460</c:v>
                </c:pt>
                <c:pt idx="2">
                  <c:v>4183.010710</c:v>
                </c:pt>
                <c:pt idx="3">
                  <c:v>5474.992810</c:v>
                </c:pt>
                <c:pt idx="4">
                  <c:v>7677.440860</c:v>
                </c:pt>
                <c:pt idx="5">
                  <c:v>11169.460860</c:v>
                </c:pt>
                <c:pt idx="6">
                  <c:v>14693.336800</c:v>
                </c:pt>
                <c:pt idx="7">
                  <c:v>8207.956800</c:v>
                </c:pt>
                <c:pt idx="8">
                  <c:v>618.036800</c:v>
                </c:pt>
                <c:pt idx="9">
                  <c:v>2255.779910</c:v>
                </c:pt>
                <c:pt idx="10">
                  <c:v>8011.937580</c:v>
                </c:pt>
                <c:pt idx="11">
                  <c:v>6379.053448</c:v>
                </c:pt>
                <c:pt idx="12">
                  <c:v>10845.710048</c:v>
                </c:pt>
                <c:pt idx="13">
                  <c:v>11495.452948</c:v>
                </c:pt>
                <c:pt idx="14">
                  <c:v>13516.920568</c:v>
                </c:pt>
                <c:pt idx="15">
                  <c:v>13064.056768</c:v>
                </c:pt>
                <c:pt idx="16">
                  <c:v>13990.442318</c:v>
                </c:pt>
                <c:pt idx="17">
                  <c:v>16971.838568</c:v>
                </c:pt>
                <c:pt idx="18">
                  <c:v>18532.515968</c:v>
                </c:pt>
                <c:pt idx="19">
                  <c:v>19279.455343</c:v>
                </c:pt>
                <c:pt idx="20">
                  <c:v>21382.658943</c:v>
                </c:pt>
                <c:pt idx="21">
                  <c:v>24531.626943</c:v>
                </c:pt>
                <c:pt idx="22">
                  <c:v>29667.161943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'PGAS.jk'!$U$3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'PGAS.jk'!$U$4:$U$26</c:f>
              <c:numCache>
                <c:ptCount val="23"/>
                <c:pt idx="0">
                  <c:v>2134.650000</c:v>
                </c:pt>
                <c:pt idx="1">
                  <c:v>4273.633500</c:v>
                </c:pt>
                <c:pt idx="2">
                  <c:v>6409.086000</c:v>
                </c:pt>
                <c:pt idx="3">
                  <c:v>8584.984500</c:v>
                </c:pt>
                <c:pt idx="4">
                  <c:v>8620.934500</c:v>
                </c:pt>
                <c:pt idx="5">
                  <c:v>9158.862000</c:v>
                </c:pt>
                <c:pt idx="6">
                  <c:v>10145.862000</c:v>
                </c:pt>
                <c:pt idx="7">
                  <c:v>10181.812000</c:v>
                </c:pt>
                <c:pt idx="8">
                  <c:v>10733.612000</c:v>
                </c:pt>
                <c:pt idx="9">
                  <c:v>11281.033250</c:v>
                </c:pt>
                <c:pt idx="10">
                  <c:v>11831.089500</c:v>
                </c:pt>
                <c:pt idx="11">
                  <c:v>12369.017000</c:v>
                </c:pt>
                <c:pt idx="12">
                  <c:v>13510.717000</c:v>
                </c:pt>
                <c:pt idx="13">
                  <c:v>14508.567000</c:v>
                </c:pt>
                <c:pt idx="14">
                  <c:v>15543.867000</c:v>
                </c:pt>
                <c:pt idx="15">
                  <c:v>16530.867000</c:v>
                </c:pt>
                <c:pt idx="16">
                  <c:v>17304.985000</c:v>
                </c:pt>
                <c:pt idx="17">
                  <c:v>17810.735000</c:v>
                </c:pt>
                <c:pt idx="18">
                  <c:v>18326.543000</c:v>
                </c:pt>
                <c:pt idx="19">
                  <c:v>18041.043000</c:v>
                </c:pt>
                <c:pt idx="20">
                  <c:v>22167.219000</c:v>
                </c:pt>
                <c:pt idx="21">
                  <c:v>25288.333000</c:v>
                </c:pt>
                <c:pt idx="22">
                  <c:v>25413.973000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'PGAS.jk'!$V$3</c:f>
              <c:strCache>
                <c:ptCount val="1"/>
                <c:pt idx="0">
                  <c:v>PGAS.jk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'PGAS.jk'!$B$4:$B$26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'PGAS.jk'!$V$4:$V$26</c:f>
              <c:numCache>
                <c:ptCount val="23"/>
                <c:pt idx="0">
                  <c:v>37331.910246</c:v>
                </c:pt>
                <c:pt idx="1">
                  <c:v>37331.910246</c:v>
                </c:pt>
                <c:pt idx="2">
                  <c:v>37331.910246</c:v>
                </c:pt>
                <c:pt idx="3">
                  <c:v>37331.910246</c:v>
                </c:pt>
                <c:pt idx="4">
                  <c:v>37331.910246</c:v>
                </c:pt>
                <c:pt idx="5">
                  <c:v>37331.910246</c:v>
                </c:pt>
                <c:pt idx="6">
                  <c:v>37331.910246</c:v>
                </c:pt>
                <c:pt idx="7">
                  <c:v>37331.910246</c:v>
                </c:pt>
                <c:pt idx="8">
                  <c:v>37331.910246</c:v>
                </c:pt>
                <c:pt idx="9">
                  <c:v>37331.910246</c:v>
                </c:pt>
                <c:pt idx="10">
                  <c:v>37331.910246</c:v>
                </c:pt>
                <c:pt idx="11">
                  <c:v>37331.910246</c:v>
                </c:pt>
                <c:pt idx="12">
                  <c:v>37331.910246</c:v>
                </c:pt>
                <c:pt idx="13">
                  <c:v>37331.910246</c:v>
                </c:pt>
                <c:pt idx="14">
                  <c:v>37331.910246</c:v>
                </c:pt>
                <c:pt idx="15">
                  <c:v>37331.910246</c:v>
                </c:pt>
                <c:pt idx="16">
                  <c:v>37331.910246</c:v>
                </c:pt>
                <c:pt idx="17">
                  <c:v>37331.910246</c:v>
                </c:pt>
                <c:pt idx="18">
                  <c:v>37331.910246</c:v>
                </c:pt>
                <c:pt idx="19">
                  <c:v>37331.910246</c:v>
                </c:pt>
                <c:pt idx="20">
                  <c:v>37331.910246</c:v>
                </c:pt>
                <c:pt idx="21">
                  <c:v>37331.910246</c:v>
                </c:pt>
                <c:pt idx="22">
                  <c:v>37331.910246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8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833.3"/>
        <c:minorUnit val="641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BMRI</a:t>
            </a:r>
          </a:p>
        </c:rich>
      </c:tx>
      <c:layout>
        <c:manualLayout>
          <c:xMode val="edge"/>
          <c:yMode val="edge"/>
          <c:x val="0.436049"/>
          <c:y val="0"/>
          <c:w val="0.127902"/>
          <c:h val="0.088053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3381"/>
          <c:y val="0.0880533"/>
          <c:w val="0.856387"/>
          <c:h val="0.843789"/>
        </c:manualLayout>
      </c:layout>
      <c:lineChart>
        <c:grouping val="standard"/>
        <c:varyColors val="0"/>
        <c:ser>
          <c:idx val="0"/>
          <c:order val="0"/>
          <c:tx>
            <c:strRef>
              <c:f>'BMRI.jk'!$AC$3</c:f>
              <c:strCache>
                <c:ptCount val="1"/>
                <c:pt idx="0">
                  <c:v>Asset/liabilities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'BMRI.jk'!$B$4:$B$26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'BMRI.jk'!$AC$4:$AC$26</c:f>
              <c:numCache>
                <c:ptCount val="23"/>
                <c:pt idx="0">
                  <c:v>1.172043</c:v>
                </c:pt>
                <c:pt idx="1">
                  <c:v>1.173023</c:v>
                </c:pt>
                <c:pt idx="2">
                  <c:v>1.179153</c:v>
                </c:pt>
                <c:pt idx="3">
                  <c:v>1.178074</c:v>
                </c:pt>
                <c:pt idx="4">
                  <c:v>1.177070</c:v>
                </c:pt>
                <c:pt idx="5">
                  <c:v>1.172543</c:v>
                </c:pt>
                <c:pt idx="6">
                  <c:v>1.176742</c:v>
                </c:pt>
                <c:pt idx="7">
                  <c:v>1.181816</c:v>
                </c:pt>
                <c:pt idx="8">
                  <c:v>1.191311</c:v>
                </c:pt>
                <c:pt idx="9">
                  <c:v>1.181358</c:v>
                </c:pt>
                <c:pt idx="10">
                  <c:v>1.186844</c:v>
                </c:pt>
                <c:pt idx="11">
                  <c:v>1.188453</c:v>
                </c:pt>
                <c:pt idx="12">
                  <c:v>1.155296</c:v>
                </c:pt>
                <c:pt idx="13">
                  <c:v>1.155867</c:v>
                </c:pt>
                <c:pt idx="14">
                  <c:v>1.155535</c:v>
                </c:pt>
                <c:pt idx="15">
                  <c:v>1.156851</c:v>
                </c:pt>
                <c:pt idx="16">
                  <c:v>1.142457</c:v>
                </c:pt>
                <c:pt idx="17">
                  <c:v>1.149143</c:v>
                </c:pt>
                <c:pt idx="18">
                  <c:v>1.149338</c:v>
                </c:pt>
                <c:pt idx="19">
                  <c:v>1.147729</c:v>
                </c:pt>
                <c:pt idx="20">
                  <c:v>1.140302</c:v>
                </c:pt>
                <c:pt idx="21">
                  <c:v>1.141109</c:v>
                </c:pt>
                <c:pt idx="22">
                  <c:v>1.143902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175"/>
        <c:minorUnit val="0.008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315"/>
          <c:y val="0.818527"/>
          <c:w val="0.641701"/>
          <c:h val="0.0656549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POWR at break even</a:t>
            </a:r>
          </a:p>
        </c:rich>
      </c:tx>
      <c:layout>
        <c:manualLayout>
          <c:xMode val="edge"/>
          <c:yMode val="edge"/>
          <c:x val="0.291933"/>
          <c:y val="0"/>
          <c:w val="0.41613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'POWR.jk'!$AC$138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'POWR.jk'!$AD$47:$AH$47</c:f>
              <c:strCache>
                <c:ptCount val="0"/>
              </c:strCache>
            </c:strRef>
          </c:cat>
          <c:val>
            <c:numRef>
              <c:f>'POWR.jk'!$AD$138:$AH$138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'POWR.jk'!$AC$139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'POWR.jk'!$AD$47:$AH$47</c:f>
              <c:strCache>
                <c:ptCount val="0"/>
              </c:strCache>
            </c:strRef>
          </c:cat>
          <c:val>
            <c:numRef>
              <c:f>'POWR.jk'!$AD$139:$AH$139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'POWR.jk'!$AC$137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'POWR.jk'!$AD$47:$AH$47</c:f>
              <c:strCache>
                <c:ptCount val="0"/>
              </c:strCache>
            </c:strRef>
          </c:cat>
          <c:val>
            <c:numRef>
              <c:f>'POWR.jk'!$AD$137:$AH$137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00"/>
        <c:minorUnit val="2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37.5"/>
        <c:minorUnit val="168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47776"/>
          <c:y val="0.430153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PSAB cashflow negative</a:t>
            </a:r>
          </a:p>
        </c:rich>
      </c:tx>
      <c:layout>
        <c:manualLayout>
          <c:xMode val="edge"/>
          <c:yMode val="edge"/>
          <c:x val="0.253026"/>
          <c:y val="0"/>
          <c:w val="0.49394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7222"/>
          <c:y val="0.0918283"/>
          <c:w val="0.752304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'PSAB.jk'!$AC$184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'PSAB.jk'!$AD$47:$AH$47</c:f>
              <c:strCache>
                <c:ptCount val="0"/>
              </c:strCache>
            </c:strRef>
          </c:cat>
          <c:val>
            <c:numRef>
              <c:f>'PSAB.jk'!$AD$184:$AH$184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'PSAB.jk'!$AC$185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'PSAB.jk'!$AD$47:$AH$47</c:f>
              <c:strCache>
                <c:ptCount val="0"/>
              </c:strCache>
            </c:strRef>
          </c:cat>
          <c:val>
            <c:numRef>
              <c:f>'PSAB.jk'!$AD$185:$AH$185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'PSAB.jk'!$AC$183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'PSAB.jk'!$AD$47:$AH$47</c:f>
              <c:strCache>
                <c:ptCount val="0"/>
              </c:strCache>
            </c:strRef>
          </c:cat>
          <c:val>
            <c:numRef>
              <c:f>'PSAB.jk'!$AD$183:$AH$183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62.5"/>
        <c:minorUnit val="281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3378"/>
          <c:y val="0.166926"/>
          <c:w val="0.3887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PSKT  small positive cashflow</a:t>
            </a:r>
          </a:p>
        </c:rich>
      </c:tx>
      <c:layout>
        <c:manualLayout>
          <c:xMode val="edge"/>
          <c:yMode val="edge"/>
          <c:x val="0.170824"/>
          <c:y val="0"/>
          <c:w val="0.65835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37602"/>
          <c:y val="0.0918283"/>
          <c:w val="0.81726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'PSKT.jk'!$AC$138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'PSKT.jk'!$AD$47:$AH$47</c:f>
              <c:strCache>
                <c:ptCount val="0"/>
              </c:strCache>
            </c:strRef>
          </c:cat>
          <c:val>
            <c:numRef>
              <c:f>'PSKT.jk'!$AD$138:$AH$138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'PSKT.jk'!$AC$139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'PSKT.jk'!$AD$47:$AH$47</c:f>
              <c:strCache>
                <c:ptCount val="0"/>
              </c:strCache>
            </c:strRef>
          </c:cat>
          <c:val>
            <c:numRef>
              <c:f>'PSKT.jk'!$AD$139:$AH$139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'PSKT.jk'!$AC$137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'PSKT.jk'!$AD$47:$AH$47</c:f>
              <c:strCache>
                <c:ptCount val="0"/>
              </c:strCache>
            </c:strRef>
          </c:cat>
          <c:val>
            <c:numRef>
              <c:f>'PSKT.jk'!$AD$137:$AH$137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.33333"/>
        <c:minorUnit val="2.6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.1875"/>
        <c:minorUnit val="1.09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505734"/>
          <c:y val="0.430153"/>
          <c:w val="0.42228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PZZA cashflow more negative </a:t>
            </a:r>
          </a:p>
        </c:rich>
      </c:tx>
      <c:layout>
        <c:manualLayout>
          <c:xMode val="edge"/>
          <c:yMode val="edge"/>
          <c:x val="0.195596"/>
          <c:y val="0"/>
          <c:w val="0.60880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'PZZA.jk'!$AC$138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'PZZA.jk'!$AD$47:$AH$47</c:f>
              <c:strCache>
                <c:ptCount val="0"/>
              </c:strCache>
            </c:strRef>
          </c:cat>
          <c:val>
            <c:numRef>
              <c:f>'PZZA.jk'!$AD$138:$AH$138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'PZZA.jk'!$AC$139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'PZZA.jk'!$AD$47:$AH$47</c:f>
              <c:strCache>
                <c:ptCount val="0"/>
              </c:strCache>
            </c:strRef>
          </c:cat>
          <c:val>
            <c:numRef>
              <c:f>'PZZA.jk'!$AD$139:$AH$139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'PZZA.jk'!$AC$137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'PZZA.jk'!$AD$47:$AH$47</c:f>
              <c:strCache>
                <c:ptCount val="0"/>
              </c:strCache>
            </c:strRef>
          </c:cat>
          <c:val>
            <c:numRef>
              <c:f>'PZZA.jk'!$AD$137:$AH$137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6.6667"/>
        <c:minorUnit val="33.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5"/>
        <c:minorUnit val="2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96071"/>
          <c:y val="0.105509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6209"/>
          <c:y val="0.12368"/>
          <c:w val="0.833616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'PZZA.jk'!$C$3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'PZZA.jk'!$B$4:$B$27</c:f>
              <c:strCache>
                <c:ptCount val="24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</c:strCache>
            </c:strRef>
          </c:cat>
          <c:val>
            <c:numRef>
              <c:f>'PZZA.jk'!$C$4:$C$27</c:f>
              <c:numCache>
                <c:ptCount val="23"/>
                <c:pt idx="0">
                  <c:v>678.200000</c:v>
                </c:pt>
                <c:pt idx="1">
                  <c:v>760.000000</c:v>
                </c:pt>
                <c:pt idx="2">
                  <c:v>746.400000</c:v>
                </c:pt>
                <c:pt idx="3">
                  <c:v>842.400000</c:v>
                </c:pt>
                <c:pt idx="4">
                  <c:v>802.900000</c:v>
                </c:pt>
                <c:pt idx="5">
                  <c:v>917.800000</c:v>
                </c:pt>
                <c:pt idx="6">
                  <c:v>854.300000</c:v>
                </c:pt>
                <c:pt idx="7">
                  <c:v>998.900000</c:v>
                </c:pt>
                <c:pt idx="8">
                  <c:v>902.300000</c:v>
                </c:pt>
                <c:pt idx="9">
                  <c:v>1033.400000</c:v>
                </c:pt>
                <c:pt idx="10">
                  <c:v>1003.700000</c:v>
                </c:pt>
                <c:pt idx="11">
                  <c:v>1047.200000</c:v>
                </c:pt>
                <c:pt idx="12">
                  <c:v>955.600000</c:v>
                </c:pt>
                <c:pt idx="13">
                  <c:v>862.800000</c:v>
                </c:pt>
                <c:pt idx="14">
                  <c:v>847.300000</c:v>
                </c:pt>
                <c:pt idx="15">
                  <c:v>792.700000</c:v>
                </c:pt>
                <c:pt idx="16">
                  <c:v>713.900000</c:v>
                </c:pt>
                <c:pt idx="17">
                  <c:v>974.600000</c:v>
                </c:pt>
                <c:pt idx="18">
                  <c:v>814.800000</c:v>
                </c:pt>
                <c:pt idx="19">
                  <c:v>915.500000</c:v>
                </c:pt>
                <c:pt idx="20">
                  <c:v>852.800000</c:v>
                </c:pt>
                <c:pt idx="21">
                  <c:v>896.200000</c:v>
                </c:pt>
                <c:pt idx="22">
                  <c:v>887.600000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75"/>
        <c:minorUnit val="137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2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RAJA big cashflow</a:t>
            </a:r>
          </a:p>
        </c:rich>
      </c:tx>
      <c:layout>
        <c:manualLayout>
          <c:xMode val="edge"/>
          <c:yMode val="edge"/>
          <c:x val="0.306618"/>
          <c:y val="0"/>
          <c:w val="0.38676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'RAJA.jk'!$AC$138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'RAJA.jk'!$AD$47:$AH$47</c:f>
              <c:strCache>
                <c:ptCount val="0"/>
              </c:strCache>
            </c:strRef>
          </c:cat>
          <c:val>
            <c:numRef>
              <c:f>'RAJA.jk'!$AD$138:$AH$138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'RAJA.jk'!$AC$139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'RAJA.jk'!$AD$47:$AH$47</c:f>
              <c:strCache>
                <c:ptCount val="0"/>
              </c:strCache>
            </c:strRef>
          </c:cat>
          <c:val>
            <c:numRef>
              <c:f>'RAJA.jk'!$AD$139:$AH$139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'RAJA.jk'!$AC$137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'RAJA.jk'!$AD$47:$AH$47</c:f>
              <c:strCache>
                <c:ptCount val="0"/>
              </c:strCache>
            </c:strRef>
          </c:cat>
          <c:val>
            <c:numRef>
              <c:f>'RAJA.jk'!$AD$137:$AH$137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.667"/>
        <c:minorUnit val="83.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92023"/>
          <c:y val="0.751846"/>
          <c:w val="0.41595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RALS</a:t>
            </a:r>
          </a:p>
        </c:rich>
      </c:tx>
      <c:layout>
        <c:manualLayout>
          <c:xMode val="edge"/>
          <c:yMode val="edge"/>
          <c:x val="0.476633"/>
          <c:y val="0"/>
          <c:w val="0.10615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79"/>
          <c:y val="0.0918283"/>
          <c:w val="0.69739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'RALS.jk'!$AA$139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'RALS.jk'!$AB$47:$AF$47</c:f>
              <c:strCache>
                <c:ptCount val="0"/>
              </c:strCache>
            </c:strRef>
          </c:cat>
          <c:val>
            <c:numRef>
              <c:f>'RALS.jk'!$AB$139:$AF$139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'RALS.jk'!$AA$140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'RALS.jk'!$AB$47:$AF$47</c:f>
              <c:strCache>
                <c:ptCount val="0"/>
              </c:strCache>
            </c:strRef>
          </c:cat>
          <c:val>
            <c:numRef>
              <c:f>'RALS.jk'!$AB$140:$AF$140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'RALS.jk'!$AA$138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'RALS.jk'!$AB$47:$AF$47</c:f>
              <c:strCache>
                <c:ptCount val="0"/>
              </c:strCache>
            </c:strRef>
          </c:cat>
          <c:val>
            <c:numRef>
              <c:f>'RALS.jk'!$AB$138:$AF$138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66.667"/>
        <c:minorUnit val="18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00"/>
        <c:minorUnit val="1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152653"/>
          <c:w val="0.36034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RALS</a:t>
            </a:r>
          </a:p>
        </c:rich>
      </c:tx>
      <c:layout>
        <c:manualLayout>
          <c:xMode val="edge"/>
          <c:yMode val="edge"/>
          <c:x val="0.433599"/>
          <c:y val="0"/>
          <c:w val="0.13280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'RALS.jk'!$T$3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'RALS.jk'!$T$4:$T$26</c:f>
              <c:numCache>
                <c:ptCount val="23"/>
                <c:pt idx="0">
                  <c:v>-203.680000</c:v>
                </c:pt>
                <c:pt idx="1">
                  <c:v>1037.800000</c:v>
                </c:pt>
                <c:pt idx="2">
                  <c:v>-86.930000</c:v>
                </c:pt>
                <c:pt idx="3">
                  <c:v>390.170000</c:v>
                </c:pt>
                <c:pt idx="4">
                  <c:v>-49.920000</c:v>
                </c:pt>
                <c:pt idx="5">
                  <c:v>814.170000</c:v>
                </c:pt>
                <c:pt idx="6">
                  <c:v>1109.920000</c:v>
                </c:pt>
                <c:pt idx="7">
                  <c:v>1857.870000</c:v>
                </c:pt>
                <c:pt idx="8">
                  <c:v>1017.470000</c:v>
                </c:pt>
                <c:pt idx="9">
                  <c:v>2640.470000</c:v>
                </c:pt>
                <c:pt idx="10">
                  <c:v>1109.570000</c:v>
                </c:pt>
                <c:pt idx="11">
                  <c:v>2416.970000</c:v>
                </c:pt>
                <c:pt idx="12">
                  <c:v>1370.670000</c:v>
                </c:pt>
                <c:pt idx="13">
                  <c:v>2456.470000</c:v>
                </c:pt>
                <c:pt idx="14">
                  <c:v>2416.170000</c:v>
                </c:pt>
                <c:pt idx="15">
                  <c:v>2100.270000</c:v>
                </c:pt>
                <c:pt idx="16">
                  <c:v>1611.670000</c:v>
                </c:pt>
                <c:pt idx="17">
                  <c:v>1668.122000</c:v>
                </c:pt>
                <c:pt idx="18">
                  <c:v>1755.370000</c:v>
                </c:pt>
                <c:pt idx="19">
                  <c:v>2438.870000</c:v>
                </c:pt>
                <c:pt idx="20">
                  <c:v>2050.770000</c:v>
                </c:pt>
                <c:pt idx="21">
                  <c:v>2775.870000</c:v>
                </c:pt>
                <c:pt idx="22">
                  <c:v>2541.870000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'RALS.jk'!$U$3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'RALS.jk'!$U$4:$U$26</c:f>
              <c:numCache>
                <c:ptCount val="23"/>
                <c:pt idx="0">
                  <c:v>60.500000</c:v>
                </c:pt>
                <c:pt idx="1">
                  <c:v>121.000000</c:v>
                </c:pt>
                <c:pt idx="2">
                  <c:v>181.500000</c:v>
                </c:pt>
                <c:pt idx="3">
                  <c:v>242.000000</c:v>
                </c:pt>
                <c:pt idx="4">
                  <c:v>309.250000</c:v>
                </c:pt>
                <c:pt idx="5">
                  <c:v>376.500000</c:v>
                </c:pt>
                <c:pt idx="6">
                  <c:v>443.750000</c:v>
                </c:pt>
                <c:pt idx="7">
                  <c:v>511.000000</c:v>
                </c:pt>
                <c:pt idx="8">
                  <c:v>586.500000</c:v>
                </c:pt>
                <c:pt idx="9">
                  <c:v>662.000000</c:v>
                </c:pt>
                <c:pt idx="10">
                  <c:v>737.500000</c:v>
                </c:pt>
                <c:pt idx="11">
                  <c:v>813.000000</c:v>
                </c:pt>
                <c:pt idx="12">
                  <c:v>813.700000</c:v>
                </c:pt>
                <c:pt idx="13">
                  <c:v>817.000000</c:v>
                </c:pt>
                <c:pt idx="14">
                  <c:v>1150.200000</c:v>
                </c:pt>
                <c:pt idx="15">
                  <c:v>1150.000000</c:v>
                </c:pt>
                <c:pt idx="16">
                  <c:v>1150.000000</c:v>
                </c:pt>
                <c:pt idx="17">
                  <c:v>1380.799000</c:v>
                </c:pt>
                <c:pt idx="18">
                  <c:v>1400.075000</c:v>
                </c:pt>
                <c:pt idx="19">
                  <c:v>1461.000000</c:v>
                </c:pt>
                <c:pt idx="20">
                  <c:v>1486.000000</c:v>
                </c:pt>
                <c:pt idx="21">
                  <c:v>1688.000000</c:v>
                </c:pt>
                <c:pt idx="22">
                  <c:v>1722.000000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'RALS.jk'!$V$3</c:f>
              <c:strCache>
                <c:ptCount val="1"/>
                <c:pt idx="0">
                  <c:v>RALS.jk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'RALS.jk'!$B$4:$B$26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'RALS.jk'!$V$4:$V$26</c:f>
              <c:numCache>
                <c:ptCount val="23"/>
                <c:pt idx="0">
                  <c:v>3980.543918</c:v>
                </c:pt>
                <c:pt idx="1">
                  <c:v>3980.543918</c:v>
                </c:pt>
                <c:pt idx="2">
                  <c:v>3980.543918</c:v>
                </c:pt>
                <c:pt idx="3">
                  <c:v>3980.543918</c:v>
                </c:pt>
                <c:pt idx="4">
                  <c:v>3980.543918</c:v>
                </c:pt>
                <c:pt idx="5">
                  <c:v>3980.543918</c:v>
                </c:pt>
                <c:pt idx="6">
                  <c:v>3980.543918</c:v>
                </c:pt>
                <c:pt idx="7">
                  <c:v>3980.543918</c:v>
                </c:pt>
                <c:pt idx="8">
                  <c:v>3980.543918</c:v>
                </c:pt>
                <c:pt idx="9">
                  <c:v>3980.543918</c:v>
                </c:pt>
                <c:pt idx="10">
                  <c:v>3980.543918</c:v>
                </c:pt>
                <c:pt idx="11">
                  <c:v>3980.543918</c:v>
                </c:pt>
                <c:pt idx="12">
                  <c:v>3980.543918</c:v>
                </c:pt>
                <c:pt idx="13">
                  <c:v>3980.543918</c:v>
                </c:pt>
                <c:pt idx="14">
                  <c:v>3980.543918</c:v>
                </c:pt>
                <c:pt idx="15">
                  <c:v>3980.543918</c:v>
                </c:pt>
                <c:pt idx="16">
                  <c:v>3980.543918</c:v>
                </c:pt>
                <c:pt idx="17">
                  <c:v>3980.543918</c:v>
                </c:pt>
                <c:pt idx="18">
                  <c:v>3980.543918</c:v>
                </c:pt>
                <c:pt idx="19">
                  <c:v>3980.543918</c:v>
                </c:pt>
                <c:pt idx="20">
                  <c:v>3980.543918</c:v>
                </c:pt>
                <c:pt idx="21">
                  <c:v>3980.543918</c:v>
                </c:pt>
                <c:pt idx="22">
                  <c:v>3980.543918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433.33"/>
        <c:minorUnit val="7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8658"/>
          <c:y val="0.152653"/>
          <c:w val="0.37293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15257"/>
          <c:y val="0.215549"/>
          <c:w val="0.876204"/>
          <c:h val="0.678741"/>
        </c:manualLayout>
      </c:layout>
      <c:lineChart>
        <c:grouping val="standard"/>
        <c:varyColors val="0"/>
        <c:ser>
          <c:idx val="0"/>
          <c:order val="0"/>
          <c:tx>
            <c:strRef>
              <c:f>'SGRO.jk'!$K$3</c:f>
              <c:strCache>
                <c:ptCount val="1"/>
                <c:pt idx="0">
                  <c:v>Investment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'SGRO.jk'!$B$4:$B$26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'SGRO.jk'!$K$4:$K$26</c:f>
              <c:numCache>
                <c:ptCount val="23"/>
                <c:pt idx="0">
                  <c:v>-128.000000</c:v>
                </c:pt>
                <c:pt idx="1">
                  <c:v>-154.000000</c:v>
                </c:pt>
                <c:pt idx="2">
                  <c:v>-150.000000</c:v>
                </c:pt>
                <c:pt idx="3">
                  <c:v>-186.000000</c:v>
                </c:pt>
                <c:pt idx="4">
                  <c:v>-162.000000</c:v>
                </c:pt>
                <c:pt idx="5">
                  <c:v>-217.000000</c:v>
                </c:pt>
                <c:pt idx="6">
                  <c:v>-246.000000</c:v>
                </c:pt>
                <c:pt idx="7">
                  <c:v>-127.000000</c:v>
                </c:pt>
                <c:pt idx="8">
                  <c:v>-138.000000</c:v>
                </c:pt>
                <c:pt idx="9">
                  <c:v>-174.000000</c:v>
                </c:pt>
                <c:pt idx="10">
                  <c:v>-211.000000</c:v>
                </c:pt>
                <c:pt idx="11">
                  <c:v>-232.000000</c:v>
                </c:pt>
                <c:pt idx="12">
                  <c:v>-139.000000</c:v>
                </c:pt>
                <c:pt idx="13">
                  <c:v>-110.700000</c:v>
                </c:pt>
                <c:pt idx="14">
                  <c:v>-102.300000</c:v>
                </c:pt>
                <c:pt idx="15">
                  <c:v>-31.000000</c:v>
                </c:pt>
                <c:pt idx="16">
                  <c:v>-81.000000</c:v>
                </c:pt>
                <c:pt idx="17">
                  <c:v>-45.200000</c:v>
                </c:pt>
                <c:pt idx="18">
                  <c:v>-36.800000</c:v>
                </c:pt>
                <c:pt idx="19">
                  <c:v>-184.900000</c:v>
                </c:pt>
                <c:pt idx="20">
                  <c:v>-131.200000</c:v>
                </c:pt>
                <c:pt idx="21">
                  <c:v>-127.000000</c:v>
                </c:pt>
                <c:pt idx="22">
                  <c:v>-28.000000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5"/>
        <c:minorUnit val="37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37187"/>
          <c:y val="0"/>
          <c:w val="0.9"/>
          <c:h val="0.0930851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SLIS cashflow negative </a:t>
            </a:r>
          </a:p>
        </c:rich>
      </c:tx>
      <c:layout>
        <c:manualLayout>
          <c:xMode val="edge"/>
          <c:yMode val="edge"/>
          <c:x val="0.248992"/>
          <c:y val="0"/>
          <c:w val="0.50201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1417"/>
          <c:y val="0.0918283"/>
          <c:w val="0.78173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'SLIS.jk'!$AC$138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'SLIS.jk'!$AD$47:$AH$47</c:f>
              <c:strCache>
                <c:ptCount val="0"/>
              </c:strCache>
            </c:strRef>
          </c:cat>
          <c:val>
            <c:numRef>
              <c:f>'SLIS.jk'!$AD$138:$AH$138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'SLIS.jk'!$AC$139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'SLIS.jk'!$AD$47:$AH$47</c:f>
              <c:strCache>
                <c:ptCount val="0"/>
              </c:strCache>
            </c:strRef>
          </c:cat>
          <c:val>
            <c:numRef>
              <c:f>'SLIS.jk'!$AD$139:$AH$139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'SLIS.jk'!$AC$137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'SLIS.jk'!$AD$47:$AH$47</c:f>
              <c:strCache>
                <c:ptCount val="0"/>
              </c:strCache>
            </c:strRef>
          </c:cat>
          <c:val>
            <c:numRef>
              <c:f>'SLIS.jk'!$AD$137:$AH$137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0"/>
        <c:minorUnit val="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1.25"/>
        <c:minorUnit val="5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9596"/>
          <c:y val="0.124523"/>
          <c:w val="0.40392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BMTR higher cashflow </a:t>
            </a:r>
          </a:p>
        </c:rich>
      </c:tx>
      <c:layout>
        <c:manualLayout>
          <c:xMode val="edge"/>
          <c:yMode val="edge"/>
          <c:x val="0.26851"/>
          <c:y val="0"/>
          <c:w val="0.46297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'BMTR.jk'!$AC$138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'BMTR.jk'!$AD$47:$AH$47</c:f>
              <c:strCache>
                <c:ptCount val="0"/>
              </c:strCache>
            </c:strRef>
          </c:cat>
          <c:val>
            <c:numRef>
              <c:f>'BMTR.jk'!$AD$138:$AH$138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'BMTR.jk'!$AC$139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'BMTR.jk'!$AD$47:$AH$47</c:f>
              <c:strCache>
                <c:ptCount val="0"/>
              </c:strCache>
            </c:strRef>
          </c:cat>
          <c:val>
            <c:numRef>
              <c:f>'BMTR.jk'!$AD$139:$AH$139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'BMTR.jk'!$AC$137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'BMTR.jk'!$AD$47:$AH$47</c:f>
              <c:strCache>
                <c:ptCount val="0"/>
              </c:strCache>
            </c:strRef>
          </c:cat>
          <c:val>
            <c:numRef>
              <c:f>'BMTR.jk'!$AD$137:$AH$137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200"/>
        <c:minorUnit val="6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87.5"/>
        <c:minorUnit val="93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4357"/>
          <c:y val="0.780312"/>
          <c:w val="0.43964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SMCB much higher cashflow </a:t>
            </a:r>
          </a:p>
        </c:rich>
      </c:tx>
      <c:layout>
        <c:manualLayout>
          <c:xMode val="edge"/>
          <c:yMode val="edge"/>
          <c:x val="0.209005"/>
          <c:y val="0"/>
          <c:w val="0.58199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'SMCB.jk'!$AC$184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'SMCB.jk'!$AD$47:$AH$47</c:f>
              <c:strCache>
                <c:ptCount val="0"/>
              </c:strCache>
            </c:strRef>
          </c:cat>
          <c:val>
            <c:numRef>
              <c:f>'SMCB.jk'!$AD$184:$AH$184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'SMCB.jk'!$AC$185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'SMCB.jk'!$AD$47:$AH$47</c:f>
              <c:strCache>
                <c:ptCount val="0"/>
              </c:strCache>
            </c:strRef>
          </c:cat>
          <c:val>
            <c:numRef>
              <c:f>'SMCB.jk'!$AD$185:$AH$185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'SMCB.jk'!$AC$183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'SMCB.jk'!$AD$47:$AH$47</c:f>
              <c:strCache>
                <c:ptCount val="0"/>
              </c:strCache>
            </c:strRef>
          </c:cat>
          <c:val>
            <c:numRef>
              <c:f>'SMCB.jk'!$AD$183:$AH$183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33.333"/>
        <c:minorUnit val="2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"/>
        <c:minorUnit val="18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1552"/>
          <c:y val="0.141535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SMGR</a:t>
            </a:r>
          </a:p>
        </c:rich>
      </c:tx>
      <c:layout>
        <c:manualLayout>
          <c:xMode val="edge"/>
          <c:yMode val="edge"/>
          <c:x val="0.43645"/>
          <c:y val="0"/>
          <c:w val="0.12709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51582"/>
          <c:y val="0.0918283"/>
          <c:w val="0.714924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'SMGR.jk'!$AC$138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'SMGR.jk'!$AD$47:$AH$47</c:f>
              <c:strCache>
                <c:ptCount val="0"/>
              </c:strCache>
            </c:strRef>
          </c:cat>
          <c:val>
            <c:numRef>
              <c:f>'SMGR.jk'!$AD$138:$AH$138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'SMGR.jk'!$AC$139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'SMGR.jk'!$AD$47:$AH$47</c:f>
              <c:strCache>
                <c:ptCount val="0"/>
              </c:strCache>
            </c:strRef>
          </c:cat>
          <c:val>
            <c:numRef>
              <c:f>'SMGR.jk'!$AD$139:$AH$139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'SMGR.jk'!$AC$137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'SMGR.jk'!$AD$47:$AH$47</c:f>
              <c:strCache>
                <c:ptCount val="0"/>
              </c:strCache>
            </c:strRef>
          </c:cat>
          <c:val>
            <c:numRef>
              <c:f>'SMGR.jk'!$AD$137:$AH$137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5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6.67"/>
        <c:minorUnit val="8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750"/>
        <c:minorUnit val="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9796"/>
          <c:y val="0.127605"/>
          <c:w val="0.36940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SMMA more capital raised</a:t>
            </a:r>
          </a:p>
        </c:rich>
      </c:tx>
      <c:layout>
        <c:manualLayout>
          <c:xMode val="edge"/>
          <c:yMode val="edge"/>
          <c:x val="0.249246"/>
          <c:y val="0"/>
          <c:w val="0.50150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9503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'SMMA.jk'!$AC$185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'SMMA.jk'!$AD$47:$AH$47</c:f>
              <c:strCache>
                <c:ptCount val="0"/>
              </c:strCache>
            </c:strRef>
          </c:cat>
          <c:val>
            <c:numRef>
              <c:f>'SMMA.jk'!$AD$185:$AH$185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'SMMA.jk'!$AC$186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'SMMA.jk'!$AD$47:$AH$47</c:f>
              <c:strCache>
                <c:ptCount val="0"/>
              </c:strCache>
            </c:strRef>
          </c:cat>
          <c:val>
            <c:numRef>
              <c:f>'SMMA.jk'!$AD$186:$AH$186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'SMMA.jk'!$AC$184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'SMMA.jk'!$AD$47:$AH$47</c:f>
              <c:strCache>
                <c:ptCount val="0"/>
              </c:strCache>
            </c:strRef>
          </c:cat>
          <c:val>
            <c:numRef>
              <c:f>'SMMA.jk'!$AD$184:$AH$184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000"/>
        <c:minorUnit val="20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625"/>
        <c:minorUnit val="131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25348"/>
          <c:y val="0.732472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SMRA Cashflow lower, positive </a:t>
            </a:r>
          </a:p>
        </c:rich>
      </c:tx>
      <c:layout>
        <c:manualLayout>
          <c:xMode val="edge"/>
          <c:yMode val="edge"/>
          <c:x val="0.18721"/>
          <c:y val="0"/>
          <c:w val="0.62558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'SMRA.jk'!$AC$140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'SMRA.jk'!$AD$47:$AH$47</c:f>
              <c:strCache>
                <c:ptCount val="0"/>
              </c:strCache>
            </c:strRef>
          </c:cat>
          <c:val>
            <c:numRef>
              <c:f>'SMRA.jk'!$AD$140:$AH$140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'SMRA.jk'!$AC$141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'SMRA.jk'!$AD$47:$AH$47</c:f>
              <c:strCache>
                <c:ptCount val="0"/>
              </c:strCache>
            </c:strRef>
          </c:cat>
          <c:val>
            <c:numRef>
              <c:f>'SMRA.jk'!$AD$141:$AH$141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'SMRA.jk'!$AC$139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'SMRA.jk'!$AD$47:$AH$47</c:f>
              <c:strCache>
                <c:ptCount val="0"/>
              </c:strCache>
            </c:strRef>
          </c:cat>
          <c:val>
            <c:numRef>
              <c:f>'SMRA.jk'!$AD$139:$AH$139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00"/>
        <c:minorUnit val="3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50"/>
        <c:minorUnit val="1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88738"/>
          <c:y val="0.41017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SPTO cashflow small positive</a:t>
            </a:r>
          </a:p>
        </c:rich>
      </c:tx>
      <c:layout>
        <c:manualLayout>
          <c:xMode val="edge"/>
          <c:yMode val="edge"/>
          <c:x val="0.191484"/>
          <c:y val="0"/>
          <c:w val="0.61703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0695"/>
          <c:y val="0.0918283"/>
          <c:w val="0.77666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'SPTO.jk'!$AA$140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'SPTO.jk'!$AB$47:$AF$47</c:f>
              <c:strCache>
                <c:ptCount val="0"/>
              </c:strCache>
            </c:strRef>
          </c:cat>
          <c:val>
            <c:numRef>
              <c:f>'SPTO.jk'!$AB$140:$AF$140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'SPTO.jk'!$AA$141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'SPTO.jk'!$AB$47:$AF$47</c:f>
              <c:strCache>
                <c:ptCount val="0"/>
              </c:strCache>
            </c:strRef>
          </c:cat>
          <c:val>
            <c:numRef>
              <c:f>'SPTO.jk'!$AB$141:$AF$141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'SPTO.jk'!$AA$139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'SPTO.jk'!$AB$47:$AF$47</c:f>
              <c:strCache>
                <c:ptCount val="0"/>
              </c:strCache>
            </c:strRef>
          </c:cat>
          <c:val>
            <c:numRef>
              <c:f>'SPTO.jk'!$AB$139:$AF$139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33.333"/>
        <c:minorUnit val="1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"/>
        <c:minorUnit val="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286"/>
          <c:y val="0.430153"/>
          <c:w val="0.40130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SPTO still negative </a:t>
            </a:r>
          </a:p>
        </c:rich>
      </c:tx>
      <c:layout>
        <c:manualLayout>
          <c:xMode val="edge"/>
          <c:yMode val="edge"/>
          <c:x val="0.275503"/>
          <c:y val="0"/>
          <c:w val="0.44899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74727"/>
          <c:y val="0.0918283"/>
          <c:w val="0.81497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'SPTO.jk'!$T$3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'SPTO.jk'!$T$4:$T$26</c:f>
              <c:numCache>
                <c:ptCount val="23"/>
                <c:pt idx="0">
                  <c:v>0.000000</c:v>
                </c:pt>
                <c:pt idx="1">
                  <c:v>-234.700000</c:v>
                </c:pt>
                <c:pt idx="2">
                  <c:v>-292.100000</c:v>
                </c:pt>
                <c:pt idx="3">
                  <c:v>-351.500000</c:v>
                </c:pt>
                <c:pt idx="4">
                  <c:v>-456.700000</c:v>
                </c:pt>
                <c:pt idx="5">
                  <c:v>-611.600000</c:v>
                </c:pt>
                <c:pt idx="6">
                  <c:v>-715.900000</c:v>
                </c:pt>
                <c:pt idx="7">
                  <c:v>-760.500000</c:v>
                </c:pt>
                <c:pt idx="8">
                  <c:v>-679.800000</c:v>
                </c:pt>
                <c:pt idx="9">
                  <c:v>-799.300000</c:v>
                </c:pt>
                <c:pt idx="10">
                  <c:v>-800.200000</c:v>
                </c:pt>
                <c:pt idx="11">
                  <c:v>-808.200000</c:v>
                </c:pt>
                <c:pt idx="12">
                  <c:v>-809.600000</c:v>
                </c:pt>
                <c:pt idx="13">
                  <c:v>-936.540000</c:v>
                </c:pt>
                <c:pt idx="14">
                  <c:v>-796.000000</c:v>
                </c:pt>
                <c:pt idx="15">
                  <c:v>-682.000000</c:v>
                </c:pt>
                <c:pt idx="16">
                  <c:v>-532.500000</c:v>
                </c:pt>
                <c:pt idx="17">
                  <c:v>-550.700000</c:v>
                </c:pt>
                <c:pt idx="18">
                  <c:v>-498.400000</c:v>
                </c:pt>
                <c:pt idx="19">
                  <c:v>-347.600000</c:v>
                </c:pt>
                <c:pt idx="20">
                  <c:v>-345.400000</c:v>
                </c:pt>
                <c:pt idx="21">
                  <c:v>-364.500000</c:v>
                </c:pt>
                <c:pt idx="22">
                  <c:v>-362.600000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'SPTO.jk'!$U$3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'SPTO.jk'!$U$4:$U$26</c:f>
              <c:numCache>
                <c:ptCount val="23"/>
                <c:pt idx="0">
                  <c:v>0.000000</c:v>
                </c:pt>
                <c:pt idx="1">
                  <c:v>-93.675000</c:v>
                </c:pt>
                <c:pt idx="2">
                  <c:v>-187.350000</c:v>
                </c:pt>
                <c:pt idx="3">
                  <c:v>-281.025000</c:v>
                </c:pt>
                <c:pt idx="4">
                  <c:v>-375.775000</c:v>
                </c:pt>
                <c:pt idx="5">
                  <c:v>-470.525000</c:v>
                </c:pt>
                <c:pt idx="6">
                  <c:v>-565.275000</c:v>
                </c:pt>
                <c:pt idx="7">
                  <c:v>-660.025000</c:v>
                </c:pt>
                <c:pt idx="8">
                  <c:v>-687.687500</c:v>
                </c:pt>
                <c:pt idx="9">
                  <c:v>-715.350000</c:v>
                </c:pt>
                <c:pt idx="10">
                  <c:v>-743.012500</c:v>
                </c:pt>
                <c:pt idx="11">
                  <c:v>-770.675000</c:v>
                </c:pt>
                <c:pt idx="12">
                  <c:v>-825.975000</c:v>
                </c:pt>
                <c:pt idx="13">
                  <c:v>-826.175000</c:v>
                </c:pt>
                <c:pt idx="14">
                  <c:v>-770.875000</c:v>
                </c:pt>
                <c:pt idx="15">
                  <c:v>-713.575000</c:v>
                </c:pt>
                <c:pt idx="16">
                  <c:v>-713.375000</c:v>
                </c:pt>
                <c:pt idx="17">
                  <c:v>-713.175000</c:v>
                </c:pt>
                <c:pt idx="18">
                  <c:v>-643.425000</c:v>
                </c:pt>
                <c:pt idx="19">
                  <c:v>-584.075000</c:v>
                </c:pt>
                <c:pt idx="20">
                  <c:v>-571.875000</c:v>
                </c:pt>
                <c:pt idx="21">
                  <c:v>-559.275000</c:v>
                </c:pt>
                <c:pt idx="22">
                  <c:v>-453.675000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'SPTO.jk'!$V$3</c:f>
              <c:strCache>
                <c:ptCount val="1"/>
                <c:pt idx="0">
                  <c:v>SPTO.jk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'SPTO.jk'!$B$4:$B$26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'SPTO.jk'!$V$4:$V$26</c:f>
              <c:numCache>
                <c:ptCount val="23"/>
                <c:pt idx="0">
                  <c:v>1498.500000</c:v>
                </c:pt>
                <c:pt idx="1">
                  <c:v>1498.500000</c:v>
                </c:pt>
                <c:pt idx="2">
                  <c:v>1498.500000</c:v>
                </c:pt>
                <c:pt idx="3">
                  <c:v>1498.500000</c:v>
                </c:pt>
                <c:pt idx="4">
                  <c:v>1498.500000</c:v>
                </c:pt>
                <c:pt idx="5">
                  <c:v>1498.500000</c:v>
                </c:pt>
                <c:pt idx="6">
                  <c:v>1498.500000</c:v>
                </c:pt>
                <c:pt idx="7">
                  <c:v>1498.500000</c:v>
                </c:pt>
                <c:pt idx="8">
                  <c:v>1498.500000</c:v>
                </c:pt>
                <c:pt idx="9">
                  <c:v>1498.500000</c:v>
                </c:pt>
                <c:pt idx="10">
                  <c:v>1498.500000</c:v>
                </c:pt>
                <c:pt idx="11">
                  <c:v>1498.500000</c:v>
                </c:pt>
                <c:pt idx="12">
                  <c:v>1498.500000</c:v>
                </c:pt>
                <c:pt idx="13">
                  <c:v>1498.500000</c:v>
                </c:pt>
                <c:pt idx="14">
                  <c:v>1498.500000</c:v>
                </c:pt>
                <c:pt idx="15">
                  <c:v>1498.500000</c:v>
                </c:pt>
                <c:pt idx="16">
                  <c:v>1498.500000</c:v>
                </c:pt>
                <c:pt idx="17">
                  <c:v>1498.500000</c:v>
                </c:pt>
                <c:pt idx="18">
                  <c:v>1498.500000</c:v>
                </c:pt>
                <c:pt idx="19">
                  <c:v>1498.500000</c:v>
                </c:pt>
                <c:pt idx="20">
                  <c:v>1498.500000</c:v>
                </c:pt>
                <c:pt idx="21">
                  <c:v>1498.500000</c:v>
                </c:pt>
                <c:pt idx="22">
                  <c:v>1498.500000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47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25"/>
        <c:minorUnit val="41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8859"/>
          <c:y val="0.16602"/>
          <c:w val="0.36671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SRIL cashflow positive </a:t>
            </a:r>
          </a:p>
        </c:rich>
      </c:tx>
      <c:layout>
        <c:manualLayout>
          <c:xMode val="edge"/>
          <c:yMode val="edge"/>
          <c:x val="0.26811"/>
          <c:y val="0"/>
          <c:w val="0.4637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'SRIL.jk'!$AC$184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'SRIL.jk'!$AD$47:$AH$47</c:f>
              <c:strCache>
                <c:ptCount val="0"/>
              </c:strCache>
            </c:strRef>
          </c:cat>
          <c:val>
            <c:numRef>
              <c:f>'SRIL.jk'!$AD$184:$AH$184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'SRIL.jk'!$AC$185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'SRIL.jk'!$AD$47:$AH$47</c:f>
              <c:strCache>
                <c:ptCount val="0"/>
              </c:strCache>
            </c:strRef>
          </c:cat>
          <c:val>
            <c:numRef>
              <c:f>'SRIL.jk'!$AD$185:$AH$185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'SRIL.jk'!$AC$183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'SRIL.jk'!$AD$47:$AH$47</c:f>
              <c:strCache>
                <c:ptCount val="0"/>
              </c:strCache>
            </c:strRef>
          </c:cat>
          <c:val>
            <c:numRef>
              <c:f>'SRIL.jk'!$AD$183:$AH$183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66.67"/>
        <c:minorUnit val="5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61.25"/>
        <c:minorUnit val="30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1195"/>
          <c:y val="0.7324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4837"/>
          <c:y val="0.12368"/>
          <c:w val="0.735453"/>
          <c:h val="0.8103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'SRIL.jk'!$T$3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'SRIL.jk'!$B$12:$B$27</c:f>
              <c:strCache>
                <c:ptCount val="0"/>
              </c:strCache>
            </c:strRef>
          </c:cat>
          <c:val>
            <c:numRef>
              <c:f>'SRIL.jk'!$T$12:$T$27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1"/>
          <c:tx>
            <c:strRef>
              <c:f>'SRIL.jk'!$C$3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'SRIL.jk'!$B$12:$B$27</c:f>
              <c:strCache>
                <c:ptCount val="0"/>
              </c:strCache>
            </c:strRef>
          </c:cat>
          <c:val>
            <c:numRef>
              <c:f>'SRIL.jk'!$C$12:$C$27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500"/>
        <c:minorUnit val="7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7.5"/>
        <c:minorUnit val="468.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769656"/>
          <c:y val="0"/>
          <c:w val="0.814232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SRTG paying capital</a:t>
            </a:r>
          </a:p>
        </c:rich>
      </c:tx>
      <c:layout>
        <c:manualLayout>
          <c:xMode val="edge"/>
          <c:yMode val="edge"/>
          <c:x val="0.302208"/>
          <c:y val="0"/>
          <c:w val="0.39558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'SRTG.jk'!$AC$138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'SRTG.jk'!$AD$47:$AH$47</c:f>
              <c:strCache>
                <c:ptCount val="0"/>
              </c:strCache>
            </c:strRef>
          </c:cat>
          <c:val>
            <c:numRef>
              <c:f>'SRTG.jk'!$AD$138:$AH$138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'SRTG.jk'!$AC$139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'SRTG.jk'!$AD$47:$AH$47</c:f>
              <c:strCache>
                <c:ptCount val="0"/>
              </c:strCache>
            </c:strRef>
          </c:cat>
          <c:val>
            <c:numRef>
              <c:f>'SRTG.jk'!$AD$139:$AH$139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'SRTG.jk'!$AC$137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'SRTG.jk'!$AD$47:$AH$47</c:f>
              <c:strCache>
                <c:ptCount val="0"/>
              </c:strCache>
            </c:strRef>
          </c:cat>
          <c:val>
            <c:numRef>
              <c:f>'SRTG.jk'!$AD$137:$AH$137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666.67"/>
        <c:minorUnit val="1333.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0"/>
        <c:minorUnit val="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38668"/>
          <c:y val="0.137518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'SSIA.jk'!$N$12:$N$27</c:f>
              <c:numCache>
                <c:ptCount val="15"/>
                <c:pt idx="0">
                  <c:v>899.050000</c:v>
                </c:pt>
                <c:pt idx="1">
                  <c:v>993.850000</c:v>
                </c:pt>
                <c:pt idx="2">
                  <c:v>948.050000</c:v>
                </c:pt>
                <c:pt idx="3">
                  <c:v>1001.600000</c:v>
                </c:pt>
                <c:pt idx="4">
                  <c:v>1016.175000</c:v>
                </c:pt>
                <c:pt idx="5">
                  <c:v>914.625000</c:v>
                </c:pt>
                <c:pt idx="6">
                  <c:v>840.650000</c:v>
                </c:pt>
                <c:pt idx="7">
                  <c:v>736.825000</c:v>
                </c:pt>
                <c:pt idx="8">
                  <c:v>628.100000</c:v>
                </c:pt>
                <c:pt idx="9">
                  <c:v>588.150000</c:v>
                </c:pt>
                <c:pt idx="10">
                  <c:v>553.750000</c:v>
                </c:pt>
                <c:pt idx="11">
                  <c:v>588.225000</c:v>
                </c:pt>
                <c:pt idx="12">
                  <c:v>668.050000</c:v>
                </c:pt>
                <c:pt idx="13">
                  <c:v>757.625000</c:v>
                </c:pt>
                <c:pt idx="14">
                  <c:v>920.400000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'SSIA.jk'!$O$12:$O$27</c:f>
              <c:numCache>
                <c:ptCount val="8"/>
                <c:pt idx="8">
                  <c:v>806.740000</c:v>
                </c:pt>
                <c:pt idx="9">
                  <c:v>731.570000</c:v>
                </c:pt>
                <c:pt idx="10">
                  <c:v>653.592750</c:v>
                </c:pt>
                <c:pt idx="11">
                  <c:v>612.312750</c:v>
                </c:pt>
                <c:pt idx="12">
                  <c:v>563.302750</c:v>
                </c:pt>
                <c:pt idx="13">
                  <c:v>619.175250</c:v>
                </c:pt>
                <c:pt idx="14">
                  <c:v>735.231500</c:v>
                </c:pt>
                <c:pt idx="15">
                  <c:v>1051.023168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83.333"/>
        <c:minorUnit val="14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963"/>
          <c:y val="0.73512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Title</a:t>
            </a:r>
          </a:p>
        </c:rich>
      </c:tx>
      <c:layout>
        <c:manualLayout>
          <c:xMode val="edge"/>
          <c:yMode val="edge"/>
          <c:x val="0.446517"/>
          <c:y val="0"/>
          <c:w val="0.10696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828706"/>
          <c:y val="0.0918283"/>
          <c:w val="0.905689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'Xxxx.jk'!$T$3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'Xxxx.jk'!$T$4:$T$26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0.000000</c:v>
                </c:pt>
                <c:pt idx="15">
                  <c:v>0.000000</c:v>
                </c:pt>
                <c:pt idx="16">
                  <c:v>0.000000</c:v>
                </c:pt>
                <c:pt idx="17">
                  <c:v>0.000000</c:v>
                </c:pt>
                <c:pt idx="18">
                  <c:v>0.000000</c:v>
                </c:pt>
                <c:pt idx="19">
                  <c:v>0.000000</c:v>
                </c:pt>
                <c:pt idx="20">
                  <c:v>0.000000</c:v>
                </c:pt>
                <c:pt idx="21">
                  <c:v>0.000000</c:v>
                </c:pt>
                <c:pt idx="22">
                  <c:v>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'Xxxx.jk'!$U$3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'Xxxx.jk'!$U$4:$U$26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0.000000</c:v>
                </c:pt>
                <c:pt idx="13">
                  <c:v>0.000000</c:v>
                </c:pt>
                <c:pt idx="14">
                  <c:v>0.000000</c:v>
                </c:pt>
                <c:pt idx="15">
                  <c:v>0.000000</c:v>
                </c:pt>
                <c:pt idx="16">
                  <c:v>0.000000</c:v>
                </c:pt>
                <c:pt idx="17">
                  <c:v>0.000000</c:v>
                </c:pt>
                <c:pt idx="18">
                  <c:v>0.000000</c:v>
                </c:pt>
                <c:pt idx="19">
                  <c:v>0.000000</c:v>
                </c:pt>
                <c:pt idx="20">
                  <c:v>0.000000</c:v>
                </c:pt>
                <c:pt idx="21">
                  <c:v>0.000000</c:v>
                </c:pt>
                <c:pt idx="22">
                  <c:v>0.000000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'Xxxx.jk'!$V$3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'Xxxx.jk'!$B$4:$B$26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'Xxxx.jk'!$V$4:$V$26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"/>
        <c:minorUnit val="0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1949"/>
          <c:y val="0.16602"/>
          <c:w val="0.40753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'BNLI.jk'!$N$20:$N$27</c:f>
              <c:numCache>
                <c:ptCount val="7"/>
                <c:pt idx="0">
                  <c:v>3420.125000</c:v>
                </c:pt>
                <c:pt idx="1">
                  <c:v>3432.750000</c:v>
                </c:pt>
                <c:pt idx="2">
                  <c:v>3404.125000</c:v>
                </c:pt>
                <c:pt idx="3">
                  <c:v>3381.250000</c:v>
                </c:pt>
                <c:pt idx="4">
                  <c:v>3399.250000</c:v>
                </c:pt>
                <c:pt idx="5">
                  <c:v>3386.500000</c:v>
                </c:pt>
                <c:pt idx="6">
                  <c:v>3456.250000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'BNLI.jk'!$O$3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'BNLI.jk'!$O$20:$O$27</c:f>
              <c:numCache>
                <c:ptCount val="2"/>
                <c:pt idx="6">
                  <c:v>3592.583024</c:v>
                </c:pt>
                <c:pt idx="7">
                  <c:v>3592.583024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32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3.333"/>
        <c:minorUnit val="66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6637"/>
          <c:y val="0.112599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1863"/>
          <c:y val="0.0446026"/>
          <c:w val="0.8692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'SSIA.jk'!$R$12:$R$27</c:f>
              <c:numCache>
                <c:ptCount val="15"/>
                <c:pt idx="0">
                  <c:v>0.062447</c:v>
                </c:pt>
                <c:pt idx="1">
                  <c:v>0.069237</c:v>
                </c:pt>
                <c:pt idx="2">
                  <c:v>0.078644</c:v>
                </c:pt>
                <c:pt idx="3">
                  <c:v>0.074423</c:v>
                </c:pt>
                <c:pt idx="4">
                  <c:v>0.071826</c:v>
                </c:pt>
                <c:pt idx="5">
                  <c:v>0.034675</c:v>
                </c:pt>
                <c:pt idx="6">
                  <c:v>0.006069</c:v>
                </c:pt>
                <c:pt idx="7">
                  <c:v>-0.000514</c:v>
                </c:pt>
                <c:pt idx="8">
                  <c:v>-0.028817</c:v>
                </c:pt>
                <c:pt idx="9">
                  <c:v>-0.040982</c:v>
                </c:pt>
                <c:pt idx="10">
                  <c:v>-0.049088</c:v>
                </c:pt>
                <c:pt idx="11">
                  <c:v>-0.056809</c:v>
                </c:pt>
                <c:pt idx="12">
                  <c:v>-0.046325</c:v>
                </c:pt>
                <c:pt idx="13">
                  <c:v>0.057843</c:v>
                </c:pt>
                <c:pt idx="14">
                  <c:v>0.085409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'SSIA.jk'!$S$12:$S$27</c:f>
              <c:numCache>
                <c:ptCount val="2"/>
                <c:pt idx="14">
                  <c:v>0.071626</c:v>
                </c:pt>
                <c:pt idx="15">
                  <c:v>0.071626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0.1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533333"/>
        <c:minorUnit val="0.026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516671"/>
          <c:y val="0.126211"/>
          <c:w val="0.25892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'SSIA.jk'!$T$12:$T$27</c:f>
              <c:numCache>
                <c:ptCount val="15"/>
                <c:pt idx="0">
                  <c:v>-142.675000</c:v>
                </c:pt>
                <c:pt idx="1">
                  <c:v>-109.150000</c:v>
                </c:pt>
                <c:pt idx="2">
                  <c:v>-19.900000</c:v>
                </c:pt>
                <c:pt idx="3">
                  <c:v>-39.600000</c:v>
                </c:pt>
                <c:pt idx="4">
                  <c:v>-47.725000</c:v>
                </c:pt>
                <c:pt idx="5">
                  <c:v>-74.200000</c:v>
                </c:pt>
                <c:pt idx="6">
                  <c:v>-176.625000</c:v>
                </c:pt>
                <c:pt idx="7">
                  <c:v>-178.700000</c:v>
                </c:pt>
                <c:pt idx="8">
                  <c:v>-151.900000</c:v>
                </c:pt>
                <c:pt idx="9">
                  <c:v>-130.925000</c:v>
                </c:pt>
                <c:pt idx="10">
                  <c:v>-149.275000</c:v>
                </c:pt>
                <c:pt idx="11">
                  <c:v>-90.975000</c:v>
                </c:pt>
                <c:pt idx="12">
                  <c:v>-152.775000</c:v>
                </c:pt>
                <c:pt idx="13">
                  <c:v>5.375000</c:v>
                </c:pt>
                <c:pt idx="14">
                  <c:v>92.200000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'SSIA.jk'!$U$12:$U$27</c:f>
              <c:numCache>
                <c:ptCount val="4"/>
                <c:pt idx="12">
                  <c:v>28.847100</c:v>
                </c:pt>
                <c:pt idx="13">
                  <c:v>-0.203538</c:v>
                </c:pt>
                <c:pt idx="14">
                  <c:v>4.624948</c:v>
                </c:pt>
                <c:pt idx="15">
                  <c:v>46.180418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1.667"/>
        <c:minorUnit val="50.8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4491"/>
          <c:y val="0.109529"/>
          <c:w val="0.42219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'SSIA.jk'!$X$12:$X$27</c:f>
              <c:numCache>
                <c:ptCount val="15"/>
                <c:pt idx="0">
                  <c:v>-1823.000000</c:v>
                </c:pt>
                <c:pt idx="1">
                  <c:v>-2188.000000</c:v>
                </c:pt>
                <c:pt idx="2">
                  <c:v>-2160.000000</c:v>
                </c:pt>
                <c:pt idx="3">
                  <c:v>-2087.000000</c:v>
                </c:pt>
                <c:pt idx="4">
                  <c:v>-2288.000000</c:v>
                </c:pt>
                <c:pt idx="5">
                  <c:v>-2401.000000</c:v>
                </c:pt>
                <c:pt idx="6">
                  <c:v>-2737.000000</c:v>
                </c:pt>
                <c:pt idx="7">
                  <c:v>-2543.000000</c:v>
                </c:pt>
                <c:pt idx="8">
                  <c:v>-2569.000000</c:v>
                </c:pt>
                <c:pt idx="9">
                  <c:v>-2765.000000</c:v>
                </c:pt>
                <c:pt idx="10">
                  <c:v>-3191.000000</c:v>
                </c:pt>
                <c:pt idx="11">
                  <c:v>-2920.000000</c:v>
                </c:pt>
                <c:pt idx="12">
                  <c:v>-3334.000000</c:v>
                </c:pt>
                <c:pt idx="13">
                  <c:v>-2949.000000</c:v>
                </c:pt>
                <c:pt idx="14">
                  <c:v>-3033.000000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'SSIA.jk'!$Y$12:$Y$27</c:f>
              <c:numCache>
                <c:ptCount val="4"/>
                <c:pt idx="12">
                  <c:v>-3092.430953</c:v>
                </c:pt>
                <c:pt idx="13">
                  <c:v>-3334.813715</c:v>
                </c:pt>
                <c:pt idx="14">
                  <c:v>-2930.500207</c:v>
                </c:pt>
                <c:pt idx="15">
                  <c:v>-2848.278329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133.33"/>
        <c:minorUnit val="56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2786"/>
          <c:y val="0.109529"/>
          <c:w val="0.41154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'SSIA.jk'!$V$12:$V$27</c:f>
              <c:numCache>
                <c:ptCount val="15"/>
                <c:pt idx="0">
                  <c:v>351.500000</c:v>
                </c:pt>
                <c:pt idx="1">
                  <c:v>268.750000</c:v>
                </c:pt>
                <c:pt idx="2">
                  <c:v>186.000000</c:v>
                </c:pt>
                <c:pt idx="3">
                  <c:v>103.250000</c:v>
                </c:pt>
                <c:pt idx="4">
                  <c:v>95.750000</c:v>
                </c:pt>
                <c:pt idx="5">
                  <c:v>88.250000</c:v>
                </c:pt>
                <c:pt idx="6">
                  <c:v>80.750000</c:v>
                </c:pt>
                <c:pt idx="7">
                  <c:v>73.250000</c:v>
                </c:pt>
                <c:pt idx="8">
                  <c:v>66.959000</c:v>
                </c:pt>
                <c:pt idx="9">
                  <c:v>-362.034000</c:v>
                </c:pt>
                <c:pt idx="10">
                  <c:v>-311.295000</c:v>
                </c:pt>
                <c:pt idx="11">
                  <c:v>-218.831000</c:v>
                </c:pt>
                <c:pt idx="12">
                  <c:v>-454.495000</c:v>
                </c:pt>
                <c:pt idx="13">
                  <c:v>-420.603000</c:v>
                </c:pt>
                <c:pt idx="14">
                  <c:v>-412.103000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'SSIA.jk'!$W$12:$W$27</c:f>
              <c:numCache>
                <c:ptCount val="2"/>
                <c:pt idx="14">
                  <c:v>-227.381329</c:v>
                </c:pt>
                <c:pt idx="15">
                  <c:v>-227.381329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66.667"/>
        <c:minorUnit val="1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1966"/>
          <c:y val="0.0972862"/>
          <c:w val="0.41311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607"/>
          <c:y val="0.0446026"/>
          <c:w val="0.85415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'SSIA.jk'!$Z$3</c:f>
              <c:strCache>
                <c:ptCount val="1"/>
                <c:pt idx="0">
                  <c:v>SSIA.jk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'SSIA.jk'!$Z$20:$Z$28</c:f>
              <c:numCache>
                <c:ptCount val="8"/>
                <c:pt idx="0">
                  <c:v>482.000000</c:v>
                </c:pt>
                <c:pt idx="1">
                  <c:v>436.000000</c:v>
                </c:pt>
                <c:pt idx="2">
                  <c:v>498.000000</c:v>
                </c:pt>
                <c:pt idx="3">
                  <c:v>484.000000</c:v>
                </c:pt>
                <c:pt idx="4">
                  <c:v>396.000000</c:v>
                </c:pt>
                <c:pt idx="5">
                  <c:v>390.000000</c:v>
                </c:pt>
                <c:pt idx="6">
                  <c:v>356.000000</c:v>
                </c:pt>
                <c:pt idx="7">
                  <c:v>260.000000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'SSIA.jk'!$AA$3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'SSIA.jk'!$B$20:$B$28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'SSIA.jk'!$AA$20:$AA$28</c:f>
              <c:numCache>
                <c:ptCount val="5"/>
                <c:pt idx="4">
                  <c:v>390.122109</c:v>
                </c:pt>
                <c:pt idx="5">
                  <c:v>318.599722</c:v>
                </c:pt>
                <c:pt idx="6">
                  <c:v>374.181829</c:v>
                </c:pt>
                <c:pt idx="7">
                  <c:v>318.599722</c:v>
                </c:pt>
                <c:pt idx="8">
                  <c:v>324.889613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3.3333"/>
        <c:minorUnit val="41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8639"/>
          <c:y val="0.717608"/>
          <c:w val="0.3767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STAA cashflow positive again </a:t>
            </a:r>
          </a:p>
        </c:rich>
      </c:tx>
      <c:layout>
        <c:manualLayout>
          <c:xMode val="edge"/>
          <c:yMode val="edge"/>
          <c:x val="0.199733"/>
          <c:y val="0"/>
          <c:w val="0.60053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'STAA.jk'!$AA$140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'STAA.jk'!$AB$47:$AF$47</c:f>
              <c:strCache>
                <c:ptCount val="0"/>
              </c:strCache>
            </c:strRef>
          </c:cat>
          <c:val>
            <c:numRef>
              <c:f>'STAA.jk'!$AB$140:$AF$140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'STAA.jk'!$AA$141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'STAA.jk'!$AB$47:$AF$47</c:f>
              <c:strCache>
                <c:ptCount val="0"/>
              </c:strCache>
            </c:strRef>
          </c:cat>
          <c:val>
            <c:numRef>
              <c:f>'STAA.jk'!$AB$141:$AF$141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'STAA.jk'!$AA$139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'STAA.jk'!$AB$47:$AF$47</c:f>
              <c:strCache>
                <c:ptCount val="0"/>
              </c:strCache>
            </c:strRef>
          </c:cat>
          <c:val>
            <c:numRef>
              <c:f>'STAA.jk'!$AB$139:$AF$139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66.667"/>
        <c:minorUnit val="28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1195"/>
          <c:y val="0.7324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STAA</a:t>
            </a:r>
          </a:p>
        </c:rich>
      </c:tx>
      <c:layout>
        <c:manualLayout>
          <c:xMode val="edge"/>
          <c:yMode val="edge"/>
          <c:x val="0.435657"/>
          <c:y val="0"/>
          <c:w val="0.12868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'STAA.jk'!$T$3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'STAA.jk'!$T$4:$T$26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103.250000</c:v>
                </c:pt>
                <c:pt idx="13">
                  <c:v>206.500000</c:v>
                </c:pt>
                <c:pt idx="14">
                  <c:v>309.750000</c:v>
                </c:pt>
                <c:pt idx="15">
                  <c:v>413.000000</c:v>
                </c:pt>
                <c:pt idx="16">
                  <c:v>764.000000</c:v>
                </c:pt>
                <c:pt idx="17">
                  <c:v>796.000000</c:v>
                </c:pt>
                <c:pt idx="18">
                  <c:v>1159.500000</c:v>
                </c:pt>
                <c:pt idx="19">
                  <c:v>1523.000000</c:v>
                </c:pt>
                <c:pt idx="20">
                  <c:v>2022.000000</c:v>
                </c:pt>
                <c:pt idx="21">
                  <c:v>1944.000000</c:v>
                </c:pt>
                <c:pt idx="22">
                  <c:v>2169.900000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'STAA.jk'!$U$3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'STAA.jk'!$U$4:$U$26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0.000000</c:v>
                </c:pt>
                <c:pt idx="9">
                  <c:v>0.000000</c:v>
                </c:pt>
                <c:pt idx="10">
                  <c:v>0.000000</c:v>
                </c:pt>
                <c:pt idx="11">
                  <c:v>0.000000</c:v>
                </c:pt>
                <c:pt idx="12">
                  <c:v>142.500000</c:v>
                </c:pt>
                <c:pt idx="13">
                  <c:v>285.000000</c:v>
                </c:pt>
                <c:pt idx="14">
                  <c:v>427.500000</c:v>
                </c:pt>
                <c:pt idx="15">
                  <c:v>570.000000</c:v>
                </c:pt>
                <c:pt idx="16">
                  <c:v>772.000000</c:v>
                </c:pt>
                <c:pt idx="17">
                  <c:v>801.000000</c:v>
                </c:pt>
                <c:pt idx="18">
                  <c:v>1014.000000</c:v>
                </c:pt>
                <c:pt idx="19">
                  <c:v>1227.000000</c:v>
                </c:pt>
                <c:pt idx="20">
                  <c:v>777.000000</c:v>
                </c:pt>
                <c:pt idx="21">
                  <c:v>943.000000</c:v>
                </c:pt>
                <c:pt idx="22">
                  <c:v>1315.100000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'STAA.jk'!$V$3</c:f>
              <c:strCache>
                <c:ptCount val="1"/>
                <c:pt idx="0">
                  <c:v>STAA.jk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'STAA.jk'!$B$4:$B$26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'STAA.jk'!$V$4:$V$26</c:f>
              <c:numCache>
                <c:ptCount val="23"/>
                <c:pt idx="0">
                  <c:v>10903.400448</c:v>
                </c:pt>
                <c:pt idx="1">
                  <c:v>10903.400448</c:v>
                </c:pt>
                <c:pt idx="2">
                  <c:v>10903.400448</c:v>
                </c:pt>
                <c:pt idx="3">
                  <c:v>10903.400448</c:v>
                </c:pt>
                <c:pt idx="4">
                  <c:v>10903.400448</c:v>
                </c:pt>
                <c:pt idx="5">
                  <c:v>10903.400448</c:v>
                </c:pt>
                <c:pt idx="6">
                  <c:v>10903.400448</c:v>
                </c:pt>
                <c:pt idx="7">
                  <c:v>10903.400448</c:v>
                </c:pt>
                <c:pt idx="8">
                  <c:v>10903.400448</c:v>
                </c:pt>
                <c:pt idx="9">
                  <c:v>10903.400448</c:v>
                </c:pt>
                <c:pt idx="10">
                  <c:v>10903.400448</c:v>
                </c:pt>
                <c:pt idx="11">
                  <c:v>10903.400448</c:v>
                </c:pt>
                <c:pt idx="12">
                  <c:v>10903.400448</c:v>
                </c:pt>
                <c:pt idx="13">
                  <c:v>10903.400448</c:v>
                </c:pt>
                <c:pt idx="14">
                  <c:v>10903.400448</c:v>
                </c:pt>
                <c:pt idx="15">
                  <c:v>10903.400448</c:v>
                </c:pt>
                <c:pt idx="16">
                  <c:v>10903.400448</c:v>
                </c:pt>
                <c:pt idx="17">
                  <c:v>10903.400448</c:v>
                </c:pt>
                <c:pt idx="18">
                  <c:v>10903.400448</c:v>
                </c:pt>
                <c:pt idx="19">
                  <c:v>10903.400448</c:v>
                </c:pt>
                <c:pt idx="20">
                  <c:v>10903.400448</c:v>
                </c:pt>
                <c:pt idx="21">
                  <c:v>10903.400448</c:v>
                </c:pt>
                <c:pt idx="22">
                  <c:v>10903.400448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14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800"/>
        <c:minorUnit val="19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TBLA cashflow positive!</a:t>
            </a:r>
          </a:p>
        </c:rich>
      </c:tx>
      <c:layout>
        <c:manualLayout>
          <c:xMode val="edge"/>
          <c:yMode val="edge"/>
          <c:x val="0.268678"/>
          <c:y val="0"/>
          <c:w val="0.46264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'TBLA.jk'!$AC$185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'TBLA.jk'!$AD$47:$AH$47</c:f>
              <c:strCache>
                <c:ptCount val="0"/>
              </c:strCache>
            </c:strRef>
          </c:cat>
          <c:val>
            <c:numRef>
              <c:f>'TBLA.jk'!$AD$185:$AH$185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'TBLA.jk'!$AC$186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'TBLA.jk'!$AD$47:$AH$47</c:f>
              <c:strCache>
                <c:ptCount val="0"/>
              </c:strCache>
            </c:strRef>
          </c:cat>
          <c:val>
            <c:numRef>
              <c:f>'TBLA.jk'!$AD$186:$AH$186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'TBLA.jk'!$AC$184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'TBLA.jk'!$AD$47:$AH$47</c:f>
              <c:strCache>
                <c:ptCount val="0"/>
              </c:strCache>
            </c:strRef>
          </c:cat>
          <c:val>
            <c:numRef>
              <c:f>'TBLA.jk'!$AD$184:$AH$184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6.67"/>
        <c:minorUnit val="8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700"/>
        <c:minorUnit val="3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6704"/>
          <c:y val="0.736922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TGKA big investment gain</a:t>
            </a:r>
          </a:p>
        </c:rich>
      </c:tx>
      <c:layout>
        <c:manualLayout>
          <c:xMode val="edge"/>
          <c:yMode val="edge"/>
          <c:x val="0.240839"/>
          <c:y val="0"/>
          <c:w val="0.51832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'TGKA.jk'!$AC$138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'TGKA.jk'!$AD$47:$AH$47</c:f>
              <c:strCache>
                <c:ptCount val="0"/>
              </c:strCache>
            </c:strRef>
          </c:cat>
          <c:val>
            <c:numRef>
              <c:f>'TGKA.jk'!$AD$138:$AH$138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'TGKA.jk'!$AC$139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'TGKA.jk'!$AD$47:$AH$47</c:f>
              <c:strCache>
                <c:ptCount val="0"/>
              </c:strCache>
            </c:strRef>
          </c:cat>
          <c:val>
            <c:numRef>
              <c:f>'TGKA.jk'!$AD$139:$AH$139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'TGKA.jk'!$AC$137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'TGKA.jk'!$AD$47:$AH$47</c:f>
              <c:strCache>
                <c:ptCount val="0"/>
              </c:strCache>
            </c:strRef>
          </c:cat>
          <c:val>
            <c:numRef>
              <c:f>'TGKA.jk'!$AD$137:$AH$137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66.667"/>
        <c:minorUnit val="1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18.75"/>
        <c:minorUnit val="109.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39617"/>
          <c:y val="0.15969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TKIM cashflow more negative </a:t>
            </a:r>
          </a:p>
        </c:rich>
      </c:tx>
      <c:layout>
        <c:manualLayout>
          <c:xMode val="edge"/>
          <c:yMode val="edge"/>
          <c:x val="0.207897"/>
          <c:y val="0"/>
          <c:w val="0.58420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'TKIM.jk'!$AA$140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'TKIM.jk'!$AB$47:$AF$47</c:f>
              <c:strCache>
                <c:ptCount val="0"/>
              </c:strCache>
            </c:strRef>
          </c:cat>
          <c:val>
            <c:numRef>
              <c:f>'TKIM.jk'!$AB$140:$AF$140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'TKIM.jk'!$AA$141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'TKIM.jk'!$AB$47:$AF$47</c:f>
              <c:strCache>
                <c:ptCount val="0"/>
              </c:strCache>
            </c:strRef>
          </c:cat>
          <c:val>
            <c:numRef>
              <c:f>'TKIM.jk'!$AB$141:$AF$141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'TKIM.jk'!$AA$139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'TKIM.jk'!$AB$47:$AF$47</c:f>
              <c:strCache>
                <c:ptCount val="0"/>
              </c:strCache>
            </c:strRef>
          </c:cat>
          <c:val>
            <c:numRef>
              <c:f>'TKIM.jk'!$AB$139:$AF$139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533.33"/>
        <c:minorUnit val="7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787.5"/>
        <c:minorUnit val="393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786"/>
          <c:y val="0.732472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1863"/>
          <c:y val="0.0446026"/>
          <c:w val="0.8692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'BNLI.jk'!$R$20:$R$27</c:f>
              <c:numCache>
                <c:ptCount val="7"/>
                <c:pt idx="0">
                  <c:v>0.309488</c:v>
                </c:pt>
                <c:pt idx="1">
                  <c:v>0.339188</c:v>
                </c:pt>
                <c:pt idx="2">
                  <c:v>0.342872</c:v>
                </c:pt>
                <c:pt idx="3">
                  <c:v>0.364084</c:v>
                </c:pt>
                <c:pt idx="4">
                  <c:v>0.365894</c:v>
                </c:pt>
                <c:pt idx="5">
                  <c:v>0.356377</c:v>
                </c:pt>
                <c:pt idx="6">
                  <c:v>0.357989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'BNLI.jk'!$S$3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'BNLI.jk'!$S$20:$S$27</c:f>
              <c:numCache>
                <c:ptCount val="2"/>
                <c:pt idx="6">
                  <c:v>0.357989</c:v>
                </c:pt>
                <c:pt idx="7">
                  <c:v>0.357989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266667"/>
        <c:minorUnit val="0.013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58"/>
          <c:y val="0.726725"/>
          <c:w val="0.25892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TKIM lower again</a:t>
            </a:r>
          </a:p>
        </c:rich>
      </c:tx>
      <c:layout>
        <c:manualLayout>
          <c:xMode val="edge"/>
          <c:yMode val="edge"/>
          <c:x val="0.301273"/>
          <c:y val="0"/>
          <c:w val="0.39745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'TKIM.jk'!$T$3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'TKIM.jk'!$T$4:$T$26</c:f>
              <c:numCache>
                <c:ptCount val="23"/>
                <c:pt idx="0">
                  <c:v>53.200000</c:v>
                </c:pt>
                <c:pt idx="1">
                  <c:v>253.105000</c:v>
                </c:pt>
                <c:pt idx="2">
                  <c:v>-1863.720500</c:v>
                </c:pt>
                <c:pt idx="3">
                  <c:v>-750.690800</c:v>
                </c:pt>
                <c:pt idx="4">
                  <c:v>-1301.130800</c:v>
                </c:pt>
                <c:pt idx="5">
                  <c:v>-1469.130800</c:v>
                </c:pt>
                <c:pt idx="6">
                  <c:v>-1707.562800</c:v>
                </c:pt>
                <c:pt idx="7">
                  <c:v>-2067.062800</c:v>
                </c:pt>
                <c:pt idx="8">
                  <c:v>-899.382800</c:v>
                </c:pt>
                <c:pt idx="9">
                  <c:v>-881.017700</c:v>
                </c:pt>
                <c:pt idx="10">
                  <c:v>-409.743700</c:v>
                </c:pt>
                <c:pt idx="11">
                  <c:v>41.421300</c:v>
                </c:pt>
                <c:pt idx="12">
                  <c:v>1478.332300</c:v>
                </c:pt>
                <c:pt idx="13">
                  <c:v>613.053800</c:v>
                </c:pt>
                <c:pt idx="14">
                  <c:v>2160.087800</c:v>
                </c:pt>
                <c:pt idx="15">
                  <c:v>2567.859800</c:v>
                </c:pt>
                <c:pt idx="16">
                  <c:v>2809.632918</c:v>
                </c:pt>
                <c:pt idx="17">
                  <c:v>4105.812368</c:v>
                </c:pt>
                <c:pt idx="18">
                  <c:v>4580.183792</c:v>
                </c:pt>
                <c:pt idx="19">
                  <c:v>5432.943742</c:v>
                </c:pt>
                <c:pt idx="20">
                  <c:v>6220.928742</c:v>
                </c:pt>
                <c:pt idx="21">
                  <c:v>5992.232742</c:v>
                </c:pt>
                <c:pt idx="22">
                  <c:v>5079.772242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'TKIM.jk'!$U$3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'TKIM.jk'!$U$4:$U$26</c:f>
              <c:numCache>
                <c:ptCount val="23"/>
                <c:pt idx="0">
                  <c:v>-238.964425</c:v>
                </c:pt>
                <c:pt idx="1">
                  <c:v>-478.413966</c:v>
                </c:pt>
                <c:pt idx="2">
                  <c:v>-717.468227</c:v>
                </c:pt>
                <c:pt idx="3">
                  <c:v>-961.050235</c:v>
                </c:pt>
                <c:pt idx="4">
                  <c:v>-1380.685050</c:v>
                </c:pt>
                <c:pt idx="5">
                  <c:v>-1807.608050</c:v>
                </c:pt>
                <c:pt idx="6">
                  <c:v>-2262.037089</c:v>
                </c:pt>
                <c:pt idx="7">
                  <c:v>-2700.547999</c:v>
                </c:pt>
                <c:pt idx="8">
                  <c:v>-2271.952479</c:v>
                </c:pt>
                <c:pt idx="9">
                  <c:v>-1846.758033</c:v>
                </c:pt>
                <c:pt idx="10">
                  <c:v>-1419.516923</c:v>
                </c:pt>
                <c:pt idx="11">
                  <c:v>-1001.696487</c:v>
                </c:pt>
                <c:pt idx="12">
                  <c:v>-255.273414</c:v>
                </c:pt>
                <c:pt idx="13">
                  <c:v>397.103097</c:v>
                </c:pt>
                <c:pt idx="14">
                  <c:v>1073.963749</c:v>
                </c:pt>
                <c:pt idx="15">
                  <c:v>1719.246725</c:v>
                </c:pt>
                <c:pt idx="16">
                  <c:v>1788.581406</c:v>
                </c:pt>
                <c:pt idx="17">
                  <c:v>2789.345056</c:v>
                </c:pt>
                <c:pt idx="18">
                  <c:v>3791.388064</c:v>
                </c:pt>
                <c:pt idx="19">
                  <c:v>3946.100514</c:v>
                </c:pt>
                <c:pt idx="20">
                  <c:v>5602.301715</c:v>
                </c:pt>
                <c:pt idx="21">
                  <c:v>4672.857714</c:v>
                </c:pt>
                <c:pt idx="22">
                  <c:v>3783.954715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'TKIM.jk'!$V$3</c:f>
              <c:strCache>
                <c:ptCount val="1"/>
                <c:pt idx="0">
                  <c:v>TKIM.jk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'TKIM.jk'!$B$4:$B$26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'TKIM.jk'!$V$4:$V$26</c:f>
              <c:numCache>
                <c:ptCount val="23"/>
                <c:pt idx="0">
                  <c:v>21325.557658</c:v>
                </c:pt>
                <c:pt idx="1">
                  <c:v>21325.557658</c:v>
                </c:pt>
                <c:pt idx="2">
                  <c:v>21325.557658</c:v>
                </c:pt>
                <c:pt idx="3">
                  <c:v>21325.557658</c:v>
                </c:pt>
                <c:pt idx="4">
                  <c:v>21325.557658</c:v>
                </c:pt>
                <c:pt idx="5">
                  <c:v>21325.557658</c:v>
                </c:pt>
                <c:pt idx="6">
                  <c:v>21325.557658</c:v>
                </c:pt>
                <c:pt idx="7">
                  <c:v>21325.557658</c:v>
                </c:pt>
                <c:pt idx="8">
                  <c:v>21325.557658</c:v>
                </c:pt>
                <c:pt idx="9">
                  <c:v>21325.557658</c:v>
                </c:pt>
                <c:pt idx="10">
                  <c:v>21325.557658</c:v>
                </c:pt>
                <c:pt idx="11">
                  <c:v>21325.557658</c:v>
                </c:pt>
                <c:pt idx="12">
                  <c:v>21325.557658</c:v>
                </c:pt>
                <c:pt idx="13">
                  <c:v>21325.557658</c:v>
                </c:pt>
                <c:pt idx="14">
                  <c:v>21325.557658</c:v>
                </c:pt>
                <c:pt idx="15">
                  <c:v>21325.557658</c:v>
                </c:pt>
                <c:pt idx="16">
                  <c:v>21325.557658</c:v>
                </c:pt>
                <c:pt idx="17">
                  <c:v>21325.557658</c:v>
                </c:pt>
                <c:pt idx="18">
                  <c:v>21325.557658</c:v>
                </c:pt>
                <c:pt idx="19">
                  <c:v>21325.557658</c:v>
                </c:pt>
                <c:pt idx="20">
                  <c:v>21325.557658</c:v>
                </c:pt>
                <c:pt idx="21">
                  <c:v>21325.557658</c:v>
                </c:pt>
                <c:pt idx="22">
                  <c:v>21325.557658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22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416.67"/>
        <c:minorUnit val="4208.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'TSPC.jk'!$N$12:$N$27</c:f>
              <c:numCache>
                <c:ptCount val="15"/>
                <c:pt idx="0">
                  <c:v>2602.475000</c:v>
                </c:pt>
                <c:pt idx="1">
                  <c:v>2661.275000</c:v>
                </c:pt>
                <c:pt idx="2">
                  <c:v>2709.550000</c:v>
                </c:pt>
                <c:pt idx="3">
                  <c:v>2748.450000</c:v>
                </c:pt>
                <c:pt idx="4">
                  <c:v>2763.675000</c:v>
                </c:pt>
                <c:pt idx="5">
                  <c:v>2747.025000</c:v>
                </c:pt>
                <c:pt idx="6">
                  <c:v>2728.350000</c:v>
                </c:pt>
                <c:pt idx="7">
                  <c:v>2742.100000</c:v>
                </c:pt>
                <c:pt idx="8">
                  <c:v>2736.650000</c:v>
                </c:pt>
                <c:pt idx="9">
                  <c:v>2774.675000</c:v>
                </c:pt>
                <c:pt idx="10">
                  <c:v>2805.450000</c:v>
                </c:pt>
                <c:pt idx="11">
                  <c:v>2808.600000</c:v>
                </c:pt>
                <c:pt idx="12">
                  <c:v>2865.800000</c:v>
                </c:pt>
                <c:pt idx="13">
                  <c:v>2922.675000</c:v>
                </c:pt>
                <c:pt idx="14">
                  <c:v>2994.825000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'TSPC.jk'!$O$12:$O$27</c:f>
              <c:numCache>
                <c:ptCount val="8"/>
                <c:pt idx="8">
                  <c:v>2847.852000</c:v>
                </c:pt>
                <c:pt idx="9">
                  <c:v>2831.392000</c:v>
                </c:pt>
                <c:pt idx="10">
                  <c:v>2822.626500</c:v>
                </c:pt>
                <c:pt idx="11">
                  <c:v>2868.624250</c:v>
                </c:pt>
                <c:pt idx="12">
                  <c:v>2864.550750</c:v>
                </c:pt>
                <c:pt idx="13">
                  <c:v>2922.894750</c:v>
                </c:pt>
                <c:pt idx="14">
                  <c:v>2981.774250</c:v>
                </c:pt>
                <c:pt idx="15">
                  <c:v>3275.692977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33.333"/>
        <c:minorUnit val="2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644"/>
          <c:y val="0.727734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'TSPC.jk'!$Q$3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'TSPC.jk'!$Q$12:$Q$27</c:f>
              <c:numCache>
                <c:ptCount val="15"/>
                <c:pt idx="0">
                  <c:v>-0.927252</c:v>
                </c:pt>
                <c:pt idx="1">
                  <c:v>-0.929244</c:v>
                </c:pt>
                <c:pt idx="2">
                  <c:v>-0.929573</c:v>
                </c:pt>
                <c:pt idx="3">
                  <c:v>-0.924185</c:v>
                </c:pt>
                <c:pt idx="4">
                  <c:v>-0.916352</c:v>
                </c:pt>
                <c:pt idx="5">
                  <c:v>-0.916373</c:v>
                </c:pt>
                <c:pt idx="6">
                  <c:v>-0.911054</c:v>
                </c:pt>
                <c:pt idx="7">
                  <c:v>-0.899460</c:v>
                </c:pt>
                <c:pt idx="8">
                  <c:v>-0.897899</c:v>
                </c:pt>
                <c:pt idx="9">
                  <c:v>-0.897262</c:v>
                </c:pt>
                <c:pt idx="10">
                  <c:v>-0.897008</c:v>
                </c:pt>
                <c:pt idx="11">
                  <c:v>-0.896621</c:v>
                </c:pt>
                <c:pt idx="12">
                  <c:v>-0.900159</c:v>
                </c:pt>
                <c:pt idx="13">
                  <c:v>-0.903564</c:v>
                </c:pt>
                <c:pt idx="14">
                  <c:v>-0.903901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'TSPC.jk'!$R$12:$R$27</c:f>
              <c:numCache>
                <c:ptCount val="4"/>
                <c:pt idx="12">
                  <c:v>-0.900720</c:v>
                </c:pt>
                <c:pt idx="13">
                  <c:v>-0.903571</c:v>
                </c:pt>
                <c:pt idx="14">
                  <c:v>-0.900720</c:v>
                </c:pt>
                <c:pt idx="15">
                  <c:v>-0.903901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166667"/>
        <c:minorUnit val="0.0083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14468"/>
          <c:y val="0.134235"/>
          <c:w val="0.296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'TSPC.jk'!$S$12:$S$27</c:f>
              <c:numCache>
                <c:ptCount val="15"/>
                <c:pt idx="0">
                  <c:v>9.475000</c:v>
                </c:pt>
                <c:pt idx="1">
                  <c:v>-0.350000</c:v>
                </c:pt>
                <c:pt idx="2">
                  <c:v>63.375000</c:v>
                </c:pt>
                <c:pt idx="3">
                  <c:v>122.475000</c:v>
                </c:pt>
                <c:pt idx="4">
                  <c:v>130.825000</c:v>
                </c:pt>
                <c:pt idx="5">
                  <c:v>144.000000</c:v>
                </c:pt>
                <c:pt idx="6">
                  <c:v>173.475000</c:v>
                </c:pt>
                <c:pt idx="7">
                  <c:v>132.057500</c:v>
                </c:pt>
                <c:pt idx="8">
                  <c:v>130.007500</c:v>
                </c:pt>
                <c:pt idx="9">
                  <c:v>66.057500</c:v>
                </c:pt>
                <c:pt idx="10">
                  <c:v>110.832500</c:v>
                </c:pt>
                <c:pt idx="11">
                  <c:v>60.375000</c:v>
                </c:pt>
                <c:pt idx="12">
                  <c:v>56.200000</c:v>
                </c:pt>
                <c:pt idx="13">
                  <c:v>35.975000</c:v>
                </c:pt>
                <c:pt idx="14">
                  <c:v>-37.800000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'TSPC.jk'!$T$12:$T$27</c:f>
              <c:numCache>
                <c:ptCount val="4"/>
                <c:pt idx="12">
                  <c:v>136.662186</c:v>
                </c:pt>
                <c:pt idx="13">
                  <c:v>136.662186</c:v>
                </c:pt>
                <c:pt idx="14">
                  <c:v>161.868973</c:v>
                </c:pt>
                <c:pt idx="15">
                  <c:v>209.191161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2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8.3333"/>
        <c:minorUnit val="44.1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058"/>
          <c:y val="0.102877"/>
          <c:w val="0.377014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'TSPC.jk'!$U$12:$U$27</c:f>
              <c:numCache>
                <c:ptCount val="15"/>
                <c:pt idx="0">
                  <c:v>72.750000</c:v>
                </c:pt>
                <c:pt idx="1">
                  <c:v>99.500000</c:v>
                </c:pt>
                <c:pt idx="2">
                  <c:v>126.250000</c:v>
                </c:pt>
                <c:pt idx="3">
                  <c:v>153.000000</c:v>
                </c:pt>
                <c:pt idx="4">
                  <c:v>170.200000</c:v>
                </c:pt>
                <c:pt idx="5">
                  <c:v>133.600000</c:v>
                </c:pt>
                <c:pt idx="6">
                  <c:v>350.000000</c:v>
                </c:pt>
                <c:pt idx="7">
                  <c:v>299.100000</c:v>
                </c:pt>
                <c:pt idx="8">
                  <c:v>307.800000</c:v>
                </c:pt>
                <c:pt idx="9">
                  <c:v>118.000000</c:v>
                </c:pt>
                <c:pt idx="10">
                  <c:v>422.900000</c:v>
                </c:pt>
                <c:pt idx="11">
                  <c:v>540.900000</c:v>
                </c:pt>
                <c:pt idx="12">
                  <c:v>435.900000</c:v>
                </c:pt>
                <c:pt idx="13">
                  <c:v>254.300000</c:v>
                </c:pt>
                <c:pt idx="14">
                  <c:v>332.900000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'TSPC.jk'!$V$12:$V$27</c:f>
              <c:numCache>
                <c:ptCount val="2"/>
                <c:pt idx="14">
                  <c:v>332.900000</c:v>
                </c:pt>
                <c:pt idx="15">
                  <c:v>1161.166677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00"/>
        <c:minorUnit val="2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8463"/>
          <c:y val="0.130315"/>
          <c:w val="0.33348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'TSPC.jk'!$Y$3</c:f>
              <c:strCache>
                <c:ptCount val="1"/>
                <c:pt idx="0">
                  <c:v>TSPC.jk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'TSPC.jk'!$Y$12:$Y$28</c:f>
              <c:numCache>
                <c:ptCount val="16"/>
                <c:pt idx="0">
                  <c:v>1636.428589</c:v>
                </c:pt>
                <c:pt idx="1">
                  <c:v>1513.928589</c:v>
                </c:pt>
                <c:pt idx="2">
                  <c:v>1364.464355</c:v>
                </c:pt>
                <c:pt idx="3">
                  <c:v>1248.750000</c:v>
                </c:pt>
                <c:pt idx="4">
                  <c:v>930.535706</c:v>
                </c:pt>
                <c:pt idx="5">
                  <c:v>1340.357178</c:v>
                </c:pt>
                <c:pt idx="6">
                  <c:v>1280.000000</c:v>
                </c:pt>
                <c:pt idx="7">
                  <c:v>1400.000000</c:v>
                </c:pt>
                <c:pt idx="8">
                  <c:v>1480.000000</c:v>
                </c:pt>
                <c:pt idx="9">
                  <c:v>1470.000000</c:v>
                </c:pt>
                <c:pt idx="10">
                  <c:v>1430.000000</c:v>
                </c:pt>
                <c:pt idx="11">
                  <c:v>1500.000000</c:v>
                </c:pt>
                <c:pt idx="12">
                  <c:v>1475.000000</c:v>
                </c:pt>
                <c:pt idx="13">
                  <c:v>1400.000000</c:v>
                </c:pt>
                <c:pt idx="14">
                  <c:v>1360.000000</c:v>
                </c:pt>
                <c:pt idx="15">
                  <c:v>1395.000000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'TSPC.jk'!$Z$12:$Z$28</c:f>
              <c:numCache>
                <c:ptCount val="5"/>
                <c:pt idx="12">
                  <c:v>2070.842107</c:v>
                </c:pt>
                <c:pt idx="13">
                  <c:v>2515.136280</c:v>
                </c:pt>
                <c:pt idx="14">
                  <c:v>2153.534411</c:v>
                </c:pt>
                <c:pt idx="15">
                  <c:v>2515.136280</c:v>
                </c:pt>
                <c:pt idx="16">
                  <c:v>2226.493968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00"/>
        <c:minorUnit val="3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2804"/>
          <c:y val="0.13031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'TSPC.jk'!$W$3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'TSPC.jk'!$W$12:$W$27</c:f>
              <c:numCache>
                <c:ptCount val="15"/>
                <c:pt idx="0">
                  <c:v>-506.000000</c:v>
                </c:pt>
                <c:pt idx="1">
                  <c:v>-536.000000</c:v>
                </c:pt>
                <c:pt idx="2">
                  <c:v>-398.000000</c:v>
                </c:pt>
                <c:pt idx="3">
                  <c:v>-328.000000</c:v>
                </c:pt>
                <c:pt idx="4">
                  <c:v>-404.000000</c:v>
                </c:pt>
                <c:pt idx="5">
                  <c:v>-371.000000</c:v>
                </c:pt>
                <c:pt idx="6">
                  <c:v>-457.000000</c:v>
                </c:pt>
                <c:pt idx="7">
                  <c:v>-81.500000</c:v>
                </c:pt>
                <c:pt idx="8">
                  <c:v>-350.000000</c:v>
                </c:pt>
                <c:pt idx="9">
                  <c:v>-341.000000</c:v>
                </c:pt>
                <c:pt idx="10">
                  <c:v>-235.000000</c:v>
                </c:pt>
                <c:pt idx="11">
                  <c:v>-81.000000</c:v>
                </c:pt>
                <c:pt idx="12">
                  <c:v>-433.000000</c:v>
                </c:pt>
                <c:pt idx="13">
                  <c:v>-802.000000</c:v>
                </c:pt>
                <c:pt idx="14">
                  <c:v>-698.000000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'TSPC.jk'!$X$3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'TSPC.jk'!$B$12:$B$27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'TSPC.jk'!$X$12:$X$27</c:f>
              <c:numCache>
                <c:ptCount val="4"/>
                <c:pt idx="12">
                  <c:v>416.576484</c:v>
                </c:pt>
                <c:pt idx="13">
                  <c:v>416.576484</c:v>
                </c:pt>
                <c:pt idx="14">
                  <c:v>32.813123</c:v>
                </c:pt>
                <c:pt idx="15">
                  <c:v>-53.814951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33.333"/>
        <c:minorUnit val="16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6435"/>
          <c:y val="0.736013"/>
          <c:w val="0.41830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UCID</a:t>
            </a:r>
          </a:p>
        </c:rich>
      </c:tx>
      <c:layout>
        <c:manualLayout>
          <c:xMode val="edge"/>
          <c:yMode val="edge"/>
          <c:x val="0.44646"/>
          <c:y val="0"/>
          <c:w val="0.10708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'UCID.jk'!$AA$139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'UCID.jk'!$AB$47:$AF$47</c:f>
              <c:strCache>
                <c:ptCount val="0"/>
              </c:strCache>
            </c:strRef>
          </c:cat>
          <c:val>
            <c:numRef>
              <c:f>'UCID.jk'!$AB$139:$AF$139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'UCID.jk'!$AA$140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'UCID.jk'!$AB$47:$AF$47</c:f>
              <c:strCache>
                <c:ptCount val="0"/>
              </c:strCache>
            </c:strRef>
          </c:cat>
          <c:val>
            <c:numRef>
              <c:f>'UCID.jk'!$AB$140:$AF$140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'UCID.jk'!$AA$138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'UCID.jk'!$AB$47:$AF$47</c:f>
              <c:strCache>
                <c:ptCount val="0"/>
              </c:strCache>
            </c:strRef>
          </c:cat>
          <c:val>
            <c:numRef>
              <c:f>'UCID.jk'!$AB$138:$AF$138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3.333"/>
        <c:minorUnit val="66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"/>
        <c:minorUnit val="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1195"/>
          <c:y val="0.73247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UCID</a:t>
            </a:r>
          </a:p>
        </c:rich>
      </c:tx>
      <c:layout>
        <c:manualLayout>
          <c:xMode val="edge"/>
          <c:yMode val="edge"/>
          <c:x val="0.438053"/>
          <c:y val="0"/>
          <c:w val="0.12389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74727"/>
          <c:y val="0.0918283"/>
          <c:w val="0.81497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'UCID.jk'!$T$3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'UCID.jk'!$T$4:$T$26</c:f>
              <c:numCache>
                <c:ptCount val="23"/>
                <c:pt idx="0">
                  <c:v>177.987500</c:v>
                </c:pt>
                <c:pt idx="1">
                  <c:v>355.975000</c:v>
                </c:pt>
                <c:pt idx="2">
                  <c:v>533.962500</c:v>
                </c:pt>
                <c:pt idx="3">
                  <c:v>711.950000</c:v>
                </c:pt>
                <c:pt idx="4">
                  <c:v>1022.650000</c:v>
                </c:pt>
                <c:pt idx="5">
                  <c:v>1333.350000</c:v>
                </c:pt>
                <c:pt idx="6">
                  <c:v>1395.750000</c:v>
                </c:pt>
                <c:pt idx="7">
                  <c:v>1228.850000</c:v>
                </c:pt>
                <c:pt idx="8">
                  <c:v>1318.150000</c:v>
                </c:pt>
                <c:pt idx="9">
                  <c:v>1508.650000</c:v>
                </c:pt>
                <c:pt idx="10">
                  <c:v>1533.850000</c:v>
                </c:pt>
                <c:pt idx="11">
                  <c:v>1341.850000</c:v>
                </c:pt>
                <c:pt idx="12">
                  <c:v>1265.470250</c:v>
                </c:pt>
                <c:pt idx="13">
                  <c:v>1259.090500</c:v>
                </c:pt>
                <c:pt idx="14">
                  <c:v>1929.710750</c:v>
                </c:pt>
                <c:pt idx="15">
                  <c:v>2305.331000</c:v>
                </c:pt>
                <c:pt idx="16">
                  <c:v>2527.639000</c:v>
                </c:pt>
                <c:pt idx="17">
                  <c:v>2518.551000</c:v>
                </c:pt>
                <c:pt idx="18">
                  <c:v>2797.931000</c:v>
                </c:pt>
                <c:pt idx="19">
                  <c:v>2778.131000</c:v>
                </c:pt>
                <c:pt idx="20">
                  <c:v>2973.331000</c:v>
                </c:pt>
                <c:pt idx="21">
                  <c:v>2743.331000</c:v>
                </c:pt>
                <c:pt idx="22">
                  <c:v>2759.031000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'UCID.jk'!$U$3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'UCID.jk'!$U$4:$U$26</c:f>
              <c:numCache>
                <c:ptCount val="23"/>
                <c:pt idx="0">
                  <c:v>115.972500</c:v>
                </c:pt>
                <c:pt idx="1">
                  <c:v>231.945000</c:v>
                </c:pt>
                <c:pt idx="2">
                  <c:v>347.917500</c:v>
                </c:pt>
                <c:pt idx="3">
                  <c:v>463.890000</c:v>
                </c:pt>
                <c:pt idx="4">
                  <c:v>624.455000</c:v>
                </c:pt>
                <c:pt idx="5">
                  <c:v>785.020000</c:v>
                </c:pt>
                <c:pt idx="6">
                  <c:v>964.090000</c:v>
                </c:pt>
                <c:pt idx="7">
                  <c:v>955.890000</c:v>
                </c:pt>
                <c:pt idx="8">
                  <c:v>651.047250</c:v>
                </c:pt>
                <c:pt idx="9">
                  <c:v>359.404500</c:v>
                </c:pt>
                <c:pt idx="10">
                  <c:v>20.661750</c:v>
                </c:pt>
                <c:pt idx="11">
                  <c:v>-1025.081000</c:v>
                </c:pt>
                <c:pt idx="12">
                  <c:v>-630.438250</c:v>
                </c:pt>
                <c:pt idx="13">
                  <c:v>-461.195500</c:v>
                </c:pt>
                <c:pt idx="14">
                  <c:v>-238.252750</c:v>
                </c:pt>
                <c:pt idx="15">
                  <c:v>678.690000</c:v>
                </c:pt>
                <c:pt idx="16">
                  <c:v>926.690000</c:v>
                </c:pt>
                <c:pt idx="17">
                  <c:v>958.990000</c:v>
                </c:pt>
                <c:pt idx="18">
                  <c:v>1114.826000</c:v>
                </c:pt>
                <c:pt idx="19">
                  <c:v>1231.990000</c:v>
                </c:pt>
                <c:pt idx="20">
                  <c:v>1263.890000</c:v>
                </c:pt>
                <c:pt idx="21">
                  <c:v>1297.790000</c:v>
                </c:pt>
                <c:pt idx="22">
                  <c:v>1519.890000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'UCID.jk'!$V$3</c:f>
              <c:strCache>
                <c:ptCount val="1"/>
                <c:pt idx="0">
                  <c:v>UCID.jk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'UCID.jk'!$B$4:$B$26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'UCID.jk'!$V$4:$V$26</c:f>
              <c:numCache>
                <c:ptCount val="23"/>
                <c:pt idx="0">
                  <c:v>4702.656941</c:v>
                </c:pt>
                <c:pt idx="1">
                  <c:v>4702.656941</c:v>
                </c:pt>
                <c:pt idx="2">
                  <c:v>4702.656941</c:v>
                </c:pt>
                <c:pt idx="3">
                  <c:v>4702.656941</c:v>
                </c:pt>
                <c:pt idx="4">
                  <c:v>4702.656941</c:v>
                </c:pt>
                <c:pt idx="5">
                  <c:v>4702.656941</c:v>
                </c:pt>
                <c:pt idx="6">
                  <c:v>4702.656941</c:v>
                </c:pt>
                <c:pt idx="7">
                  <c:v>4702.656941</c:v>
                </c:pt>
                <c:pt idx="8">
                  <c:v>4702.656941</c:v>
                </c:pt>
                <c:pt idx="9">
                  <c:v>4702.656941</c:v>
                </c:pt>
                <c:pt idx="10">
                  <c:v>4702.656941</c:v>
                </c:pt>
                <c:pt idx="11">
                  <c:v>4702.656941</c:v>
                </c:pt>
                <c:pt idx="12">
                  <c:v>4702.656941</c:v>
                </c:pt>
                <c:pt idx="13">
                  <c:v>4702.656941</c:v>
                </c:pt>
                <c:pt idx="14">
                  <c:v>4702.656941</c:v>
                </c:pt>
                <c:pt idx="15">
                  <c:v>4702.656941</c:v>
                </c:pt>
                <c:pt idx="16">
                  <c:v>4702.656941</c:v>
                </c:pt>
                <c:pt idx="17">
                  <c:v>4702.656941</c:v>
                </c:pt>
                <c:pt idx="18">
                  <c:v>4702.656941</c:v>
                </c:pt>
                <c:pt idx="19">
                  <c:v>4702.656941</c:v>
                </c:pt>
                <c:pt idx="20">
                  <c:v>4702.656941</c:v>
                </c:pt>
                <c:pt idx="21">
                  <c:v>4702.656941</c:v>
                </c:pt>
                <c:pt idx="22">
                  <c:v>4702.656941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7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983.33"/>
        <c:minorUnit val="99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8859"/>
          <c:y val="0.16602"/>
          <c:w val="0.36671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UFOE cashflow negative again </a:t>
            </a:r>
          </a:p>
        </c:rich>
      </c:tx>
      <c:layout>
        <c:manualLayout>
          <c:xMode val="edge"/>
          <c:yMode val="edge"/>
          <c:x val="0.172538"/>
          <c:y val="0"/>
          <c:w val="0.65492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1417"/>
          <c:y val="0.0918283"/>
          <c:w val="0.78173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'UFOE.jk'!$AC$182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'UFOE.jk'!$AD$47:$AH$47</c:f>
              <c:strCache>
                <c:ptCount val="0"/>
              </c:strCache>
            </c:strRef>
          </c:cat>
          <c:val>
            <c:numRef>
              <c:f>'UFOE.jk'!$AD$182:$AH$182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'UFOE.jk'!$AC$183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'UFOE.jk'!$AD$47:$AH$47</c:f>
              <c:strCache>
                <c:ptCount val="0"/>
              </c:strCache>
            </c:strRef>
          </c:cat>
          <c:val>
            <c:numRef>
              <c:f>'UFOE.jk'!$AD$183:$AH$183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'UFOE.jk'!$AC$181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'UFOE.jk'!$AD$47:$AH$47</c:f>
              <c:strCache>
                <c:ptCount val="0"/>
              </c:strCache>
            </c:strRef>
          </c:cat>
          <c:val>
            <c:numRef>
              <c:f>'UFOE.jk'!$AD$181:$AH$181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.3333"/>
        <c:minorUnit val="6.6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"/>
        <c:minorUnit val="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793016"/>
          <c:y val="0.142307"/>
          <c:w val="0.40392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'BNLI.jk'!$T$20:$T$27</c:f>
              <c:numCache>
                <c:ptCount val="7"/>
                <c:pt idx="0">
                  <c:v>515.750000</c:v>
                </c:pt>
                <c:pt idx="1">
                  <c:v>3703.000000</c:v>
                </c:pt>
                <c:pt idx="2">
                  <c:v>3531.250000</c:v>
                </c:pt>
                <c:pt idx="3">
                  <c:v>4647.750000</c:v>
                </c:pt>
                <c:pt idx="4">
                  <c:v>5973.750000</c:v>
                </c:pt>
                <c:pt idx="5">
                  <c:v>24.500000</c:v>
                </c:pt>
                <c:pt idx="6">
                  <c:v>-1774.250000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'BNLI.jk'!$U$3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'BNLI.jk'!$U$20:$U$27</c:f>
              <c:numCache>
                <c:ptCount val="2"/>
                <c:pt idx="6">
                  <c:v>898.105392</c:v>
                </c:pt>
                <c:pt idx="7">
                  <c:v>898.105392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6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683.33"/>
        <c:minorUnit val="1341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95232"/>
          <c:y val="0.449147"/>
          <c:w val="0.40953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UNSP sales back up</a:t>
            </a:r>
          </a:p>
        </c:rich>
      </c:tx>
      <c:layout>
        <c:manualLayout>
          <c:xMode val="edge"/>
          <c:yMode val="edge"/>
          <c:x val="0.295247"/>
          <c:y val="0"/>
          <c:w val="0.40950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'UNSP.jk'!$AC$138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'UNSP.jk'!$AD$47:$AH$47</c:f>
              <c:strCache>
                <c:ptCount val="0"/>
              </c:strCache>
            </c:strRef>
          </c:cat>
          <c:val>
            <c:numRef>
              <c:f>'UNSP.jk'!$AD$138:$AH$138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'UNSP.jk'!$AC$139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'UNSP.jk'!$AD$47:$AH$47</c:f>
              <c:strCache>
                <c:ptCount val="0"/>
              </c:strCache>
            </c:strRef>
          </c:cat>
          <c:val>
            <c:numRef>
              <c:f>'UNSP.jk'!$AD$139:$AH$139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'UNSP.jk'!$AC$137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'UNSP.jk'!$AD$47:$AH$47</c:f>
              <c:strCache>
                <c:ptCount val="0"/>
              </c:strCache>
            </c:strRef>
          </c:cat>
          <c:val>
            <c:numRef>
              <c:f>'UNSP.jk'!$AD$137:$AH$137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00"/>
        <c:minorUnit val="2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.75"/>
        <c:minorUnit val="46.8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54485"/>
          <c:y val="0.702235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SRTG paying capital</a:t>
            </a:r>
          </a:p>
        </c:rich>
      </c:tx>
      <c:layout>
        <c:manualLayout>
          <c:xMode val="edge"/>
          <c:yMode val="edge"/>
          <c:x val="0.303389"/>
          <c:y val="0"/>
          <c:w val="0.39322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51582"/>
          <c:y val="0.0918283"/>
          <c:w val="0.714924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'UNVR.jk'!$AC$137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'UNVR.jk'!$AD$46:$AH$46</c:f>
              <c:strCache>
                <c:ptCount val="0"/>
              </c:strCache>
            </c:strRef>
          </c:cat>
          <c:val>
            <c:numRef>
              <c:f>'UNVR.jk'!$AD$137:$AH$137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'UNVR.jk'!$AC$138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'UNVR.jk'!$AD$46:$AH$46</c:f>
              <c:strCache>
                <c:ptCount val="0"/>
              </c:strCache>
            </c:strRef>
          </c:cat>
          <c:val>
            <c:numRef>
              <c:f>'UNVR.jk'!$AD$138:$AH$138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'UNVR.jk'!$AC$136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'UNVR.jk'!$AD$46:$AH$46</c:f>
              <c:strCache>
                <c:ptCount val="0"/>
              </c:strCache>
            </c:strRef>
          </c:cat>
          <c:val>
            <c:numRef>
              <c:f>'UNVR.jk'!$AD$136:$AH$136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666.667"/>
        <c:minorUnit val="3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0"/>
        <c:minorUnit val="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57715"/>
          <c:y val="0.137518"/>
          <c:w val="0.36940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Xxxx</a:t>
            </a:r>
          </a:p>
        </c:rich>
      </c:tx>
      <c:layout>
        <c:manualLayout>
          <c:xMode val="edge"/>
          <c:yMode val="edge"/>
          <c:x val="0.448098"/>
          <c:y val="0"/>
          <c:w val="0.10380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16773"/>
          <c:y val="0.0918283"/>
          <c:w val="0.79910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'WINE.jk'!$AA$143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'WINE.jk'!$AB$51:$AF$51</c:f>
              <c:strCache>
                <c:ptCount val="0"/>
              </c:strCache>
            </c:strRef>
          </c:cat>
          <c:val>
            <c:numRef>
              <c:f>'WINE.jk'!$AB$143:$AF$143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'WINE.jk'!$AA$144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'WINE.jk'!$AB$51:$AF$51</c:f>
              <c:strCache>
                <c:ptCount val="0"/>
              </c:strCache>
            </c:strRef>
          </c:cat>
          <c:val>
            <c:numRef>
              <c:f>'WINE.jk'!$AB$144:$AF$144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'WINE.jk'!$AA$142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'WINE.jk'!$AB$51:$AF$51</c:f>
              <c:strCache>
                <c:ptCount val="0"/>
              </c:strCache>
            </c:strRef>
          </c:cat>
          <c:val>
            <c:numRef>
              <c:f>'WINE.jk'!$AB$142:$AF$142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.6667"/>
        <c:minorUnit val="5.3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.5"/>
        <c:minorUnit val="2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43028"/>
          <c:y val="0.732472"/>
          <c:w val="0.41290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WINE a bit pricy</a:t>
            </a:r>
          </a:p>
        </c:rich>
      </c:tx>
      <c:layout>
        <c:manualLayout>
          <c:xMode val="edge"/>
          <c:yMode val="edge"/>
          <c:x val="0.304332"/>
          <c:y val="0"/>
          <c:w val="0.39133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037"/>
          <c:y val="0.0918283"/>
          <c:w val="0.86009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'WINE.jk'!$T$3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'WINE.jk'!$B$4:$B$17</c:f>
              <c:strCache>
                <c:ptCount val="14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</c:strCache>
            </c:strRef>
          </c:cat>
          <c:val>
            <c:numRef>
              <c:f>'WINE.jk'!$T$4:$T$17</c:f>
              <c:numCache>
                <c:ptCount val="14"/>
                <c:pt idx="0">
                  <c:v>-2.250000</c:v>
                </c:pt>
                <c:pt idx="1">
                  <c:v>-4.500000</c:v>
                </c:pt>
                <c:pt idx="2">
                  <c:v>-6.750000</c:v>
                </c:pt>
                <c:pt idx="3">
                  <c:v>-9.000000</c:v>
                </c:pt>
                <c:pt idx="4">
                  <c:v>-8.400000</c:v>
                </c:pt>
                <c:pt idx="5">
                  <c:v>-7.800000</c:v>
                </c:pt>
                <c:pt idx="6">
                  <c:v>-7.200000</c:v>
                </c:pt>
                <c:pt idx="7">
                  <c:v>-6.600000</c:v>
                </c:pt>
                <c:pt idx="8">
                  <c:v>-12.550000</c:v>
                </c:pt>
                <c:pt idx="9">
                  <c:v>-18.500000</c:v>
                </c:pt>
                <c:pt idx="10">
                  <c:v>-24.900000</c:v>
                </c:pt>
                <c:pt idx="11">
                  <c:v>-31.300000</c:v>
                </c:pt>
                <c:pt idx="12">
                  <c:v>-26.300000</c:v>
                </c:pt>
                <c:pt idx="13">
                  <c:v>-21.300000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'WINE.jk'!$U$3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'WINE.jk'!$B$4:$B$17</c:f>
              <c:strCache>
                <c:ptCount val="14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</c:strCache>
            </c:strRef>
          </c:cat>
          <c:val>
            <c:numRef>
              <c:f>'WINE.jk'!$U$4:$U$17</c:f>
              <c:numCache>
                <c:ptCount val="14"/>
                <c:pt idx="0">
                  <c:v>-2.000000</c:v>
                </c:pt>
                <c:pt idx="1">
                  <c:v>-4.000000</c:v>
                </c:pt>
                <c:pt idx="2">
                  <c:v>-6.000000</c:v>
                </c:pt>
                <c:pt idx="3">
                  <c:v>-8.000000</c:v>
                </c:pt>
                <c:pt idx="4">
                  <c:v>-10.250000</c:v>
                </c:pt>
                <c:pt idx="5">
                  <c:v>-12.500000</c:v>
                </c:pt>
                <c:pt idx="6">
                  <c:v>-14.750000</c:v>
                </c:pt>
                <c:pt idx="7">
                  <c:v>-17.000000</c:v>
                </c:pt>
                <c:pt idx="8">
                  <c:v>-17.500000</c:v>
                </c:pt>
                <c:pt idx="9">
                  <c:v>-18.000000</c:v>
                </c:pt>
                <c:pt idx="10">
                  <c:v>-23.500000</c:v>
                </c:pt>
                <c:pt idx="11">
                  <c:v>-29.000000</c:v>
                </c:pt>
                <c:pt idx="12">
                  <c:v>-39.500000</c:v>
                </c:pt>
                <c:pt idx="13">
                  <c:v>-50.000000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'WINE.jk'!$V$3</c:f>
              <c:strCache>
                <c:ptCount val="1"/>
                <c:pt idx="0">
                  <c:v>WINE.jk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'WINE.jk'!$B$4:$B$17</c:f>
              <c:strCache>
                <c:ptCount val="14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</c:strCache>
            </c:strRef>
          </c:cat>
          <c:val>
            <c:numRef>
              <c:f>'WINE.jk'!$V$4:$V$17</c:f>
              <c:numCache>
                <c:ptCount val="14"/>
                <c:pt idx="0">
                  <c:v>634.140000</c:v>
                </c:pt>
                <c:pt idx="1">
                  <c:v>634.140000</c:v>
                </c:pt>
                <c:pt idx="2">
                  <c:v>634.140000</c:v>
                </c:pt>
                <c:pt idx="3">
                  <c:v>634.140000</c:v>
                </c:pt>
                <c:pt idx="4">
                  <c:v>634.140000</c:v>
                </c:pt>
                <c:pt idx="5">
                  <c:v>634.140000</c:v>
                </c:pt>
                <c:pt idx="6">
                  <c:v>634.140000</c:v>
                </c:pt>
                <c:pt idx="7">
                  <c:v>634.140000</c:v>
                </c:pt>
                <c:pt idx="8">
                  <c:v>634.140000</c:v>
                </c:pt>
                <c:pt idx="9">
                  <c:v>634.140000</c:v>
                </c:pt>
                <c:pt idx="10">
                  <c:v>634.140000</c:v>
                </c:pt>
                <c:pt idx="11">
                  <c:v>634.140000</c:v>
                </c:pt>
                <c:pt idx="12">
                  <c:v>634.140000</c:v>
                </c:pt>
                <c:pt idx="13">
                  <c:v>634.140000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6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33.333"/>
        <c:minorUnit val="1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261"/>
          <c:y val="0.172877"/>
          <c:w val="0.45295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0945742"/>
          <c:y val="0.0426778"/>
          <c:w val="0.815674"/>
          <c:h val="0.8863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'WINE.jk'!$S$3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'WINE.jk'!$B$4:$B$17</c:f>
              <c:strCache>
                <c:ptCount val="0"/>
              </c:strCache>
            </c:strRef>
          </c:cat>
          <c:val>
            <c:numRef>
              <c:f>'WINE.jk'!$S$4:$S$17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1"/>
          <c:tx>
            <c:strRef>
              <c:f>'WINE.jk'!$N$3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'WINE.jk'!$B$4:$B$17</c:f>
              <c:strCache>
                <c:ptCount val="0"/>
              </c:strCache>
            </c:strRef>
          </c:cat>
          <c:val>
            <c:numRef>
              <c:f>'WINE.jk'!$N$4:$N$17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0"/>
        <c:minorUnit val="1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.1875"/>
        <c:minorUnit val="1.09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3488"/>
          <c:y val="0.730416"/>
          <c:w val="0.364422"/>
          <c:h val="0.110356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WRTG cashflow less negative </a:t>
            </a:r>
          </a:p>
        </c:rich>
      </c:tx>
      <c:layout>
        <c:manualLayout>
          <c:xMode val="edge"/>
          <c:yMode val="edge"/>
          <c:x val="0.20082"/>
          <c:y val="0"/>
          <c:w val="0.61359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2623"/>
          <c:y val="0.0918283"/>
          <c:w val="0.753453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'WIRG.jk'!$AA$139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'WIRG.jk'!$AB$47:$AF$47</c:f>
              <c:strCache>
                <c:ptCount val="0"/>
              </c:strCache>
            </c:strRef>
          </c:cat>
          <c:val>
            <c:numRef>
              <c:f>'WIRG.jk'!$AB$139:$AF$139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'WIRG.jk'!$AA$140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'WIRG.jk'!$AB$47:$AF$47</c:f>
              <c:strCache>
                <c:ptCount val="0"/>
              </c:strCache>
            </c:strRef>
          </c:cat>
          <c:val>
            <c:numRef>
              <c:f>'WIRG.jk'!$AB$140:$AF$140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'WIRG.jk'!$AA$138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'WIRG.jk'!$AB$47:$AF$47</c:f>
              <c:strCache>
                <c:ptCount val="0"/>
              </c:strCache>
            </c:strRef>
          </c:cat>
          <c:val>
            <c:numRef>
              <c:f>'WIRG.jk'!$AB$138:$AF$138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00"/>
        <c:minorUnit val="1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6.25"/>
        <c:minorUnit val="78.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430153"/>
          <c:w val="0.38931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WRTG</a:t>
            </a:r>
          </a:p>
        </c:rich>
      </c:tx>
      <c:layout>
        <c:manualLayout>
          <c:xMode val="edge"/>
          <c:yMode val="edge"/>
          <c:x val="0.422947"/>
          <c:y val="0"/>
          <c:w val="0.15410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'WIRG.jk'!$T$3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'WIRG.jk'!$T$4:$T$26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-14.450000</c:v>
                </c:pt>
                <c:pt idx="5">
                  <c:v>-28.900000</c:v>
                </c:pt>
                <c:pt idx="6">
                  <c:v>-43.350000</c:v>
                </c:pt>
                <c:pt idx="7">
                  <c:v>-57.800000</c:v>
                </c:pt>
                <c:pt idx="8">
                  <c:v>-64.100000</c:v>
                </c:pt>
                <c:pt idx="9">
                  <c:v>-70.400000</c:v>
                </c:pt>
                <c:pt idx="10">
                  <c:v>-84.850000</c:v>
                </c:pt>
                <c:pt idx="11">
                  <c:v>-91.150000</c:v>
                </c:pt>
                <c:pt idx="12">
                  <c:v>-90.400000</c:v>
                </c:pt>
                <c:pt idx="13">
                  <c:v>-104.850000</c:v>
                </c:pt>
                <c:pt idx="14">
                  <c:v>-111.150000</c:v>
                </c:pt>
                <c:pt idx="15">
                  <c:v>-110.400000</c:v>
                </c:pt>
                <c:pt idx="16">
                  <c:v>-102.300000</c:v>
                </c:pt>
                <c:pt idx="17">
                  <c:v>-125.600000</c:v>
                </c:pt>
                <c:pt idx="18">
                  <c:v>-107.000000</c:v>
                </c:pt>
                <c:pt idx="19">
                  <c:v>-88.400000</c:v>
                </c:pt>
                <c:pt idx="20">
                  <c:v>-90.700000</c:v>
                </c:pt>
                <c:pt idx="21">
                  <c:v>-267.700000</c:v>
                </c:pt>
                <c:pt idx="22">
                  <c:v>-378.800000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'WIRG.jk'!$U$3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'WIRG.jk'!$U$4:$U$26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-17.300000</c:v>
                </c:pt>
                <c:pt idx="5">
                  <c:v>-34.600000</c:v>
                </c:pt>
                <c:pt idx="6">
                  <c:v>-51.900000</c:v>
                </c:pt>
                <c:pt idx="7">
                  <c:v>-69.200000</c:v>
                </c:pt>
                <c:pt idx="8">
                  <c:v>-73.150000</c:v>
                </c:pt>
                <c:pt idx="9">
                  <c:v>-77.100000</c:v>
                </c:pt>
                <c:pt idx="10">
                  <c:v>-94.400000</c:v>
                </c:pt>
                <c:pt idx="11">
                  <c:v>-98.350000</c:v>
                </c:pt>
                <c:pt idx="12">
                  <c:v>-99.975000</c:v>
                </c:pt>
                <c:pt idx="13">
                  <c:v>-117.275000</c:v>
                </c:pt>
                <c:pt idx="14">
                  <c:v>-121.225000</c:v>
                </c:pt>
                <c:pt idx="15">
                  <c:v>-122.850000</c:v>
                </c:pt>
                <c:pt idx="16">
                  <c:v>-118.750000</c:v>
                </c:pt>
                <c:pt idx="17">
                  <c:v>-138.850000</c:v>
                </c:pt>
                <c:pt idx="18">
                  <c:v>-126.250000</c:v>
                </c:pt>
                <c:pt idx="19">
                  <c:v>-113.650000</c:v>
                </c:pt>
                <c:pt idx="20">
                  <c:v>-112.450000</c:v>
                </c:pt>
                <c:pt idx="21">
                  <c:v>-527.450000</c:v>
                </c:pt>
                <c:pt idx="22">
                  <c:v>-525.950000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'WIRG.jk'!$V$3</c:f>
              <c:strCache>
                <c:ptCount val="1"/>
                <c:pt idx="0">
                  <c:v>WIRG.jk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'WIRG.jk'!$B$4:$B$26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'WIRG.jk'!$V$4:$V$26</c:f>
              <c:numCache>
                <c:ptCount val="23"/>
                <c:pt idx="0">
                  <c:v>1467.377704</c:v>
                </c:pt>
                <c:pt idx="1">
                  <c:v>1467.377704</c:v>
                </c:pt>
                <c:pt idx="2">
                  <c:v>1467.377704</c:v>
                </c:pt>
                <c:pt idx="3">
                  <c:v>1467.377704</c:v>
                </c:pt>
                <c:pt idx="4">
                  <c:v>1467.377704</c:v>
                </c:pt>
                <c:pt idx="5">
                  <c:v>1467.377704</c:v>
                </c:pt>
                <c:pt idx="6">
                  <c:v>1467.377704</c:v>
                </c:pt>
                <c:pt idx="7">
                  <c:v>1467.377704</c:v>
                </c:pt>
                <c:pt idx="8">
                  <c:v>1467.377704</c:v>
                </c:pt>
                <c:pt idx="9">
                  <c:v>1467.377704</c:v>
                </c:pt>
                <c:pt idx="10">
                  <c:v>1467.377704</c:v>
                </c:pt>
                <c:pt idx="11">
                  <c:v>1467.377704</c:v>
                </c:pt>
                <c:pt idx="12">
                  <c:v>1467.377704</c:v>
                </c:pt>
                <c:pt idx="13">
                  <c:v>1467.377704</c:v>
                </c:pt>
                <c:pt idx="14">
                  <c:v>1467.377704</c:v>
                </c:pt>
                <c:pt idx="15">
                  <c:v>1467.377704</c:v>
                </c:pt>
                <c:pt idx="16">
                  <c:v>1467.377704</c:v>
                </c:pt>
                <c:pt idx="17">
                  <c:v>1467.377704</c:v>
                </c:pt>
                <c:pt idx="18">
                  <c:v>1467.377704</c:v>
                </c:pt>
                <c:pt idx="19">
                  <c:v>1467.377704</c:v>
                </c:pt>
                <c:pt idx="20">
                  <c:v>1467.377704</c:v>
                </c:pt>
                <c:pt idx="21">
                  <c:v>1467.377704</c:v>
                </c:pt>
                <c:pt idx="22">
                  <c:v>1467.377704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00"/>
        <c:minorUnit val="3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8658"/>
          <c:y val="0.16602"/>
          <c:w val="0.37293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WOMF sales doing better </a:t>
            </a:r>
          </a:p>
        </c:rich>
      </c:tx>
      <c:layout>
        <c:manualLayout>
          <c:xMode val="edge"/>
          <c:yMode val="edge"/>
          <c:x val="0.231721"/>
          <c:y val="0"/>
          <c:w val="0.53655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'WOMF.jk'!$AC$141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'WOMF.jk'!$AD$47:$AH$47</c:f>
              <c:strCache>
                <c:ptCount val="0"/>
              </c:strCache>
            </c:strRef>
          </c:cat>
          <c:val>
            <c:numRef>
              <c:f>'WOMF.jk'!$AD$141:$AH$141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'WOMF.jk'!$AC$142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'WOMF.jk'!$AD$47:$AH$47</c:f>
              <c:strCache>
                <c:ptCount val="0"/>
              </c:strCache>
            </c:strRef>
          </c:cat>
          <c:val>
            <c:numRef>
              <c:f>'WOMF.jk'!$AD$142:$AH$142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'WOMF.jk'!$AC$140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'WOMF.jk'!$AD$47:$AH$47</c:f>
              <c:strCache>
                <c:ptCount val="0"/>
              </c:strCache>
            </c:strRef>
          </c:cat>
          <c:val>
            <c:numRef>
              <c:f>'WOMF.jk'!$AD$140:$AH$140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.3333"/>
        <c:minorUnit val="6.6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12.5"/>
        <c:minorUnit val="56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35366"/>
          <c:y val="0.734905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BMTR higher cashflow </a:t>
            </a:r>
          </a:p>
        </c:rich>
      </c:tx>
      <c:layout>
        <c:manualLayout>
          <c:xMode val="edge"/>
          <c:yMode val="edge"/>
          <c:x val="0.279855"/>
          <c:y val="0"/>
          <c:w val="0.44029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901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'WSKT.jk'!$AC$138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'WSKT.jk'!$AD$47:$AH$47</c:f>
              <c:strCache>
                <c:ptCount val="0"/>
              </c:strCache>
            </c:strRef>
          </c:cat>
          <c:val>
            <c:numRef>
              <c:f>'WSKT.jk'!$AD$138:$AH$138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'WSKT.jk'!$AC$139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'WSKT.jk'!$AD$47:$AH$47</c:f>
              <c:strCache>
                <c:ptCount val="0"/>
              </c:strCache>
            </c:strRef>
          </c:cat>
          <c:val>
            <c:numRef>
              <c:f>'WSKT.jk'!$AD$139:$AH$139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'WSKT.jk'!$AC$137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'WSKT.jk'!$AD$47:$AH$47</c:f>
              <c:strCache>
                <c:ptCount val="0"/>
              </c:strCache>
            </c:strRef>
          </c:cat>
          <c:val>
            <c:numRef>
              <c:f>'WSKT.jk'!$AD$137:$AH$137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000"/>
        <c:minorUnit val="10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00"/>
        <c:minorUnit val="2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6502"/>
          <c:y val="0.780312"/>
          <c:w val="0.41810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'BNLI.jk'!$V$20:$V$27</c:f>
              <c:numCache>
                <c:ptCount val="7"/>
                <c:pt idx="0">
                  <c:v>4186.000000</c:v>
                </c:pt>
                <c:pt idx="1">
                  <c:v>4166.000000</c:v>
                </c:pt>
                <c:pt idx="2">
                  <c:v>4030.000000</c:v>
                </c:pt>
                <c:pt idx="3">
                  <c:v>4836.000000</c:v>
                </c:pt>
                <c:pt idx="4">
                  <c:v>4838.000000</c:v>
                </c:pt>
                <c:pt idx="5">
                  <c:v>5145.000000</c:v>
                </c:pt>
                <c:pt idx="6">
                  <c:v>5144.000000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'BNLI.jk'!$W$3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'BNLI.jk'!$B$20:$B$27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'BNLI.jk'!$W$20:$W$27</c:f>
              <c:numCache>
                <c:ptCount val="2"/>
                <c:pt idx="6">
                  <c:v>6254.045501</c:v>
                </c:pt>
                <c:pt idx="7">
                  <c:v>6254.045501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333.33"/>
        <c:minorUnit val="11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8587"/>
          <c:y val="0.70502"/>
          <c:w val="0.40641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'BNLI.jk'!$Z$3</c:f>
              <c:strCache>
                <c:ptCount val="1"/>
                <c:pt idx="0">
                  <c:v>BNLI.jk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'BNLI.jk'!$Z$20:$Z$28</c:f>
              <c:numCache>
                <c:ptCount val="8"/>
                <c:pt idx="0">
                  <c:v>1897.000000</c:v>
                </c:pt>
                <c:pt idx="1">
                  <c:v>1935.000000</c:v>
                </c:pt>
                <c:pt idx="2">
                  <c:v>1730.000000</c:v>
                </c:pt>
                <c:pt idx="3">
                  <c:v>1440.000000</c:v>
                </c:pt>
                <c:pt idx="4">
                  <c:v>1230.000000</c:v>
                </c:pt>
                <c:pt idx="5">
                  <c:v>1195.000000</c:v>
                </c:pt>
                <c:pt idx="6">
                  <c:v>1165.000000</c:v>
                </c:pt>
                <c:pt idx="7">
                  <c:v>1015.000000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'BNLI.jk'!$AA$3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'BNLI.jk'!$AA$20:$AA$28</c:f>
              <c:numCache>
                <c:ptCount val="2"/>
                <c:pt idx="7">
                  <c:v>1015.000000</c:v>
                </c:pt>
                <c:pt idx="8">
                  <c:v>992.894574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3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50"/>
        <c:minorUnit val="2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1661"/>
          <c:y val="0.702913"/>
          <c:w val="0.36566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0329"/>
          <c:y val="0.0446026"/>
          <c:w val="0.722255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'BNLI.jk'!$F$3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'BNLI.jk'!$B$20:$B$26</c:f>
              <c:strCache>
                <c:ptCount val="0"/>
              </c:strCache>
            </c:strRef>
          </c:cat>
          <c:val>
            <c:numRef>
              <c:f>'BNLI.jk'!$F$20:$F$26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lineChart>
        <c:grouping val="standard"/>
        <c:varyColors val="0"/>
        <c:ser>
          <c:idx val="1"/>
          <c:order val="1"/>
          <c:tx>
            <c:strRef>
              <c:f>'BNLI.jk'!$G$3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'BNLI.jk'!$B$20:$B$26</c:f>
              <c:strCache>
                <c:ptCount val="0"/>
              </c:strCache>
            </c:strRef>
          </c:cat>
          <c:val>
            <c:numRef>
              <c:f>'BNLI.jk'!$G$20:$G$26</c:f>
              <c:numCach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'BNLI.jk'!$H$3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'BNLI.jk'!$B$20:$B$26</c:f>
              <c:strCache>
                <c:ptCount val="0"/>
              </c:strCache>
            </c:strRef>
          </c:cat>
          <c:val>
            <c:numRef>
              <c:f>'BNLI.jk'!$H$20:$H$26</c:f>
              <c:numCache>
                <c:ptCount val="0"/>
              </c:numCache>
            </c:numRef>
          </c:val>
          <c:smooth val="0"/>
        </c:ser>
        <c:marker val="1"/>
        <c:axId val="2094734555"/>
        <c:axId val="2094734556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66.7"/>
        <c:minorUnit val="8333.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  <c:min val="130000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0000"/>
        <c:minorUnit val="200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01771"/>
          <c:y val="0.707905"/>
          <c:w val="0.37937"/>
          <c:h val="0.15880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5798"/>
          <c:y val="0.12368"/>
          <c:w val="0.855356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'BNLI.jk'!$I$3</c:f>
              <c:strCache>
                <c:ptCount val="1"/>
                <c:pt idx="0">
                  <c:v>Receipts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'BNLI.jk'!$B$12:$B$26</c:f>
              <c:strCache>
                <c:ptCount val="15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'BNLI.jk'!$I$12:$I$26</c:f>
              <c:numCache>
                <c:ptCount val="15"/>
                <c:pt idx="0">
                  <c:v>3331.250000</c:v>
                </c:pt>
                <c:pt idx="1">
                  <c:v>3331.250000</c:v>
                </c:pt>
                <c:pt idx="2">
                  <c:v>3331.250000</c:v>
                </c:pt>
                <c:pt idx="3">
                  <c:v>3331.250000</c:v>
                </c:pt>
                <c:pt idx="4">
                  <c:v>3090.500000</c:v>
                </c:pt>
                <c:pt idx="5">
                  <c:v>3090.500000</c:v>
                </c:pt>
                <c:pt idx="6">
                  <c:v>3090.500000</c:v>
                </c:pt>
                <c:pt idx="7">
                  <c:v>3090.500000</c:v>
                </c:pt>
                <c:pt idx="8">
                  <c:v>3273.000000</c:v>
                </c:pt>
                <c:pt idx="9">
                  <c:v>2910.000000</c:v>
                </c:pt>
                <c:pt idx="10">
                  <c:v>3167.000000</c:v>
                </c:pt>
                <c:pt idx="11">
                  <c:v>3269.000000</c:v>
                </c:pt>
                <c:pt idx="12">
                  <c:v>3213.000000</c:v>
                </c:pt>
                <c:pt idx="13">
                  <c:v>3087.000000</c:v>
                </c:pt>
                <c:pt idx="14">
                  <c:v>3183.000000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5"/>
        <c:minorUnit val="62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3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9879"/>
          <c:y val="0.12368"/>
          <c:w val="0.830702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'BNLI.jk'!$T$3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'BNLI.jk'!$B$12:$B$26</c:f>
              <c:strCache>
                <c:ptCount val="15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'BNLI.jk'!$T$12:$T$26</c:f>
              <c:numCache>
                <c:ptCount val="15"/>
                <c:pt idx="0">
                  <c:v>10.187500</c:v>
                </c:pt>
                <c:pt idx="1">
                  <c:v>20.375000</c:v>
                </c:pt>
                <c:pt idx="2">
                  <c:v>30.562500</c:v>
                </c:pt>
                <c:pt idx="3">
                  <c:v>40.750000</c:v>
                </c:pt>
                <c:pt idx="4">
                  <c:v>613.312500</c:v>
                </c:pt>
                <c:pt idx="5">
                  <c:v>1185.875000</c:v>
                </c:pt>
                <c:pt idx="6">
                  <c:v>1758.437500</c:v>
                </c:pt>
                <c:pt idx="7">
                  <c:v>2331.000000</c:v>
                </c:pt>
                <c:pt idx="8">
                  <c:v>515.750000</c:v>
                </c:pt>
                <c:pt idx="9">
                  <c:v>3703.000000</c:v>
                </c:pt>
                <c:pt idx="10">
                  <c:v>3531.250000</c:v>
                </c:pt>
                <c:pt idx="11">
                  <c:v>4647.750000</c:v>
                </c:pt>
                <c:pt idx="12">
                  <c:v>5973.750000</c:v>
                </c:pt>
                <c:pt idx="13">
                  <c:v>24.500000</c:v>
                </c:pt>
                <c:pt idx="14">
                  <c:v>-1774.250000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250"/>
        <c:minorUnit val="112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741437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BRMS cashflow negative </a:t>
            </a:r>
          </a:p>
        </c:rich>
      </c:tx>
      <c:layout>
        <c:manualLayout>
          <c:xMode val="edge"/>
          <c:yMode val="edge"/>
          <c:x val="0.239246"/>
          <c:y val="0"/>
          <c:w val="0.52150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868537"/>
          <c:y val="0.0918283"/>
          <c:w val="0.75706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'BRMS.jk'!$AD$141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'BRMS.jk'!$AE$47:$AI$47</c:f>
              <c:strCache>
                <c:ptCount val="0"/>
              </c:strCache>
            </c:strRef>
          </c:cat>
          <c:val>
            <c:numRef>
              <c:f>'BRMS.jk'!$AE$141:$AI$141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'BRMS.jk'!$AD$142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'BRMS.jk'!$AE$47:$AI$47</c:f>
              <c:strCache>
                <c:ptCount val="0"/>
              </c:strCache>
            </c:strRef>
          </c:cat>
          <c:val>
            <c:numRef>
              <c:f>'BRMS.jk'!$AE$142:$AI$142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'BRMS.jk'!$AD$140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'BRMS.jk'!$AE$47:$AI$47</c:f>
              <c:strCache>
                <c:ptCount val="0"/>
              </c:strCache>
            </c:strRef>
          </c:cat>
          <c:val>
            <c:numRef>
              <c:f>'BRMS.jk'!$AE$140:$AI$140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4.6667"/>
        <c:minorUnit val="7.3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7.5"/>
        <c:minorUnit val="468.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3046"/>
          <c:y val="0.711972"/>
          <c:w val="0.39117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BRMS more negative </a:t>
            </a:r>
          </a:p>
        </c:rich>
      </c:tx>
      <c:layout>
        <c:manualLayout>
          <c:xMode val="edge"/>
          <c:yMode val="edge"/>
          <c:x val="0.249631"/>
          <c:y val="0"/>
          <c:w val="0.50073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'BRMS.jk'!$V$3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'BRMS.jk'!$V$4:$V$26</c:f>
              <c:numCache>
                <c:ptCount val="23"/>
                <c:pt idx="0">
                  <c:v>70.490000</c:v>
                </c:pt>
                <c:pt idx="1">
                  <c:v>74.488100</c:v>
                </c:pt>
                <c:pt idx="2">
                  <c:v>49.208600</c:v>
                </c:pt>
                <c:pt idx="3">
                  <c:v>35.651600</c:v>
                </c:pt>
                <c:pt idx="4">
                  <c:v>12.257900</c:v>
                </c:pt>
                <c:pt idx="5">
                  <c:v>-22.742100</c:v>
                </c:pt>
                <c:pt idx="6">
                  <c:v>1959.223900</c:v>
                </c:pt>
                <c:pt idx="7">
                  <c:v>1690.317900</c:v>
                </c:pt>
                <c:pt idx="8">
                  <c:v>1707.405900</c:v>
                </c:pt>
                <c:pt idx="9">
                  <c:v>1641.009000</c:v>
                </c:pt>
                <c:pt idx="10">
                  <c:v>1588.487500</c:v>
                </c:pt>
                <c:pt idx="11">
                  <c:v>1587.099300</c:v>
                </c:pt>
                <c:pt idx="12">
                  <c:v>1580.086000</c:v>
                </c:pt>
                <c:pt idx="13">
                  <c:v>1553.429150</c:v>
                </c:pt>
                <c:pt idx="14">
                  <c:v>1611.110150</c:v>
                </c:pt>
                <c:pt idx="15">
                  <c:v>1608.290150</c:v>
                </c:pt>
                <c:pt idx="16">
                  <c:v>1142.139660</c:v>
                </c:pt>
                <c:pt idx="17">
                  <c:v>217.556410</c:v>
                </c:pt>
                <c:pt idx="18">
                  <c:v>8.367610</c:v>
                </c:pt>
                <c:pt idx="19">
                  <c:v>-1684.647390</c:v>
                </c:pt>
                <c:pt idx="20">
                  <c:v>-2614.484017</c:v>
                </c:pt>
                <c:pt idx="21">
                  <c:v>-2822.641357</c:v>
                </c:pt>
                <c:pt idx="22">
                  <c:v>-3105.331357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'BRMS.jk'!$W$3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'BRMS.jk'!$W$4:$W$26</c:f>
              <c:numCache>
                <c:ptCount val="23"/>
                <c:pt idx="0">
                  <c:v>0.299250</c:v>
                </c:pt>
                <c:pt idx="1">
                  <c:v>0.599108</c:v>
                </c:pt>
                <c:pt idx="2">
                  <c:v>0.898470</c:v>
                </c:pt>
                <c:pt idx="3">
                  <c:v>1.203502</c:v>
                </c:pt>
                <c:pt idx="4">
                  <c:v>369.654277</c:v>
                </c:pt>
                <c:pt idx="5">
                  <c:v>370.179278</c:v>
                </c:pt>
                <c:pt idx="6">
                  <c:v>370.179278</c:v>
                </c:pt>
                <c:pt idx="7">
                  <c:v>755.203778</c:v>
                </c:pt>
                <c:pt idx="8">
                  <c:v>755.737777</c:v>
                </c:pt>
                <c:pt idx="9">
                  <c:v>756.267540</c:v>
                </c:pt>
                <c:pt idx="10">
                  <c:v>756.799853</c:v>
                </c:pt>
                <c:pt idx="11">
                  <c:v>757.320428</c:v>
                </c:pt>
                <c:pt idx="12">
                  <c:v>757.320428</c:v>
                </c:pt>
                <c:pt idx="13">
                  <c:v>757.320428</c:v>
                </c:pt>
                <c:pt idx="14">
                  <c:v>757.320428</c:v>
                </c:pt>
                <c:pt idx="15">
                  <c:v>757.320428</c:v>
                </c:pt>
                <c:pt idx="16">
                  <c:v>757.320428</c:v>
                </c:pt>
                <c:pt idx="17">
                  <c:v>-580.749572</c:v>
                </c:pt>
                <c:pt idx="18">
                  <c:v>-572.152772</c:v>
                </c:pt>
                <c:pt idx="19">
                  <c:v>-2931.810272</c:v>
                </c:pt>
                <c:pt idx="20">
                  <c:v>-3795.069330</c:v>
                </c:pt>
                <c:pt idx="21">
                  <c:v>-3786.947691</c:v>
                </c:pt>
                <c:pt idx="22">
                  <c:v>-4532.935191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'BRMS.jk'!$X$3</c:f>
              <c:strCache>
                <c:ptCount val="1"/>
                <c:pt idx="0">
                  <c:v>BRMS.jk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'BRMS.jk'!$B$4:$B$26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'BRMS.jk'!$X$4:$X$26</c:f>
              <c:numCache>
                <c:ptCount val="23"/>
                <c:pt idx="0">
                  <c:v>22260.089045</c:v>
                </c:pt>
                <c:pt idx="1">
                  <c:v>22260.089045</c:v>
                </c:pt>
                <c:pt idx="2">
                  <c:v>22260.089045</c:v>
                </c:pt>
                <c:pt idx="3">
                  <c:v>22260.089045</c:v>
                </c:pt>
                <c:pt idx="4">
                  <c:v>22260.089045</c:v>
                </c:pt>
                <c:pt idx="5">
                  <c:v>22260.089045</c:v>
                </c:pt>
                <c:pt idx="6">
                  <c:v>22260.089045</c:v>
                </c:pt>
                <c:pt idx="7">
                  <c:v>22260.089045</c:v>
                </c:pt>
                <c:pt idx="8">
                  <c:v>22260.089045</c:v>
                </c:pt>
                <c:pt idx="9">
                  <c:v>22260.089045</c:v>
                </c:pt>
                <c:pt idx="10">
                  <c:v>22260.089045</c:v>
                </c:pt>
                <c:pt idx="11">
                  <c:v>22260.089045</c:v>
                </c:pt>
                <c:pt idx="12">
                  <c:v>22260.089045</c:v>
                </c:pt>
                <c:pt idx="13">
                  <c:v>22260.089045</c:v>
                </c:pt>
                <c:pt idx="14">
                  <c:v>22260.089045</c:v>
                </c:pt>
                <c:pt idx="15">
                  <c:v>22260.089045</c:v>
                </c:pt>
                <c:pt idx="16">
                  <c:v>22260.089045</c:v>
                </c:pt>
                <c:pt idx="17">
                  <c:v>22260.089045</c:v>
                </c:pt>
                <c:pt idx="18">
                  <c:v>22260.089045</c:v>
                </c:pt>
                <c:pt idx="19">
                  <c:v>22260.089045</c:v>
                </c:pt>
                <c:pt idx="20">
                  <c:v>22260.089045</c:v>
                </c:pt>
                <c:pt idx="21">
                  <c:v>22260.089045</c:v>
                </c:pt>
                <c:pt idx="22">
                  <c:v>22260.089045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23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9333.33"/>
        <c:minorUnit val="46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AALI</a:t>
            </a:r>
          </a:p>
        </c:rich>
      </c:tx>
      <c:layout>
        <c:manualLayout>
          <c:xMode val="edge"/>
          <c:yMode val="edge"/>
          <c:x val="0.454452"/>
          <c:y val="0"/>
          <c:w val="0.091096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'AALI.jk'!$AA$128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'AALI.jk'!$AB$36:$AF$36</c:f>
              <c:strCache>
                <c:ptCount val="0"/>
              </c:strCache>
            </c:strRef>
          </c:cat>
          <c:val>
            <c:numRef>
              <c:f>'AALI.jk'!$AB$128:$AF$128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'AALI.jk'!$AA$129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'AALI.jk'!$AB$36:$AF$36</c:f>
              <c:strCache>
                <c:ptCount val="0"/>
              </c:strCache>
            </c:strRef>
          </c:cat>
          <c:val>
            <c:numRef>
              <c:f>'AALI.jk'!$AB$129:$AF$129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'AALI.jk'!$AA$127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'AALI.jk'!$AB$36:$AF$36</c:f>
              <c:strCache>
                <c:ptCount val="0"/>
              </c:strCache>
            </c:strRef>
          </c:cat>
          <c:val>
            <c:numRef>
              <c:f>'AALI.jk'!$AB$127:$AF$127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666.67"/>
        <c:minorUnit val="1333.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875"/>
        <c:minorUnit val="43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786"/>
          <c:y val="0.732472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MDKA</a:t>
            </a:r>
          </a:p>
        </c:rich>
      </c:tx>
      <c:layout>
        <c:manualLayout>
          <c:xMode val="edge"/>
          <c:yMode val="edge"/>
          <c:x val="0.436759"/>
          <c:y val="0"/>
          <c:w val="0.12648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'BSDE.jk'!$AC$184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'BSDE.jk'!$AD$47:$AH$47</c:f>
              <c:strCache>
                <c:ptCount val="0"/>
              </c:strCache>
            </c:strRef>
          </c:cat>
          <c:val>
            <c:numRef>
              <c:f>'BSDE.jk'!$AD$184:$AH$184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'BSDE.jk'!$AC$185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'BSDE.jk'!$AD$47:$AH$47</c:f>
              <c:strCache>
                <c:ptCount val="0"/>
              </c:strCache>
            </c:strRef>
          </c:cat>
          <c:val>
            <c:numRef>
              <c:f>'BSDE.jk'!$AD$185:$AH$185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'BSDE.jk'!$AC$183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'BSDE.jk'!$AD$47:$AH$47</c:f>
              <c:strCache>
                <c:ptCount val="0"/>
              </c:strCache>
            </c:strRef>
          </c:cat>
          <c:val>
            <c:numRef>
              <c:f>'BSDE.jk'!$AD$183:$AH$183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133.33"/>
        <c:minorUnit val="5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625"/>
        <c:minorUnit val="31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939"/>
          <c:y val="0.732472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CARE cashflow zero, expensive </a:t>
            </a:r>
          </a:p>
        </c:rich>
      </c:tx>
      <c:layout>
        <c:manualLayout>
          <c:xMode val="edge"/>
          <c:yMode val="edge"/>
          <c:x val="0.160882"/>
          <c:y val="0"/>
          <c:w val="0.67823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89685"/>
          <c:y val="0.0918283"/>
          <c:w val="0.78173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'CARE.jk'!$AC$138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'CARE.jk'!$AD$47:$AH$47</c:f>
              <c:strCache>
                <c:ptCount val="0"/>
              </c:strCache>
            </c:strRef>
          </c:cat>
          <c:val>
            <c:numRef>
              <c:f>'CARE.jk'!$AD$138:$AH$138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'CARE.jk'!$AC$139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'CARE.jk'!$AD$47:$AH$47</c:f>
              <c:strCache>
                <c:ptCount val="0"/>
              </c:strCache>
            </c:strRef>
          </c:cat>
          <c:val>
            <c:numRef>
              <c:f>'CARE.jk'!$AD$139:$AH$139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'CARE.jk'!$AC$137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'CARE.jk'!$AD$47:$AH$47</c:f>
              <c:strCache>
                <c:ptCount val="0"/>
              </c:strCache>
            </c:strRef>
          </c:cat>
          <c:val>
            <c:numRef>
              <c:f>'CARE.jk'!$AD$137:$AH$137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0"/>
        <c:minorUnit val="1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0"/>
        <c:minorUnit val="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58023"/>
          <c:y val="0.730141"/>
          <c:w val="0.40392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CLEO cashflow negative again </a:t>
            </a:r>
          </a:p>
        </c:rich>
      </c:tx>
      <c:layout>
        <c:manualLayout>
          <c:xMode val="edge"/>
          <c:yMode val="edge"/>
          <c:x val="0.179916"/>
          <c:y val="0"/>
          <c:w val="0.64016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'CLEO.jk'!$AC$184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'CLEO.jk'!$AD$47:$AH$47</c:f>
              <c:strCache>
                <c:ptCount val="0"/>
              </c:strCache>
            </c:strRef>
          </c:cat>
          <c:val>
            <c:numRef>
              <c:f>'CLEO.jk'!$AD$184:$AH$184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'CLEO.jk'!$AC$185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'CLEO.jk'!$AD$47:$AH$47</c:f>
              <c:strCache>
                <c:ptCount val="0"/>
              </c:strCache>
            </c:strRef>
          </c:cat>
          <c:val>
            <c:numRef>
              <c:f>'CLEO.jk'!$AD$185:$AH$185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'CLEO.jk'!$AC$183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'CLEO.jk'!$AD$47:$AH$47</c:f>
              <c:strCache>
                <c:ptCount val="0"/>
              </c:strCache>
            </c:strRef>
          </c:cat>
          <c:val>
            <c:numRef>
              <c:f>'CLEO.jk'!$AD$183:$AH$183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20"/>
        <c:minorUnit val="6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"/>
        <c:minorUnit val="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28374"/>
          <c:y val="0.732472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7824"/>
          <c:y val="0.123258"/>
          <c:w val="0.720199"/>
          <c:h val="0.8109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'CMPP.jk'!$T$3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'CMPP.jk'!$B$12:$B$26</c:f>
              <c:strCache>
                <c:ptCount val="0"/>
              </c:strCache>
            </c:strRef>
          </c:cat>
          <c:val>
            <c:numRef>
              <c:f>'CMPP.jk'!$T$12:$T$26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1"/>
          <c:tx>
            <c:strRef>
              <c:f>'CMPP.jk'!$C$3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'CMPP.jk'!$B$12:$B$26</c:f>
              <c:strCache>
                <c:ptCount val="0"/>
              </c:strCache>
            </c:strRef>
          </c:cat>
          <c:val>
            <c:numRef>
              <c:f>'CMPP.jk'!$C$12:$C$26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00"/>
        <c:minorUnit val="2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5"/>
        <c:minorUnit val="62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773786"/>
          <c:y val="0"/>
          <c:w val="0.818602"/>
          <c:h val="0.0639332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1025"/>
          <c:y val="0.12368"/>
          <c:w val="0.86044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'CMPP.jk'!$C$3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'CMPP.jk'!$B$12:$B$26</c:f>
              <c:strCache>
                <c:ptCount val="15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</c:strCache>
            </c:strRef>
          </c:cat>
          <c:val>
            <c:numRef>
              <c:f>'CMPP.jk'!$C$12:$C$26</c:f>
              <c:numCache>
                <c:ptCount val="15"/>
                <c:pt idx="0">
                  <c:v>1332.600000</c:v>
                </c:pt>
                <c:pt idx="1">
                  <c:v>1661.300000</c:v>
                </c:pt>
                <c:pt idx="2">
                  <c:v>1833.000000</c:v>
                </c:pt>
                <c:pt idx="3">
                  <c:v>1881.900000</c:v>
                </c:pt>
                <c:pt idx="4">
                  <c:v>1325.000000</c:v>
                </c:pt>
                <c:pt idx="5">
                  <c:v>17.500000</c:v>
                </c:pt>
                <c:pt idx="6">
                  <c:v>53.700000</c:v>
                </c:pt>
                <c:pt idx="7">
                  <c:v>214.800000</c:v>
                </c:pt>
                <c:pt idx="8">
                  <c:v>223.700000</c:v>
                </c:pt>
                <c:pt idx="9">
                  <c:v>229.700000</c:v>
                </c:pt>
                <c:pt idx="10">
                  <c:v>34.000000</c:v>
                </c:pt>
                <c:pt idx="11">
                  <c:v>138.600000</c:v>
                </c:pt>
                <c:pt idx="12">
                  <c:v>223.700000</c:v>
                </c:pt>
                <c:pt idx="13">
                  <c:v>868.300000</c:v>
                </c:pt>
                <c:pt idx="14">
                  <c:v>1362.800000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00"/>
        <c:minorUnit val="250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3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CMNT Cashflow less negative </a:t>
            </a:r>
          </a:p>
        </c:rich>
      </c:tx>
      <c:layout>
        <c:manualLayout>
          <c:xMode val="edge"/>
          <c:yMode val="edge"/>
          <c:x val="0.204337"/>
          <c:y val="0"/>
          <c:w val="0.59132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'CMNT.jk'!$AC$138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'CMNT.jk'!$AD$47:$AH$47</c:f>
              <c:strCache>
                <c:ptCount val="0"/>
              </c:strCache>
            </c:strRef>
          </c:cat>
          <c:val>
            <c:numRef>
              <c:f>'CMNT.jk'!$AD$138:$AH$138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'CMNT.jk'!$AC$139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'CMNT.jk'!$AD$47:$AH$47</c:f>
              <c:strCache>
                <c:ptCount val="0"/>
              </c:strCache>
            </c:strRef>
          </c:cat>
          <c:val>
            <c:numRef>
              <c:f>'CMNT.jk'!$AD$139:$AH$139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'CMNT.jk'!$AC$137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'CMNT.jk'!$AD$47:$AH$47</c:f>
              <c:strCache>
                <c:ptCount val="0"/>
              </c:strCache>
            </c:strRef>
          </c:cat>
          <c:val>
            <c:numRef>
              <c:f>'CMNT.jk'!$AD$137:$AH$137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833.333"/>
        <c:minorUnit val="4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"/>
        <c:minorUnit val="18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08442"/>
          <c:y val="0.730821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CSRA cashflow higher positive </a:t>
            </a:r>
          </a:p>
        </c:rich>
      </c:tx>
      <c:layout>
        <c:manualLayout>
          <c:xMode val="edge"/>
          <c:yMode val="edge"/>
          <c:x val="0.177827"/>
          <c:y val="0"/>
          <c:w val="0.64434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'CSRA.jk'!$AC$141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'CSRA.jk'!$AD$47:$AH$47</c:f>
              <c:strCache>
                <c:ptCount val="0"/>
              </c:strCache>
            </c:strRef>
          </c:cat>
          <c:val>
            <c:numRef>
              <c:f>'CSRA.jk'!$AD$141:$AH$141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'CSRA.jk'!$AC$142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'CSRA.jk'!$AD$47:$AH$47</c:f>
              <c:strCache>
                <c:ptCount val="0"/>
              </c:strCache>
            </c:strRef>
          </c:cat>
          <c:val>
            <c:numRef>
              <c:f>'CSRA.jk'!$AD$142:$AH$142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'CSRA.jk'!$AC$140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'CSRA.jk'!$AD$47:$AH$47</c:f>
              <c:strCache>
                <c:ptCount val="0"/>
              </c:strCache>
            </c:strRef>
          </c:cat>
          <c:val>
            <c:numRef>
              <c:f>'CSRA.jk'!$AD$140:$AH$140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0"/>
        <c:minorUnit val="2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80"/>
        <c:minorUnit val="4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1585"/>
          <c:y val="0.743966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CTRA cashflow less positive </a:t>
            </a:r>
          </a:p>
        </c:rich>
      </c:tx>
      <c:layout>
        <c:manualLayout>
          <c:xMode val="edge"/>
          <c:yMode val="edge"/>
          <c:x val="0.216773"/>
          <c:y val="0"/>
          <c:w val="0.56645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4378"/>
          <c:y val="0.0918283"/>
          <c:w val="0.72942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'CTRA.jk'!$AC$141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'CTRA.jk'!$AD$47:$AH$47</c:f>
              <c:strCache>
                <c:ptCount val="0"/>
              </c:strCache>
            </c:strRef>
          </c:cat>
          <c:val>
            <c:numRef>
              <c:f>'CTRA.jk'!$AD$141:$AH$141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'CTRA.jk'!$AC$142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'CTRA.jk'!$AD$47:$AH$47</c:f>
              <c:strCache>
                <c:ptCount val="0"/>
              </c:strCache>
            </c:strRef>
          </c:cat>
          <c:val>
            <c:numRef>
              <c:f>'CTRA.jk'!$AD$142:$AH$142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'CTRA.jk'!$AC$140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'CTRA.jk'!$AD$47:$AH$47</c:f>
              <c:strCache>
                <c:ptCount val="0"/>
              </c:strCache>
            </c:strRef>
          </c:cat>
          <c:val>
            <c:numRef>
              <c:f>'CTRA.jk'!$AD$140:$AH$140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33.33"/>
        <c:minorUnit val="51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75"/>
        <c:minorUnit val="18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09845"/>
          <c:y val="0.785311"/>
          <c:w val="0.37689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DGIK cashflow less negative </a:t>
            </a:r>
          </a:p>
        </c:rich>
      </c:tx>
      <c:layout>
        <c:manualLayout>
          <c:xMode val="edge"/>
          <c:yMode val="edge"/>
          <c:x val="0.199252"/>
          <c:y val="0"/>
          <c:w val="0.60714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1644"/>
          <c:y val="0.0918283"/>
          <c:w val="0.77732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'DGIK.jk'!$AC$182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'DGIK.jk'!$AD$47:$AH$47</c:f>
              <c:strCache>
                <c:ptCount val="0"/>
              </c:strCache>
            </c:strRef>
          </c:cat>
          <c:val>
            <c:numRef>
              <c:f>'DGIK.jk'!$AD$182:$AH$182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'DGIK.jk'!$AC$183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'DGIK.jk'!$AD$47:$AH$47</c:f>
              <c:strCache>
                <c:ptCount val="0"/>
              </c:strCache>
            </c:strRef>
          </c:cat>
          <c:val>
            <c:numRef>
              <c:f>'DGIK.jk'!$AD$183:$AH$183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'DGIK.jk'!$AC$181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'DGIK.jk'!$AD$47:$AH$47</c:f>
              <c:strCache>
                <c:ptCount val="0"/>
              </c:strCache>
            </c:strRef>
          </c:cat>
          <c:val>
            <c:numRef>
              <c:f>'DGIK.jk'!$AD$181:$AH$181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6.6667"/>
        <c:minorUnit val="23.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5"/>
        <c:minorUnit val="12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142954"/>
          <c:w val="0.28159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DGNS cashflow negative </a:t>
            </a:r>
          </a:p>
        </c:rich>
      </c:tx>
      <c:layout>
        <c:manualLayout>
          <c:xMode val="edge"/>
          <c:yMode val="edge"/>
          <c:x val="0.226107"/>
          <c:y val="0"/>
          <c:w val="0.54778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916773"/>
          <c:y val="0.0918283"/>
          <c:w val="0.79910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'DGNS.jk'!$AC$138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'DGNS.jk'!$AD$47:$AH$47</c:f>
              <c:strCache>
                <c:ptCount val="0"/>
              </c:strCache>
            </c:strRef>
          </c:cat>
          <c:val>
            <c:numRef>
              <c:f>'DGNS.jk'!$AD$138:$AH$138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'DGNS.jk'!$AC$139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'DGNS.jk'!$AD$47:$AH$47</c:f>
              <c:strCache>
                <c:ptCount val="0"/>
              </c:strCache>
            </c:strRef>
          </c:cat>
          <c:val>
            <c:numRef>
              <c:f>'DGNS.jk'!$AD$139:$AH$139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'DGNS.jk'!$AC$137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'DGNS.jk'!$AD$47:$AH$47</c:f>
              <c:strCache>
                <c:ptCount val="0"/>
              </c:strCache>
            </c:strRef>
          </c:cat>
          <c:val>
            <c:numRef>
              <c:f>'DGNS.jk'!$AD$137:$AH$137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0"/>
        <c:minorUnit val="1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1.25"/>
        <c:minorUnit val="5.6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75915"/>
          <c:y val="0.694207"/>
          <c:w val="0.41290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AALI</a:t>
            </a:r>
          </a:p>
        </c:rich>
      </c:tx>
      <c:layout>
        <c:manualLayout>
          <c:xMode val="edge"/>
          <c:yMode val="edge"/>
          <c:x val="0.446057"/>
          <c:y val="0"/>
          <c:w val="0.10788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'AALI.jk'!$T$3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'AALI.jk'!$T$4:$T$26</c:f>
              <c:numCache>
                <c:ptCount val="23"/>
                <c:pt idx="0">
                  <c:v>303.000000</c:v>
                </c:pt>
                <c:pt idx="1">
                  <c:v>535.900000</c:v>
                </c:pt>
                <c:pt idx="2">
                  <c:v>869.800000</c:v>
                </c:pt>
                <c:pt idx="3">
                  <c:v>1003.300000</c:v>
                </c:pt>
                <c:pt idx="4">
                  <c:v>1331.400000</c:v>
                </c:pt>
                <c:pt idx="5">
                  <c:v>985.800000</c:v>
                </c:pt>
                <c:pt idx="6">
                  <c:v>1311.600000</c:v>
                </c:pt>
                <c:pt idx="7">
                  <c:v>1145.700000</c:v>
                </c:pt>
                <c:pt idx="8">
                  <c:v>1009.200000</c:v>
                </c:pt>
                <c:pt idx="9">
                  <c:v>1079.700000</c:v>
                </c:pt>
                <c:pt idx="10">
                  <c:v>783.700000</c:v>
                </c:pt>
                <c:pt idx="11">
                  <c:v>795.000000</c:v>
                </c:pt>
                <c:pt idx="12">
                  <c:v>1160.000000</c:v>
                </c:pt>
                <c:pt idx="13">
                  <c:v>1774.000000</c:v>
                </c:pt>
                <c:pt idx="14">
                  <c:v>2437.000000</c:v>
                </c:pt>
                <c:pt idx="15">
                  <c:v>1698.000000</c:v>
                </c:pt>
                <c:pt idx="16">
                  <c:v>2461.100000</c:v>
                </c:pt>
                <c:pt idx="17">
                  <c:v>3518.000000</c:v>
                </c:pt>
                <c:pt idx="18">
                  <c:v>4857.500000</c:v>
                </c:pt>
                <c:pt idx="19">
                  <c:v>5007.900000</c:v>
                </c:pt>
                <c:pt idx="20">
                  <c:v>5048.900000</c:v>
                </c:pt>
                <c:pt idx="21">
                  <c:v>3752.900000</c:v>
                </c:pt>
                <c:pt idx="22">
                  <c:v>5649.900000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'AALI.jk'!$U$3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'AALI.jk'!$U$4:$U$26</c:f>
              <c:numCache>
                <c:ptCount val="23"/>
                <c:pt idx="0">
                  <c:v>319.250000</c:v>
                </c:pt>
                <c:pt idx="1">
                  <c:v>638.500000</c:v>
                </c:pt>
                <c:pt idx="2">
                  <c:v>957.750000</c:v>
                </c:pt>
                <c:pt idx="3">
                  <c:v>1277.000000</c:v>
                </c:pt>
                <c:pt idx="4">
                  <c:v>1576.800000</c:v>
                </c:pt>
                <c:pt idx="5">
                  <c:v>1421.300000</c:v>
                </c:pt>
                <c:pt idx="6">
                  <c:v>1670.900000</c:v>
                </c:pt>
                <c:pt idx="7">
                  <c:v>1662.300000</c:v>
                </c:pt>
                <c:pt idx="8">
                  <c:v>1537.200000</c:v>
                </c:pt>
                <c:pt idx="9">
                  <c:v>1278.300000</c:v>
                </c:pt>
                <c:pt idx="10">
                  <c:v>892.300000</c:v>
                </c:pt>
                <c:pt idx="11">
                  <c:v>992.600000</c:v>
                </c:pt>
                <c:pt idx="12">
                  <c:v>443.600000</c:v>
                </c:pt>
                <c:pt idx="13">
                  <c:v>1165.600000</c:v>
                </c:pt>
                <c:pt idx="14">
                  <c:v>1259.600000</c:v>
                </c:pt>
                <c:pt idx="15">
                  <c:v>1340.600000</c:v>
                </c:pt>
                <c:pt idx="16">
                  <c:v>1340.600000</c:v>
                </c:pt>
                <c:pt idx="17">
                  <c:v>1675.600000</c:v>
                </c:pt>
                <c:pt idx="18">
                  <c:v>1674.900000</c:v>
                </c:pt>
                <c:pt idx="19">
                  <c:v>1833.400000</c:v>
                </c:pt>
                <c:pt idx="20">
                  <c:v>1833.400000</c:v>
                </c:pt>
                <c:pt idx="21">
                  <c:v>2583.400000</c:v>
                </c:pt>
                <c:pt idx="22">
                  <c:v>1584.400000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'AALI.jk'!$V$3</c:f>
              <c:strCache>
                <c:ptCount val="1"/>
                <c:pt idx="0">
                  <c:v>AALI.jk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'AALI.jk'!$B$4:$B$26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'AALI.jk'!$V$4:$V$26</c:f>
              <c:numCache>
                <c:ptCount val="23"/>
                <c:pt idx="0">
                  <c:v>15253.168630</c:v>
                </c:pt>
                <c:pt idx="1">
                  <c:v>15253.168630</c:v>
                </c:pt>
                <c:pt idx="2">
                  <c:v>15253.168630</c:v>
                </c:pt>
                <c:pt idx="3">
                  <c:v>15253.168630</c:v>
                </c:pt>
                <c:pt idx="4">
                  <c:v>15253.168630</c:v>
                </c:pt>
                <c:pt idx="5">
                  <c:v>15253.168630</c:v>
                </c:pt>
                <c:pt idx="6">
                  <c:v>15253.168630</c:v>
                </c:pt>
                <c:pt idx="7">
                  <c:v>15253.168630</c:v>
                </c:pt>
                <c:pt idx="8">
                  <c:v>15253.168630</c:v>
                </c:pt>
                <c:pt idx="9">
                  <c:v>15253.168630</c:v>
                </c:pt>
                <c:pt idx="10">
                  <c:v>15253.168630</c:v>
                </c:pt>
                <c:pt idx="11">
                  <c:v>15253.168630</c:v>
                </c:pt>
                <c:pt idx="12">
                  <c:v>15253.168630</c:v>
                </c:pt>
                <c:pt idx="13">
                  <c:v>15253.168630</c:v>
                </c:pt>
                <c:pt idx="14">
                  <c:v>15253.168630</c:v>
                </c:pt>
                <c:pt idx="15">
                  <c:v>15253.168630</c:v>
                </c:pt>
                <c:pt idx="16">
                  <c:v>15253.168630</c:v>
                </c:pt>
                <c:pt idx="17">
                  <c:v>15253.168630</c:v>
                </c:pt>
                <c:pt idx="18">
                  <c:v>15253.168630</c:v>
                </c:pt>
                <c:pt idx="19">
                  <c:v>15253.168630</c:v>
                </c:pt>
                <c:pt idx="20">
                  <c:v>15253.168630</c:v>
                </c:pt>
                <c:pt idx="21">
                  <c:v>15253.168630</c:v>
                </c:pt>
                <c:pt idx="22">
                  <c:v>15253.168630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333.33"/>
        <c:minorUnit val="26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DILD negative cashflow</a:t>
            </a:r>
          </a:p>
        </c:rich>
      </c:tx>
      <c:layout>
        <c:manualLayout>
          <c:xMode val="edge"/>
          <c:yMode val="edge"/>
          <c:x val="0.265619"/>
          <c:y val="0"/>
          <c:w val="0.468763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'DILD.jk'!$AC$138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'DILD.jk'!$AD$47:$AH$47</c:f>
              <c:strCache>
                <c:ptCount val="0"/>
              </c:strCache>
            </c:strRef>
          </c:cat>
          <c:val>
            <c:numRef>
              <c:f>'DILD.jk'!$AD$138:$AH$138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'DILD.jk'!$AC$139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'DILD.jk'!$AD$47:$AH$47</c:f>
              <c:strCache>
                <c:ptCount val="0"/>
              </c:strCache>
            </c:strRef>
          </c:cat>
          <c:val>
            <c:numRef>
              <c:f>'DILD.jk'!$AD$139:$AH$139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'DILD.jk'!$AC$137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'DILD.jk'!$AD$47:$AH$47</c:f>
              <c:strCache>
                <c:ptCount val="0"/>
              </c:strCache>
            </c:strRef>
          </c:cat>
          <c:val>
            <c:numRef>
              <c:f>'DILD.jk'!$AD$137:$AH$137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33.333"/>
        <c:minorUnit val="1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18.75"/>
        <c:minorUnit val="109.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85952"/>
          <c:y val="0.730141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DNET, lower cashflow</a:t>
            </a:r>
          </a:p>
        </c:rich>
      </c:tx>
      <c:layout>
        <c:manualLayout>
          <c:xMode val="edge"/>
          <c:yMode val="edge"/>
          <c:x val="0.273933"/>
          <c:y val="0"/>
          <c:w val="0.45213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'DNET.jk'!$AC$138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'DNET.jk'!$AD$47:$AH$47</c:f>
              <c:strCache>
                <c:ptCount val="0"/>
              </c:strCache>
            </c:strRef>
          </c:cat>
          <c:val>
            <c:numRef>
              <c:f>'DNET.jk'!$AD$138:$AH$138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'DNET.jk'!$AC$139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'DNET.jk'!$AD$47:$AH$47</c:f>
              <c:strCache>
                <c:ptCount val="0"/>
              </c:strCache>
            </c:strRef>
          </c:cat>
          <c:val>
            <c:numRef>
              <c:f>'DNET.jk'!$AD$139:$AH$139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'DNET.jk'!$AC$137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'DNET.jk'!$AD$47:$AH$47</c:f>
              <c:strCache>
                <c:ptCount val="0"/>
              </c:strCache>
            </c:strRef>
          </c:cat>
          <c:val>
            <c:numRef>
              <c:f>'DNET.jk'!$AD$137:$AH$137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6.667"/>
        <c:minorUnit val="53.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6.25"/>
        <c:minorUnit val="78.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24082"/>
          <c:y val="0.780439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'DRMA.jk'!$N$12:$N$27</c:f>
              <c:numCache>
                <c:ptCount val="15"/>
                <c:pt idx="0">
                  <c:v>630.312500</c:v>
                </c:pt>
                <c:pt idx="1">
                  <c:v>647.625000</c:v>
                </c:pt>
                <c:pt idx="2">
                  <c:v>664.937500</c:v>
                </c:pt>
                <c:pt idx="3">
                  <c:v>682.250000</c:v>
                </c:pt>
                <c:pt idx="4">
                  <c:v>628.875000</c:v>
                </c:pt>
                <c:pt idx="5">
                  <c:v>575.500000</c:v>
                </c:pt>
                <c:pt idx="6">
                  <c:v>522.125000</c:v>
                </c:pt>
                <c:pt idx="7">
                  <c:v>468.750000</c:v>
                </c:pt>
                <c:pt idx="8">
                  <c:v>520.562500</c:v>
                </c:pt>
                <c:pt idx="9">
                  <c:v>561.125000</c:v>
                </c:pt>
                <c:pt idx="10">
                  <c:v>636.937500</c:v>
                </c:pt>
                <c:pt idx="11">
                  <c:v>728.250000</c:v>
                </c:pt>
                <c:pt idx="12">
                  <c:v>788.250000</c:v>
                </c:pt>
                <c:pt idx="13">
                  <c:v>799.000000</c:v>
                </c:pt>
                <c:pt idx="14">
                  <c:v>1069.000000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'DRMA.jk'!$O$12:$O$27</c:f>
              <c:numCache>
                <c:ptCount val="2"/>
                <c:pt idx="14">
                  <c:v>1300.599107</c:v>
                </c:pt>
                <c:pt idx="15">
                  <c:v>1300.599107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83.333"/>
        <c:minorUnit val="19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005"/>
          <c:y val="0.117927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1863"/>
          <c:y val="0.0446026"/>
          <c:w val="0.8692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'DRMA.jk'!$R$12:$R$27</c:f>
              <c:numCache>
                <c:ptCount val="15"/>
                <c:pt idx="0">
                  <c:v>0.093005</c:v>
                </c:pt>
                <c:pt idx="1">
                  <c:v>0.095471</c:v>
                </c:pt>
                <c:pt idx="2">
                  <c:v>0.097937</c:v>
                </c:pt>
                <c:pt idx="3">
                  <c:v>0.100403</c:v>
                </c:pt>
                <c:pt idx="4">
                  <c:v>0.090769</c:v>
                </c:pt>
                <c:pt idx="5">
                  <c:v>0.081135</c:v>
                </c:pt>
                <c:pt idx="6">
                  <c:v>0.071501</c:v>
                </c:pt>
                <c:pt idx="7">
                  <c:v>0.061867</c:v>
                </c:pt>
                <c:pt idx="8">
                  <c:v>0.076356</c:v>
                </c:pt>
                <c:pt idx="9">
                  <c:v>0.090604</c:v>
                </c:pt>
                <c:pt idx="10">
                  <c:v>0.099748</c:v>
                </c:pt>
                <c:pt idx="11">
                  <c:v>0.139737</c:v>
                </c:pt>
                <c:pt idx="12">
                  <c:v>0.150084</c:v>
                </c:pt>
                <c:pt idx="13">
                  <c:v>0.142130</c:v>
                </c:pt>
                <c:pt idx="14">
                  <c:v>0.149714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'DRMA.jk'!$S$12:$S$27</c:f>
              <c:numCache>
                <c:ptCount val="2"/>
                <c:pt idx="14">
                  <c:v>0.090604</c:v>
                </c:pt>
                <c:pt idx="15">
                  <c:v>0.090604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533333"/>
        <c:minorUnit val="0.026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58"/>
          <c:y val="0.726725"/>
          <c:w val="0.25892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1557"/>
          <c:y val="0.0446026"/>
          <c:w val="0.8893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'DRMA.jk'!$T$12:$T$27</c:f>
              <c:numCache>
                <c:ptCount val="15"/>
                <c:pt idx="0">
                  <c:v>11.687500</c:v>
                </c:pt>
                <c:pt idx="1">
                  <c:v>9.625000</c:v>
                </c:pt>
                <c:pt idx="2">
                  <c:v>7.562500</c:v>
                </c:pt>
                <c:pt idx="3">
                  <c:v>5.500000</c:v>
                </c:pt>
                <c:pt idx="4">
                  <c:v>-1.625000</c:v>
                </c:pt>
                <c:pt idx="5">
                  <c:v>-8.750000</c:v>
                </c:pt>
                <c:pt idx="6">
                  <c:v>-15.875000</c:v>
                </c:pt>
                <c:pt idx="7">
                  <c:v>-23.000000</c:v>
                </c:pt>
                <c:pt idx="8">
                  <c:v>-29.000000</c:v>
                </c:pt>
                <c:pt idx="9">
                  <c:v>-41.000000</c:v>
                </c:pt>
                <c:pt idx="10">
                  <c:v>-26.500000</c:v>
                </c:pt>
                <c:pt idx="11">
                  <c:v>3.750000</c:v>
                </c:pt>
                <c:pt idx="12">
                  <c:v>25.500000</c:v>
                </c:pt>
                <c:pt idx="13">
                  <c:v>22.250000</c:v>
                </c:pt>
                <c:pt idx="14">
                  <c:v>13.000000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'DRMA.jk'!$U$12:$U$27</c:f>
              <c:numCache>
                <c:ptCount val="2"/>
                <c:pt idx="14">
                  <c:v>24.839082</c:v>
                </c:pt>
                <c:pt idx="15">
                  <c:v>24.839082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5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5"/>
        <c:minorUnit val="1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0698"/>
          <c:y val="0.109529"/>
          <c:w val="0.4310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'DRMA.jk'!$X$12:$X$27</c:f>
              <c:numCache>
                <c:ptCount val="15"/>
                <c:pt idx="0">
                  <c:v>-914.000000</c:v>
                </c:pt>
                <c:pt idx="1">
                  <c:v>-914.000000</c:v>
                </c:pt>
                <c:pt idx="2">
                  <c:v>-914.000000</c:v>
                </c:pt>
                <c:pt idx="3">
                  <c:v>-914.000000</c:v>
                </c:pt>
                <c:pt idx="4">
                  <c:v>-1018.000000</c:v>
                </c:pt>
                <c:pt idx="5">
                  <c:v>-1018.000000</c:v>
                </c:pt>
                <c:pt idx="6">
                  <c:v>-1018.000000</c:v>
                </c:pt>
                <c:pt idx="7">
                  <c:v>-1018.000000</c:v>
                </c:pt>
                <c:pt idx="8">
                  <c:v>-1040.000000</c:v>
                </c:pt>
                <c:pt idx="9">
                  <c:v>-1040.000000</c:v>
                </c:pt>
                <c:pt idx="10">
                  <c:v>-1040.000000</c:v>
                </c:pt>
                <c:pt idx="11">
                  <c:v>-1040.000000</c:v>
                </c:pt>
                <c:pt idx="12">
                  <c:v>-977.000000</c:v>
                </c:pt>
                <c:pt idx="13">
                  <c:v>-953.000000</c:v>
                </c:pt>
                <c:pt idx="14">
                  <c:v>-1062.000000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'DRMA.jk'!$Y$12:$Y$27</c:f>
              <c:numCache>
                <c:ptCount val="2"/>
                <c:pt idx="14">
                  <c:v>-962.643671</c:v>
                </c:pt>
                <c:pt idx="15">
                  <c:v>-962.643671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6.6667"/>
        <c:minorUnit val="3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2786"/>
          <c:y val="0.109529"/>
          <c:w val="0.41154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'DRMA.jk'!$V$12:$V$27</c:f>
              <c:numCache>
                <c:ptCount val="15"/>
                <c:pt idx="0">
                  <c:v>56.000000</c:v>
                </c:pt>
                <c:pt idx="1">
                  <c:v>69.000000</c:v>
                </c:pt>
                <c:pt idx="2">
                  <c:v>82.000000</c:v>
                </c:pt>
                <c:pt idx="3">
                  <c:v>95.000000</c:v>
                </c:pt>
                <c:pt idx="4">
                  <c:v>70.250000</c:v>
                </c:pt>
                <c:pt idx="5">
                  <c:v>45.500000</c:v>
                </c:pt>
                <c:pt idx="6">
                  <c:v>20.750000</c:v>
                </c:pt>
                <c:pt idx="7">
                  <c:v>-4.000000</c:v>
                </c:pt>
                <c:pt idx="8">
                  <c:v>-60.000000</c:v>
                </c:pt>
                <c:pt idx="9">
                  <c:v>-92.000000</c:v>
                </c:pt>
                <c:pt idx="10">
                  <c:v>-71.000000</c:v>
                </c:pt>
                <c:pt idx="11">
                  <c:v>-335.000000</c:v>
                </c:pt>
                <c:pt idx="12">
                  <c:v>-361.000000</c:v>
                </c:pt>
                <c:pt idx="13">
                  <c:v>-200.000000</c:v>
                </c:pt>
                <c:pt idx="14">
                  <c:v>-139.000000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'DRMA.jk'!$W$12:$W$27</c:f>
              <c:numCache>
                <c:ptCount val="2"/>
                <c:pt idx="14">
                  <c:v>-39.643671</c:v>
                </c:pt>
                <c:pt idx="15">
                  <c:v>-39.643671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33.333"/>
        <c:minorUnit val="1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9031"/>
          <c:y val="0.148075"/>
          <c:w val="0.41311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607"/>
          <c:y val="0.0446026"/>
          <c:w val="0.85415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'DRMA.jk'!$Z$3</c:f>
              <c:strCache>
                <c:ptCount val="1"/>
                <c:pt idx="0">
                  <c:v>DRMA.jk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'DRMA.jk'!$Z$20:$Z$28</c:f>
              <c:numCache>
                <c:ptCount val="5"/>
                <c:pt idx="3">
                  <c:v>496.000000</c:v>
                </c:pt>
                <c:pt idx="4">
                  <c:v>610.000000</c:v>
                </c:pt>
                <c:pt idx="5">
                  <c:v>635.000000</c:v>
                </c:pt>
                <c:pt idx="6">
                  <c:v>650.000000</c:v>
                </c:pt>
                <c:pt idx="7">
                  <c:v>580.000000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'DRMA.jk'!$AA$3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'DRMA.jk'!$B$20:$B$28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'DRMA.jk'!$AA$20:$AA$28</c:f>
              <c:numCache>
                <c:ptCount val="2"/>
                <c:pt idx="7">
                  <c:v>422.264605</c:v>
                </c:pt>
                <c:pt idx="8">
                  <c:v>422.264605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33.333"/>
        <c:minorUnit val="11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1625"/>
          <c:y val="0.414174"/>
          <c:w val="0.3767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'DVLA.jk'!$N$12:$N$27</c:f>
              <c:numCache>
                <c:ptCount val="15"/>
                <c:pt idx="0">
                  <c:v>899.050000</c:v>
                </c:pt>
                <c:pt idx="1">
                  <c:v>993.850000</c:v>
                </c:pt>
                <c:pt idx="2">
                  <c:v>948.050000</c:v>
                </c:pt>
                <c:pt idx="3">
                  <c:v>1001.600000</c:v>
                </c:pt>
                <c:pt idx="4">
                  <c:v>1016.175000</c:v>
                </c:pt>
                <c:pt idx="5">
                  <c:v>914.625000</c:v>
                </c:pt>
                <c:pt idx="6">
                  <c:v>840.650000</c:v>
                </c:pt>
                <c:pt idx="7">
                  <c:v>736.825000</c:v>
                </c:pt>
                <c:pt idx="8">
                  <c:v>628.100000</c:v>
                </c:pt>
                <c:pt idx="9">
                  <c:v>588.150000</c:v>
                </c:pt>
                <c:pt idx="10">
                  <c:v>553.750000</c:v>
                </c:pt>
                <c:pt idx="11">
                  <c:v>588.225000</c:v>
                </c:pt>
                <c:pt idx="12">
                  <c:v>668.050000</c:v>
                </c:pt>
                <c:pt idx="13">
                  <c:v>757.625000</c:v>
                </c:pt>
                <c:pt idx="14">
                  <c:v>920.400000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'DVLA.jk'!$O$12:$O$27</c:f>
              <c:numCache>
                <c:ptCount val="3"/>
                <c:pt idx="13">
                  <c:v>600.966000</c:v>
                </c:pt>
                <c:pt idx="14">
                  <c:v>483.325000</c:v>
                </c:pt>
                <c:pt idx="15">
                  <c:v>1051.023168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83.333"/>
        <c:minorUnit val="141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963"/>
          <c:y val="0.73512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1863"/>
          <c:y val="0.0446026"/>
          <c:w val="0.8692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'DVLA.jk'!$R$12:$R$27</c:f>
              <c:numCache>
                <c:ptCount val="15"/>
                <c:pt idx="0">
                  <c:v>0.116547</c:v>
                </c:pt>
                <c:pt idx="1">
                  <c:v>0.080599</c:v>
                </c:pt>
                <c:pt idx="2">
                  <c:v>0.080740</c:v>
                </c:pt>
                <c:pt idx="3">
                  <c:v>0.072292</c:v>
                </c:pt>
                <c:pt idx="4">
                  <c:v>0.063365</c:v>
                </c:pt>
                <c:pt idx="5">
                  <c:v>0.093919</c:v>
                </c:pt>
                <c:pt idx="6">
                  <c:v>0.082460</c:v>
                </c:pt>
                <c:pt idx="7">
                  <c:v>0.079783</c:v>
                </c:pt>
                <c:pt idx="8">
                  <c:v>0.112917</c:v>
                </c:pt>
                <c:pt idx="9">
                  <c:v>0.110774</c:v>
                </c:pt>
                <c:pt idx="10">
                  <c:v>0.173749</c:v>
                </c:pt>
                <c:pt idx="11">
                  <c:v>0.136956</c:v>
                </c:pt>
                <c:pt idx="12">
                  <c:v>0.133195</c:v>
                </c:pt>
                <c:pt idx="13">
                  <c:v>0.108835</c:v>
                </c:pt>
                <c:pt idx="14">
                  <c:v>0.090704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'DVLA.jk'!$S$12:$S$27</c:f>
              <c:numCache>
                <c:ptCount val="2"/>
                <c:pt idx="14">
                  <c:v>0.090704</c:v>
                </c:pt>
                <c:pt idx="15">
                  <c:v>0.090704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6"/>
        <c:minorUnit val="0.0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86196"/>
          <c:y val="0.123283"/>
          <c:w val="0.25892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ACES cashflow more negative </a:t>
            </a:r>
          </a:p>
        </c:rich>
      </c:tx>
      <c:layout>
        <c:manualLayout>
          <c:xMode val="edge"/>
          <c:yMode val="edge"/>
          <c:x val="0.193127"/>
          <c:y val="0"/>
          <c:w val="0.61374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'ACES.jk'!$AC$138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'ACES.jk'!$AD$47:$AH$47</c:f>
              <c:strCache>
                <c:ptCount val="0"/>
              </c:strCache>
            </c:strRef>
          </c:cat>
          <c:val>
            <c:numRef>
              <c:f>'ACES.jk'!$AD$138:$AH$138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'ACES.jk'!$AC$139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'ACES.jk'!$AD$47:$AH$47</c:f>
              <c:strCache>
                <c:ptCount val="0"/>
              </c:strCache>
            </c:strRef>
          </c:cat>
          <c:val>
            <c:numRef>
              <c:f>'ACES.jk'!$AD$139:$AH$139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'ACES.jk'!$AC$137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'ACES.jk'!$AD$47:$AH$47</c:f>
              <c:strCache>
                <c:ptCount val="0"/>
              </c:strCache>
            </c:strRef>
          </c:cat>
          <c:val>
            <c:numRef>
              <c:f>'ACES.jk'!$AD$137:$AH$137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66.667"/>
        <c:minorUnit val="2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262.5"/>
        <c:minorUnit val="131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84051"/>
          <c:y val="0.72312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'DVLA.jk'!$T$12:$T$27</c:f>
              <c:numCache>
                <c:ptCount val="15"/>
                <c:pt idx="0">
                  <c:v>-17.650000</c:v>
                </c:pt>
                <c:pt idx="1">
                  <c:v>-16.100000</c:v>
                </c:pt>
                <c:pt idx="2">
                  <c:v>27.075000</c:v>
                </c:pt>
                <c:pt idx="3">
                  <c:v>36.875000</c:v>
                </c:pt>
                <c:pt idx="4">
                  <c:v>65.025000</c:v>
                </c:pt>
                <c:pt idx="5">
                  <c:v>46.525000</c:v>
                </c:pt>
                <c:pt idx="6">
                  <c:v>35.525000</c:v>
                </c:pt>
                <c:pt idx="7">
                  <c:v>10.000000</c:v>
                </c:pt>
                <c:pt idx="8">
                  <c:v>23.275000</c:v>
                </c:pt>
                <c:pt idx="9">
                  <c:v>55.600000</c:v>
                </c:pt>
                <c:pt idx="10">
                  <c:v>37.275000</c:v>
                </c:pt>
                <c:pt idx="11">
                  <c:v>103.800000</c:v>
                </c:pt>
                <c:pt idx="12">
                  <c:v>39.250000</c:v>
                </c:pt>
                <c:pt idx="13">
                  <c:v>62.225000</c:v>
                </c:pt>
                <c:pt idx="14">
                  <c:v>27.600000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'DVLA.jk'!$U$12:$U$27</c:f>
              <c:numCache>
                <c:ptCount val="3"/>
                <c:pt idx="13">
                  <c:v>78.351533</c:v>
                </c:pt>
                <c:pt idx="14">
                  <c:v>30.927479</c:v>
                </c:pt>
                <c:pt idx="15">
                  <c:v>74.032362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7.6667"/>
        <c:minorUnit val="23.8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4901"/>
          <c:y val="0.109529"/>
          <c:w val="0.428372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'DVLA.jk'!$X$12:$X$27</c:f>
              <c:numCache>
                <c:ptCount val="15"/>
                <c:pt idx="0">
                  <c:v>-327.000000</c:v>
                </c:pt>
                <c:pt idx="1">
                  <c:v>-354.000000</c:v>
                </c:pt>
                <c:pt idx="2">
                  <c:v>-177.000000</c:v>
                </c:pt>
                <c:pt idx="3">
                  <c:v>-185.000000</c:v>
                </c:pt>
                <c:pt idx="4">
                  <c:v>-185.000000</c:v>
                </c:pt>
                <c:pt idx="5">
                  <c:v>-270.000000</c:v>
                </c:pt>
                <c:pt idx="6">
                  <c:v>-189.000000</c:v>
                </c:pt>
                <c:pt idx="7">
                  <c:v>-395.000000</c:v>
                </c:pt>
                <c:pt idx="8">
                  <c:v>-290.000000</c:v>
                </c:pt>
                <c:pt idx="9">
                  <c:v>-209.000000</c:v>
                </c:pt>
                <c:pt idx="10">
                  <c:v>-258.000000</c:v>
                </c:pt>
                <c:pt idx="11">
                  <c:v>-121.800000</c:v>
                </c:pt>
                <c:pt idx="12">
                  <c:v>-283.000000</c:v>
                </c:pt>
                <c:pt idx="13">
                  <c:v>-44.000000</c:v>
                </c:pt>
                <c:pt idx="14">
                  <c:v>-238.000000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'DVLA.jk'!$Y$12:$Y$27</c:f>
              <c:numCache>
                <c:ptCount val="3"/>
                <c:pt idx="13">
                  <c:v>-162.965497</c:v>
                </c:pt>
                <c:pt idx="14">
                  <c:v>22.437121</c:v>
                </c:pt>
                <c:pt idx="15">
                  <c:v>-101.735277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3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78.333"/>
        <c:minorUnit val="89.1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2161"/>
          <c:y val="0.109529"/>
          <c:w val="0.4242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'DVLA.jk'!$V$12:$V$27</c:f>
              <c:numCache>
                <c:ptCount val="15"/>
                <c:pt idx="0">
                  <c:v>118.800000</c:v>
                </c:pt>
                <c:pt idx="1">
                  <c:v>114.900000</c:v>
                </c:pt>
                <c:pt idx="2">
                  <c:v>192.500000</c:v>
                </c:pt>
                <c:pt idx="3">
                  <c:v>232.000000</c:v>
                </c:pt>
                <c:pt idx="4">
                  <c:v>230.700000</c:v>
                </c:pt>
                <c:pt idx="5">
                  <c:v>229.300000</c:v>
                </c:pt>
                <c:pt idx="6">
                  <c:v>307.700000</c:v>
                </c:pt>
                <c:pt idx="7">
                  <c:v>349.000000</c:v>
                </c:pt>
                <c:pt idx="8">
                  <c:v>349.000000</c:v>
                </c:pt>
                <c:pt idx="9">
                  <c:v>349.000000</c:v>
                </c:pt>
                <c:pt idx="10">
                  <c:v>401.600000</c:v>
                </c:pt>
                <c:pt idx="11">
                  <c:v>451.000000</c:v>
                </c:pt>
                <c:pt idx="12">
                  <c:v>456.600000</c:v>
                </c:pt>
                <c:pt idx="13">
                  <c:v>472.500000</c:v>
                </c:pt>
                <c:pt idx="14">
                  <c:v>558.000000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'DVLA.jk'!$W$12:$W$27</c:f>
              <c:numCache>
                <c:ptCount val="2"/>
                <c:pt idx="14">
                  <c:v>833.241836</c:v>
                </c:pt>
                <c:pt idx="15">
                  <c:v>833.241836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00"/>
        <c:minorUnit val="1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9836"/>
          <c:y val="0.10326"/>
          <c:w val="0.41915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'DVLA.jk'!$Z$3</c:f>
              <c:strCache>
                <c:ptCount val="1"/>
                <c:pt idx="0">
                  <c:v>DVLA.jk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'DVLA.jk'!$Z$12:$Z$28</c:f>
              <c:numCache>
                <c:ptCount val="16"/>
                <c:pt idx="0">
                  <c:v>2020.000000</c:v>
                </c:pt>
                <c:pt idx="1">
                  <c:v>2250.000000</c:v>
                </c:pt>
                <c:pt idx="2">
                  <c:v>2210.000000</c:v>
                </c:pt>
                <c:pt idx="3">
                  <c:v>2250.000000</c:v>
                </c:pt>
                <c:pt idx="4">
                  <c:v>2100.000000</c:v>
                </c:pt>
                <c:pt idx="5">
                  <c:v>2180.000000</c:v>
                </c:pt>
                <c:pt idx="6">
                  <c:v>2520.000000</c:v>
                </c:pt>
                <c:pt idx="7">
                  <c:v>2420.000000</c:v>
                </c:pt>
                <c:pt idx="8">
                  <c:v>2370.000000</c:v>
                </c:pt>
                <c:pt idx="9">
                  <c:v>2380.000000</c:v>
                </c:pt>
                <c:pt idx="10">
                  <c:v>2450.000000</c:v>
                </c:pt>
                <c:pt idx="11">
                  <c:v>2750.000000</c:v>
                </c:pt>
                <c:pt idx="12">
                  <c:v>2750.000000</c:v>
                </c:pt>
                <c:pt idx="13">
                  <c:v>2600.000000</c:v>
                </c:pt>
                <c:pt idx="14">
                  <c:v>2500.000000</c:v>
                </c:pt>
                <c:pt idx="15">
                  <c:v>2260.000000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'DVLA.jk'!$AA$3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'DVLA.jk'!$B$12:$B$28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'DVLA.jk'!$AA$12:$AA$28</c:f>
              <c:numCache>
                <c:ptCount val="3"/>
                <c:pt idx="14">
                  <c:v>2650.926746</c:v>
                </c:pt>
                <c:pt idx="15">
                  <c:v>2650.926746</c:v>
                </c:pt>
                <c:pt idx="16">
                  <c:v>2908.414206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00"/>
        <c:minorUnit val="2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1878"/>
          <c:y val="0.730928"/>
          <c:w val="0.36566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DYAN Cashflow turned positive </a:t>
            </a:r>
          </a:p>
        </c:rich>
      </c:tx>
      <c:layout>
        <c:manualLayout>
          <c:xMode val="edge"/>
          <c:yMode val="edge"/>
          <c:x val="0.249331"/>
          <c:y val="0"/>
          <c:w val="0.60403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202674"/>
          <c:y val="0.0918283"/>
          <c:w val="0.70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'DYAN.jk'!$AC$184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'DYAN.jk'!$AD$47:$AH$47</c:f>
              <c:strCache>
                <c:ptCount val="0"/>
              </c:strCache>
            </c:strRef>
          </c:cat>
          <c:val>
            <c:numRef>
              <c:f>'DYAN.jk'!$AD$184:$AH$184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'DYAN.jk'!$AC$185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'DYAN.jk'!$AD$47:$AH$47</c:f>
              <c:strCache>
                <c:ptCount val="0"/>
              </c:strCache>
            </c:strRef>
          </c:cat>
          <c:val>
            <c:numRef>
              <c:f>'DYAN.jk'!$AD$185:$AH$185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'DYAN.jk'!$AC$183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'DYAN.jk'!$AD$47:$AH$47</c:f>
              <c:strCache>
                <c:ptCount val="0"/>
              </c:strCache>
            </c:strRef>
          </c:cat>
          <c:val>
            <c:numRef>
              <c:f>'DYAN.jk'!$AD$183:$AH$183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33.333"/>
        <c:minorUnit val="66.6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8.75"/>
        <c:minorUnit val="9.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"/>
          <c:y val="0.144586"/>
          <c:w val="0.36244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'EMTK.jk'!$N$12:$N$27</c:f>
              <c:numCache>
                <c:ptCount val="15"/>
                <c:pt idx="0">
                  <c:v>661.100000</c:v>
                </c:pt>
                <c:pt idx="1">
                  <c:v>689.500000</c:v>
                </c:pt>
                <c:pt idx="2">
                  <c:v>678.400000</c:v>
                </c:pt>
                <c:pt idx="3">
                  <c:v>746.025000</c:v>
                </c:pt>
                <c:pt idx="4">
                  <c:v>661.375000</c:v>
                </c:pt>
                <c:pt idx="5">
                  <c:v>1337.000000</c:v>
                </c:pt>
                <c:pt idx="6">
                  <c:v>2129.625000</c:v>
                </c:pt>
                <c:pt idx="7">
                  <c:v>2984.100000</c:v>
                </c:pt>
                <c:pt idx="8">
                  <c:v>3104.100000</c:v>
                </c:pt>
                <c:pt idx="9">
                  <c:v>3259.375000</c:v>
                </c:pt>
                <c:pt idx="10">
                  <c:v>3253.875000</c:v>
                </c:pt>
                <c:pt idx="11">
                  <c:v>3210.175000</c:v>
                </c:pt>
                <c:pt idx="12">
                  <c:v>3272.450000</c:v>
                </c:pt>
                <c:pt idx="13">
                  <c:v>3372.875000</c:v>
                </c:pt>
                <c:pt idx="14">
                  <c:v>3570.375000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'EMTK.jk'!$O$12:$O$27</c:f>
              <c:numCache>
                <c:ptCount val="8"/>
                <c:pt idx="8">
                  <c:v>3356.373000</c:v>
                </c:pt>
                <c:pt idx="9">
                  <c:v>3321.088667</c:v>
                </c:pt>
                <c:pt idx="10">
                  <c:v>3338.334500</c:v>
                </c:pt>
                <c:pt idx="11">
                  <c:v>3371.915750</c:v>
                </c:pt>
                <c:pt idx="12">
                  <c:v>3391.823000</c:v>
                </c:pt>
                <c:pt idx="13">
                  <c:v>3465.025500</c:v>
                </c:pt>
                <c:pt idx="14">
                  <c:v>3539.519250</c:v>
                </c:pt>
                <c:pt idx="15">
                  <c:v>4327.703446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666.67"/>
        <c:minorUnit val="8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7644"/>
          <c:y val="0.12748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'EMTK.jk'!$T$12:$T$27</c:f>
              <c:numCache>
                <c:ptCount val="15"/>
                <c:pt idx="0">
                  <c:v>-13.875000</c:v>
                </c:pt>
                <c:pt idx="1">
                  <c:v>-252.425000</c:v>
                </c:pt>
                <c:pt idx="2">
                  <c:v>-180.100000</c:v>
                </c:pt>
                <c:pt idx="3">
                  <c:v>-148.950000</c:v>
                </c:pt>
                <c:pt idx="4">
                  <c:v>-10.975000</c:v>
                </c:pt>
                <c:pt idx="5">
                  <c:v>-99.125000</c:v>
                </c:pt>
                <c:pt idx="6">
                  <c:v>186.050000</c:v>
                </c:pt>
                <c:pt idx="7">
                  <c:v>394.050000</c:v>
                </c:pt>
                <c:pt idx="8">
                  <c:v>415.400000</c:v>
                </c:pt>
                <c:pt idx="9">
                  <c:v>-131.000000</c:v>
                </c:pt>
                <c:pt idx="10">
                  <c:v>-1377.400000</c:v>
                </c:pt>
                <c:pt idx="11">
                  <c:v>-2331.300000</c:v>
                </c:pt>
                <c:pt idx="12">
                  <c:v>-2921.925000</c:v>
                </c:pt>
                <c:pt idx="13">
                  <c:v>-2766.725000</c:v>
                </c:pt>
                <c:pt idx="14">
                  <c:v>-616.975000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'EMTK.jk'!$U$12:$U$27</c:f>
              <c:numCache>
                <c:ptCount val="4"/>
                <c:pt idx="12">
                  <c:v>436.116877</c:v>
                </c:pt>
                <c:pt idx="13">
                  <c:v>436.116877</c:v>
                </c:pt>
                <c:pt idx="14">
                  <c:v>-1169.569228</c:v>
                </c:pt>
                <c:pt idx="15">
                  <c:v>30.871024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166.67"/>
        <c:minorUnit val="58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36711"/>
          <c:y val="0.745108"/>
          <c:w val="0.36043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63186"/>
          <c:y val="0.0446026"/>
          <c:w val="0.82835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'EMTK.jk'!$V$12:$V$27</c:f>
              <c:numCache>
                <c:ptCount val="15"/>
                <c:pt idx="0">
                  <c:v>-1601.250000</c:v>
                </c:pt>
                <c:pt idx="1">
                  <c:v>-1888.500000</c:v>
                </c:pt>
                <c:pt idx="2">
                  <c:v>-2175.750000</c:v>
                </c:pt>
                <c:pt idx="3">
                  <c:v>-2463.000000</c:v>
                </c:pt>
                <c:pt idx="4">
                  <c:v>-3073.300000</c:v>
                </c:pt>
                <c:pt idx="5">
                  <c:v>-2717.100000</c:v>
                </c:pt>
                <c:pt idx="6">
                  <c:v>-2504.300000</c:v>
                </c:pt>
                <c:pt idx="7">
                  <c:v>-651.600000</c:v>
                </c:pt>
                <c:pt idx="8">
                  <c:v>-9998.900000</c:v>
                </c:pt>
                <c:pt idx="9">
                  <c:v>-8827.900000</c:v>
                </c:pt>
                <c:pt idx="10">
                  <c:v>-10168.200000</c:v>
                </c:pt>
                <c:pt idx="11">
                  <c:v>-13471.200000</c:v>
                </c:pt>
                <c:pt idx="12">
                  <c:v>-14604.700000</c:v>
                </c:pt>
                <c:pt idx="13">
                  <c:v>-17219.200000</c:v>
                </c:pt>
                <c:pt idx="14">
                  <c:v>-16833.800000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'EMTK.jk'!$W$12:$W$27</c:f>
              <c:numCache>
                <c:ptCount val="2"/>
                <c:pt idx="14">
                  <c:v>-16833.800000</c:v>
                </c:pt>
                <c:pt idx="15">
                  <c:v>-16710.315904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1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7033.33"/>
        <c:minorUnit val="351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651193"/>
          <c:y val="0.412404"/>
          <c:w val="0.32237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'EMTK.jk'!$Z$3</c:f>
              <c:strCache>
                <c:ptCount val="1"/>
                <c:pt idx="0">
                  <c:v>EMTK.jk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'EMTK.jk'!$Z$12:$Z$28</c:f>
              <c:numCache>
                <c:ptCount val="16"/>
                <c:pt idx="0">
                  <c:v>790.000000</c:v>
                </c:pt>
                <c:pt idx="1">
                  <c:v>695.000000</c:v>
                </c:pt>
                <c:pt idx="2">
                  <c:v>560.000000</c:v>
                </c:pt>
                <c:pt idx="3">
                  <c:v>502.500000</c:v>
                </c:pt>
                <c:pt idx="4">
                  <c:v>499.000000</c:v>
                </c:pt>
                <c:pt idx="5">
                  <c:v>490.000000</c:v>
                </c:pt>
                <c:pt idx="6">
                  <c:v>750.000000</c:v>
                </c:pt>
                <c:pt idx="7">
                  <c:v>1400.000000</c:v>
                </c:pt>
                <c:pt idx="8">
                  <c:v>2270.000000</c:v>
                </c:pt>
                <c:pt idx="9">
                  <c:v>2500.000000</c:v>
                </c:pt>
                <c:pt idx="10">
                  <c:v>1740.000000</c:v>
                </c:pt>
                <c:pt idx="11">
                  <c:v>2280.000000</c:v>
                </c:pt>
                <c:pt idx="12">
                  <c:v>2450.000000</c:v>
                </c:pt>
                <c:pt idx="13">
                  <c:v>1605.000000</c:v>
                </c:pt>
                <c:pt idx="14">
                  <c:v>1520.000000</c:v>
                </c:pt>
                <c:pt idx="15">
                  <c:v>1010.000000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'EMTK.jk'!$AA$12:$AA$28</c:f>
              <c:numCache>
                <c:ptCount val="5"/>
                <c:pt idx="12">
                  <c:v>1036.201015</c:v>
                </c:pt>
                <c:pt idx="13">
                  <c:v>1049.317483</c:v>
                </c:pt>
                <c:pt idx="14">
                  <c:v>1162.550392</c:v>
                </c:pt>
                <c:pt idx="15">
                  <c:v>1049.317483</c:v>
                </c:pt>
                <c:pt idx="16">
                  <c:v>1012.201225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00"/>
        <c:minorUnit val="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21157"/>
          <c:y val="0.13324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'EMTK.jk'!$X$12:$X$27</c:f>
              <c:numCache>
                <c:ptCount val="15"/>
                <c:pt idx="0">
                  <c:v>264.000000</c:v>
                </c:pt>
                <c:pt idx="1">
                  <c:v>-558.000000</c:v>
                </c:pt>
                <c:pt idx="2">
                  <c:v>-1342.000000</c:v>
                </c:pt>
                <c:pt idx="3">
                  <c:v>-1961.000000</c:v>
                </c:pt>
                <c:pt idx="4">
                  <c:v>-2447.000000</c:v>
                </c:pt>
                <c:pt idx="5">
                  <c:v>-2946.000000</c:v>
                </c:pt>
                <c:pt idx="6">
                  <c:v>-2103.000000</c:v>
                </c:pt>
                <c:pt idx="7">
                  <c:v>-2790.000000</c:v>
                </c:pt>
                <c:pt idx="8">
                  <c:v>6937.000000</c:v>
                </c:pt>
                <c:pt idx="9">
                  <c:v>5144.000000</c:v>
                </c:pt>
                <c:pt idx="10">
                  <c:v>2951.000000</c:v>
                </c:pt>
                <c:pt idx="11">
                  <c:v>2884.000000</c:v>
                </c:pt>
                <c:pt idx="12">
                  <c:v>1996.500000</c:v>
                </c:pt>
                <c:pt idx="13">
                  <c:v>2121.000000</c:v>
                </c:pt>
                <c:pt idx="14">
                  <c:v>3382.000000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'EMTK.jk'!$Y$12:$Y$27</c:f>
              <c:numCache>
                <c:ptCount val="4"/>
                <c:pt idx="12">
                  <c:v>3830.371287</c:v>
                </c:pt>
                <c:pt idx="13">
                  <c:v>3830.371287</c:v>
                </c:pt>
                <c:pt idx="14">
                  <c:v>3830.371287</c:v>
                </c:pt>
                <c:pt idx="15">
                  <c:v>3505.484096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75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3500"/>
        <c:minorUnit val="17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10454"/>
          <c:y val="0.130652"/>
          <c:w val="0.40576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DNET, lower cashflow</a:t>
            </a:r>
          </a:p>
        </c:rich>
      </c:tx>
      <c:layout>
        <c:manualLayout>
          <c:xMode val="edge"/>
          <c:yMode val="edge"/>
          <c:x val="0.287493"/>
          <c:y val="0"/>
          <c:w val="0.42501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2498"/>
          <c:y val="0.0918283"/>
          <c:w val="0.719217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'ADHI.jk'!$AC$139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'ADHI.jk'!$AD$47:$AH$47</c:f>
              <c:strCache>
                <c:ptCount val="0"/>
              </c:strCache>
            </c:strRef>
          </c:cat>
          <c:val>
            <c:numRef>
              <c:f>'ADHI.jk'!$AD$139:$AH$139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'ADHI.jk'!$AC$140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'ADHI.jk'!$AD$47:$AH$47</c:f>
              <c:strCache>
                <c:ptCount val="0"/>
              </c:strCache>
            </c:strRef>
          </c:cat>
          <c:val>
            <c:numRef>
              <c:f>'ADHI.jk'!$AD$140:$AH$140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'ADHI.jk'!$AC$138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'ADHI.jk'!$AD$47:$AH$47</c:f>
              <c:strCache>
                <c:ptCount val="0"/>
              </c:strCache>
            </c:strRef>
          </c:cat>
          <c:val>
            <c:numRef>
              <c:f>'ADHI.jk'!$AD$138:$AH$138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400"/>
        <c:minorUnit val="7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0"/>
        <c:minorUnit val="7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07457"/>
          <c:y val="0.780439"/>
          <c:w val="0.37162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0049"/>
          <c:y val="0.0446026"/>
          <c:w val="0.8296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'EMTK.jk'!$R$3</c:f>
              <c:strCache>
                <c:ptCount val="1"/>
                <c:pt idx="0">
                  <c:v>Margin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'EMTK.jk'!$R$12:$R$27</c:f>
              <c:numCache>
                <c:ptCount val="15"/>
                <c:pt idx="0">
                  <c:v>0.043753</c:v>
                </c:pt>
                <c:pt idx="1">
                  <c:v>-0.018231</c:v>
                </c:pt>
                <c:pt idx="2">
                  <c:v>-0.079904</c:v>
                </c:pt>
                <c:pt idx="3">
                  <c:v>-0.150411</c:v>
                </c:pt>
                <c:pt idx="4">
                  <c:v>-0.133927</c:v>
                </c:pt>
                <c:pt idx="5">
                  <c:v>-0.061462</c:v>
                </c:pt>
                <c:pt idx="6">
                  <c:v>-0.031389</c:v>
                </c:pt>
                <c:pt idx="7">
                  <c:v>0.127555</c:v>
                </c:pt>
                <c:pt idx="8">
                  <c:v>0.158816</c:v>
                </c:pt>
                <c:pt idx="9">
                  <c:v>0.176083</c:v>
                </c:pt>
                <c:pt idx="10">
                  <c:v>0.200151</c:v>
                </c:pt>
                <c:pt idx="11">
                  <c:v>0.110327</c:v>
                </c:pt>
                <c:pt idx="12">
                  <c:v>0.026982</c:v>
                </c:pt>
                <c:pt idx="13">
                  <c:v>-0.003315</c:v>
                </c:pt>
                <c:pt idx="14">
                  <c:v>-0.044621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'EMTK.jk'!$S$3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'EMTK.jk'!$B$12:$B$27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'EMTK.jk'!$S$12:$S$27</c:f>
              <c:numCache>
                <c:ptCount val="2"/>
                <c:pt idx="14">
                  <c:v>0.026243</c:v>
                </c:pt>
                <c:pt idx="15">
                  <c:v>0.026243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0.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136667"/>
        <c:minorUnit val="0.068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673694"/>
          <c:y val="0.12748"/>
          <c:w val="0.32630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'EPMT.jk'!$N$12:$N$27</c:f>
              <c:numCache>
                <c:ptCount val="15"/>
                <c:pt idx="0">
                  <c:v>5244.650000</c:v>
                </c:pt>
                <c:pt idx="1">
                  <c:v>5379.375000</c:v>
                </c:pt>
                <c:pt idx="2">
                  <c:v>5489.300000</c:v>
                </c:pt>
                <c:pt idx="3">
                  <c:v>5556.725000</c:v>
                </c:pt>
                <c:pt idx="4">
                  <c:v>5673.145000</c:v>
                </c:pt>
                <c:pt idx="5">
                  <c:v>5680.800000</c:v>
                </c:pt>
                <c:pt idx="6">
                  <c:v>5653.750000</c:v>
                </c:pt>
                <c:pt idx="7">
                  <c:v>5636.350000</c:v>
                </c:pt>
                <c:pt idx="8">
                  <c:v>5686.730000</c:v>
                </c:pt>
                <c:pt idx="9">
                  <c:v>5818.725000</c:v>
                </c:pt>
                <c:pt idx="10">
                  <c:v>6123.300000</c:v>
                </c:pt>
                <c:pt idx="11">
                  <c:v>6418.450000</c:v>
                </c:pt>
                <c:pt idx="12">
                  <c:v>6674.225000</c:v>
                </c:pt>
                <c:pt idx="13">
                  <c:v>6791.750000</c:v>
                </c:pt>
                <c:pt idx="14">
                  <c:v>6922.225000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'EPMT.jk'!$O$12:$O$27</c:f>
              <c:numCache>
                <c:ptCount val="6"/>
                <c:pt idx="10">
                  <c:v>6008.617500</c:v>
                </c:pt>
                <c:pt idx="11">
                  <c:v>6310.635000</c:v>
                </c:pt>
                <c:pt idx="12">
                  <c:v>6412.965750</c:v>
                </c:pt>
                <c:pt idx="13">
                  <c:v>6693.411000</c:v>
                </c:pt>
                <c:pt idx="14">
                  <c:v>6890.455750</c:v>
                </c:pt>
                <c:pt idx="15">
                  <c:v>7446.651969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4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33.33"/>
        <c:minorUnit val="666.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1111"/>
          <c:y val="0.134235"/>
          <c:w val="0.37031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19"/>
          <c:y val="0.0446026"/>
          <c:w val="0.856929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'EPMT.jk'!$Q$3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'EPMT.jk'!$Q$12:$Q$27</c:f>
              <c:numCache>
                <c:ptCount val="15"/>
                <c:pt idx="0">
                  <c:v>-0.961999</c:v>
                </c:pt>
                <c:pt idx="1">
                  <c:v>-0.962356</c:v>
                </c:pt>
                <c:pt idx="2">
                  <c:v>-0.964417</c:v>
                </c:pt>
                <c:pt idx="3">
                  <c:v>-0.968106</c:v>
                </c:pt>
                <c:pt idx="4">
                  <c:v>-0.966784</c:v>
                </c:pt>
                <c:pt idx="5">
                  <c:v>-0.968332</c:v>
                </c:pt>
                <c:pt idx="6">
                  <c:v>-0.969847</c:v>
                </c:pt>
                <c:pt idx="7">
                  <c:v>-0.960928</c:v>
                </c:pt>
                <c:pt idx="8">
                  <c:v>-0.958753</c:v>
                </c:pt>
                <c:pt idx="9">
                  <c:v>-0.958041</c:v>
                </c:pt>
                <c:pt idx="10">
                  <c:v>-0.954086</c:v>
                </c:pt>
                <c:pt idx="11">
                  <c:v>-0.961135</c:v>
                </c:pt>
                <c:pt idx="12">
                  <c:v>-0.960973</c:v>
                </c:pt>
                <c:pt idx="13">
                  <c:v>-0.961987</c:v>
                </c:pt>
                <c:pt idx="14">
                  <c:v>-0.963656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'EPMT.jk'!$R$3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'EPMT.jk'!$R$12:$R$27</c:f>
              <c:numCache>
                <c:ptCount val="4"/>
                <c:pt idx="12">
                  <c:v>-0.961231</c:v>
                </c:pt>
                <c:pt idx="13">
                  <c:v>-0.961231</c:v>
                </c:pt>
                <c:pt idx="14">
                  <c:v>-0.961879</c:v>
                </c:pt>
                <c:pt idx="15">
                  <c:v>-0.963656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-0.9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0666667"/>
        <c:minorUnit val="0.0033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1685"/>
          <c:y val="0.134235"/>
          <c:w val="0.296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'EPMT.jk'!$S$3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'EPMT.jk'!$S$12:$S$27</c:f>
              <c:numCache>
                <c:ptCount val="15"/>
                <c:pt idx="0">
                  <c:v>103.700000</c:v>
                </c:pt>
                <c:pt idx="1">
                  <c:v>6.775000</c:v>
                </c:pt>
                <c:pt idx="2">
                  <c:v>-42.900000</c:v>
                </c:pt>
                <c:pt idx="3">
                  <c:v>-5.050000</c:v>
                </c:pt>
                <c:pt idx="4">
                  <c:v>-19.950000</c:v>
                </c:pt>
                <c:pt idx="5">
                  <c:v>84.625000</c:v>
                </c:pt>
                <c:pt idx="6">
                  <c:v>211.875000</c:v>
                </c:pt>
                <c:pt idx="7">
                  <c:v>201.200000</c:v>
                </c:pt>
                <c:pt idx="8">
                  <c:v>152.850000</c:v>
                </c:pt>
                <c:pt idx="9">
                  <c:v>195.100000</c:v>
                </c:pt>
                <c:pt idx="10">
                  <c:v>99.500000</c:v>
                </c:pt>
                <c:pt idx="11">
                  <c:v>61.150000</c:v>
                </c:pt>
                <c:pt idx="12">
                  <c:v>67.725000</c:v>
                </c:pt>
                <c:pt idx="13">
                  <c:v>107.850000</c:v>
                </c:pt>
                <c:pt idx="14">
                  <c:v>-55.150000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'EPMT.jk'!$T$3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'EPMT.jk'!$T$12:$T$27</c:f>
              <c:numCache>
                <c:ptCount val="4"/>
                <c:pt idx="12">
                  <c:v>256.731141</c:v>
                </c:pt>
                <c:pt idx="13">
                  <c:v>256.731141</c:v>
                </c:pt>
                <c:pt idx="14">
                  <c:v>254.854954</c:v>
                </c:pt>
                <c:pt idx="15">
                  <c:v>254.439672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0"/>
        <c:minorUnit val="6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058"/>
          <c:y val="0.102877"/>
          <c:w val="0.377014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'EPMT.jk'!$U$12:$U$27</c:f>
              <c:numCache>
                <c:ptCount val="15"/>
                <c:pt idx="0">
                  <c:v>28.000000</c:v>
                </c:pt>
                <c:pt idx="1">
                  <c:v>28.000000</c:v>
                </c:pt>
                <c:pt idx="2">
                  <c:v>28.000000</c:v>
                </c:pt>
                <c:pt idx="3">
                  <c:v>272.000000</c:v>
                </c:pt>
                <c:pt idx="4">
                  <c:v>272.100000</c:v>
                </c:pt>
                <c:pt idx="5">
                  <c:v>437.900000</c:v>
                </c:pt>
                <c:pt idx="6">
                  <c:v>448.500000</c:v>
                </c:pt>
                <c:pt idx="7">
                  <c:v>499.500000</c:v>
                </c:pt>
                <c:pt idx="8">
                  <c:v>499.500000</c:v>
                </c:pt>
                <c:pt idx="9">
                  <c:v>938.600000</c:v>
                </c:pt>
                <c:pt idx="10">
                  <c:v>981.300000</c:v>
                </c:pt>
                <c:pt idx="11">
                  <c:v>1039.300000</c:v>
                </c:pt>
                <c:pt idx="12">
                  <c:v>889.300000</c:v>
                </c:pt>
                <c:pt idx="13">
                  <c:v>1436.900000</c:v>
                </c:pt>
                <c:pt idx="14">
                  <c:v>1459.600000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'EPMT.jk'!$V$3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'EPMT.jk'!$V$12:$V$27</c:f>
              <c:numCache>
                <c:ptCount val="2"/>
                <c:pt idx="14">
                  <c:v>1459.600000</c:v>
                </c:pt>
                <c:pt idx="15">
                  <c:v>2477.358687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00"/>
        <c:minorUnit val="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96057"/>
          <c:y val="0.130315"/>
          <c:w val="0.33348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9981"/>
          <c:y val="0.0446026"/>
          <c:w val="0.82902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'EPMT.jk'!$Y$3</c:f>
              <c:strCache>
                <c:ptCount val="1"/>
                <c:pt idx="0">
                  <c:v>EPMT.jk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'EPMT.jk'!$Y$12:$Y$28</c:f>
              <c:numCache>
                <c:ptCount val="16"/>
                <c:pt idx="0">
                  <c:v>2023.170654</c:v>
                </c:pt>
                <c:pt idx="1">
                  <c:v>2290.908936</c:v>
                </c:pt>
                <c:pt idx="2">
                  <c:v>2052.272705</c:v>
                </c:pt>
                <c:pt idx="3">
                  <c:v>1956.818115</c:v>
                </c:pt>
                <c:pt idx="4">
                  <c:v>2243.181885</c:v>
                </c:pt>
                <c:pt idx="5">
                  <c:v>1850.000000</c:v>
                </c:pt>
                <c:pt idx="6">
                  <c:v>1840.000000</c:v>
                </c:pt>
                <c:pt idx="7">
                  <c:v>2110.000000</c:v>
                </c:pt>
                <c:pt idx="8">
                  <c:v>2150.000000</c:v>
                </c:pt>
                <c:pt idx="9">
                  <c:v>2320.000000</c:v>
                </c:pt>
                <c:pt idx="10">
                  <c:v>2260.000000</c:v>
                </c:pt>
                <c:pt idx="11">
                  <c:v>2700.000000</c:v>
                </c:pt>
                <c:pt idx="12">
                  <c:v>2730.000000</c:v>
                </c:pt>
                <c:pt idx="13">
                  <c:v>2800.000000</c:v>
                </c:pt>
                <c:pt idx="14">
                  <c:v>2700.000000</c:v>
                </c:pt>
                <c:pt idx="15">
                  <c:v>2700.000000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'EPMT.jk'!$Z$3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'EPMT.jk'!$Z$12:$Z$28</c:f>
              <c:numCache>
                <c:ptCount val="4"/>
                <c:pt idx="13">
                  <c:v>4317.904399</c:v>
                </c:pt>
                <c:pt idx="14">
                  <c:v>4317.904399</c:v>
                </c:pt>
                <c:pt idx="15">
                  <c:v>4317.904399</c:v>
                </c:pt>
                <c:pt idx="16">
                  <c:v>4133.198048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00"/>
        <c:minorUnit val="7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2804"/>
          <c:y val="0.130315"/>
          <c:w val="0.3433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'EPMT.jk'!$W$3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'EPMT.jk'!$W$12:$W$27</c:f>
              <c:numCache>
                <c:ptCount val="15"/>
                <c:pt idx="0">
                  <c:v>-1512.000000</c:v>
                </c:pt>
                <c:pt idx="1">
                  <c:v>-1731.000000</c:v>
                </c:pt>
                <c:pt idx="2">
                  <c:v>-1654.000000</c:v>
                </c:pt>
                <c:pt idx="3">
                  <c:v>-1535.000000</c:v>
                </c:pt>
                <c:pt idx="4">
                  <c:v>-2354.000000</c:v>
                </c:pt>
                <c:pt idx="5">
                  <c:v>-1585.000000</c:v>
                </c:pt>
                <c:pt idx="6">
                  <c:v>-1211.000000</c:v>
                </c:pt>
                <c:pt idx="7">
                  <c:v>-1033.000000</c:v>
                </c:pt>
                <c:pt idx="8">
                  <c:v>-1438.000000</c:v>
                </c:pt>
                <c:pt idx="9">
                  <c:v>-1928.000000</c:v>
                </c:pt>
                <c:pt idx="10">
                  <c:v>-1870.000000</c:v>
                </c:pt>
                <c:pt idx="11">
                  <c:v>-1558.000000</c:v>
                </c:pt>
                <c:pt idx="12">
                  <c:v>-2378.000000</c:v>
                </c:pt>
                <c:pt idx="13">
                  <c:v>-2703.000000</c:v>
                </c:pt>
                <c:pt idx="14">
                  <c:v>-2667.000000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'EPMT.jk'!$X$3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'EPMT.jk'!$B$12:$B$27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'EPMT.jk'!$X$12:$X$27</c:f>
              <c:numCache>
                <c:ptCount val="4"/>
                <c:pt idx="12">
                  <c:v>-1059.341310</c:v>
                </c:pt>
                <c:pt idx="13">
                  <c:v>-1059.341310</c:v>
                </c:pt>
                <c:pt idx="14">
                  <c:v>-2131.483459</c:v>
                </c:pt>
                <c:pt idx="15">
                  <c:v>-2110.253990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00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966.667"/>
        <c:minorUnit val="48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0686"/>
          <c:y val="0.102877"/>
          <c:w val="0.40576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1388"/>
          <c:y val="0.12368"/>
          <c:w val="0.713454"/>
          <c:h val="0.8103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'FAPA.jk'!$AB$136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'FAPA.jk'!$AC$45:$AG$45</c:f>
              <c:strCache>
                <c:ptCount val="0"/>
              </c:strCache>
            </c:strRef>
          </c:cat>
          <c:val>
            <c:numRef>
              <c:f>'FAPA.jk'!$AC$136:$AG$136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'FAPA.jk'!$AB$137</c:f>
              <c:strCache/>
            </c:strRef>
          </c:tx>
          <c:spPr>
            <a:solidFill>
              <a:schemeClr val="accent4">
                <a:hueOff val="-461056"/>
                <a:satOff val="4338"/>
                <a:lumOff val="-10225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'FAPA.jk'!$AC$45:$AG$45</c:f>
              <c:strCache>
                <c:ptCount val="0"/>
              </c:strCache>
            </c:strRef>
          </c:cat>
          <c:val>
            <c:numRef>
              <c:f>'FAPA.jk'!$AC$137:$AG$137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'FAPA.jk'!$AB$135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'FAPA.jk'!$AC$45:$AG$45</c:f>
              <c:strCache>
                <c:ptCount val="0"/>
              </c:strCache>
            </c:strRef>
          </c:cat>
          <c:val>
            <c:numRef>
              <c:f>'FAPA.jk'!$AC$135:$AG$135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75"/>
        <c:minorUnit val="187.5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87.5"/>
        <c:minorUnit val="93.7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90375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FAST cashflow more negative </a:t>
            </a:r>
          </a:p>
        </c:rich>
      </c:tx>
      <c:layout>
        <c:manualLayout>
          <c:xMode val="edge"/>
          <c:yMode val="edge"/>
          <c:x val="0.197242"/>
          <c:y val="0"/>
          <c:w val="0.60551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'FAST.jk'!$AA$140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'FAST.jk'!$AB$47:$AF$47</c:f>
              <c:strCache>
                <c:ptCount val="0"/>
              </c:strCache>
            </c:strRef>
          </c:cat>
          <c:val>
            <c:numRef>
              <c:f>'FAST.jk'!$AB$140:$AF$140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'FAST.jk'!$AA$141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'FAST.jk'!$AB$47:$AF$47</c:f>
              <c:strCache>
                <c:ptCount val="0"/>
              </c:strCache>
            </c:strRef>
          </c:cat>
          <c:val>
            <c:numRef>
              <c:f>'FAST.jk'!$AB$141:$AF$141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'FAST.jk'!$AA$139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'FAST.jk'!$AB$47:$AF$47</c:f>
              <c:strCache>
                <c:ptCount val="0"/>
              </c:strCache>
            </c:strRef>
          </c:cat>
          <c:val>
            <c:numRef>
              <c:f>'FAST.jk'!$AB$139:$AF$139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33.333"/>
        <c:minorUnit val="2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00"/>
        <c:minorUnit val="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93592"/>
          <c:y val="0.725669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FAST not so..</a:t>
            </a:r>
          </a:p>
        </c:rich>
      </c:tx>
      <c:layout>
        <c:manualLayout>
          <c:xMode val="edge"/>
          <c:yMode val="edge"/>
          <c:x val="0.341"/>
          <c:y val="0"/>
          <c:w val="0.31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'FAST.jk'!$T$3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'FAST.jk'!$T$4:$T$26</c:f>
              <c:numCache>
                <c:ptCount val="23"/>
                <c:pt idx="0">
                  <c:v>-52.080000</c:v>
                </c:pt>
                <c:pt idx="1">
                  <c:v>47.780000</c:v>
                </c:pt>
                <c:pt idx="2">
                  <c:v>-74.910000</c:v>
                </c:pt>
                <c:pt idx="3">
                  <c:v>75.330000</c:v>
                </c:pt>
                <c:pt idx="4">
                  <c:v>0.120000</c:v>
                </c:pt>
                <c:pt idx="5">
                  <c:v>198.580000</c:v>
                </c:pt>
                <c:pt idx="6">
                  <c:v>161.930000</c:v>
                </c:pt>
                <c:pt idx="7">
                  <c:v>328.930000</c:v>
                </c:pt>
                <c:pt idx="8">
                  <c:v>228.230000</c:v>
                </c:pt>
                <c:pt idx="9">
                  <c:v>333.740000</c:v>
                </c:pt>
                <c:pt idx="10">
                  <c:v>163.760000</c:v>
                </c:pt>
                <c:pt idx="11">
                  <c:v>275.760000</c:v>
                </c:pt>
                <c:pt idx="12">
                  <c:v>80.960000</c:v>
                </c:pt>
                <c:pt idx="13">
                  <c:v>98.780000</c:v>
                </c:pt>
                <c:pt idx="14">
                  <c:v>-77.840000</c:v>
                </c:pt>
                <c:pt idx="15">
                  <c:v>134.260000</c:v>
                </c:pt>
                <c:pt idx="16">
                  <c:v>-161.940000</c:v>
                </c:pt>
                <c:pt idx="17">
                  <c:v>-287.040000</c:v>
                </c:pt>
                <c:pt idx="18">
                  <c:v>-399.140000</c:v>
                </c:pt>
                <c:pt idx="19">
                  <c:v>-249.840000</c:v>
                </c:pt>
                <c:pt idx="20">
                  <c:v>-444.240000</c:v>
                </c:pt>
                <c:pt idx="21">
                  <c:v>-465.540000</c:v>
                </c:pt>
                <c:pt idx="22">
                  <c:v>-523.040000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'FAST.jk'!$U$3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'FAST.jk'!$U$4:$U$26</c:f>
              <c:numCache>
                <c:ptCount val="23"/>
                <c:pt idx="0">
                  <c:v>15.000000</c:v>
                </c:pt>
                <c:pt idx="1">
                  <c:v>30.000000</c:v>
                </c:pt>
                <c:pt idx="2">
                  <c:v>45.000000</c:v>
                </c:pt>
                <c:pt idx="3">
                  <c:v>60.000000</c:v>
                </c:pt>
                <c:pt idx="4">
                  <c:v>72.500000</c:v>
                </c:pt>
                <c:pt idx="5">
                  <c:v>85.000000</c:v>
                </c:pt>
                <c:pt idx="6">
                  <c:v>97.500000</c:v>
                </c:pt>
                <c:pt idx="7">
                  <c:v>110.000000</c:v>
                </c:pt>
                <c:pt idx="8">
                  <c:v>126.000000</c:v>
                </c:pt>
                <c:pt idx="9">
                  <c:v>142.000000</c:v>
                </c:pt>
                <c:pt idx="10">
                  <c:v>158.000000</c:v>
                </c:pt>
                <c:pt idx="11">
                  <c:v>174.000000</c:v>
                </c:pt>
                <c:pt idx="12">
                  <c:v>129.250000</c:v>
                </c:pt>
                <c:pt idx="13">
                  <c:v>84.500000</c:v>
                </c:pt>
                <c:pt idx="14">
                  <c:v>39.750000</c:v>
                </c:pt>
                <c:pt idx="15">
                  <c:v>-5.000000</c:v>
                </c:pt>
                <c:pt idx="16">
                  <c:v>5.000000</c:v>
                </c:pt>
                <c:pt idx="17">
                  <c:v>-75.000000</c:v>
                </c:pt>
                <c:pt idx="18">
                  <c:v>-186.000000</c:v>
                </c:pt>
                <c:pt idx="19">
                  <c:v>-106.000000</c:v>
                </c:pt>
                <c:pt idx="20">
                  <c:v>-96.100000</c:v>
                </c:pt>
                <c:pt idx="21">
                  <c:v>-135.900000</c:v>
                </c:pt>
                <c:pt idx="22">
                  <c:v>-116.000000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'FAST.jk'!$V$3</c:f>
              <c:strCache>
                <c:ptCount val="1"/>
                <c:pt idx="0">
                  <c:v>FAST.jk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'FAST.jk'!$B$4:$B$26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'FAST.jk'!$V$4:$V$26</c:f>
              <c:numCache>
                <c:ptCount val="23"/>
                <c:pt idx="0">
                  <c:v>3229.526661</c:v>
                </c:pt>
                <c:pt idx="1">
                  <c:v>3229.526661</c:v>
                </c:pt>
                <c:pt idx="2">
                  <c:v>3229.526661</c:v>
                </c:pt>
                <c:pt idx="3">
                  <c:v>3229.526661</c:v>
                </c:pt>
                <c:pt idx="4">
                  <c:v>3229.526661</c:v>
                </c:pt>
                <c:pt idx="5">
                  <c:v>3229.526661</c:v>
                </c:pt>
                <c:pt idx="6">
                  <c:v>3229.526661</c:v>
                </c:pt>
                <c:pt idx="7">
                  <c:v>3229.526661</c:v>
                </c:pt>
                <c:pt idx="8">
                  <c:v>3229.526661</c:v>
                </c:pt>
                <c:pt idx="9">
                  <c:v>3229.526661</c:v>
                </c:pt>
                <c:pt idx="10">
                  <c:v>3229.526661</c:v>
                </c:pt>
                <c:pt idx="11">
                  <c:v>3229.526661</c:v>
                </c:pt>
                <c:pt idx="12">
                  <c:v>3229.526661</c:v>
                </c:pt>
                <c:pt idx="13">
                  <c:v>3229.526661</c:v>
                </c:pt>
                <c:pt idx="14">
                  <c:v>3229.526661</c:v>
                </c:pt>
                <c:pt idx="15">
                  <c:v>3229.526661</c:v>
                </c:pt>
                <c:pt idx="16">
                  <c:v>3229.526661</c:v>
                </c:pt>
                <c:pt idx="17">
                  <c:v>3229.526661</c:v>
                </c:pt>
                <c:pt idx="18">
                  <c:v>3229.526661</c:v>
                </c:pt>
                <c:pt idx="19">
                  <c:v>3229.526661</c:v>
                </c:pt>
                <c:pt idx="20">
                  <c:v>3229.526661</c:v>
                </c:pt>
                <c:pt idx="21">
                  <c:v>3229.526661</c:v>
                </c:pt>
                <c:pt idx="22">
                  <c:v>3229.526661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27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91.67"/>
        <c:minorUnit val="645.8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8658"/>
          <c:y val="0.16602"/>
          <c:w val="0.37293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AGII positive cashflow, expensive </a:t>
            </a:r>
          </a:p>
        </c:rich>
      </c:tx>
      <c:layout>
        <c:manualLayout>
          <c:xMode val="edge"/>
          <c:yMode val="edge"/>
          <c:x val="0.149778"/>
          <c:y val="0"/>
          <c:w val="0.700444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09047"/>
          <c:y val="0.0918283"/>
          <c:w val="0.76511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'AGII.jk'!$AC$138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'AGII.jk'!$AD$47:$AH$47</c:f>
              <c:strCache>
                <c:ptCount val="0"/>
              </c:strCache>
            </c:strRef>
          </c:cat>
          <c:val>
            <c:numRef>
              <c:f>'AGII.jk'!$AD$138:$AH$138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'AGII.jk'!$AC$139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'AGII.jk'!$AD$47:$AH$47</c:f>
              <c:strCache>
                <c:ptCount val="0"/>
              </c:strCache>
            </c:strRef>
          </c:cat>
          <c:val>
            <c:numRef>
              <c:f>'AGII.jk'!$AD$139:$AH$139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'AGII.jk'!$AC$137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'AGII.jk'!$AD$47:$AH$47</c:f>
              <c:strCache>
                <c:ptCount val="0"/>
              </c:strCache>
            </c:strRef>
          </c:cat>
          <c:val>
            <c:numRef>
              <c:f>'AGII.jk'!$AD$137:$AH$137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66.667"/>
        <c:minorUnit val="1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"/>
        <c:minorUnit val="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5336"/>
          <c:y val="0.733467"/>
          <c:w val="0.39533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FASW more positive cashflow </a:t>
            </a:r>
          </a:p>
        </c:rich>
      </c:tx>
      <c:layout>
        <c:manualLayout>
          <c:xMode val="edge"/>
          <c:yMode val="edge"/>
          <c:x val="0.196419"/>
          <c:y val="0"/>
          <c:w val="0.60716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'FASW.jk'!$AA$141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'FASW.jk'!$AB$49:$AF$49</c:f>
              <c:strCache>
                <c:ptCount val="0"/>
              </c:strCache>
            </c:strRef>
          </c:cat>
          <c:val>
            <c:numRef>
              <c:f>'FASW.jk'!$AB$141:$AF$141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'FASW.jk'!$AA$142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'FASW.jk'!$AB$49:$AF$49</c:f>
              <c:strCache>
                <c:ptCount val="0"/>
              </c:strCache>
            </c:strRef>
          </c:cat>
          <c:val>
            <c:numRef>
              <c:f>'FASW.jk'!$AB$142:$AF$142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'FASW.jk'!$AA$140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'FASW.jk'!$AB$49:$AF$49</c:f>
              <c:strCache>
                <c:ptCount val="0"/>
              </c:strCache>
            </c:strRef>
          </c:cat>
          <c:val>
            <c:numRef>
              <c:f>'FASW.jk'!$AB$140:$AF$140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100"/>
        <c:minorUnit val="55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6.25"/>
        <c:minorUnit val="78.1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818642"/>
          <c:y val="0.160052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FASW positive but expensive </a:t>
            </a:r>
          </a:p>
        </c:rich>
      </c:tx>
      <c:layout>
        <c:manualLayout>
          <c:xMode val="edge"/>
          <c:yMode val="edge"/>
          <c:x val="0.159249"/>
          <c:y val="0"/>
          <c:w val="0.68150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80597"/>
          <c:y val="0.0918283"/>
          <c:w val="0.809182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'FASW.jk'!$T$3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'FASW.jk'!$T$4:$T$26</c:f>
              <c:numCache>
                <c:ptCount val="23"/>
                <c:pt idx="0">
                  <c:v>209.900000</c:v>
                </c:pt>
                <c:pt idx="1">
                  <c:v>341.600000</c:v>
                </c:pt>
                <c:pt idx="2">
                  <c:v>166.600000</c:v>
                </c:pt>
                <c:pt idx="3">
                  <c:v>647.900000</c:v>
                </c:pt>
                <c:pt idx="4">
                  <c:v>879.900000</c:v>
                </c:pt>
                <c:pt idx="5">
                  <c:v>192.600000</c:v>
                </c:pt>
                <c:pt idx="6">
                  <c:v>684.100000</c:v>
                </c:pt>
                <c:pt idx="7">
                  <c:v>747.900000</c:v>
                </c:pt>
                <c:pt idx="8">
                  <c:v>809.100000</c:v>
                </c:pt>
                <c:pt idx="9">
                  <c:v>2806.500000</c:v>
                </c:pt>
                <c:pt idx="10">
                  <c:v>906.600000</c:v>
                </c:pt>
                <c:pt idx="11">
                  <c:v>1009.000000</c:v>
                </c:pt>
                <c:pt idx="12">
                  <c:v>1028.200000</c:v>
                </c:pt>
                <c:pt idx="13">
                  <c:v>855.500000</c:v>
                </c:pt>
                <c:pt idx="14">
                  <c:v>867.200000</c:v>
                </c:pt>
                <c:pt idx="15">
                  <c:v>651.600000</c:v>
                </c:pt>
                <c:pt idx="16">
                  <c:v>548.000000</c:v>
                </c:pt>
                <c:pt idx="17">
                  <c:v>227.500000</c:v>
                </c:pt>
                <c:pt idx="18">
                  <c:v>202.000000</c:v>
                </c:pt>
                <c:pt idx="19">
                  <c:v>284.600000</c:v>
                </c:pt>
                <c:pt idx="20">
                  <c:v>327.100000</c:v>
                </c:pt>
                <c:pt idx="21">
                  <c:v>447.000000</c:v>
                </c:pt>
                <c:pt idx="22">
                  <c:v>838.000000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'FASW.jk'!$U$3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'FASW.jk'!$U$4:$U$26</c:f>
              <c:numCache>
                <c:ptCount val="23"/>
                <c:pt idx="0">
                  <c:v>225.800000</c:v>
                </c:pt>
                <c:pt idx="1">
                  <c:v>370.200000</c:v>
                </c:pt>
                <c:pt idx="2">
                  <c:v>168.000000</c:v>
                </c:pt>
                <c:pt idx="3">
                  <c:v>583.800000</c:v>
                </c:pt>
                <c:pt idx="4">
                  <c:v>786.000000</c:v>
                </c:pt>
                <c:pt idx="5">
                  <c:v>144.200000</c:v>
                </c:pt>
                <c:pt idx="6">
                  <c:v>603.900000</c:v>
                </c:pt>
                <c:pt idx="7">
                  <c:v>616.500000</c:v>
                </c:pt>
                <c:pt idx="8">
                  <c:v>903.200000</c:v>
                </c:pt>
                <c:pt idx="9">
                  <c:v>2895.800000</c:v>
                </c:pt>
                <c:pt idx="10">
                  <c:v>1016.700000</c:v>
                </c:pt>
                <c:pt idx="11">
                  <c:v>1131.600000</c:v>
                </c:pt>
                <c:pt idx="12">
                  <c:v>434.400000</c:v>
                </c:pt>
                <c:pt idx="13">
                  <c:v>937.500000</c:v>
                </c:pt>
                <c:pt idx="14">
                  <c:v>914.300000</c:v>
                </c:pt>
                <c:pt idx="15">
                  <c:v>773.100000</c:v>
                </c:pt>
                <c:pt idx="16">
                  <c:v>629.400000</c:v>
                </c:pt>
                <c:pt idx="17">
                  <c:v>324.600000</c:v>
                </c:pt>
                <c:pt idx="18">
                  <c:v>312.000000</c:v>
                </c:pt>
                <c:pt idx="19">
                  <c:v>363.300000</c:v>
                </c:pt>
                <c:pt idx="20">
                  <c:v>379.800000</c:v>
                </c:pt>
                <c:pt idx="21">
                  <c:v>539.100000</c:v>
                </c:pt>
                <c:pt idx="22">
                  <c:v>948.600000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'FASW.jk'!$V$3</c:f>
              <c:strCache>
                <c:ptCount val="1"/>
                <c:pt idx="0">
                  <c:v>FASW.jk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'FASW.jk'!$B$4:$B$26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'FASW.jk'!$V$4:$V$26</c:f>
              <c:numCache>
                <c:ptCount val="23"/>
                <c:pt idx="0">
                  <c:v>15486.812800</c:v>
                </c:pt>
                <c:pt idx="1">
                  <c:v>15486.812800</c:v>
                </c:pt>
                <c:pt idx="2">
                  <c:v>15486.812800</c:v>
                </c:pt>
                <c:pt idx="3">
                  <c:v>15486.812800</c:v>
                </c:pt>
                <c:pt idx="4">
                  <c:v>15486.812800</c:v>
                </c:pt>
                <c:pt idx="5">
                  <c:v>15486.812800</c:v>
                </c:pt>
                <c:pt idx="6">
                  <c:v>15486.812800</c:v>
                </c:pt>
                <c:pt idx="7">
                  <c:v>15486.812800</c:v>
                </c:pt>
                <c:pt idx="8">
                  <c:v>15486.812800</c:v>
                </c:pt>
                <c:pt idx="9">
                  <c:v>15486.812800</c:v>
                </c:pt>
                <c:pt idx="10">
                  <c:v>15486.812800</c:v>
                </c:pt>
                <c:pt idx="11">
                  <c:v>15486.812800</c:v>
                </c:pt>
                <c:pt idx="12">
                  <c:v>15486.812800</c:v>
                </c:pt>
                <c:pt idx="13">
                  <c:v>15486.812800</c:v>
                </c:pt>
                <c:pt idx="14">
                  <c:v>15486.812800</c:v>
                </c:pt>
                <c:pt idx="15">
                  <c:v>15486.812800</c:v>
                </c:pt>
                <c:pt idx="16">
                  <c:v>15486.812800</c:v>
                </c:pt>
                <c:pt idx="17">
                  <c:v>15486.812800</c:v>
                </c:pt>
                <c:pt idx="18">
                  <c:v>15486.812800</c:v>
                </c:pt>
                <c:pt idx="19">
                  <c:v>15486.812800</c:v>
                </c:pt>
                <c:pt idx="20">
                  <c:v>15486.812800</c:v>
                </c:pt>
                <c:pt idx="21">
                  <c:v>15486.812800</c:v>
                </c:pt>
                <c:pt idx="22">
                  <c:v>15486.812800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55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5166.67"/>
        <c:minorUnit val="2583.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03134"/>
          <c:y val="0.16602"/>
          <c:w val="0.364107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GGRM </a:t>
            </a:r>
          </a:p>
        </c:rich>
      </c:tx>
      <c:layout>
        <c:manualLayout>
          <c:xMode val="edge"/>
          <c:yMode val="edge"/>
          <c:x val="0.430456"/>
          <c:y val="0"/>
          <c:w val="0.13908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6629"/>
          <c:y val="0.0918283"/>
          <c:w val="0.691563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'GGRM.jk'!$AD$138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'GGRM.jk'!$AE$47:$AI$47</c:f>
              <c:strCache>
                <c:ptCount val="0"/>
              </c:strCache>
            </c:strRef>
          </c:cat>
          <c:val>
            <c:numRef>
              <c:f>'GGRM.jk'!$AE$138:$AI$138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'GGRM.jk'!$AD$139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'GGRM.jk'!$AE$47:$AI$47</c:f>
              <c:strCache>
                <c:ptCount val="0"/>
              </c:strCache>
            </c:strRef>
          </c:cat>
          <c:val>
            <c:numRef>
              <c:f>'GGRM.jk'!$AE$139:$AI$139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'GGRM.jk'!$AD$137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'GGRM.jk'!$AE$47:$AI$47</c:f>
              <c:strCache>
                <c:ptCount val="0"/>
              </c:strCache>
            </c:strRef>
          </c:cat>
          <c:val>
            <c:numRef>
              <c:f>'GGRM.jk'!$AE$137:$AI$137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20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4333.33"/>
        <c:minorUnit val="2166.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00"/>
        <c:minorUnit val="2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80016"/>
          <c:y val="0.722091"/>
          <c:w val="0.30621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GIAA less negative cashflow </a:t>
            </a:r>
          </a:p>
        </c:rich>
      </c:tx>
      <c:layout>
        <c:manualLayout>
          <c:xMode val="edge"/>
          <c:yMode val="edge"/>
          <c:x val="0.226209"/>
          <c:y val="0"/>
          <c:w val="0.54758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9503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'GIAA.jk'!$AC$137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'GIAA.jk'!$AD$46:$AH$46</c:f>
              <c:strCache>
                <c:ptCount val="0"/>
              </c:strCache>
            </c:strRef>
          </c:cat>
          <c:val>
            <c:numRef>
              <c:f>'GIAA.jk'!$AD$137:$AH$137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'GIAA.jk'!$AC$138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'GIAA.jk'!$AD$46:$AH$46</c:f>
              <c:strCache>
                <c:ptCount val="0"/>
              </c:strCache>
            </c:strRef>
          </c:cat>
          <c:val>
            <c:numRef>
              <c:f>'GIAA.jk'!$AD$138:$AH$138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'GIAA.jk'!$AC$136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'GIAA.jk'!$AD$46:$AH$46</c:f>
              <c:strCache>
                <c:ptCount val="0"/>
              </c:strCache>
            </c:strRef>
          </c:cat>
          <c:val>
            <c:numRef>
              <c:f>'GIAA.jk'!$AD$136:$AH$136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3333.33"/>
        <c:minorUnit val="1666.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500"/>
        <c:minorUnit val="75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31144"/>
          <c:y val="0.719111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GJTL</a:t>
            </a:r>
          </a:p>
        </c:rich>
      </c:tx>
      <c:layout>
        <c:manualLayout>
          <c:xMode val="edge"/>
          <c:yMode val="edge"/>
          <c:x val="0.446437"/>
          <c:y val="0"/>
          <c:w val="0.107125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'GJTL.jk'!$AA$128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'GJTL.jk'!$AB$36:$AF$36</c:f>
              <c:strCache>
                <c:ptCount val="0"/>
              </c:strCache>
            </c:strRef>
          </c:cat>
          <c:val>
            <c:numRef>
              <c:f>'GJTL.jk'!$AB$128:$AF$128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'GJTL.jk'!$AA$129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'GJTL.jk'!$AB$36:$AF$36</c:f>
              <c:strCache>
                <c:ptCount val="0"/>
              </c:strCache>
            </c:strRef>
          </c:cat>
          <c:val>
            <c:numRef>
              <c:f>'GJTL.jk'!$AB$129:$AF$129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'GJTL.jk'!$AA$127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'GJTL.jk'!$AB$36:$AF$36</c:f>
              <c:strCache>
                <c:ptCount val="0"/>
              </c:strCache>
            </c:strRef>
          </c:cat>
          <c:val>
            <c:numRef>
              <c:f>'GJTL.jk'!$AB$127:$AF$127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200"/>
        <c:minorUnit val="1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50"/>
        <c:minorUnit val="2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3517"/>
          <c:y val="0.739707"/>
          <c:w val="0.383114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GJTL</a:t>
            </a:r>
          </a:p>
        </c:rich>
      </c:tx>
      <c:layout>
        <c:manualLayout>
          <c:xMode val="edge"/>
          <c:yMode val="edge"/>
          <c:x val="0.436976"/>
          <c:y val="0"/>
          <c:w val="0.126049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60723"/>
          <c:y val="0.0918283"/>
          <c:w val="0.828808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'GJTL.jk'!$T$3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'GJTL.jk'!$T$4:$T$26</c:f>
              <c:numCache>
                <c:ptCount val="23"/>
                <c:pt idx="0">
                  <c:v>-462.000000</c:v>
                </c:pt>
                <c:pt idx="1">
                  <c:v>-694.000000</c:v>
                </c:pt>
                <c:pt idx="2">
                  <c:v>-138.000000</c:v>
                </c:pt>
                <c:pt idx="3">
                  <c:v>590.000000</c:v>
                </c:pt>
                <c:pt idx="4">
                  <c:v>1582.000000</c:v>
                </c:pt>
                <c:pt idx="5">
                  <c:v>1545.000000</c:v>
                </c:pt>
                <c:pt idx="6">
                  <c:v>794.000000</c:v>
                </c:pt>
                <c:pt idx="7">
                  <c:v>534.000000</c:v>
                </c:pt>
                <c:pt idx="8">
                  <c:v>331.000000</c:v>
                </c:pt>
                <c:pt idx="9">
                  <c:v>586.000000</c:v>
                </c:pt>
                <c:pt idx="10">
                  <c:v>777.000000</c:v>
                </c:pt>
                <c:pt idx="11">
                  <c:v>1156.000000</c:v>
                </c:pt>
                <c:pt idx="12">
                  <c:v>939.400000</c:v>
                </c:pt>
                <c:pt idx="13">
                  <c:v>1491.000000</c:v>
                </c:pt>
                <c:pt idx="14">
                  <c:v>2268.000000</c:v>
                </c:pt>
                <c:pt idx="15">
                  <c:v>3304.000000</c:v>
                </c:pt>
                <c:pt idx="16">
                  <c:v>3408.900000</c:v>
                </c:pt>
                <c:pt idx="17">
                  <c:v>3187.000000</c:v>
                </c:pt>
                <c:pt idx="18">
                  <c:v>2330.400000</c:v>
                </c:pt>
                <c:pt idx="19">
                  <c:v>3193.500000</c:v>
                </c:pt>
                <c:pt idx="20">
                  <c:v>3430.800000</c:v>
                </c:pt>
                <c:pt idx="21">
                  <c:v>3242.500000</c:v>
                </c:pt>
                <c:pt idx="22">
                  <c:v>2956.500000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'GJTL.jk'!$U$3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'GJTL.jk'!$U$4:$U$26</c:f>
              <c:numCache>
                <c:ptCount val="23"/>
                <c:pt idx="0">
                  <c:v>32.000000</c:v>
                </c:pt>
                <c:pt idx="1">
                  <c:v>64.000000</c:v>
                </c:pt>
                <c:pt idx="2">
                  <c:v>96.000000</c:v>
                </c:pt>
                <c:pt idx="3">
                  <c:v>128.000000</c:v>
                </c:pt>
                <c:pt idx="4">
                  <c:v>115.750000</c:v>
                </c:pt>
                <c:pt idx="5">
                  <c:v>103.500000</c:v>
                </c:pt>
                <c:pt idx="6">
                  <c:v>91.250000</c:v>
                </c:pt>
                <c:pt idx="7">
                  <c:v>79.000000</c:v>
                </c:pt>
                <c:pt idx="8">
                  <c:v>248.500000</c:v>
                </c:pt>
                <c:pt idx="9">
                  <c:v>418.000000</c:v>
                </c:pt>
                <c:pt idx="10">
                  <c:v>587.500000</c:v>
                </c:pt>
                <c:pt idx="11">
                  <c:v>757.000000</c:v>
                </c:pt>
                <c:pt idx="12">
                  <c:v>539.300000</c:v>
                </c:pt>
                <c:pt idx="13">
                  <c:v>1011.000000</c:v>
                </c:pt>
                <c:pt idx="14">
                  <c:v>1826.000000</c:v>
                </c:pt>
                <c:pt idx="15">
                  <c:v>2480.000000</c:v>
                </c:pt>
                <c:pt idx="16">
                  <c:v>2421.000000</c:v>
                </c:pt>
                <c:pt idx="17">
                  <c:v>2032.800000</c:v>
                </c:pt>
                <c:pt idx="18">
                  <c:v>1788.400000</c:v>
                </c:pt>
                <c:pt idx="19">
                  <c:v>2600.000000</c:v>
                </c:pt>
                <c:pt idx="20">
                  <c:v>2671.000000</c:v>
                </c:pt>
                <c:pt idx="21">
                  <c:v>2525.000000</c:v>
                </c:pt>
                <c:pt idx="22">
                  <c:v>2551.000000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'GJTL.jk'!$V$3</c:f>
              <c:strCache>
                <c:ptCount val="1"/>
                <c:pt idx="0">
                  <c:v>GJTL.jk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'GJTL.jk'!$B$4:$B$26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'GJTL.jk'!$V$4:$V$26</c:f>
              <c:numCache>
                <c:ptCount val="23"/>
                <c:pt idx="0">
                  <c:v>1916.425562</c:v>
                </c:pt>
                <c:pt idx="1">
                  <c:v>1916.425562</c:v>
                </c:pt>
                <c:pt idx="2">
                  <c:v>1916.425562</c:v>
                </c:pt>
                <c:pt idx="3">
                  <c:v>1916.425562</c:v>
                </c:pt>
                <c:pt idx="4">
                  <c:v>1916.425562</c:v>
                </c:pt>
                <c:pt idx="5">
                  <c:v>1916.425562</c:v>
                </c:pt>
                <c:pt idx="6">
                  <c:v>1916.425562</c:v>
                </c:pt>
                <c:pt idx="7">
                  <c:v>1916.425562</c:v>
                </c:pt>
                <c:pt idx="8">
                  <c:v>1916.425562</c:v>
                </c:pt>
                <c:pt idx="9">
                  <c:v>1916.425562</c:v>
                </c:pt>
                <c:pt idx="10">
                  <c:v>1916.425562</c:v>
                </c:pt>
                <c:pt idx="11">
                  <c:v>1916.425562</c:v>
                </c:pt>
                <c:pt idx="12">
                  <c:v>1916.425562</c:v>
                </c:pt>
                <c:pt idx="13">
                  <c:v>1916.425562</c:v>
                </c:pt>
                <c:pt idx="14">
                  <c:v>1916.425562</c:v>
                </c:pt>
                <c:pt idx="15">
                  <c:v>1916.425562</c:v>
                </c:pt>
                <c:pt idx="16">
                  <c:v>1916.425562</c:v>
                </c:pt>
                <c:pt idx="17">
                  <c:v>1916.425562</c:v>
                </c:pt>
                <c:pt idx="18">
                  <c:v>1916.425562</c:v>
                </c:pt>
                <c:pt idx="19">
                  <c:v>1916.425562</c:v>
                </c:pt>
                <c:pt idx="20">
                  <c:v>1916.425562</c:v>
                </c:pt>
                <c:pt idx="21">
                  <c:v>1916.425562</c:v>
                </c:pt>
                <c:pt idx="22">
                  <c:v>1916.425562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02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75"/>
        <c:minorUnit val="787.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59875"/>
          <c:y val="0.161507"/>
          <c:w val="0.372938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GOOD</a:t>
            </a:r>
          </a:p>
        </c:rich>
      </c:tx>
      <c:layout>
        <c:manualLayout>
          <c:xMode val="edge"/>
          <c:yMode val="edge"/>
          <c:x val="0.432676"/>
          <c:y val="0"/>
          <c:w val="0.13464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8593"/>
          <c:y val="0.0918283"/>
          <c:w val="0.752304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'GOOD.jk'!$AC$182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'GOOD.jk'!$AD$47:$AH$47</c:f>
              <c:strCache>
                <c:ptCount val="0"/>
              </c:strCache>
            </c:strRef>
          </c:cat>
          <c:val>
            <c:numRef>
              <c:f>'GOOD.jk'!$AD$182:$AH$182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'GOOD.jk'!$AC$183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'GOOD.jk'!$AD$47:$AH$47</c:f>
              <c:strCache>
                <c:ptCount val="0"/>
              </c:strCache>
            </c:strRef>
          </c:cat>
          <c:val>
            <c:numRef>
              <c:f>'GOOD.jk'!$AD$183:$AH$183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'GOOD.jk'!$AC$181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'GOOD.jk'!$AD$47:$AH$47</c:f>
              <c:strCache>
                <c:ptCount val="0"/>
              </c:strCache>
            </c:strRef>
          </c:cat>
          <c:val>
            <c:numRef>
              <c:f>'GOOD.jk'!$AD$181:$AH$181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933.333"/>
        <c:minorUnit val="4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93.75"/>
        <c:minorUnit val="46.8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0385"/>
          <c:y val="0.401177"/>
          <c:w val="0.3887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GOTO sales much higher </a:t>
            </a:r>
          </a:p>
        </c:rich>
      </c:tx>
      <c:layout>
        <c:manualLayout>
          <c:xMode val="edge"/>
          <c:yMode val="edge"/>
          <c:x val="0.255867"/>
          <c:y val="0"/>
          <c:w val="0.488267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9901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'GOTO.jk'!$AC$140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'GOTO.jk'!$AD$47:$AH$47</c:f>
              <c:strCache>
                <c:ptCount val="0"/>
              </c:strCache>
            </c:strRef>
          </c:cat>
          <c:val>
            <c:numRef>
              <c:f>'GOTO.jk'!$AD$140:$AH$140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'GOTO.jk'!$AC$141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'GOTO.jk'!$AD$47:$AH$47</c:f>
              <c:strCache>
                <c:ptCount val="0"/>
              </c:strCache>
            </c:strRef>
          </c:cat>
          <c:val>
            <c:numRef>
              <c:f>'GOTO.jk'!$AD$141:$AH$141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'GOTO.jk'!$AC$139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'GOTO.jk'!$AD$47:$AH$47</c:f>
              <c:strCache>
                <c:ptCount val="0"/>
              </c:strCache>
            </c:strRef>
          </c:cat>
          <c:val>
            <c:numRef>
              <c:f>'GOTO.jk'!$AD$139:$AH$139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666.67"/>
        <c:minorUnit val="833.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5000"/>
        <c:minorUnit val="2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57208"/>
          <c:y val="0.103324"/>
          <c:w val="0.246792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8542"/>
          <c:y val="0.12368"/>
          <c:w val="0.863085"/>
          <c:h val="0.810337"/>
        </c:manualLayout>
      </c:layout>
      <c:lineChart>
        <c:grouping val="standard"/>
        <c:varyColors val="0"/>
        <c:ser>
          <c:idx val="0"/>
          <c:order val="0"/>
          <c:tx>
            <c:strRef>
              <c:f>'GOTO.jk'!$I$3</c:f>
              <c:strCache>
                <c:ptCount val="1"/>
                <c:pt idx="0">
                  <c:v>Receipts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'GOTO.jk'!$B$20:$B$26</c:f>
              <c:strCache>
                <c:ptCount val="7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</c:strCache>
            </c:strRef>
          </c:cat>
          <c:val>
            <c:numRef>
              <c:f>'GOTO.jk'!$I$20:$I$26</c:f>
              <c:numCache>
                <c:ptCount val="7"/>
                <c:pt idx="0">
                  <c:v>2087.000000</c:v>
                </c:pt>
                <c:pt idx="1">
                  <c:v>3162.000000</c:v>
                </c:pt>
                <c:pt idx="2">
                  <c:v>5113.500000</c:v>
                </c:pt>
                <c:pt idx="3">
                  <c:v>5113.500000</c:v>
                </c:pt>
                <c:pt idx="4">
                  <c:v>5197.000000</c:v>
                </c:pt>
                <c:pt idx="5">
                  <c:v>5388.000000</c:v>
                </c:pt>
                <c:pt idx="6">
                  <c:v>5922.000000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500"/>
        <c:minorUnit val="750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692812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GPSO cashflow at zero</a:t>
            </a:r>
          </a:p>
        </c:rich>
      </c:tx>
      <c:layout>
        <c:manualLayout>
          <c:xMode val="edge"/>
          <c:yMode val="edge"/>
          <c:x val="0.244892"/>
          <c:y val="0"/>
          <c:w val="0.51021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710404"/>
          <c:y val="0.0918283"/>
          <c:w val="0.817261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'GPSO.jk'!$AA$139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'GPSO.jk'!$AB$47:$AF$47</c:f>
              <c:strCache>
                <c:ptCount val="0"/>
              </c:strCache>
            </c:strRef>
          </c:cat>
          <c:val>
            <c:numRef>
              <c:f>'GPSO.jk'!$AB$139:$AF$139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'GPSO.jk'!$AA$140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'GPSO.jk'!$AB$47:$AF$47</c:f>
              <c:strCache>
                <c:ptCount val="0"/>
              </c:strCache>
            </c:strRef>
          </c:cat>
          <c:val>
            <c:numRef>
              <c:f>'GPSO.jk'!$AB$140:$AF$140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'GPSO.jk'!$AA$138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'GPSO.jk'!$AB$47:$AF$47</c:f>
              <c:strCache>
                <c:ptCount val="0"/>
              </c:strCache>
            </c:strRef>
          </c:cat>
          <c:val>
            <c:numRef>
              <c:f>'GPSO.jk'!$AB$138:$AF$138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.66667"/>
        <c:minorUnit val="0.833333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2.5"/>
        <c:minorUnit val="6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25794"/>
          <c:y val="0.748148"/>
          <c:w val="0.422283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ANTM sales jump</a:t>
            </a:r>
          </a:p>
        </c:rich>
      </c:tx>
      <c:layout>
        <c:manualLayout>
          <c:xMode val="edge"/>
          <c:yMode val="edge"/>
          <c:x val="0.333077"/>
          <c:y val="0"/>
          <c:w val="0.333846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9503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'ANTM.jk'!$AC$184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'ANTM.jk'!$AD$47:$AH$47</c:f>
              <c:strCache>
                <c:ptCount val="0"/>
              </c:strCache>
            </c:strRef>
          </c:cat>
          <c:val>
            <c:numRef>
              <c:f>'ANTM.jk'!$AD$184:$AH$184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'ANTM.jk'!$AC$185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'ANTM.jk'!$AD$47:$AH$47</c:f>
              <c:strCache>
                <c:ptCount val="0"/>
              </c:strCache>
            </c:strRef>
          </c:cat>
          <c:val>
            <c:numRef>
              <c:f>'ANTM.jk'!$AD$185:$AH$185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'ANTM.jk'!$AC$183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'ANTM.jk'!$AD$47:$AH$47</c:f>
              <c:strCache>
                <c:ptCount val="0"/>
              </c:strCache>
            </c:strRef>
          </c:cat>
          <c:val>
            <c:numRef>
              <c:f>'ANTM.jk'!$AD$183:$AH$183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000"/>
        <c:minorUnit val="25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750"/>
        <c:minorUnit val="3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54839"/>
          <c:y val="0.769396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GPSO</a:t>
            </a:r>
          </a:p>
        </c:rich>
      </c:tx>
      <c:layout>
        <c:manualLayout>
          <c:xMode val="edge"/>
          <c:yMode val="edge"/>
          <c:x val="0.422959"/>
          <c:y val="0"/>
          <c:w val="0.154081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22403"/>
          <c:y val="0.0918283"/>
          <c:w val="0.86665"/>
          <c:h val="0.837628"/>
        </c:manualLayout>
      </c:layout>
      <c:lineChart>
        <c:grouping val="standard"/>
        <c:varyColors val="0"/>
        <c:ser>
          <c:idx val="0"/>
          <c:order val="0"/>
          <c:tx>
            <c:strRef>
              <c:f>'GPSO.jk'!$T$3</c:f>
              <c:strCache>
                <c:ptCount val="1"/>
                <c:pt idx="0">
                  <c:v>CF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'GPSO.jk'!$T$4:$T$26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2.786500</c:v>
                </c:pt>
                <c:pt idx="5">
                  <c:v>5.573000</c:v>
                </c:pt>
                <c:pt idx="6">
                  <c:v>8.359500</c:v>
                </c:pt>
                <c:pt idx="7">
                  <c:v>11.146000</c:v>
                </c:pt>
                <c:pt idx="8">
                  <c:v>9.327500</c:v>
                </c:pt>
                <c:pt idx="9">
                  <c:v>7.509000</c:v>
                </c:pt>
                <c:pt idx="10">
                  <c:v>5.690500</c:v>
                </c:pt>
                <c:pt idx="11">
                  <c:v>3.872000</c:v>
                </c:pt>
                <c:pt idx="12">
                  <c:v>2.835333</c:v>
                </c:pt>
                <c:pt idx="13">
                  <c:v>1.798667</c:v>
                </c:pt>
                <c:pt idx="14">
                  <c:v>0.762000</c:v>
                </c:pt>
                <c:pt idx="15">
                  <c:v>-2.961000</c:v>
                </c:pt>
                <c:pt idx="16">
                  <c:v>-2.217000</c:v>
                </c:pt>
                <c:pt idx="17">
                  <c:v>9.535000</c:v>
                </c:pt>
                <c:pt idx="18">
                  <c:v>5.601000</c:v>
                </c:pt>
                <c:pt idx="19">
                  <c:v>-31.350000</c:v>
                </c:pt>
                <c:pt idx="20">
                  <c:v>-32.850000</c:v>
                </c:pt>
                <c:pt idx="21">
                  <c:v>-32.287000</c:v>
                </c:pt>
                <c:pt idx="22">
                  <c:v>-32.088000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'GPSO.jk'!$U$3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'GPSO.jk'!$U$4:$U$26</c:f>
              <c:numCache>
                <c:ptCount val="23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2.767250</c:v>
                </c:pt>
                <c:pt idx="5">
                  <c:v>5.534500</c:v>
                </c:pt>
                <c:pt idx="6">
                  <c:v>8.301750</c:v>
                </c:pt>
                <c:pt idx="7">
                  <c:v>11.069000</c:v>
                </c:pt>
                <c:pt idx="8">
                  <c:v>8.824750</c:v>
                </c:pt>
                <c:pt idx="9">
                  <c:v>6.580500</c:v>
                </c:pt>
                <c:pt idx="10">
                  <c:v>4.336250</c:v>
                </c:pt>
                <c:pt idx="11">
                  <c:v>2.092000</c:v>
                </c:pt>
                <c:pt idx="12">
                  <c:v>-0.165333</c:v>
                </c:pt>
                <c:pt idx="13">
                  <c:v>-2.422667</c:v>
                </c:pt>
                <c:pt idx="14">
                  <c:v>-4.680000</c:v>
                </c:pt>
                <c:pt idx="15">
                  <c:v>-4.680000</c:v>
                </c:pt>
                <c:pt idx="16">
                  <c:v>-4.680000</c:v>
                </c:pt>
                <c:pt idx="17">
                  <c:v>9.320000</c:v>
                </c:pt>
                <c:pt idx="18">
                  <c:v>5.764333</c:v>
                </c:pt>
                <c:pt idx="19">
                  <c:v>-32.276000</c:v>
                </c:pt>
                <c:pt idx="20">
                  <c:v>-32.276000</c:v>
                </c:pt>
                <c:pt idx="21">
                  <c:v>-32.276000</c:v>
                </c:pt>
                <c:pt idx="22">
                  <c:v>-32.295000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'GPSO.jk'!$V$3</c:f>
              <c:strCache>
                <c:ptCount val="1"/>
                <c:pt idx="0">
                  <c:v>GPSO.jk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4">
                  <a:hueOff val="-461056"/>
                  <a:satOff val="4338"/>
                  <a:lumOff val="-10225"/>
                </a:schemeClr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4">
                    <a:hueOff val="-461056"/>
                    <a:satOff val="4338"/>
                    <a:lumOff val="-10225"/>
                  </a:schemeClr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'GPSO.jk'!$B$4:$B$26</c:f>
              <c:strCache>
                <c:ptCount val="23"/>
                <c:pt idx="0">
                  <c:v>2017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2018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2019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2020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2021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2022</c:v>
                </c:pt>
                <c:pt idx="21">
                  <c:v/>
                </c:pt>
                <c:pt idx="22">
                  <c:v/>
                </c:pt>
              </c:strCache>
            </c:strRef>
          </c:cat>
          <c:val>
            <c:numRef>
              <c:f>'GPSO.jk'!$V$4:$V$26</c:f>
              <c:numCache>
                <c:ptCount val="23"/>
                <c:pt idx="0">
                  <c:v>79.342178</c:v>
                </c:pt>
                <c:pt idx="1">
                  <c:v>79.342178</c:v>
                </c:pt>
                <c:pt idx="2">
                  <c:v>79.342178</c:v>
                </c:pt>
                <c:pt idx="3">
                  <c:v>79.342178</c:v>
                </c:pt>
                <c:pt idx="4">
                  <c:v>79.342178</c:v>
                </c:pt>
                <c:pt idx="5">
                  <c:v>79.342178</c:v>
                </c:pt>
                <c:pt idx="6">
                  <c:v>79.342178</c:v>
                </c:pt>
                <c:pt idx="7">
                  <c:v>79.342178</c:v>
                </c:pt>
                <c:pt idx="8">
                  <c:v>79.342178</c:v>
                </c:pt>
                <c:pt idx="9">
                  <c:v>79.342178</c:v>
                </c:pt>
                <c:pt idx="10">
                  <c:v>79.342178</c:v>
                </c:pt>
                <c:pt idx="11">
                  <c:v>79.342178</c:v>
                </c:pt>
                <c:pt idx="12">
                  <c:v>79.342178</c:v>
                </c:pt>
                <c:pt idx="13">
                  <c:v>79.342178</c:v>
                </c:pt>
                <c:pt idx="14">
                  <c:v>79.342178</c:v>
                </c:pt>
                <c:pt idx="15">
                  <c:v>79.342178</c:v>
                </c:pt>
                <c:pt idx="16">
                  <c:v>79.342178</c:v>
                </c:pt>
                <c:pt idx="17">
                  <c:v>79.342178</c:v>
                </c:pt>
                <c:pt idx="18">
                  <c:v>79.342178</c:v>
                </c:pt>
                <c:pt idx="19">
                  <c:v>79.342178</c:v>
                </c:pt>
                <c:pt idx="20">
                  <c:v>79.342178</c:v>
                </c:pt>
                <c:pt idx="21">
                  <c:v>79.342178</c:v>
                </c:pt>
                <c:pt idx="22">
                  <c:v>79.342178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99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46.3333"/>
        <c:minorUnit val="23.1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60745"/>
          <c:y val="0.16602"/>
          <c:w val="0.389966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KLBF, higher sales </a:t>
            </a:r>
          </a:p>
        </c:rich>
      </c:tx>
      <c:layout>
        <c:manualLayout>
          <c:xMode val="edge"/>
          <c:yMode val="edge"/>
          <c:x val="0.316641"/>
          <c:y val="0"/>
          <c:w val="0.366718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49503"/>
          <c:y val="0.0918283"/>
          <c:w val="0.705119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'HMSP.jk'!$AC$138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'HMSP.jk'!$AD$47:$AH$47</c:f>
              <c:strCache>
                <c:ptCount val="0"/>
              </c:strCache>
            </c:strRef>
          </c:cat>
          <c:val>
            <c:numRef>
              <c:f>'HMSP.jk'!$AD$138:$AH$138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'HMSP.jk'!$AC$139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'HMSP.jk'!$AD$47:$AH$47</c:f>
              <c:strCache>
                <c:ptCount val="0"/>
              </c:strCache>
            </c:strRef>
          </c:cat>
          <c:val>
            <c:numRef>
              <c:f>'HMSP.jk'!$AD$139:$AH$139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'HMSP.jk'!$AC$137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'HMSP.jk'!$AD$47:$AH$47</c:f>
              <c:strCache>
                <c:ptCount val="0"/>
              </c:strCache>
            </c:strRef>
          </c:cat>
          <c:val>
            <c:numRef>
              <c:f>'HMSP.jk'!$AD$137:$AH$137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000"/>
        <c:minorUnit val="50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3000"/>
        <c:minorUnit val="15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124952"/>
          <c:y val="0.780439"/>
          <c:w val="0.364339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'HOKI.jk'!$N$12:$N$27</c:f>
              <c:numCache>
                <c:ptCount val="15"/>
                <c:pt idx="0">
                  <c:v>362.225000</c:v>
                </c:pt>
                <c:pt idx="1">
                  <c:v>381.475000</c:v>
                </c:pt>
                <c:pt idx="2">
                  <c:v>399.200000</c:v>
                </c:pt>
                <c:pt idx="3">
                  <c:v>413.275000</c:v>
                </c:pt>
                <c:pt idx="4">
                  <c:v>426.250000</c:v>
                </c:pt>
                <c:pt idx="5">
                  <c:v>387.350000</c:v>
                </c:pt>
                <c:pt idx="6">
                  <c:v>340.925000</c:v>
                </c:pt>
                <c:pt idx="7">
                  <c:v>293.300000</c:v>
                </c:pt>
                <c:pt idx="8">
                  <c:v>240.875000</c:v>
                </c:pt>
                <c:pt idx="9">
                  <c:v>211.775000</c:v>
                </c:pt>
                <c:pt idx="10">
                  <c:v>216.650000</c:v>
                </c:pt>
                <c:pt idx="11">
                  <c:v>233.400000</c:v>
                </c:pt>
                <c:pt idx="12">
                  <c:v>231.300000</c:v>
                </c:pt>
                <c:pt idx="13">
                  <c:v>234.500000</c:v>
                </c:pt>
                <c:pt idx="14">
                  <c:v>229.900000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'HOKI.jk'!$O$12:$O$27</c:f>
              <c:numCache>
                <c:ptCount val="9"/>
                <c:pt idx="7">
                  <c:v>318.740000</c:v>
                </c:pt>
                <c:pt idx="8">
                  <c:v>316.493333</c:v>
                </c:pt>
                <c:pt idx="9">
                  <c:v>309.580000</c:v>
                </c:pt>
                <c:pt idx="10">
                  <c:v>265.210000</c:v>
                </c:pt>
                <c:pt idx="11">
                  <c:v>252.542500</c:v>
                </c:pt>
                <c:pt idx="12">
                  <c:v>229.625000</c:v>
                </c:pt>
                <c:pt idx="13">
                  <c:v>221.297500</c:v>
                </c:pt>
                <c:pt idx="14">
                  <c:v>237.930000</c:v>
                </c:pt>
                <c:pt idx="15">
                  <c:v>313.438476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66.667"/>
        <c:minorUnit val="8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67975"/>
          <c:y val="0.149403"/>
          <c:w val="0.381926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424"/>
          <c:y val="0.0446026"/>
          <c:w val="0.8875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'HOKI.jk'!$R$3</c:f>
              <c:strCache>
                <c:ptCount val="1"/>
                <c:pt idx="0">
                  <c:v>Margin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'HOKI.jk'!$R$12:$R$27</c:f>
              <c:numCache>
                <c:ptCount val="15"/>
                <c:pt idx="0">
                  <c:v>0.067379</c:v>
                </c:pt>
                <c:pt idx="1">
                  <c:v>0.068478</c:v>
                </c:pt>
                <c:pt idx="2">
                  <c:v>0.064188</c:v>
                </c:pt>
                <c:pt idx="3">
                  <c:v>0.067886</c:v>
                </c:pt>
                <c:pt idx="4">
                  <c:v>0.059911</c:v>
                </c:pt>
                <c:pt idx="5">
                  <c:v>0.052084</c:v>
                </c:pt>
                <c:pt idx="6">
                  <c:v>0.047176</c:v>
                </c:pt>
                <c:pt idx="7">
                  <c:v>0.045007</c:v>
                </c:pt>
                <c:pt idx="8">
                  <c:v>0.050126</c:v>
                </c:pt>
                <c:pt idx="9">
                  <c:v>0.051433</c:v>
                </c:pt>
                <c:pt idx="10">
                  <c:v>0.055777</c:v>
                </c:pt>
                <c:pt idx="11">
                  <c:v>0.047149</c:v>
                </c:pt>
                <c:pt idx="12">
                  <c:v>0.047452</c:v>
                </c:pt>
                <c:pt idx="13">
                  <c:v>0.047598</c:v>
                </c:pt>
                <c:pt idx="14">
                  <c:v>0.037204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'HOKI.jk'!$S$12:$S$27</c:f>
              <c:numCache>
                <c:ptCount val="2"/>
                <c:pt idx="14">
                  <c:v>0.037204</c:v>
                </c:pt>
                <c:pt idx="15">
                  <c:v>0.037204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233333"/>
        <c:minorUnit val="0.011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3113"/>
          <c:y val="0.726725"/>
          <c:w val="0.26436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1557"/>
          <c:y val="0.0446026"/>
          <c:w val="0.8893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'HOKI.jk'!$T$12:$T$27</c:f>
              <c:numCache>
                <c:ptCount val="15"/>
                <c:pt idx="0">
                  <c:v>3.350000</c:v>
                </c:pt>
                <c:pt idx="1">
                  <c:v>-8.750000</c:v>
                </c:pt>
                <c:pt idx="2">
                  <c:v>0.575000</c:v>
                </c:pt>
                <c:pt idx="3">
                  <c:v>0.500000</c:v>
                </c:pt>
                <c:pt idx="4">
                  <c:v>-11.975000</c:v>
                </c:pt>
                <c:pt idx="5">
                  <c:v>7.250000</c:v>
                </c:pt>
                <c:pt idx="6">
                  <c:v>-4.600000</c:v>
                </c:pt>
                <c:pt idx="7">
                  <c:v>-9.575000</c:v>
                </c:pt>
                <c:pt idx="8">
                  <c:v>-0.675000</c:v>
                </c:pt>
                <c:pt idx="9">
                  <c:v>-11.850000</c:v>
                </c:pt>
                <c:pt idx="10">
                  <c:v>-15.075000</c:v>
                </c:pt>
                <c:pt idx="11">
                  <c:v>-17.945000</c:v>
                </c:pt>
                <c:pt idx="12">
                  <c:v>-1.470000</c:v>
                </c:pt>
                <c:pt idx="13">
                  <c:v>-9.770000</c:v>
                </c:pt>
                <c:pt idx="14">
                  <c:v>36.455000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'HOKI.jk'!$U$12:$U$27</c:f>
              <c:numCache>
                <c:ptCount val="4"/>
                <c:pt idx="12">
                  <c:v>9.087408</c:v>
                </c:pt>
                <c:pt idx="13">
                  <c:v>9.087408</c:v>
                </c:pt>
                <c:pt idx="14">
                  <c:v>12.842896</c:v>
                </c:pt>
                <c:pt idx="15">
                  <c:v>1.661049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55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4.3333"/>
        <c:minorUnit val="12.1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0698"/>
          <c:y val="0.109529"/>
          <c:w val="0.43107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0073"/>
          <c:y val="0.0446026"/>
          <c:w val="0.871032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'HOKI.jk'!$X$12:$X$27</c:f>
              <c:numCache>
                <c:ptCount val="15"/>
                <c:pt idx="0">
                  <c:v>-183.000000</c:v>
                </c:pt>
                <c:pt idx="1">
                  <c:v>-196.000000</c:v>
                </c:pt>
                <c:pt idx="2">
                  <c:v>-191.000000</c:v>
                </c:pt>
                <c:pt idx="3">
                  <c:v>-174.000000</c:v>
                </c:pt>
                <c:pt idx="4">
                  <c:v>-228.000000</c:v>
                </c:pt>
                <c:pt idx="5">
                  <c:v>-163.000000</c:v>
                </c:pt>
                <c:pt idx="6">
                  <c:v>-238.000000</c:v>
                </c:pt>
                <c:pt idx="7">
                  <c:v>-239.000000</c:v>
                </c:pt>
                <c:pt idx="8">
                  <c:v>-263.000000</c:v>
                </c:pt>
                <c:pt idx="9">
                  <c:v>-245.000000</c:v>
                </c:pt>
                <c:pt idx="10">
                  <c:v>-319.000000</c:v>
                </c:pt>
                <c:pt idx="11">
                  <c:v>-315.000000</c:v>
                </c:pt>
                <c:pt idx="12">
                  <c:v>-273.000000</c:v>
                </c:pt>
                <c:pt idx="13">
                  <c:v>-296.000000</c:v>
                </c:pt>
                <c:pt idx="14">
                  <c:v>-299.000000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'HOKI.jk'!$Y$12:$Y$27</c:f>
              <c:numCache>
                <c:ptCount val="4"/>
                <c:pt idx="12">
                  <c:v>-285.856437</c:v>
                </c:pt>
                <c:pt idx="13">
                  <c:v>-285.856437</c:v>
                </c:pt>
                <c:pt idx="14">
                  <c:v>-226.532304</c:v>
                </c:pt>
                <c:pt idx="15">
                  <c:v>-292.355804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6.667"/>
        <c:minorUnit val="5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2161"/>
          <c:y val="0.109529"/>
          <c:w val="0.4242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'HOKI.jk'!$V$12:$V$27</c:f>
              <c:numCache>
                <c:ptCount val="15"/>
                <c:pt idx="0">
                  <c:v>0.000000</c:v>
                </c:pt>
                <c:pt idx="1">
                  <c:v>0.000000</c:v>
                </c:pt>
                <c:pt idx="2">
                  <c:v>0.000000</c:v>
                </c:pt>
                <c:pt idx="3">
                  <c:v>0.000000</c:v>
                </c:pt>
                <c:pt idx="4">
                  <c:v>0.000000</c:v>
                </c:pt>
                <c:pt idx="5">
                  <c:v>0.000000</c:v>
                </c:pt>
                <c:pt idx="6">
                  <c:v>0.000000</c:v>
                </c:pt>
                <c:pt idx="7">
                  <c:v>0.000000</c:v>
                </c:pt>
                <c:pt idx="8">
                  <c:v>2.494000</c:v>
                </c:pt>
                <c:pt idx="9">
                  <c:v>-6.746000</c:v>
                </c:pt>
                <c:pt idx="10">
                  <c:v>-67.743000</c:v>
                </c:pt>
                <c:pt idx="11">
                  <c:v>-40.268000</c:v>
                </c:pt>
                <c:pt idx="12">
                  <c:v>2.332000</c:v>
                </c:pt>
                <c:pt idx="13">
                  <c:v>-15.268000</c:v>
                </c:pt>
                <c:pt idx="14">
                  <c:v>11.532000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'HOKI.jk'!$W$12:$W$27</c:f>
              <c:numCache>
                <c:ptCount val="2"/>
                <c:pt idx="14">
                  <c:v>18.176196</c:v>
                </c:pt>
                <c:pt idx="15">
                  <c:v>18.176196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3.333"/>
        <c:minorUnit val="61.66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9507"/>
          <c:y val="0.148075"/>
          <c:w val="0.419159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3607"/>
          <c:y val="0.0446026"/>
          <c:w val="0.854157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'HOKI.jk'!$Z$3</c:f>
              <c:strCache>
                <c:ptCount val="1"/>
                <c:pt idx="0">
                  <c:v>HOKI.jk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'HOKI.jk'!$Z$20:$Z$28</c:f>
              <c:numCache>
                <c:ptCount val="8"/>
                <c:pt idx="0">
                  <c:v>240.684769</c:v>
                </c:pt>
                <c:pt idx="1">
                  <c:v>189.961945</c:v>
                </c:pt>
                <c:pt idx="2">
                  <c:v>190.000000</c:v>
                </c:pt>
                <c:pt idx="3">
                  <c:v>181.000000</c:v>
                </c:pt>
                <c:pt idx="4">
                  <c:v>161.000000</c:v>
                </c:pt>
                <c:pt idx="5">
                  <c:v>135.000000</c:v>
                </c:pt>
                <c:pt idx="6">
                  <c:v>134.000000</c:v>
                </c:pt>
                <c:pt idx="7">
                  <c:v>100.000000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'HOKI.jk'!$AA$3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'HOKI.jk'!$B$20:$B$28</c:f>
              <c:strCache>
                <c:ptCount val="9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2023</c:v>
                </c:pt>
              </c:strCache>
            </c:strRef>
          </c:cat>
          <c:val>
            <c:numRef>
              <c:f>'HOKI.jk'!$AA$20:$AA$28</c:f>
              <c:numCache>
                <c:ptCount val="5"/>
                <c:pt idx="4">
                  <c:v>109.592718</c:v>
                </c:pt>
                <c:pt idx="5">
                  <c:v>89.830097</c:v>
                </c:pt>
                <c:pt idx="6">
                  <c:v>89.830097</c:v>
                </c:pt>
                <c:pt idx="7">
                  <c:v>140.000000</c:v>
                </c:pt>
                <c:pt idx="8">
                  <c:v>102.981520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86.6667"/>
        <c:minorUnit val="43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2311"/>
          <c:y val="0.728467"/>
          <c:w val="0.3767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 Neue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 Neue"/>
              </a:rPr>
              <a:t>INAF a cashflow positive, expensive </a:t>
            </a:r>
          </a:p>
        </c:rich>
      </c:tx>
      <c:layout>
        <c:manualLayout>
          <c:xMode val="edge"/>
          <c:yMode val="edge"/>
          <c:x val="0.136294"/>
          <c:y val="0"/>
          <c:w val="0.727412"/>
          <c:h val="0.0918283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136594"/>
          <c:y val="0.0918283"/>
          <c:w val="0.741455"/>
          <c:h val="0.8376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'INAF.jk'!$AC$138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'INAF.jk'!$AD$47:$AH$47</c:f>
              <c:strCache>
                <c:ptCount val="0"/>
              </c:strCache>
            </c:strRef>
          </c:cat>
          <c:val>
            <c:numRef>
              <c:f>'INAF.jk'!$AD$138:$AH$138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'INAF.jk'!$AC$139</c:f>
              <c:strCache/>
            </c:strRef>
          </c:tx>
          <c:spPr>
            <a:solidFill>
              <a:srgbClr val="929292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'INAF.jk'!$AD$47:$AH$47</c:f>
              <c:strCache>
                <c:ptCount val="0"/>
              </c:strCache>
            </c:strRef>
          </c:cat>
          <c:val>
            <c:numRef>
              <c:f>'INAF.jk'!$AD$139:$AH$139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'INAF.jk'!$AC$137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'INAF.jk'!$AD$47:$AH$47</c:f>
              <c:strCache>
                <c:ptCount val="0"/>
              </c:strCache>
            </c:strRef>
          </c:cat>
          <c:val>
            <c:numRef>
              <c:f>'INAF.jk'!$AD$137:$AH$137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533.333"/>
        <c:minorUnit val="266.667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112.5"/>
        <c:minorUnit val="56.2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458905"/>
          <c:y val="0.133176"/>
          <c:w val="0.389965"/>
          <c:h val="0.152194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475"/>
          <c:y val="0.12368"/>
          <c:w val="0.688675"/>
          <c:h val="0.81033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'INDF.jk'!$AB$139</c:f>
              <c:strCache/>
            </c:strRef>
          </c:tx>
          <c:spPr>
            <a:solidFill>
              <a:schemeClr val="accent3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'INDF.jk'!$AC$48:$AG$48</c:f>
              <c:strCache>
                <c:ptCount val="0"/>
              </c:strCache>
            </c:strRef>
          </c:cat>
          <c:val>
            <c:numRef>
              <c:f>'INDF.jk'!$AC$139:$AG$139</c:f>
              <c:numCache>
                <c:ptCount val="0"/>
              </c:numCache>
            </c:numRef>
          </c:val>
        </c:ser>
        <c:ser>
          <c:idx val="2"/>
          <c:order val="1"/>
          <c:tx>
            <c:strRef>
              <c:f>'INDF.jk'!$AB$140</c:f>
              <c:strCache/>
            </c:strRef>
          </c:tx>
          <c:spPr>
            <a:solidFill>
              <a:schemeClr val="accent4">
                <a:hueOff val="-461056"/>
                <a:satOff val="4338"/>
                <a:lumOff val="-10225"/>
              </a:schemeClr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'INDF.jk'!$AC$48:$AG$48</c:f>
              <c:strCache>
                <c:ptCount val="0"/>
              </c:strCache>
            </c:strRef>
          </c:cat>
          <c:val>
            <c:numRef>
              <c:f>'INDF.jk'!$AC$140:$AG$140</c:f>
              <c:numCache>
                <c:ptCount val="0"/>
              </c:numCache>
            </c:numRef>
          </c:val>
        </c:ser>
        <c:gapWidth val="40"/>
        <c:overlap val="-10"/>
        <c:axId val="2094734555"/>
        <c:axId val="2094734556"/>
      </c:barChart>
      <c:lineChart>
        <c:grouping val="standard"/>
        <c:varyColors val="0"/>
        <c:ser>
          <c:idx val="0"/>
          <c:order val="2"/>
          <c:tx>
            <c:strRef>
              <c:f>'INDF.jk'!$AB$138</c:f>
              <c:strCache/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effectLst>
                      <a:outerShdw sx="100000" sy="100000" kx="0" ky="0" algn="tl" rotWithShape="1" blurRad="127000" dist="20658" dir="5193911">
                        <a:srgbClr val="000000">
                          <a:alpha val="41877"/>
                        </a:srgbClr>
                      </a:outerShdw>
                    </a:effectLst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'INDF.jk'!$AC$48:$AG$48</c:f>
              <c:strCache>
                <c:ptCount val="0"/>
              </c:strCache>
            </c:strRef>
          </c:cat>
          <c:val>
            <c:numRef>
              <c:f>'INDF.jk'!$AC$138:$AG$138</c:f>
              <c:numCache>
                <c:ptCount val="0"/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000"/>
        <c:minorUnit val="500"/>
      </c:valAx>
      <c:catAx>
        <c:axId val="2094734555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 w="12700" cap="flat">
            <a:noFill/>
            <a:prstDash val="solid"/>
            <a:miter lim="400000"/>
          </a:ln>
        </c:spPr>
        <c:crossAx val="2094734556"/>
        <c:crosses val="autoZero"/>
        <c:auto val="1"/>
        <c:lblAlgn val="ctr"/>
        <c:noMultiLvlLbl val="1"/>
      </c:catAx>
      <c:valAx>
        <c:axId val="209473455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5"/>
        <c:crosses val="max"/>
        <c:crossBetween val="between"/>
        <c:majorUnit val="4375"/>
        <c:minorUnit val="2187.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3475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15381"/>
          <c:y val="0.12368"/>
          <c:w val="0.879619"/>
          <c:h val="0.810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'ARCI.jk'!$T$3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chemeClr val="accent1"/>
            </a:solidFill>
            <a:ln w="12700" cap="flat">
              <a:noFill/>
              <a:miter lim="400000"/>
            </a:ln>
            <a:effectLst/>
          </c:spPr>
          <c:invertIfNegative val="0"/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FFFFFF"/>
                    </a:solidFill>
                    <a:latin typeface="Helvetica Neue"/>
                  </a:defRPr>
                </a:pPr>
              </a:p>
            </c:txPr>
            <c:dLblPos val="in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'ARCI.jk'!$B$8:$B$15</c:f>
              <c:strCache>
                <c:ptCount val="8"/>
                <c:pt idx="0">
                  <c:v>2021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2022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</c:strCache>
            </c:strRef>
          </c:cat>
          <c:val>
            <c:numRef>
              <c:f>'ARCI.jk'!$T$8:$T$15</c:f>
              <c:numCache>
                <c:ptCount val="7"/>
                <c:pt idx="0">
                  <c:v>244.632400</c:v>
                </c:pt>
                <c:pt idx="1">
                  <c:v>233.843900</c:v>
                </c:pt>
                <c:pt idx="2">
                  <c:v>111.099500</c:v>
                </c:pt>
                <c:pt idx="3">
                  <c:v>20.993250</c:v>
                </c:pt>
                <c:pt idx="4">
                  <c:v>121.497250</c:v>
                </c:pt>
                <c:pt idx="5">
                  <c:v>3.004375</c:v>
                </c:pt>
                <c:pt idx="6">
                  <c:v>-89.438225</c:v>
                </c:pt>
              </c:numCache>
            </c:numRef>
          </c:val>
        </c:ser>
        <c:gapWidth val="40"/>
        <c:overlap val="-10"/>
        <c:axId val="2094734552"/>
        <c:axId val="2094734553"/>
      </c:bar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General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between"/>
        <c:majorUnit val="112.5"/>
        <c:minorUnit val="56.25"/>
      </c:valAx>
      <c:spPr>
        <a:noFill/>
        <a:ln w="12700" cap="flat">
          <a:noFill/>
          <a:miter lim="400000"/>
        </a:ln>
        <a:effectLst/>
      </c:spPr>
    </c:plotArea>
    <c:legend>
      <c:legendPos val="t"/>
      <c:layout>
        <c:manualLayout>
          <c:xMode val="edge"/>
          <c:yMode val="edge"/>
          <c:x val="0.0548625"/>
          <c:y val="0"/>
          <c:w val="0.9"/>
          <c:h val="0.0640667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'INDR.jk'!$N$12:$N$27</c:f>
              <c:numCache>
                <c:ptCount val="15"/>
                <c:pt idx="0">
                  <c:v>2967.626250</c:v>
                </c:pt>
                <c:pt idx="1">
                  <c:v>2967.463525</c:v>
                </c:pt>
                <c:pt idx="2">
                  <c:v>2839.949525</c:v>
                </c:pt>
                <c:pt idx="3">
                  <c:v>2709.891825</c:v>
                </c:pt>
                <c:pt idx="4">
                  <c:v>2727.193325</c:v>
                </c:pt>
                <c:pt idx="5">
                  <c:v>2407.295800</c:v>
                </c:pt>
                <c:pt idx="6">
                  <c:v>2290.119050</c:v>
                </c:pt>
                <c:pt idx="7">
                  <c:v>2208.580750</c:v>
                </c:pt>
                <c:pt idx="8">
                  <c:v>2223.930750</c:v>
                </c:pt>
                <c:pt idx="9">
                  <c:v>2592.672250</c:v>
                </c:pt>
                <c:pt idx="10">
                  <c:v>2825.995150</c:v>
                </c:pt>
                <c:pt idx="11">
                  <c:v>3184.296400</c:v>
                </c:pt>
                <c:pt idx="12">
                  <c:v>3393.578025</c:v>
                </c:pt>
                <c:pt idx="13">
                  <c:v>3555.573775</c:v>
                </c:pt>
                <c:pt idx="14">
                  <c:v>3688.754875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'INDR.jk'!$O$12:$O$27</c:f>
              <c:numCache>
                <c:ptCount val="8"/>
                <c:pt idx="8">
                  <c:v>2176.323212</c:v>
                </c:pt>
                <c:pt idx="9">
                  <c:v>2381.668267</c:v>
                </c:pt>
                <c:pt idx="10">
                  <c:v>2482.017948</c:v>
                </c:pt>
                <c:pt idx="11">
                  <c:v>2857.062737</c:v>
                </c:pt>
                <c:pt idx="12">
                  <c:v>3180.357604</c:v>
                </c:pt>
                <c:pt idx="13">
                  <c:v>3519.349235</c:v>
                </c:pt>
                <c:pt idx="14">
                  <c:v>4046.369692</c:v>
                </c:pt>
                <c:pt idx="15">
                  <c:v>4057.882248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066.67"/>
        <c:minorUnit val="5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13761"/>
          <c:y val="0.122964"/>
          <c:w val="0.372477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072"/>
          <c:y val="0.0446026"/>
          <c:w val="0.88377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'INDR.jk'!$B$16:$B$27</c:f>
              <c:strCache>
                <c:ptCount val="12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</c:strCache>
            </c:strRef>
          </c:cat>
          <c:val>
            <c:numRef>
              <c:f>'INDR.jk'!$T$16:$T$27</c:f>
              <c:numCache>
                <c:ptCount val="11"/>
                <c:pt idx="0">
                  <c:v>35.795475</c:v>
                </c:pt>
                <c:pt idx="1">
                  <c:v>15.774475</c:v>
                </c:pt>
                <c:pt idx="2">
                  <c:v>58.089600</c:v>
                </c:pt>
                <c:pt idx="3">
                  <c:v>-58.873250</c:v>
                </c:pt>
                <c:pt idx="4">
                  <c:v>-27.652900</c:v>
                </c:pt>
                <c:pt idx="5">
                  <c:v>210.040350</c:v>
                </c:pt>
                <c:pt idx="6">
                  <c:v>147.344400</c:v>
                </c:pt>
                <c:pt idx="7">
                  <c:v>167.993775</c:v>
                </c:pt>
                <c:pt idx="8">
                  <c:v>166.089225</c:v>
                </c:pt>
                <c:pt idx="9">
                  <c:v>23.649475</c:v>
                </c:pt>
                <c:pt idx="10">
                  <c:v>-6.595700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'INDR.jk'!$B$16:$B$27</c:f>
              <c:strCache>
                <c:ptCount val="12"/>
                <c:pt idx="0">
                  <c:v>2020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2021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2022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</c:strCache>
            </c:strRef>
          </c:cat>
          <c:val>
            <c:numRef>
              <c:f>'INDR.jk'!$U$16:$U$27</c:f>
              <c:numCache>
                <c:ptCount val="2"/>
                <c:pt idx="10">
                  <c:v>150.000947</c:v>
                </c:pt>
                <c:pt idx="11">
                  <c:v>150.000947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326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8.667"/>
        <c:minorUnit val="64.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21498"/>
          <c:y val="0.124962"/>
          <c:w val="0.40459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'INDR.jk'!$V$3</c:f>
              <c:strCache>
                <c:ptCount val="1"/>
                <c:pt idx="0">
                  <c:v>Capital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'INDR.jk'!$V$12:$V$27</c:f>
              <c:numCache>
                <c:ptCount val="15"/>
                <c:pt idx="0">
                  <c:v>1784.193750</c:v>
                </c:pt>
                <c:pt idx="1">
                  <c:v>1996.098750</c:v>
                </c:pt>
                <c:pt idx="2">
                  <c:v>2209.023750</c:v>
                </c:pt>
                <c:pt idx="3">
                  <c:v>2417.253750</c:v>
                </c:pt>
                <c:pt idx="4">
                  <c:v>2274.541250</c:v>
                </c:pt>
                <c:pt idx="5">
                  <c:v>2149.810000</c:v>
                </c:pt>
                <c:pt idx="6">
                  <c:v>2020.397500</c:v>
                </c:pt>
                <c:pt idx="7">
                  <c:v>1897.022500</c:v>
                </c:pt>
                <c:pt idx="8">
                  <c:v>2116.579892</c:v>
                </c:pt>
                <c:pt idx="9">
                  <c:v>2676.213942</c:v>
                </c:pt>
                <c:pt idx="10">
                  <c:v>2803.360614</c:v>
                </c:pt>
                <c:pt idx="11">
                  <c:v>2363.190989</c:v>
                </c:pt>
                <c:pt idx="12">
                  <c:v>2417.633589</c:v>
                </c:pt>
                <c:pt idx="13">
                  <c:v>2776.803589</c:v>
                </c:pt>
                <c:pt idx="14">
                  <c:v>3156.864589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'INDR.jk'!$W$3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'INDR.jk'!$W$12:$W$27</c:f>
              <c:numCache>
                <c:ptCount val="2"/>
                <c:pt idx="14">
                  <c:v>3156.864589</c:v>
                </c:pt>
                <c:pt idx="15">
                  <c:v>3756.868376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266.67"/>
        <c:minorUnit val="633.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1534"/>
          <c:y val="0.701533"/>
          <c:w val="0.33348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717"/>
          <c:y val="0.0446026"/>
          <c:w val="0.81307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'INDR.jk'!$Z$3</c:f>
              <c:strCache>
                <c:ptCount val="1"/>
                <c:pt idx="0">
                  <c:v>INDR.jk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'INDR.jk'!$Z$12:$Z$28</c:f>
              <c:numCache>
                <c:ptCount val="16"/>
                <c:pt idx="0">
                  <c:v>6200.000000</c:v>
                </c:pt>
                <c:pt idx="1">
                  <c:v>4880.000000</c:v>
                </c:pt>
                <c:pt idx="2">
                  <c:v>3570.000000</c:v>
                </c:pt>
                <c:pt idx="3">
                  <c:v>2430.000000</c:v>
                </c:pt>
                <c:pt idx="4">
                  <c:v>1680.000000</c:v>
                </c:pt>
                <c:pt idx="5">
                  <c:v>2200.000000</c:v>
                </c:pt>
                <c:pt idx="6">
                  <c:v>2150.000000</c:v>
                </c:pt>
                <c:pt idx="7">
                  <c:v>3050.000000</c:v>
                </c:pt>
                <c:pt idx="8">
                  <c:v>3450.000000</c:v>
                </c:pt>
                <c:pt idx="9">
                  <c:v>4180.000000</c:v>
                </c:pt>
                <c:pt idx="10">
                  <c:v>4250.000000</c:v>
                </c:pt>
                <c:pt idx="11">
                  <c:v>4180.000000</c:v>
                </c:pt>
                <c:pt idx="12">
                  <c:v>5050.000000</c:v>
                </c:pt>
                <c:pt idx="13">
                  <c:v>10750.000000</c:v>
                </c:pt>
                <c:pt idx="14">
                  <c:v>6875.000000</c:v>
                </c:pt>
                <c:pt idx="15">
                  <c:v>5575.000000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'INDR.jk'!$AA$3</c:f>
              <c:strCache>
                <c:ptCount val="1"/>
                <c:pt idx="0">
                  <c:v>Target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'INDR.jk'!$B$12:$B$28</c:f>
              <c:strCache>
                <c:ptCount val="17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2023</c:v>
                </c:pt>
              </c:strCache>
            </c:strRef>
          </c:cat>
          <c:val>
            <c:numRef>
              <c:f>'INDR.jk'!$AA$12:$AA$28</c:f>
              <c:numCache>
                <c:ptCount val="8"/>
                <c:pt idx="9">
                  <c:v>12063.666763</c:v>
                </c:pt>
                <c:pt idx="10">
                  <c:v>12063.666763</c:v>
                </c:pt>
                <c:pt idx="11">
                  <c:v>8521.353008</c:v>
                </c:pt>
                <c:pt idx="12">
                  <c:v>8979.400289</c:v>
                </c:pt>
                <c:pt idx="13">
                  <c:v>16068.905431</c:v>
                </c:pt>
                <c:pt idx="14">
                  <c:v>16068.905431</c:v>
                </c:pt>
                <c:pt idx="15">
                  <c:v>16068.905431</c:v>
                </c:pt>
                <c:pt idx="16">
                  <c:v>6418.604217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6000"/>
        <c:minorUnit val="3000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8487"/>
          <c:y val="0.137238"/>
          <c:w val="0.336774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46458"/>
          <c:y val="0.0446026"/>
          <c:w val="0.844913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'INDR.jk'!$X$12:$X$27</c:f>
              <c:numCache>
                <c:ptCount val="15"/>
                <c:pt idx="0">
                  <c:v>-5368.480000</c:v>
                </c:pt>
                <c:pt idx="1">
                  <c:v>-5396.514000</c:v>
                </c:pt>
                <c:pt idx="2">
                  <c:v>-5351.515000</c:v>
                </c:pt>
                <c:pt idx="3">
                  <c:v>-5094.694000</c:v>
                </c:pt>
                <c:pt idx="4">
                  <c:v>-5757.430000</c:v>
                </c:pt>
                <c:pt idx="5">
                  <c:v>-4718.405000</c:v>
                </c:pt>
                <c:pt idx="6">
                  <c:v>-4688.430000</c:v>
                </c:pt>
                <c:pt idx="7">
                  <c:v>-4935.000000</c:v>
                </c:pt>
                <c:pt idx="8">
                  <c:v>-5550.280000</c:v>
                </c:pt>
                <c:pt idx="9">
                  <c:v>-5173.100000</c:v>
                </c:pt>
                <c:pt idx="10">
                  <c:v>-5287.032000</c:v>
                </c:pt>
                <c:pt idx="11">
                  <c:v>-5581.525000</c:v>
                </c:pt>
                <c:pt idx="12">
                  <c:v>-5472.914000</c:v>
                </c:pt>
                <c:pt idx="13">
                  <c:v>-5849.340000</c:v>
                </c:pt>
                <c:pt idx="14">
                  <c:v>-6203.475000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 Neue"/>
                  </a:defRPr>
                </a:pPr>
              </a:p>
            </c:txPr>
            <c:dLblPos val="b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'INDR.jk'!$Y$12:$Y$27</c:f>
              <c:numCache>
                <c:ptCount val="4"/>
                <c:pt idx="12">
                  <c:v>-4379.930975</c:v>
                </c:pt>
                <c:pt idx="13">
                  <c:v>-4481.732958</c:v>
                </c:pt>
                <c:pt idx="14">
                  <c:v>-4539.787974</c:v>
                </c:pt>
                <c:pt idx="15">
                  <c:v>-5603.471213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</c:scaling>
        <c:delete val="0"/>
        <c:axPos val="l"/>
        <c:majorGridlines>
          <c:spPr>
            <a:ln w="635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333.33"/>
        <c:minorUnit val="1166.6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35679"/>
          <c:y val="0.124962"/>
          <c:w val="0.40576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21863"/>
          <c:y val="0.0446026"/>
          <c:w val="0.86926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'INDR.jk'!$R$3</c:f>
              <c:strCache>
                <c:ptCount val="1"/>
                <c:pt idx="0">
                  <c:v>Margin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'INDR.jk'!$R$12:$R$27</c:f>
              <c:numCache>
                <c:ptCount val="15"/>
                <c:pt idx="0">
                  <c:v>0.088782</c:v>
                </c:pt>
                <c:pt idx="1">
                  <c:v>0.085025</c:v>
                </c:pt>
                <c:pt idx="2">
                  <c:v>0.083029</c:v>
                </c:pt>
                <c:pt idx="3">
                  <c:v>0.078138</c:v>
                </c:pt>
                <c:pt idx="4">
                  <c:v>0.077119</c:v>
                </c:pt>
                <c:pt idx="5">
                  <c:v>0.074627</c:v>
                </c:pt>
                <c:pt idx="6">
                  <c:v>0.073431</c:v>
                </c:pt>
                <c:pt idx="7">
                  <c:v>0.062752</c:v>
                </c:pt>
                <c:pt idx="8">
                  <c:v>0.077750</c:v>
                </c:pt>
                <c:pt idx="9">
                  <c:v>0.103734</c:v>
                </c:pt>
                <c:pt idx="10">
                  <c:v>0.114320</c:v>
                </c:pt>
                <c:pt idx="11">
                  <c:v>0.131437</c:v>
                </c:pt>
                <c:pt idx="12">
                  <c:v>0.139075</c:v>
                </c:pt>
                <c:pt idx="13">
                  <c:v>0.131552</c:v>
                </c:pt>
                <c:pt idx="14">
                  <c:v>0.118610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'INDR.jk'!$S$3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'INDR.jk'!$B$12:$B$27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'INDR.jk'!$S$12:$S$27</c:f>
              <c:numCache>
                <c:ptCount val="2"/>
                <c:pt idx="14">
                  <c:v>0.073431</c:v>
                </c:pt>
                <c:pt idx="15">
                  <c:v>0.073431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0.2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0666667"/>
        <c:minorUnit val="0.03333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5433"/>
          <c:y val="0.122964"/>
          <c:w val="0.341868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1552"/>
          <c:y val="0.0446026"/>
          <c:w val="0.839871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'INKP.jk'!$N$3</c:f>
              <c:strCache>
                <c:ptCount val="1"/>
                <c:pt idx="0">
                  <c:v>Sales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'INKP.jk'!$N$12:$N$27</c:f>
              <c:numCache>
                <c:ptCount val="15"/>
                <c:pt idx="0">
                  <c:v>11753.091350</c:v>
                </c:pt>
                <c:pt idx="1">
                  <c:v>11714.050075</c:v>
                </c:pt>
                <c:pt idx="2">
                  <c:v>11725.863975</c:v>
                </c:pt>
                <c:pt idx="3">
                  <c:v>11374.129100</c:v>
                </c:pt>
                <c:pt idx="4">
                  <c:v>11793.935525</c:v>
                </c:pt>
                <c:pt idx="5">
                  <c:v>11480.331837</c:v>
                </c:pt>
                <c:pt idx="6">
                  <c:v>10931.597337</c:v>
                </c:pt>
                <c:pt idx="7">
                  <c:v>11106.234212</c:v>
                </c:pt>
                <c:pt idx="8">
                  <c:v>10849.814738</c:v>
                </c:pt>
                <c:pt idx="9">
                  <c:v>11326.173450</c:v>
                </c:pt>
                <c:pt idx="10">
                  <c:v>11859.440400</c:v>
                </c:pt>
                <c:pt idx="11">
                  <c:v>12663.961650</c:v>
                </c:pt>
                <c:pt idx="12">
                  <c:v>13304.363175</c:v>
                </c:pt>
                <c:pt idx="13">
                  <c:v>13785.323925</c:v>
                </c:pt>
                <c:pt idx="14">
                  <c:v>14785.035600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'INKP.jk'!$O$3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'INKP.jk'!$O$12:$O$27</c:f>
              <c:numCache>
                <c:ptCount val="7"/>
                <c:pt idx="9">
                  <c:v>11216.639100</c:v>
                </c:pt>
                <c:pt idx="10">
                  <c:v>11447.746038</c:v>
                </c:pt>
                <c:pt idx="11">
                  <c:v>11778.530900</c:v>
                </c:pt>
                <c:pt idx="12">
                  <c:v>12065.024586</c:v>
                </c:pt>
                <c:pt idx="13">
                  <c:v>13255.506030</c:v>
                </c:pt>
                <c:pt idx="14">
                  <c:v>14618.394608</c:v>
                </c:pt>
                <c:pt idx="15">
                  <c:v>17227.184636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_);[Red]\(#,##0\)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in val="10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_);[Red]\(#,##0\)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666.67"/>
        <c:minorUnit val="1333.33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43362"/>
          <c:y val="0.150702"/>
          <c:w val="0.36295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51522"/>
          <c:y val="0.0446026"/>
          <c:w val="0.839901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'INKP.jk'!$R$3</c:f>
              <c:strCache>
                <c:ptCount val="1"/>
                <c:pt idx="0">
                  <c:v>Cost ratio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'INKP.jk'!$R$12:$R$27</c:f>
              <c:numCache>
                <c:ptCount val="15"/>
                <c:pt idx="0">
                  <c:v>-0.857506</c:v>
                </c:pt>
                <c:pt idx="1">
                  <c:v>-0.838226</c:v>
                </c:pt>
                <c:pt idx="2">
                  <c:v>-0.854107</c:v>
                </c:pt>
                <c:pt idx="3">
                  <c:v>-0.855000</c:v>
                </c:pt>
                <c:pt idx="4">
                  <c:v>-0.832505</c:v>
                </c:pt>
                <c:pt idx="5">
                  <c:v>-0.844481</c:v>
                </c:pt>
                <c:pt idx="6">
                  <c:v>-0.823532</c:v>
                </c:pt>
                <c:pt idx="7">
                  <c:v>-0.837474</c:v>
                </c:pt>
                <c:pt idx="8">
                  <c:v>-0.891547</c:v>
                </c:pt>
                <c:pt idx="9">
                  <c:v>-0.826305</c:v>
                </c:pt>
                <c:pt idx="10">
                  <c:v>-0.829871</c:v>
                </c:pt>
                <c:pt idx="11">
                  <c:v>-0.845746</c:v>
                </c:pt>
                <c:pt idx="12">
                  <c:v>-0.813183</c:v>
                </c:pt>
                <c:pt idx="13">
                  <c:v>-0.907337</c:v>
                </c:pt>
                <c:pt idx="14">
                  <c:v>-0.947252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'INKP.jk'!$S$3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'INKP.jk'!$S$12:$S$27</c:f>
              <c:numCache>
                <c:ptCount val="4"/>
                <c:pt idx="12">
                  <c:v>-0.768335</c:v>
                </c:pt>
                <c:pt idx="13">
                  <c:v>-0.772208</c:v>
                </c:pt>
                <c:pt idx="14">
                  <c:v>-0.761262</c:v>
                </c:pt>
                <c:pt idx="15">
                  <c:v>-0.900081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%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-0.7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%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0.1"/>
        <c:minorUnit val="0.0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276143"/>
          <c:y val="0.149595"/>
          <c:w val="0.480631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34351"/>
          <c:y val="0.0446026"/>
          <c:w val="0.856898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'INKP.jk'!$T$3</c:f>
              <c:strCache>
                <c:ptCount val="1"/>
                <c:pt idx="0">
                  <c:v>Cashflow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'INKP.jk'!$T$12:$T$27</c:f>
              <c:numCache>
                <c:ptCount val="15"/>
                <c:pt idx="0">
                  <c:v>-40.591940</c:v>
                </c:pt>
                <c:pt idx="1">
                  <c:v>371.460762</c:v>
                </c:pt>
                <c:pt idx="2">
                  <c:v>1984.469440</c:v>
                </c:pt>
                <c:pt idx="3">
                  <c:v>1826.396755</c:v>
                </c:pt>
                <c:pt idx="4">
                  <c:v>2258.766680</c:v>
                </c:pt>
                <c:pt idx="5">
                  <c:v>2011.750165</c:v>
                </c:pt>
                <c:pt idx="6">
                  <c:v>1824.720628</c:v>
                </c:pt>
                <c:pt idx="7">
                  <c:v>1284.320813</c:v>
                </c:pt>
                <c:pt idx="8">
                  <c:v>67.675888</c:v>
                </c:pt>
                <c:pt idx="9">
                  <c:v>957.798450</c:v>
                </c:pt>
                <c:pt idx="10">
                  <c:v>941.989650</c:v>
                </c:pt>
                <c:pt idx="11">
                  <c:v>889.202775</c:v>
                </c:pt>
                <c:pt idx="12">
                  <c:v>1719.551225</c:v>
                </c:pt>
                <c:pt idx="13">
                  <c:v>354.797475</c:v>
                </c:pt>
                <c:pt idx="14">
                  <c:v>-46.483725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'INKP.jk'!$U$3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'INKP.jk'!$U$12:$U$27</c:f>
              <c:numCache>
                <c:ptCount val="4"/>
                <c:pt idx="12">
                  <c:v>2332.777898</c:v>
                </c:pt>
                <c:pt idx="13">
                  <c:v>2664.889889</c:v>
                </c:pt>
                <c:pt idx="14">
                  <c:v>2470.988103</c:v>
                </c:pt>
                <c:pt idx="15">
                  <c:v>984.710769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400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1350"/>
        <c:minorUnit val="675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07533"/>
          <c:y val="0.141495"/>
          <c:w val="0.415345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autoTitleDeleted val="1"/>
    <c:plotArea>
      <c:layout>
        <c:manualLayout>
          <c:layoutTarget val="inner"/>
          <c:xMode val="edge"/>
          <c:yMode val="edge"/>
          <c:x val="0.163186"/>
          <c:y val="0.0446026"/>
          <c:w val="0.828354"/>
          <c:h val="0.881835"/>
        </c:manualLayout>
      </c:layout>
      <c:lineChart>
        <c:grouping val="standard"/>
        <c:varyColors val="0"/>
        <c:ser>
          <c:idx val="0"/>
          <c:order val="0"/>
          <c:tx>
            <c:strRef>
              <c:f>'INKP.jk'!$X$3</c:f>
              <c:strCache>
                <c:ptCount val="1"/>
                <c:pt idx="0">
                  <c:v>Net cash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'INKP.jk'!$X$12:$X$27</c:f>
              <c:numCache>
                <c:ptCount val="15"/>
                <c:pt idx="0">
                  <c:v>-59580.160000</c:v>
                </c:pt>
                <c:pt idx="1">
                  <c:v>-57821.811000</c:v>
                </c:pt>
                <c:pt idx="2">
                  <c:v>-54011.975000</c:v>
                </c:pt>
                <c:pt idx="3">
                  <c:v>-51668.804000</c:v>
                </c:pt>
                <c:pt idx="4">
                  <c:v>-55519.240000</c:v>
                </c:pt>
                <c:pt idx="5">
                  <c:v>-48096.370000</c:v>
                </c:pt>
                <c:pt idx="6">
                  <c:v>-46884.300000</c:v>
                </c:pt>
                <c:pt idx="7">
                  <c:v>-47700.300000</c:v>
                </c:pt>
                <c:pt idx="8">
                  <c:v>-51223.242000</c:v>
                </c:pt>
                <c:pt idx="9">
                  <c:v>-45445.250000</c:v>
                </c:pt>
                <c:pt idx="10">
                  <c:v>-43428.168000</c:v>
                </c:pt>
                <c:pt idx="11">
                  <c:v>-45123.275000</c:v>
                </c:pt>
                <c:pt idx="12">
                  <c:v>-44771.875000</c:v>
                </c:pt>
                <c:pt idx="13">
                  <c:v>-45973.760000</c:v>
                </c:pt>
                <c:pt idx="14">
                  <c:v>-46266.930000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'INKP.jk'!$Y$3</c:f>
              <c:strCache>
                <c:ptCount val="1"/>
                <c:pt idx="0">
                  <c:v>Forecast </c:v>
                </c:pt>
              </c:strCache>
            </c:strRef>
          </c:tx>
          <c:spPr>
            <a:solidFill>
              <a:srgbClr val="FFFFFF"/>
            </a:solidFill>
            <a:ln w="50800" cap="flat">
              <a:solidFill>
                <a:schemeClr val="accent3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chemeClr val="accent3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'INKP.jk'!$B$12:$B$27</c:f>
              <c:strCache>
                <c:ptCount val="16"/>
                <c:pt idx="0">
                  <c:v>2019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2020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2021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>2022</c:v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</c:strCache>
            </c:strRef>
          </c:cat>
          <c:val>
            <c:numRef>
              <c:f>'INKP.jk'!$Y$12:$Y$27</c:f>
              <c:numCache>
                <c:ptCount val="4"/>
                <c:pt idx="12">
                  <c:v>-38006.031040</c:v>
                </c:pt>
                <c:pt idx="13">
                  <c:v>-36527.961085</c:v>
                </c:pt>
                <c:pt idx="14">
                  <c:v>-40425.576528</c:v>
                </c:pt>
                <c:pt idx="15">
                  <c:v>-42328.086924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3"/>
        <c:crosses val="autoZero"/>
        <c:auto val="1"/>
        <c:lblAlgn val="ctr"/>
        <c:noMultiLvlLbl val="1"/>
      </c:catAx>
      <c:valAx>
        <c:axId val="2094734553"/>
        <c:scaling>
          <c:orientation val="minMax"/>
          <c:max val="12250"/>
        </c:scaling>
        <c:delete val="0"/>
        <c:axPos val="l"/>
        <c:majorGridlines>
          <c:spPr>
            <a:ln w="12700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#,##0" sourceLinked="1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 Neue"/>
              </a:defRPr>
            </a:pPr>
          </a:p>
        </c:txPr>
        <c:crossAx val="2094734552"/>
        <c:crosses val="autoZero"/>
        <c:crossBetween val="midCat"/>
        <c:majorUnit val="24083.3"/>
        <c:minorUnit val="12041.7"/>
      </c:valAx>
      <c:spPr>
        <a:noFill/>
        <a:ln w="12700" cap="flat">
          <a:noFill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375622"/>
          <c:y val="0.412892"/>
          <c:w val="0.403483"/>
          <c:h val="0.114205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 Neue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/Relationships>

</file>

<file path=xl/drawings/_rels/drawing100.xml.rels><?xml version="1.0" encoding="UTF-8"?>
<Relationships xmlns="http://schemas.openxmlformats.org/package/2006/relationships"><Relationship Id="rId1" Type="http://schemas.openxmlformats.org/officeDocument/2006/relationships/chart" Target="../charts/chart211.xml"/><Relationship Id="rId2" Type="http://schemas.openxmlformats.org/officeDocument/2006/relationships/chart" Target="../charts/chart212.xml"/><Relationship Id="rId3" Type="http://schemas.openxmlformats.org/officeDocument/2006/relationships/chart" Target="../charts/chart213.xml"/><Relationship Id="rId4" Type="http://schemas.openxmlformats.org/officeDocument/2006/relationships/chart" Target="../charts/chart214.xml"/><Relationship Id="rId5" Type="http://schemas.openxmlformats.org/officeDocument/2006/relationships/chart" Target="../charts/chart215.xml"/><Relationship Id="rId6" Type="http://schemas.openxmlformats.org/officeDocument/2006/relationships/chart" Target="../charts/chart216.xml"/></Relationships>

</file>

<file path=xl/drawings/_rels/drawing101.xml.rels><?xml version="1.0" encoding="UTF-8"?>
<Relationships xmlns="http://schemas.openxmlformats.org/package/2006/relationships"><Relationship Id="rId1" Type="http://schemas.openxmlformats.org/officeDocument/2006/relationships/chart" Target="../charts/chart217.xml"/><Relationship Id="rId2" Type="http://schemas.openxmlformats.org/officeDocument/2006/relationships/chart" Target="../charts/chart218.xml"/></Relationships>

</file>

<file path=xl/drawings/_rels/drawing102.xml.rels><?xml version="1.0" encoding="UTF-8"?>
<Relationships xmlns="http://schemas.openxmlformats.org/package/2006/relationships"><Relationship Id="rId1" Type="http://schemas.openxmlformats.org/officeDocument/2006/relationships/chart" Target="../charts/chart219.xml"/><Relationship Id="rId2" Type="http://schemas.openxmlformats.org/officeDocument/2006/relationships/image" Target="../media/image68.png"/><Relationship Id="rId3" Type="http://schemas.openxmlformats.org/officeDocument/2006/relationships/image" Target="../media/image69.png"/></Relationships>

</file>

<file path=xl/drawings/_rels/drawing103.xml.rels><?xml version="1.0" encoding="UTF-8"?>
<Relationships xmlns="http://schemas.openxmlformats.org/package/2006/relationships"><Relationship Id="rId1" Type="http://schemas.openxmlformats.org/officeDocument/2006/relationships/chart" Target="../charts/chart220.xml"/></Relationships>

</file>

<file path=xl/drawings/_rels/drawing104.xml.rels><?xml version="1.0" encoding="UTF-8"?>
<Relationships xmlns="http://schemas.openxmlformats.org/package/2006/relationships"><Relationship Id="rId1" Type="http://schemas.openxmlformats.org/officeDocument/2006/relationships/chart" Target="../charts/chart221.xml"/></Relationships>

</file>

<file path=xl/drawings/_rels/drawing105.xml.rels><?xml version="1.0" encoding="UTF-8"?>
<Relationships xmlns="http://schemas.openxmlformats.org/package/2006/relationships"><Relationship Id="rId1" Type="http://schemas.openxmlformats.org/officeDocument/2006/relationships/chart" Target="../charts/chart222.xml"/><Relationship Id="rId2" Type="http://schemas.openxmlformats.org/officeDocument/2006/relationships/chart" Target="../charts/chart223.xml"/><Relationship Id="rId3" Type="http://schemas.openxmlformats.org/officeDocument/2006/relationships/chart" Target="../charts/chart224.xml"/></Relationships>

</file>

<file path=xl/drawings/_rels/drawing106.xml.rels><?xml version="1.0" encoding="UTF-8"?>
<Relationships xmlns="http://schemas.openxmlformats.org/package/2006/relationships"><Relationship Id="rId1" Type="http://schemas.openxmlformats.org/officeDocument/2006/relationships/chart" Target="../charts/chart225.xml"/><Relationship Id="rId2" Type="http://schemas.openxmlformats.org/officeDocument/2006/relationships/chart" Target="../charts/chart226.xml"/></Relationships>

</file>

<file path=xl/drawings/_rels/drawing107.xml.rels><?xml version="1.0" encoding="UTF-8"?>
<Relationships xmlns="http://schemas.openxmlformats.org/package/2006/relationships"><Relationship Id="rId1" Type="http://schemas.openxmlformats.org/officeDocument/2006/relationships/chart" Target="../charts/chart227.xml"/><Relationship Id="rId2" Type="http://schemas.openxmlformats.org/officeDocument/2006/relationships/image" Target="../media/image70.png"/><Relationship Id="rId3" Type="http://schemas.openxmlformats.org/officeDocument/2006/relationships/image" Target="../media/image71.png"/></Relationships>

</file>

<file path=xl/drawings/_rels/drawing108.xml.rels><?xml version="1.0" encoding="UTF-8"?>
<Relationships xmlns="http://schemas.openxmlformats.org/package/2006/relationships"><Relationship Id="rId1" Type="http://schemas.openxmlformats.org/officeDocument/2006/relationships/chart" Target="../charts/chart228.xml"/></Relationships>
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15.xml"/></Relationships>
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16.xml"/></Relationships>
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17.xml"/><Relationship Id="rId2" Type="http://schemas.openxmlformats.org/officeDocument/2006/relationships/chart" Target="../charts/chart18.xml"/></Relationships>
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19.xml"/></Relationships>
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20.xml"/><Relationship Id="rId2" Type="http://schemas.openxmlformats.org/officeDocument/2006/relationships/chart" Target="../charts/chart21.xml"/><Relationship Id="rId3" Type="http://schemas.openxmlformats.org/officeDocument/2006/relationships/chart" Target="../charts/chart22.xml"/><Relationship Id="rId4" Type="http://schemas.openxmlformats.org/officeDocument/2006/relationships/chart" Target="../charts/chart23.xml"/><Relationship Id="rId5" Type="http://schemas.openxmlformats.org/officeDocument/2006/relationships/chart" Target="../charts/chart24.xml"/><Relationship Id="rId6" Type="http://schemas.openxmlformats.org/officeDocument/2006/relationships/chart" Target="../charts/chart25.xml"/><Relationship Id="rId7" Type="http://schemas.openxmlformats.org/officeDocument/2006/relationships/chart" Target="../charts/chart26.xml"/><Relationship Id="rId8" Type="http://schemas.openxmlformats.org/officeDocument/2006/relationships/chart" Target="../charts/chart27.xml"/></Relationships>

</file>

<file path=xl/drawings/_rels/drawing16.xml.rels><?xml version="1.0" encoding="UTF-8"?>
<Relationships xmlns="http://schemas.openxmlformats.org/package/2006/relationships"><Relationship Id="rId1" Type="http://schemas.openxmlformats.org/officeDocument/2006/relationships/chart" Target="../charts/chart28.xml"/><Relationship Id="rId2" Type="http://schemas.openxmlformats.org/officeDocument/2006/relationships/chart" Target="../charts/chart29.xml"/><Relationship Id="rId3" Type="http://schemas.openxmlformats.org/officeDocument/2006/relationships/image" Target="../media/image7.png"/><Relationship Id="rId4" Type="http://schemas.openxmlformats.org/officeDocument/2006/relationships/image" Target="../media/image8.png"/></Relationships>

</file>

<file path=xl/drawings/_rels/drawing17.xml.rels><?xml version="1.0" encoding="UTF-8"?>
<Relationships xmlns="http://schemas.openxmlformats.org/package/2006/relationships"><Relationship Id="rId1" Type="http://schemas.openxmlformats.org/officeDocument/2006/relationships/chart" Target="../charts/chart30.xml"/></Relationships>

</file>

<file path=xl/drawings/_rels/drawing18.xml.rels><?xml version="1.0" encoding="UTF-8"?>
<Relationships xmlns="http://schemas.openxmlformats.org/package/2006/relationships"><Relationship Id="rId1" Type="http://schemas.openxmlformats.org/officeDocument/2006/relationships/chart" Target="../charts/chart31.xml"/></Relationships>

</file>

<file path=xl/drawings/_rels/drawing19.xml.rels><?xml version="1.0" encoding="UTF-8"?>
<Relationships xmlns="http://schemas.openxmlformats.org/package/2006/relationships"><Relationship Id="rId1" Type="http://schemas.openxmlformats.org/officeDocument/2006/relationships/chart" Target="../charts/chart32.xml"/><Relationship Id="rId2" Type="http://schemas.openxmlformats.org/officeDocument/2006/relationships/image" Target="../media/image9.png"/><Relationship Id="rId3" Type="http://schemas.openxmlformats.org/officeDocument/2006/relationships/image" Target="../media/image10.png"/></Relationships>
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
</file>

<file path=xl/drawings/_rels/drawing20.xml.rels><?xml version="1.0" encoding="UTF-8"?>
<Relationships xmlns="http://schemas.openxmlformats.org/package/2006/relationships"><Relationship Id="rId1" Type="http://schemas.openxmlformats.org/officeDocument/2006/relationships/chart" Target="../charts/chart33.xml"/><Relationship Id="rId2" Type="http://schemas.openxmlformats.org/officeDocument/2006/relationships/chart" Target="../charts/chart34.xml"/></Relationships>

</file>

<file path=xl/drawings/_rels/drawing21.xml.rels><?xml version="1.0" encoding="UTF-8"?>
<Relationships xmlns="http://schemas.openxmlformats.org/package/2006/relationships"><Relationship Id="rId1" Type="http://schemas.openxmlformats.org/officeDocument/2006/relationships/chart" Target="../charts/chart35.xml"/><Relationship Id="rId2" Type="http://schemas.openxmlformats.org/officeDocument/2006/relationships/image" Target="../media/image11.png"/><Relationship Id="rId3" Type="http://schemas.openxmlformats.org/officeDocument/2006/relationships/image" Target="../media/image12.png"/></Relationships>

</file>

<file path=xl/drawings/_rels/drawing22.xml.rels><?xml version="1.0" encoding="UTF-8"?>
<Relationships xmlns="http://schemas.openxmlformats.org/package/2006/relationships"><Relationship Id="rId1" Type="http://schemas.openxmlformats.org/officeDocument/2006/relationships/chart" Target="../charts/chart36.xml"/></Relationships>

</file>

<file path=xl/drawings/_rels/drawing23.xml.rels><?xml version="1.0" encoding="UTF-8"?>
<Relationships xmlns="http://schemas.openxmlformats.org/package/2006/relationships"><Relationship Id="rId1" Type="http://schemas.openxmlformats.org/officeDocument/2006/relationships/chart" Target="../charts/chart37.xml"/><Relationship Id="rId2" Type="http://schemas.openxmlformats.org/officeDocument/2006/relationships/image" Target="../media/image13.png"/><Relationship Id="rId3" Type="http://schemas.openxmlformats.org/officeDocument/2006/relationships/image" Target="../media/image14.png"/></Relationships>

</file>

<file path=xl/drawings/_rels/drawing24.xml.rels><?xml version="1.0" encoding="UTF-8"?>
<Relationships xmlns="http://schemas.openxmlformats.org/package/2006/relationships"><Relationship Id="rId1" Type="http://schemas.openxmlformats.org/officeDocument/2006/relationships/chart" Target="../charts/chart38.xml"/><Relationship Id="rId2" Type="http://schemas.openxmlformats.org/officeDocument/2006/relationships/image" Target="../media/image15.png"/><Relationship Id="rId3" Type="http://schemas.openxmlformats.org/officeDocument/2006/relationships/image" Target="../media/image16.png"/></Relationships>

</file>

<file path=xl/drawings/_rels/drawing25.xml.rels><?xml version="1.0" encoding="UTF-8"?>
<Relationships xmlns="http://schemas.openxmlformats.org/package/2006/relationships"><Relationship Id="rId1" Type="http://schemas.openxmlformats.org/officeDocument/2006/relationships/chart" Target="../charts/chart39.xml"/></Relationships>

</file>

<file path=xl/drawings/_rels/drawing26.xml.rels><?xml version="1.0" encoding="UTF-8"?>
<Relationships xmlns="http://schemas.openxmlformats.org/package/2006/relationships"><Relationship Id="rId1" Type="http://schemas.openxmlformats.org/officeDocument/2006/relationships/chart" Target="../charts/chart40.xml"/><Relationship Id="rId2" Type="http://schemas.openxmlformats.org/officeDocument/2006/relationships/image" Target="../media/image17.png"/><Relationship Id="rId3" Type="http://schemas.openxmlformats.org/officeDocument/2006/relationships/image" Target="../media/image18.png"/></Relationships>

</file>

<file path=xl/drawings/_rels/drawing27.xml.rels><?xml version="1.0" encoding="UTF-8"?>
<Relationships xmlns="http://schemas.openxmlformats.org/package/2006/relationships"><Relationship Id="rId1" Type="http://schemas.openxmlformats.org/officeDocument/2006/relationships/chart" Target="../charts/chart41.xml"/><Relationship Id="rId2" Type="http://schemas.openxmlformats.org/officeDocument/2006/relationships/image" Target="../media/image1.png"/><Relationship Id="rId3" Type="http://schemas.openxmlformats.org/officeDocument/2006/relationships/image" Target="../media/image2.png"/></Relationships>

</file>

<file path=xl/drawings/_rels/drawing28.xml.rels><?xml version="1.0" encoding="UTF-8"?>
<Relationships xmlns="http://schemas.openxmlformats.org/package/2006/relationships"><Relationship Id="rId1" Type="http://schemas.openxmlformats.org/officeDocument/2006/relationships/chart" Target="../charts/chart42.xml"/><Relationship Id="rId2" Type="http://schemas.openxmlformats.org/officeDocument/2006/relationships/chart" Target="../charts/chart43.xml"/><Relationship Id="rId3" Type="http://schemas.openxmlformats.org/officeDocument/2006/relationships/chart" Target="../charts/chart44.xml"/><Relationship Id="rId4" Type="http://schemas.openxmlformats.org/officeDocument/2006/relationships/chart" Target="../charts/chart45.xml"/><Relationship Id="rId5" Type="http://schemas.openxmlformats.org/officeDocument/2006/relationships/chart" Target="../charts/chart46.xml"/><Relationship Id="rId6" Type="http://schemas.openxmlformats.org/officeDocument/2006/relationships/chart" Target="../charts/chart47.xml"/></Relationships>

</file>

<file path=xl/drawings/_rels/drawing29.xml.rels><?xml version="1.0" encoding="UTF-8"?>
<Relationships xmlns="http://schemas.openxmlformats.org/package/2006/relationships"><Relationship Id="rId1" Type="http://schemas.openxmlformats.org/officeDocument/2006/relationships/chart" Target="../charts/chart48.xml"/><Relationship Id="rId2" Type="http://schemas.openxmlformats.org/officeDocument/2006/relationships/chart" Target="../charts/chart49.xml"/><Relationship Id="rId3" Type="http://schemas.openxmlformats.org/officeDocument/2006/relationships/chart" Target="../charts/chart50.xml"/><Relationship Id="rId4" Type="http://schemas.openxmlformats.org/officeDocument/2006/relationships/chart" Target="../charts/chart51.xml"/><Relationship Id="rId5" Type="http://schemas.openxmlformats.org/officeDocument/2006/relationships/chart" Target="../charts/chart52.xml"/><Relationship Id="rId6" Type="http://schemas.openxmlformats.org/officeDocument/2006/relationships/chart" Target="../charts/chart53.xml"/></Relationships>
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5.xml"/></Relationships>

</file>

<file path=xl/drawings/_rels/drawing30.xml.rels><?xml version="1.0" encoding="UTF-8"?>
<Relationships xmlns="http://schemas.openxmlformats.org/package/2006/relationships"><Relationship Id="rId1" Type="http://schemas.openxmlformats.org/officeDocument/2006/relationships/chart" Target="../charts/chart54.xml"/><Relationship Id="rId2" Type="http://schemas.openxmlformats.org/officeDocument/2006/relationships/image" Target="../media/image19.png"/><Relationship Id="rId3" Type="http://schemas.openxmlformats.org/officeDocument/2006/relationships/image" Target="../media/image20.png"/></Relationships>

</file>

<file path=xl/drawings/_rels/drawing31.xml.rels><?xml version="1.0" encoding="UTF-8"?>
<Relationships xmlns="http://schemas.openxmlformats.org/package/2006/relationships"><Relationship Id="rId1" Type="http://schemas.openxmlformats.org/officeDocument/2006/relationships/chart" Target="../charts/chart55.xml"/><Relationship Id="rId2" Type="http://schemas.openxmlformats.org/officeDocument/2006/relationships/chart" Target="../charts/chart56.xml"/><Relationship Id="rId3" Type="http://schemas.openxmlformats.org/officeDocument/2006/relationships/chart" Target="../charts/chart57.xml"/><Relationship Id="rId4" Type="http://schemas.openxmlformats.org/officeDocument/2006/relationships/chart" Target="../charts/chart58.xml"/><Relationship Id="rId5" Type="http://schemas.openxmlformats.org/officeDocument/2006/relationships/chart" Target="../charts/chart59.xml"/><Relationship Id="rId6" Type="http://schemas.openxmlformats.org/officeDocument/2006/relationships/chart" Target="../charts/chart60.xml"/></Relationships>

</file>

<file path=xl/drawings/_rels/drawing32.xml.rels><?xml version="1.0" encoding="UTF-8"?>
<Relationships xmlns="http://schemas.openxmlformats.org/package/2006/relationships"><Relationship Id="rId1" Type="http://schemas.openxmlformats.org/officeDocument/2006/relationships/chart" Target="../charts/chart61.xml"/><Relationship Id="rId2" Type="http://schemas.openxmlformats.org/officeDocument/2006/relationships/chart" Target="../charts/chart62.xml"/><Relationship Id="rId3" Type="http://schemas.openxmlformats.org/officeDocument/2006/relationships/chart" Target="../charts/chart63.xml"/><Relationship Id="rId4" Type="http://schemas.openxmlformats.org/officeDocument/2006/relationships/chart" Target="../charts/chart64.xml"/><Relationship Id="rId5" Type="http://schemas.openxmlformats.org/officeDocument/2006/relationships/chart" Target="../charts/chart65.xml"/><Relationship Id="rId6" Type="http://schemas.openxmlformats.org/officeDocument/2006/relationships/chart" Target="../charts/chart66.xml"/></Relationships>

</file>

<file path=xl/drawings/_rels/drawing33.xml.rels><?xml version="1.0" encoding="UTF-8"?>
<Relationships xmlns="http://schemas.openxmlformats.org/package/2006/relationships"><Relationship Id="rId1" Type="http://schemas.openxmlformats.org/officeDocument/2006/relationships/chart" Target="../charts/chart67.xml"/></Relationships>

</file>

<file path=xl/drawings/_rels/drawing34.xml.rels><?xml version="1.0" encoding="UTF-8"?>
<Relationships xmlns="http://schemas.openxmlformats.org/package/2006/relationships"><Relationship Id="rId1" Type="http://schemas.openxmlformats.org/officeDocument/2006/relationships/chart" Target="../charts/chart68.xml"/><Relationship Id="rId2" Type="http://schemas.openxmlformats.org/officeDocument/2006/relationships/chart" Target="../charts/chart69.xml"/><Relationship Id="rId3" Type="http://schemas.openxmlformats.org/officeDocument/2006/relationships/image" Target="../media/image21.png"/><Relationship Id="rId4" Type="http://schemas.openxmlformats.org/officeDocument/2006/relationships/image" Target="../media/image22.png"/></Relationships>

</file>

<file path=xl/drawings/_rels/drawing35.xml.rels><?xml version="1.0" encoding="UTF-8"?>
<Relationships xmlns="http://schemas.openxmlformats.org/package/2006/relationships"><Relationship Id="rId1" Type="http://schemas.openxmlformats.org/officeDocument/2006/relationships/chart" Target="../charts/chart70.xml"/><Relationship Id="rId2" Type="http://schemas.openxmlformats.org/officeDocument/2006/relationships/chart" Target="../charts/chart71.xml"/></Relationships>

</file>

<file path=xl/drawings/_rels/drawing36.xml.rels><?xml version="1.0" encoding="UTF-8"?>
<Relationships xmlns="http://schemas.openxmlformats.org/package/2006/relationships"><Relationship Id="rId1" Type="http://schemas.openxmlformats.org/officeDocument/2006/relationships/chart" Target="../charts/chart72.xml"/></Relationships>

</file>

<file path=xl/drawings/_rels/drawing37.xml.rels><?xml version="1.0" encoding="UTF-8"?>
<Relationships xmlns="http://schemas.openxmlformats.org/package/2006/relationships"><Relationship Id="rId1" Type="http://schemas.openxmlformats.org/officeDocument/2006/relationships/chart" Target="../charts/chart73.xml"/></Relationships>

</file>

<file path=xl/drawings/_rels/drawing38.xml.rels><?xml version="1.0" encoding="UTF-8"?>
<Relationships xmlns="http://schemas.openxmlformats.org/package/2006/relationships"><Relationship Id="rId1" Type="http://schemas.openxmlformats.org/officeDocument/2006/relationships/chart" Target="../charts/chart74.xml"/><Relationship Id="rId2" Type="http://schemas.openxmlformats.org/officeDocument/2006/relationships/chart" Target="../charts/chart75.xml"/></Relationships>

</file>

<file path=xl/drawings/_rels/drawing39.xml.rels><?xml version="1.0" encoding="UTF-8"?>
<Relationships xmlns="http://schemas.openxmlformats.org/package/2006/relationships"><Relationship Id="rId1" Type="http://schemas.openxmlformats.org/officeDocument/2006/relationships/chart" Target="../charts/chart76.xml"/></Relationships>
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png"/><Relationship Id="rId3" Type="http://schemas.openxmlformats.org/officeDocument/2006/relationships/image" Target="../media/image2.png"/></Relationships>

</file>

<file path=xl/drawings/_rels/drawing40.xml.rels><?xml version="1.0" encoding="UTF-8"?>
<Relationships xmlns="http://schemas.openxmlformats.org/package/2006/relationships"><Relationship Id="rId1" Type="http://schemas.openxmlformats.org/officeDocument/2006/relationships/chart" Target="../charts/chart77.xml"/><Relationship Id="rId2" Type="http://schemas.openxmlformats.org/officeDocument/2006/relationships/chart" Target="../charts/chart78.xml"/></Relationships>

</file>

<file path=xl/drawings/_rels/drawing41.xml.rels><?xml version="1.0" encoding="UTF-8"?>
<Relationships xmlns="http://schemas.openxmlformats.org/package/2006/relationships"><Relationship Id="rId1" Type="http://schemas.openxmlformats.org/officeDocument/2006/relationships/chart" Target="../charts/chart79.xml"/><Relationship Id="rId2" Type="http://schemas.openxmlformats.org/officeDocument/2006/relationships/chart" Target="../charts/chart80.xml"/></Relationships>

</file>

<file path=xl/drawings/_rels/drawing42.xml.rels><?xml version="1.0" encoding="UTF-8"?>
<Relationships xmlns="http://schemas.openxmlformats.org/package/2006/relationships"><Relationship Id="rId1" Type="http://schemas.openxmlformats.org/officeDocument/2006/relationships/chart" Target="../charts/chart81.xml"/></Relationships>

</file>

<file path=xl/drawings/_rels/drawing43.xml.rels><?xml version="1.0" encoding="UTF-8"?>
<Relationships xmlns="http://schemas.openxmlformats.org/package/2006/relationships"><Relationship Id="rId1" Type="http://schemas.openxmlformats.org/officeDocument/2006/relationships/chart" Target="../charts/chart82.xml"/><Relationship Id="rId2" Type="http://schemas.openxmlformats.org/officeDocument/2006/relationships/chart" Target="../charts/chart83.xml"/><Relationship Id="rId3" Type="http://schemas.openxmlformats.org/officeDocument/2006/relationships/chart" Target="../charts/chart84.xml"/><Relationship Id="rId4" Type="http://schemas.openxmlformats.org/officeDocument/2006/relationships/chart" Target="../charts/chart85.xml"/><Relationship Id="rId5" Type="http://schemas.openxmlformats.org/officeDocument/2006/relationships/chart" Target="../charts/chart86.xml"/><Relationship Id="rId6" Type="http://schemas.openxmlformats.org/officeDocument/2006/relationships/chart" Target="../charts/chart87.xml"/></Relationships>

</file>

<file path=xl/drawings/_rels/drawing44.xml.rels><?xml version="1.0" encoding="UTF-8"?>
<Relationships xmlns="http://schemas.openxmlformats.org/package/2006/relationships"><Relationship Id="rId1" Type="http://schemas.openxmlformats.org/officeDocument/2006/relationships/chart" Target="../charts/chart88.xml"/></Relationships>

</file>

<file path=xl/drawings/_rels/drawing45.xml.rels><?xml version="1.0" encoding="UTF-8"?>
<Relationships xmlns="http://schemas.openxmlformats.org/package/2006/relationships"><Relationship Id="rId1" Type="http://schemas.openxmlformats.org/officeDocument/2006/relationships/chart" Target="../charts/chart89.xml"/></Relationships>

</file>

<file path=xl/drawings/_rels/drawing46.xml.rels><?xml version="1.0" encoding="UTF-8"?>
<Relationships xmlns="http://schemas.openxmlformats.org/package/2006/relationships"><Relationship Id="rId1" Type="http://schemas.openxmlformats.org/officeDocument/2006/relationships/chart" Target="../charts/chart90.xml"/><Relationship Id="rId2" Type="http://schemas.openxmlformats.org/officeDocument/2006/relationships/chart" Target="../charts/chart91.xml"/><Relationship Id="rId3" Type="http://schemas.openxmlformats.org/officeDocument/2006/relationships/chart" Target="../charts/chart92.xml"/><Relationship Id="rId4" Type="http://schemas.openxmlformats.org/officeDocument/2006/relationships/chart" Target="../charts/chart93.xml"/><Relationship Id="rId5" Type="http://schemas.openxmlformats.org/officeDocument/2006/relationships/chart" Target="../charts/chart94.xml"/><Relationship Id="rId6" Type="http://schemas.openxmlformats.org/officeDocument/2006/relationships/chart" Target="../charts/chart95.xml"/></Relationships>

</file>

<file path=xl/drawings/_rels/drawing47.xml.rels><?xml version="1.0" encoding="UTF-8"?>
<Relationships xmlns="http://schemas.openxmlformats.org/package/2006/relationships"><Relationship Id="rId1" Type="http://schemas.openxmlformats.org/officeDocument/2006/relationships/chart" Target="../charts/chart96.xml"/><Relationship Id="rId2" Type="http://schemas.openxmlformats.org/officeDocument/2006/relationships/chart" Target="../charts/chart97.xml"/><Relationship Id="rId3" Type="http://schemas.openxmlformats.org/officeDocument/2006/relationships/chart" Target="../charts/chart98.xml"/><Relationship Id="rId4" Type="http://schemas.openxmlformats.org/officeDocument/2006/relationships/chart" Target="../charts/chart99.xml"/><Relationship Id="rId5" Type="http://schemas.openxmlformats.org/officeDocument/2006/relationships/chart" Target="../charts/chart100.xml"/><Relationship Id="rId6" Type="http://schemas.openxmlformats.org/officeDocument/2006/relationships/chart" Target="../charts/chart101.xml"/><Relationship Id="rId7" Type="http://schemas.openxmlformats.org/officeDocument/2006/relationships/chart" Target="../charts/chart102.xml"/><Relationship Id="rId8" Type="http://schemas.openxmlformats.org/officeDocument/2006/relationships/chart" Target="../charts/chart103.xml"/></Relationships>

</file>

<file path=xl/drawings/_rels/drawing48.xml.rels><?xml version="1.0" encoding="UTF-8"?>
<Relationships xmlns="http://schemas.openxmlformats.org/package/2006/relationships"><Relationship Id="rId1" Type="http://schemas.openxmlformats.org/officeDocument/2006/relationships/chart" Target="../charts/chart104.xml"/><Relationship Id="rId2" Type="http://schemas.openxmlformats.org/officeDocument/2006/relationships/chart" Target="../charts/chart105.xml"/></Relationships>

</file>

<file path=xl/drawings/_rels/drawing49.xml.rels><?xml version="1.0" encoding="UTF-8"?>
<Relationships xmlns="http://schemas.openxmlformats.org/package/2006/relationships"><Relationship Id="rId1" Type="http://schemas.openxmlformats.org/officeDocument/2006/relationships/chart" Target="../charts/chart106.xml"/></Relationships>
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7.xml"/></Relationships>

</file>

<file path=xl/drawings/_rels/drawing50.xml.rels><?xml version="1.0" encoding="UTF-8"?>
<Relationships xmlns="http://schemas.openxmlformats.org/package/2006/relationships"><Relationship Id="rId1" Type="http://schemas.openxmlformats.org/officeDocument/2006/relationships/chart" Target="../charts/chart107.xml"/></Relationships>

</file>

<file path=xl/drawings/_rels/drawing51.xml.rels><?xml version="1.0" encoding="UTF-8"?>
<Relationships xmlns="http://schemas.openxmlformats.org/package/2006/relationships"><Relationship Id="rId1" Type="http://schemas.openxmlformats.org/officeDocument/2006/relationships/chart" Target="../charts/chart108.xml"/><Relationship Id="rId2" Type="http://schemas.openxmlformats.org/officeDocument/2006/relationships/chart" Target="../charts/chart109.xml"/><Relationship Id="rId3" Type="http://schemas.openxmlformats.org/officeDocument/2006/relationships/image" Target="../media/image23.png"/><Relationship Id="rId4" Type="http://schemas.openxmlformats.org/officeDocument/2006/relationships/image" Target="../media/image24.png"/></Relationships>

</file>

<file path=xl/drawings/_rels/drawing52.xml.rels><?xml version="1.0" encoding="UTF-8"?>
<Relationships xmlns="http://schemas.openxmlformats.org/package/2006/relationships"><Relationship Id="rId1" Type="http://schemas.openxmlformats.org/officeDocument/2006/relationships/chart" Target="../charts/chart110.xml"/><Relationship Id="rId2" Type="http://schemas.openxmlformats.org/officeDocument/2006/relationships/image" Target="../media/image25.png"/><Relationship Id="rId3" Type="http://schemas.openxmlformats.org/officeDocument/2006/relationships/image" Target="../media/image26.png"/></Relationships>

</file>

<file path=xl/drawings/_rels/drawing53.xml.rels><?xml version="1.0" encoding="UTF-8"?>
<Relationships xmlns="http://schemas.openxmlformats.org/package/2006/relationships"><Relationship Id="rId1" Type="http://schemas.openxmlformats.org/officeDocument/2006/relationships/chart" Target="../charts/chart111.xml"/><Relationship Id="rId2" Type="http://schemas.openxmlformats.org/officeDocument/2006/relationships/chart" Target="../charts/chart112.xml"/><Relationship Id="rId3" Type="http://schemas.openxmlformats.org/officeDocument/2006/relationships/image" Target="../media/image27.png"/><Relationship Id="rId4" Type="http://schemas.openxmlformats.org/officeDocument/2006/relationships/image" Target="../media/image28.png"/></Relationships>

</file>

<file path=xl/drawings/_rels/drawing54.xml.rels><?xml version="1.0" encoding="UTF-8"?>
<Relationships xmlns="http://schemas.openxmlformats.org/package/2006/relationships"><Relationship Id="rId1" Type="http://schemas.openxmlformats.org/officeDocument/2006/relationships/chart" Target="../charts/chart113.xml"/><Relationship Id="rId2" Type="http://schemas.openxmlformats.org/officeDocument/2006/relationships/chart" Target="../charts/chart114.xml"/><Relationship Id="rId3" Type="http://schemas.openxmlformats.org/officeDocument/2006/relationships/chart" Target="../charts/chart115.xml"/><Relationship Id="rId4" Type="http://schemas.openxmlformats.org/officeDocument/2006/relationships/chart" Target="../charts/chart116.xml"/><Relationship Id="rId5" Type="http://schemas.openxmlformats.org/officeDocument/2006/relationships/chart" Target="../charts/chart117.xml"/><Relationship Id="rId6" Type="http://schemas.openxmlformats.org/officeDocument/2006/relationships/chart" Target="../charts/chart118.xml"/><Relationship Id="rId7" Type="http://schemas.openxmlformats.org/officeDocument/2006/relationships/chart" Target="../charts/chart119.xml"/></Relationships>

</file>

<file path=xl/drawings/_rels/drawing55.xml.rels><?xml version="1.0" encoding="UTF-8"?>
<Relationships xmlns="http://schemas.openxmlformats.org/package/2006/relationships"><Relationship Id="rId1" Type="http://schemas.openxmlformats.org/officeDocument/2006/relationships/chart" Target="../charts/chart120.xml"/><Relationship Id="rId2" Type="http://schemas.openxmlformats.org/officeDocument/2006/relationships/chart" Target="../charts/chart121.xml"/></Relationships>

</file>

<file path=xl/drawings/_rels/drawing56.xml.rels><?xml version="1.0" encoding="UTF-8"?>
<Relationships xmlns="http://schemas.openxmlformats.org/package/2006/relationships"><Relationship Id="rId1" Type="http://schemas.openxmlformats.org/officeDocument/2006/relationships/chart" Target="../charts/chart122.xml"/><Relationship Id="rId2" Type="http://schemas.openxmlformats.org/officeDocument/2006/relationships/chart" Target="../charts/chart123.xml"/><Relationship Id="rId3" Type="http://schemas.openxmlformats.org/officeDocument/2006/relationships/image" Target="../media/image29.png"/><Relationship Id="rId4" Type="http://schemas.openxmlformats.org/officeDocument/2006/relationships/image" Target="../media/image30.png"/></Relationships>

</file>

<file path=xl/drawings/_rels/drawing57.xml.rels><?xml version="1.0" encoding="UTF-8"?>
<Relationships xmlns="http://schemas.openxmlformats.org/package/2006/relationships"><Relationship Id="rId1" Type="http://schemas.openxmlformats.org/officeDocument/2006/relationships/chart" Target="../charts/chart124.xml"/><Relationship Id="rId2" Type="http://schemas.openxmlformats.org/officeDocument/2006/relationships/image" Target="../media/image31.png"/><Relationship Id="rId3" Type="http://schemas.openxmlformats.org/officeDocument/2006/relationships/image" Target="../media/image32.png"/></Relationships>

</file>

<file path=xl/drawings/_rels/drawing58.xml.rels><?xml version="1.0" encoding="UTF-8"?>
<Relationships xmlns="http://schemas.openxmlformats.org/package/2006/relationships"><Relationship Id="rId1" Type="http://schemas.openxmlformats.org/officeDocument/2006/relationships/chart" Target="../charts/chart125.xml"/></Relationships>

</file>

<file path=xl/drawings/_rels/drawing59.xml.rels><?xml version="1.0" encoding="UTF-8"?>
<Relationships xmlns="http://schemas.openxmlformats.org/package/2006/relationships"><Relationship Id="rId1" Type="http://schemas.openxmlformats.org/officeDocument/2006/relationships/chart" Target="../charts/chart126.xml"/><Relationship Id="rId2" Type="http://schemas.openxmlformats.org/officeDocument/2006/relationships/chart" Target="../charts/chart127.xml"/><Relationship Id="rId3" Type="http://schemas.openxmlformats.org/officeDocument/2006/relationships/chart" Target="../charts/chart128.xml"/><Relationship Id="rId4" Type="http://schemas.openxmlformats.org/officeDocument/2006/relationships/chart" Target="../charts/chart129.xml"/><Relationship Id="rId5" Type="http://schemas.openxmlformats.org/officeDocument/2006/relationships/chart" Target="../charts/chart130.xml"/><Relationship Id="rId6" Type="http://schemas.openxmlformats.org/officeDocument/2006/relationships/chart" Target="../charts/chart131.xml"/></Relationships>
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3.png"/><Relationship Id="rId3" Type="http://schemas.openxmlformats.org/officeDocument/2006/relationships/image" Target="../media/image4.png"/></Relationships>

</file>

<file path=xl/drawings/_rels/drawing60.xml.rels><?xml version="1.0" encoding="UTF-8"?>
<Relationships xmlns="http://schemas.openxmlformats.org/package/2006/relationships"><Relationship Id="rId1" Type="http://schemas.openxmlformats.org/officeDocument/2006/relationships/chart" Target="../charts/chart132.xml"/><Relationship Id="rId2" Type="http://schemas.openxmlformats.org/officeDocument/2006/relationships/chart" Target="../charts/chart133.xml"/></Relationships>

</file>

<file path=xl/drawings/_rels/drawing61.xml.rels><?xml version="1.0" encoding="UTF-8"?>
<Relationships xmlns="http://schemas.openxmlformats.org/package/2006/relationships"><Relationship Id="rId1" Type="http://schemas.openxmlformats.org/officeDocument/2006/relationships/chart" Target="../charts/chart134.xml"/></Relationships>

</file>

<file path=xl/drawings/_rels/drawing62.xml.rels><?xml version="1.0" encoding="UTF-8"?>
<Relationships xmlns="http://schemas.openxmlformats.org/package/2006/relationships"><Relationship Id="rId1" Type="http://schemas.openxmlformats.org/officeDocument/2006/relationships/chart" Target="../charts/chart135.xml"/><Relationship Id="rId2" Type="http://schemas.openxmlformats.org/officeDocument/2006/relationships/chart" Target="../charts/chart136.xml"/><Relationship Id="rId3" Type="http://schemas.openxmlformats.org/officeDocument/2006/relationships/chart" Target="../charts/chart137.xml"/><Relationship Id="rId4" Type="http://schemas.openxmlformats.org/officeDocument/2006/relationships/chart" Target="../charts/chart138.xml"/><Relationship Id="rId5" Type="http://schemas.openxmlformats.org/officeDocument/2006/relationships/chart" Target="../charts/chart139.xml"/><Relationship Id="rId6" Type="http://schemas.openxmlformats.org/officeDocument/2006/relationships/chart" Target="../charts/chart140.xml"/><Relationship Id="rId7" Type="http://schemas.openxmlformats.org/officeDocument/2006/relationships/chart" Target="../charts/chart141.xml"/><Relationship Id="rId8" Type="http://schemas.openxmlformats.org/officeDocument/2006/relationships/chart" Target="../charts/chart142.xml"/><Relationship Id="rId9" Type="http://schemas.openxmlformats.org/officeDocument/2006/relationships/chart" Target="../charts/chart143.xml"/></Relationships>

</file>

<file path=xl/drawings/_rels/drawing63.xml.rels><?xml version="1.0" encoding="UTF-8"?>
<Relationships xmlns="http://schemas.openxmlformats.org/package/2006/relationships"><Relationship Id="rId1" Type="http://schemas.openxmlformats.org/officeDocument/2006/relationships/chart" Target="../charts/chart144.xml"/><Relationship Id="rId2" Type="http://schemas.openxmlformats.org/officeDocument/2006/relationships/image" Target="../media/image33.png"/><Relationship Id="rId3" Type="http://schemas.openxmlformats.org/officeDocument/2006/relationships/image" Target="../media/image34.png"/></Relationships>

</file>

<file path=xl/drawings/_rels/drawing64.xml.rels><?xml version="1.0" encoding="UTF-8"?>
<Relationships xmlns="http://schemas.openxmlformats.org/package/2006/relationships"><Relationship Id="rId1" Type="http://schemas.openxmlformats.org/officeDocument/2006/relationships/chart" Target="../charts/chart145.xml"/><Relationship Id="rId2" Type="http://schemas.openxmlformats.org/officeDocument/2006/relationships/chart" Target="../charts/chart146.xml"/><Relationship Id="rId3" Type="http://schemas.openxmlformats.org/officeDocument/2006/relationships/chart" Target="../charts/chart147.xml"/><Relationship Id="rId4" Type="http://schemas.openxmlformats.org/officeDocument/2006/relationships/chart" Target="../charts/chart148.xml"/><Relationship Id="rId5" Type="http://schemas.openxmlformats.org/officeDocument/2006/relationships/chart" Target="../charts/chart149.xml"/><Relationship Id="rId6" Type="http://schemas.openxmlformats.org/officeDocument/2006/relationships/chart" Target="../charts/chart150.xml"/></Relationships>

</file>

<file path=xl/drawings/_rels/drawing65.xml.rels><?xml version="1.0" encoding="UTF-8"?>
<Relationships xmlns="http://schemas.openxmlformats.org/package/2006/relationships"><Relationship Id="rId1" Type="http://schemas.openxmlformats.org/officeDocument/2006/relationships/chart" Target="../charts/chart151.xml"/><Relationship Id="rId2" Type="http://schemas.openxmlformats.org/officeDocument/2006/relationships/image" Target="../media/image35.png"/><Relationship Id="rId3" Type="http://schemas.openxmlformats.org/officeDocument/2006/relationships/image" Target="../media/image36.png"/></Relationships>

</file>

<file path=xl/drawings/_rels/drawing66.xml.rels><?xml version="1.0" encoding="UTF-8"?>
<Relationships xmlns="http://schemas.openxmlformats.org/package/2006/relationships"><Relationship Id="rId1" Type="http://schemas.openxmlformats.org/officeDocument/2006/relationships/chart" Target="../charts/chart152.xml"/><Relationship Id="rId2" Type="http://schemas.openxmlformats.org/officeDocument/2006/relationships/image" Target="../media/image37.png"/><Relationship Id="rId3" Type="http://schemas.openxmlformats.org/officeDocument/2006/relationships/image" Target="../media/image38.png"/><Relationship Id="rId4" Type="http://schemas.openxmlformats.org/officeDocument/2006/relationships/image" Target="../media/image39.png"/><Relationship Id="rId5" Type="http://schemas.openxmlformats.org/officeDocument/2006/relationships/image" Target="../media/image40.png"/></Relationships>

</file>

<file path=xl/drawings/_rels/drawing67.xml.rels><?xml version="1.0" encoding="UTF-8"?>
<Relationships xmlns="http://schemas.openxmlformats.org/package/2006/relationships"><Relationship Id="rId1" Type="http://schemas.openxmlformats.org/officeDocument/2006/relationships/chart" Target="../charts/chart153.xml"/><Relationship Id="rId2" Type="http://schemas.openxmlformats.org/officeDocument/2006/relationships/chart" Target="../charts/chart154.xml"/><Relationship Id="rId3" Type="http://schemas.openxmlformats.org/officeDocument/2006/relationships/chart" Target="../charts/chart155.xml"/><Relationship Id="rId4" Type="http://schemas.openxmlformats.org/officeDocument/2006/relationships/chart" Target="../charts/chart156.xml"/><Relationship Id="rId5" Type="http://schemas.openxmlformats.org/officeDocument/2006/relationships/chart" Target="../charts/chart157.xml"/><Relationship Id="rId6" Type="http://schemas.openxmlformats.org/officeDocument/2006/relationships/chart" Target="../charts/chart158.xml"/></Relationships>

</file>

<file path=xl/drawings/_rels/drawing68.xml.rels><?xml version="1.0" encoding="UTF-8"?>
<Relationships xmlns="http://schemas.openxmlformats.org/package/2006/relationships"><Relationship Id="rId1" Type="http://schemas.openxmlformats.org/officeDocument/2006/relationships/chart" Target="../charts/chart159.xml"/><Relationship Id="rId2" Type="http://schemas.openxmlformats.org/officeDocument/2006/relationships/chart" Target="../charts/chart160.xml"/><Relationship Id="rId3" Type="http://schemas.openxmlformats.org/officeDocument/2006/relationships/chart" Target="../charts/chart161.xml"/><Relationship Id="rId4" Type="http://schemas.openxmlformats.org/officeDocument/2006/relationships/chart" Target="../charts/chart162.xml"/><Relationship Id="rId5" Type="http://schemas.openxmlformats.org/officeDocument/2006/relationships/chart" Target="../charts/chart163.xml"/><Relationship Id="rId6" Type="http://schemas.openxmlformats.org/officeDocument/2006/relationships/chart" Target="../charts/chart164.xml"/></Relationships>

</file>

<file path=xl/drawings/_rels/drawing69.xml.rels><?xml version="1.0" encoding="UTF-8"?>
<Relationships xmlns="http://schemas.openxmlformats.org/package/2006/relationships"><Relationship Id="rId1" Type="http://schemas.openxmlformats.org/officeDocument/2006/relationships/chart" Target="../charts/chart165.xml"/></Relationships>
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9.xml"/></Relationships>

</file>

<file path=xl/drawings/_rels/drawing70.xml.rels><?xml version="1.0" encoding="UTF-8"?>
<Relationships xmlns="http://schemas.openxmlformats.org/package/2006/relationships"><Relationship Id="rId1" Type="http://schemas.openxmlformats.org/officeDocument/2006/relationships/chart" Target="../charts/chart166.xml"/><Relationship Id="rId2" Type="http://schemas.openxmlformats.org/officeDocument/2006/relationships/image" Target="../media/image41.png"/><Relationship Id="rId3" Type="http://schemas.openxmlformats.org/officeDocument/2006/relationships/image" Target="../media/image42.png"/></Relationships>

</file>

<file path=xl/drawings/_rels/drawing71.xml.rels><?xml version="1.0" encoding="UTF-8"?>
<Relationships xmlns="http://schemas.openxmlformats.org/package/2006/relationships"><Relationship Id="rId1" Type="http://schemas.openxmlformats.org/officeDocument/2006/relationships/chart" Target="../charts/chart167.xml"/></Relationships>

</file>

<file path=xl/drawings/_rels/drawing72.xml.rels><?xml version="1.0" encoding="UTF-8"?>
<Relationships xmlns="http://schemas.openxmlformats.org/package/2006/relationships"><Relationship Id="rId1" Type="http://schemas.openxmlformats.org/officeDocument/2006/relationships/chart" Target="../charts/chart168.xml"/><Relationship Id="rId2" Type="http://schemas.openxmlformats.org/officeDocument/2006/relationships/image" Target="../media/image43.png"/><Relationship Id="rId3" Type="http://schemas.openxmlformats.org/officeDocument/2006/relationships/image" Target="../media/image44.png"/><Relationship Id="rId4" Type="http://schemas.openxmlformats.org/officeDocument/2006/relationships/chart" Target="../charts/chart169.xml"/></Relationships>

</file>

<file path=xl/drawings/_rels/drawing73.xml.rels><?xml version="1.0" encoding="UTF-8"?>
<Relationships xmlns="http://schemas.openxmlformats.org/package/2006/relationships"><Relationship Id="rId1" Type="http://schemas.openxmlformats.org/officeDocument/2006/relationships/chart" Target="../charts/chart170.xml"/></Relationships>

</file>

<file path=xl/drawings/_rels/drawing74.xml.rels><?xml version="1.0" encoding="UTF-8"?>
<Relationships xmlns="http://schemas.openxmlformats.org/package/2006/relationships"><Relationship Id="rId1" Type="http://schemas.openxmlformats.org/officeDocument/2006/relationships/chart" Target="../charts/chart171.xml"/><Relationship Id="rId2" Type="http://schemas.openxmlformats.org/officeDocument/2006/relationships/image" Target="../media/image45.png"/><Relationship Id="rId3" Type="http://schemas.openxmlformats.org/officeDocument/2006/relationships/image" Target="../media/image46.png"/></Relationships>

</file>

<file path=xl/drawings/_rels/drawing75.xml.rels><?xml version="1.0" encoding="UTF-8"?>
<Relationships xmlns="http://schemas.openxmlformats.org/package/2006/relationships"><Relationship Id="rId1" Type="http://schemas.openxmlformats.org/officeDocument/2006/relationships/chart" Target="../charts/chart172.xml"/><Relationship Id="rId2" Type="http://schemas.openxmlformats.org/officeDocument/2006/relationships/image" Target="../media/image47.png"/><Relationship Id="rId3" Type="http://schemas.openxmlformats.org/officeDocument/2006/relationships/image" Target="../media/image48.png"/></Relationships>

</file>

<file path=xl/drawings/_rels/drawing76.xml.rels><?xml version="1.0" encoding="UTF-8"?>
<Relationships xmlns="http://schemas.openxmlformats.org/package/2006/relationships"><Relationship Id="rId1" Type="http://schemas.openxmlformats.org/officeDocument/2006/relationships/chart" Target="../charts/chart173.xml"/><Relationship Id="rId2" Type="http://schemas.openxmlformats.org/officeDocument/2006/relationships/image" Target="../media/image49.png"/><Relationship Id="rId3" Type="http://schemas.openxmlformats.org/officeDocument/2006/relationships/image" Target="../media/image50.png"/></Relationships>

</file>

<file path=xl/drawings/_rels/drawing77.xml.rels><?xml version="1.0" encoding="UTF-8"?>
<Relationships xmlns="http://schemas.openxmlformats.org/package/2006/relationships"><Relationship Id="rId1" Type="http://schemas.openxmlformats.org/officeDocument/2006/relationships/chart" Target="../charts/chart174.xml"/><Relationship Id="rId2" Type="http://schemas.openxmlformats.org/officeDocument/2006/relationships/chart" Target="../charts/chart175.xml"/><Relationship Id="rId3" Type="http://schemas.openxmlformats.org/officeDocument/2006/relationships/image" Target="../media/image51.png"/><Relationship Id="rId4" Type="http://schemas.openxmlformats.org/officeDocument/2006/relationships/image" Target="../media/image52.png"/></Relationships>

</file>

<file path=xl/drawings/_rels/drawing78.xml.rels><?xml version="1.0" encoding="UTF-8"?>
<Relationships xmlns="http://schemas.openxmlformats.org/package/2006/relationships"><Relationship Id="rId1" Type="http://schemas.openxmlformats.org/officeDocument/2006/relationships/chart" Target="../charts/chart176.xml"/><Relationship Id="rId2" Type="http://schemas.openxmlformats.org/officeDocument/2006/relationships/chart" Target="../charts/chart177.xml"/></Relationships>

</file>

<file path=xl/drawings/_rels/drawing79.xml.rels><?xml version="1.0" encoding="UTF-8"?>
<Relationships xmlns="http://schemas.openxmlformats.org/package/2006/relationships"><Relationship Id="rId1" Type="http://schemas.openxmlformats.org/officeDocument/2006/relationships/chart" Target="../charts/chart178.xml"/><Relationship Id="rId2" Type="http://schemas.openxmlformats.org/officeDocument/2006/relationships/chart" Target="../charts/chart179.xml"/></Relationships>
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5.png"/><Relationship Id="rId3" Type="http://schemas.openxmlformats.org/officeDocument/2006/relationships/image" Target="../media/image6.png"/></Relationships>

</file>

<file path=xl/drawings/_rels/drawing80.xml.rels><?xml version="1.0" encoding="UTF-8"?>
<Relationships xmlns="http://schemas.openxmlformats.org/package/2006/relationships"><Relationship Id="rId1" Type="http://schemas.openxmlformats.org/officeDocument/2006/relationships/chart" Target="../charts/chart180.xml"/><Relationship Id="rId2" Type="http://schemas.openxmlformats.org/officeDocument/2006/relationships/image" Target="../media/image53.png"/></Relationships>

</file>

<file path=xl/drawings/_rels/drawing81.xml.rels><?xml version="1.0" encoding="UTF-8"?>
<Relationships xmlns="http://schemas.openxmlformats.org/package/2006/relationships"><Relationship Id="rId1" Type="http://schemas.openxmlformats.org/officeDocument/2006/relationships/chart" Target="../charts/chart181.xml"/></Relationships>

</file>

<file path=xl/drawings/_rels/drawing82.xml.rels><?xml version="1.0" encoding="UTF-8"?>
<Relationships xmlns="http://schemas.openxmlformats.org/package/2006/relationships"><Relationship Id="rId1" Type="http://schemas.openxmlformats.org/officeDocument/2006/relationships/chart" Target="../charts/chart182.xml"/></Relationships>

</file>

<file path=xl/drawings/_rels/drawing83.xml.rels><?xml version="1.0" encoding="UTF-8"?>
<Relationships xmlns="http://schemas.openxmlformats.org/package/2006/relationships"><Relationship Id="rId1" Type="http://schemas.openxmlformats.org/officeDocument/2006/relationships/chart" Target="../charts/chart183.xml"/><Relationship Id="rId2" Type="http://schemas.openxmlformats.org/officeDocument/2006/relationships/image" Target="../media/image54.png"/><Relationship Id="rId3" Type="http://schemas.openxmlformats.org/officeDocument/2006/relationships/image" Target="../media/image55.png"/><Relationship Id="rId4" Type="http://schemas.openxmlformats.org/officeDocument/2006/relationships/chart" Target="../charts/chart184.xml"/></Relationships>

</file>

<file path=xl/drawings/_rels/drawing84.xml.rels><?xml version="1.0" encoding="UTF-8"?>
<Relationships xmlns="http://schemas.openxmlformats.org/package/2006/relationships"><Relationship Id="rId1" Type="http://schemas.openxmlformats.org/officeDocument/2006/relationships/chart" Target="../charts/chart185.xml"/><Relationship Id="rId2" Type="http://schemas.openxmlformats.org/officeDocument/2006/relationships/image" Target="../media/image56.png"/><Relationship Id="rId3" Type="http://schemas.openxmlformats.org/officeDocument/2006/relationships/image" Target="../media/image57.png"/></Relationships>

</file>

<file path=xl/drawings/_rels/drawing85.xml.rels><?xml version="1.0" encoding="UTF-8"?>
<Relationships xmlns="http://schemas.openxmlformats.org/package/2006/relationships"><Relationship Id="rId1" Type="http://schemas.openxmlformats.org/officeDocument/2006/relationships/chart" Target="../charts/chart186.xml"/><Relationship Id="rId2" Type="http://schemas.openxmlformats.org/officeDocument/2006/relationships/chart" Target="../charts/chart187.xml"/></Relationships>

</file>

<file path=xl/drawings/_rels/drawing86.xml.rels><?xml version="1.0" encoding="UTF-8"?>
<Relationships xmlns="http://schemas.openxmlformats.org/package/2006/relationships"><Relationship Id="rId1" Type="http://schemas.openxmlformats.org/officeDocument/2006/relationships/chart" Target="../charts/chart188.xml"/></Relationships>

</file>

<file path=xl/drawings/_rels/drawing87.xml.rels><?xml version="1.0" encoding="UTF-8"?>
<Relationships xmlns="http://schemas.openxmlformats.org/package/2006/relationships"><Relationship Id="rId1" Type="http://schemas.openxmlformats.org/officeDocument/2006/relationships/chart" Target="../charts/chart189.xml"/></Relationships>

</file>

<file path=xl/drawings/_rels/drawing88.xml.rels><?xml version="1.0" encoding="UTF-8"?>
<Relationships xmlns="http://schemas.openxmlformats.org/package/2006/relationships"><Relationship Id="rId1" Type="http://schemas.openxmlformats.org/officeDocument/2006/relationships/chart" Target="../charts/chart190.xml"/></Relationships>

</file>

<file path=xl/drawings/_rels/drawing89.xml.rels><?xml version="1.0" encoding="UTF-8"?>
<Relationships xmlns="http://schemas.openxmlformats.org/package/2006/relationships"><Relationship Id="rId1" Type="http://schemas.openxmlformats.org/officeDocument/2006/relationships/chart" Target="../charts/chart191.xml"/></Relationships>
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
</file>

<file path=xl/drawings/_rels/drawing90.xml.rels><?xml version="1.0" encoding="UTF-8"?>
<Relationships xmlns="http://schemas.openxmlformats.org/package/2006/relationships"><Relationship Id="rId1" Type="http://schemas.openxmlformats.org/officeDocument/2006/relationships/chart" Target="../charts/chart192.xml"/><Relationship Id="rId2" Type="http://schemas.openxmlformats.org/officeDocument/2006/relationships/image" Target="../media/image58.png"/><Relationship Id="rId3" Type="http://schemas.openxmlformats.org/officeDocument/2006/relationships/image" Target="../media/image59.png"/></Relationships>

</file>

<file path=xl/drawings/_rels/drawing91.xml.rels><?xml version="1.0" encoding="UTF-8"?>
<Relationships xmlns="http://schemas.openxmlformats.org/package/2006/relationships"><Relationship Id="rId1" Type="http://schemas.openxmlformats.org/officeDocument/2006/relationships/chart" Target="../charts/chart193.xml"/><Relationship Id="rId2" Type="http://schemas.openxmlformats.org/officeDocument/2006/relationships/image" Target="../media/image60.png"/><Relationship Id="rId3" Type="http://schemas.openxmlformats.org/officeDocument/2006/relationships/image" Target="../media/image61.png"/></Relationships>

</file>

<file path=xl/drawings/_rels/drawing92.xml.rels><?xml version="1.0" encoding="UTF-8"?>
<Relationships xmlns="http://schemas.openxmlformats.org/package/2006/relationships"><Relationship Id="rId1" Type="http://schemas.openxmlformats.org/officeDocument/2006/relationships/chart" Target="../charts/chart194.xml"/><Relationship Id="rId2" Type="http://schemas.openxmlformats.org/officeDocument/2006/relationships/chart" Target="../charts/chart195.xml"/><Relationship Id="rId3" Type="http://schemas.openxmlformats.org/officeDocument/2006/relationships/image" Target="../media/image62.png"/><Relationship Id="rId4" Type="http://schemas.openxmlformats.org/officeDocument/2006/relationships/image" Target="../media/image63.png"/></Relationships>

</file>

<file path=xl/drawings/_rels/drawing93.xml.rels><?xml version="1.0" encoding="UTF-8"?>
<Relationships xmlns="http://schemas.openxmlformats.org/package/2006/relationships"><Relationship Id="rId1" Type="http://schemas.openxmlformats.org/officeDocument/2006/relationships/chart" Target="../charts/chart196.xml"/><Relationship Id="rId2" Type="http://schemas.openxmlformats.org/officeDocument/2006/relationships/image" Target="../media/image64.png"/><Relationship Id="rId3" Type="http://schemas.openxmlformats.org/officeDocument/2006/relationships/image" Target="../media/image65.png"/><Relationship Id="rId4" Type="http://schemas.openxmlformats.org/officeDocument/2006/relationships/chart" Target="../charts/chart197.xml"/></Relationships>

</file>

<file path=xl/drawings/_rels/drawing94.xml.rels><?xml version="1.0" encoding="UTF-8"?>
<Relationships xmlns="http://schemas.openxmlformats.org/package/2006/relationships"><Relationship Id="rId1" Type="http://schemas.openxmlformats.org/officeDocument/2006/relationships/chart" Target="../charts/chart198.xml"/></Relationships>

</file>

<file path=xl/drawings/_rels/drawing95.xml.rels><?xml version="1.0" encoding="UTF-8"?>
<Relationships xmlns="http://schemas.openxmlformats.org/package/2006/relationships"><Relationship Id="rId1" Type="http://schemas.openxmlformats.org/officeDocument/2006/relationships/chart" Target="../charts/chart199.xml"/><Relationship Id="rId2" Type="http://schemas.openxmlformats.org/officeDocument/2006/relationships/chart" Target="../charts/chart200.xml"/><Relationship Id="rId3" Type="http://schemas.openxmlformats.org/officeDocument/2006/relationships/chart" Target="../charts/chart201.xml"/><Relationship Id="rId4" Type="http://schemas.openxmlformats.org/officeDocument/2006/relationships/chart" Target="../charts/chart202.xml"/><Relationship Id="rId5" Type="http://schemas.openxmlformats.org/officeDocument/2006/relationships/chart" Target="../charts/chart203.xml"/><Relationship Id="rId6" Type="http://schemas.openxmlformats.org/officeDocument/2006/relationships/chart" Target="../charts/chart204.xml"/></Relationships>

</file>

<file path=xl/drawings/_rels/drawing96.xml.rels><?xml version="1.0" encoding="UTF-8"?>
<Relationships xmlns="http://schemas.openxmlformats.org/package/2006/relationships"><Relationship Id="rId1" Type="http://schemas.openxmlformats.org/officeDocument/2006/relationships/chart" Target="../charts/chart205.xml"/><Relationship Id="rId2" Type="http://schemas.openxmlformats.org/officeDocument/2006/relationships/chart" Target="../charts/chart206.xml"/></Relationships>

</file>

<file path=xl/drawings/_rels/drawing97.xml.rels><?xml version="1.0" encoding="UTF-8"?>
<Relationships xmlns="http://schemas.openxmlformats.org/package/2006/relationships"><Relationship Id="rId1" Type="http://schemas.openxmlformats.org/officeDocument/2006/relationships/chart" Target="../charts/chart207.xml"/></Relationships>

</file>

<file path=xl/drawings/_rels/drawing98.xml.rels><?xml version="1.0" encoding="UTF-8"?>
<Relationships xmlns="http://schemas.openxmlformats.org/package/2006/relationships"><Relationship Id="rId1" Type="http://schemas.openxmlformats.org/officeDocument/2006/relationships/chart" Target="../charts/chart208.xml"/></Relationships>

</file>

<file path=xl/drawings/_rels/drawing99.xml.rels><?xml version="1.0" encoding="UTF-8"?>
<Relationships xmlns="http://schemas.openxmlformats.org/package/2006/relationships"><Relationship Id="rId1" Type="http://schemas.openxmlformats.org/officeDocument/2006/relationships/chart" Target="../charts/chart209.xml"/><Relationship Id="rId2" Type="http://schemas.openxmlformats.org/officeDocument/2006/relationships/chart" Target="../charts/chart210.xml"/><Relationship Id="rId3" Type="http://schemas.openxmlformats.org/officeDocument/2006/relationships/image" Target="../media/image66.png"/><Relationship Id="rId4" Type="http://schemas.openxmlformats.org/officeDocument/2006/relationships/image" Target="../media/image67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78705</xdr:colOff>
      <xdr:row>49</xdr:row>
      <xdr:rowOff>191937</xdr:rowOff>
    </xdr:from>
    <xdr:to>
      <xdr:col>25</xdr:col>
      <xdr:colOff>666334</xdr:colOff>
      <xdr:row>63</xdr:row>
      <xdr:rowOff>137696</xdr:rowOff>
    </xdr:to>
    <xdr:graphicFrame>
      <xdr:nvGraphicFramePr>
        <xdr:cNvPr id="2" name="2 Axis Chart"/>
        <xdr:cNvGraphicFramePr/>
      </xdr:nvGraphicFramePr>
      <xdr:xfrm>
        <a:off x="17020505" y="12916067"/>
        <a:ext cx="2987930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145380</xdr:colOff>
      <xdr:row>64</xdr:row>
      <xdr:rowOff>206761</xdr:rowOff>
    </xdr:from>
    <xdr:to>
      <xdr:col>25</xdr:col>
      <xdr:colOff>409349</xdr:colOff>
      <xdr:row>78</xdr:row>
      <xdr:rowOff>152520</xdr:rowOff>
    </xdr:to>
    <xdr:graphicFrame>
      <xdr:nvGraphicFramePr>
        <xdr:cNvPr id="3" name="2D Line Chart"/>
        <xdr:cNvGraphicFramePr/>
      </xdr:nvGraphicFramePr>
      <xdr:xfrm>
        <a:off x="17087180" y="16750416"/>
        <a:ext cx="2664270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1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45" name="2 Axis Chart"/>
        <xdr:cNvGraphicFramePr/>
      </xdr:nvGraphicFramePr>
      <xdr:xfrm>
        <a:off x="16879281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694782</xdr:colOff>
      <xdr:row>64</xdr:row>
      <xdr:rowOff>196878</xdr:rowOff>
    </xdr:from>
    <xdr:to>
      <xdr:col>24</xdr:col>
      <xdr:colOff>692859</xdr:colOff>
      <xdr:row>65</xdr:row>
      <xdr:rowOff>81222</xdr:rowOff>
    </xdr:to>
    <xdr:grpSp>
      <xdr:nvGrpSpPr>
        <xdr:cNvPr id="48" name="Drawing"/>
        <xdr:cNvGrpSpPr/>
      </xdr:nvGrpSpPr>
      <xdr:grpSpPr>
        <a:xfrm>
          <a:off x="17636582" y="13684913"/>
          <a:ext cx="1598278" cy="138980"/>
          <a:chOff x="0" y="0"/>
          <a:chExt cx="1598277" cy="138979"/>
        </a:xfrm>
      </xdr:grpSpPr>
      <xdr:sp>
        <xdr:nvSpPr>
          <xdr:cNvPr id="46" name="Line"/>
          <xdr:cNvSpPr/>
        </xdr:nvSpPr>
        <xdr:spPr>
          <a:xfrm>
            <a:off x="0" y="55591"/>
            <a:ext cx="1408333" cy="3088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19440"/>
                </a:moveTo>
                <a:cubicBezTo>
                  <a:pt x="545" y="20520"/>
                  <a:pt x="1089" y="21600"/>
                  <a:pt x="1729" y="21060"/>
                </a:cubicBezTo>
                <a:cubicBezTo>
                  <a:pt x="2368" y="20520"/>
                  <a:pt x="3103" y="18360"/>
                  <a:pt x="3872" y="16200"/>
                </a:cubicBezTo>
                <a:cubicBezTo>
                  <a:pt x="4642" y="14040"/>
                  <a:pt x="5447" y="11880"/>
                  <a:pt x="6193" y="10800"/>
                </a:cubicBezTo>
                <a:cubicBezTo>
                  <a:pt x="6939" y="9720"/>
                  <a:pt x="7626" y="9720"/>
                  <a:pt x="8183" y="11340"/>
                </a:cubicBezTo>
                <a:cubicBezTo>
                  <a:pt x="8739" y="12960"/>
                  <a:pt x="9166" y="16200"/>
                  <a:pt x="9770" y="17280"/>
                </a:cubicBezTo>
                <a:cubicBezTo>
                  <a:pt x="10374" y="18360"/>
                  <a:pt x="11155" y="17280"/>
                  <a:pt x="12032" y="16740"/>
                </a:cubicBezTo>
                <a:cubicBezTo>
                  <a:pt x="12908" y="16200"/>
                  <a:pt x="13879" y="16200"/>
                  <a:pt x="14755" y="16740"/>
                </a:cubicBezTo>
                <a:cubicBezTo>
                  <a:pt x="15632" y="17280"/>
                  <a:pt x="16413" y="18360"/>
                  <a:pt x="17124" y="19440"/>
                </a:cubicBezTo>
                <a:cubicBezTo>
                  <a:pt x="17834" y="20520"/>
                  <a:pt x="18474" y="21600"/>
                  <a:pt x="18983" y="21600"/>
                </a:cubicBezTo>
                <a:cubicBezTo>
                  <a:pt x="19492" y="21600"/>
                  <a:pt x="19871" y="20520"/>
                  <a:pt x="20286" y="16740"/>
                </a:cubicBezTo>
                <a:cubicBezTo>
                  <a:pt x="20700" y="12960"/>
                  <a:pt x="21150" y="6480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7" name="Line"/>
          <xdr:cNvSpPr/>
        </xdr:nvSpPr>
        <xdr:spPr>
          <a:xfrm>
            <a:off x="1362005" y="0"/>
            <a:ext cx="236273" cy="13898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60" h="21600" fill="norm" stroke="1" extrusionOk="0">
                <a:moveTo>
                  <a:pt x="0" y="0"/>
                </a:moveTo>
                <a:cubicBezTo>
                  <a:pt x="4909" y="1920"/>
                  <a:pt x="9818" y="3840"/>
                  <a:pt x="13114" y="5280"/>
                </a:cubicBezTo>
                <a:cubicBezTo>
                  <a:pt x="16410" y="6720"/>
                  <a:pt x="18094" y="7680"/>
                  <a:pt x="19286" y="8280"/>
                </a:cubicBezTo>
                <a:cubicBezTo>
                  <a:pt x="20478" y="8880"/>
                  <a:pt x="21179" y="9120"/>
                  <a:pt x="21390" y="9840"/>
                </a:cubicBezTo>
                <a:cubicBezTo>
                  <a:pt x="21600" y="10560"/>
                  <a:pt x="21320" y="11760"/>
                  <a:pt x="20829" y="12480"/>
                </a:cubicBezTo>
                <a:cubicBezTo>
                  <a:pt x="20338" y="13200"/>
                  <a:pt x="19636" y="13440"/>
                  <a:pt x="17813" y="14640"/>
                </a:cubicBezTo>
                <a:cubicBezTo>
                  <a:pt x="15990" y="15840"/>
                  <a:pt x="13044" y="18000"/>
                  <a:pt x="10870" y="19320"/>
                </a:cubicBezTo>
                <a:cubicBezTo>
                  <a:pt x="8696" y="20640"/>
                  <a:pt x="7294" y="21120"/>
                  <a:pt x="5891" y="2160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  <xdr:twoCellAnchor>
    <xdr:from>
      <xdr:col>27</xdr:col>
      <xdr:colOff>607600</xdr:colOff>
      <xdr:row>44</xdr:row>
      <xdr:rowOff>185967</xdr:rowOff>
    </xdr:from>
    <xdr:to>
      <xdr:col>32</xdr:col>
      <xdr:colOff>32229</xdr:colOff>
      <xdr:row>59</xdr:row>
      <xdr:rowOff>76747</xdr:rowOff>
    </xdr:to>
    <xdr:graphicFrame>
      <xdr:nvGraphicFramePr>
        <xdr:cNvPr id="49" name="2D Line Chart"/>
        <xdr:cNvGraphicFramePr/>
      </xdr:nvGraphicFramePr>
      <xdr:xfrm>
        <a:off x="21549900" y="8481607"/>
        <a:ext cx="3729930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10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309288</xdr:colOff>
      <xdr:row>40</xdr:row>
      <xdr:rowOff>210714</xdr:rowOff>
    </xdr:from>
    <xdr:to>
      <xdr:col>11</xdr:col>
      <xdr:colOff>591800</xdr:colOff>
      <xdr:row>53</xdr:row>
      <xdr:rowOff>237574</xdr:rowOff>
    </xdr:to>
    <xdr:graphicFrame>
      <xdr:nvGraphicFramePr>
        <xdr:cNvPr id="583" name="2D Line Chart"/>
        <xdr:cNvGraphicFramePr/>
      </xdr:nvGraphicFramePr>
      <xdr:xfrm>
        <a:off x="5249588" y="10643129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313193</xdr:colOff>
      <xdr:row>40</xdr:row>
      <xdr:rowOff>210714</xdr:rowOff>
    </xdr:from>
    <xdr:to>
      <xdr:col>16</xdr:col>
      <xdr:colOff>595578</xdr:colOff>
      <xdr:row>53</xdr:row>
      <xdr:rowOff>237574</xdr:rowOff>
    </xdr:to>
    <xdr:graphicFrame>
      <xdr:nvGraphicFramePr>
        <xdr:cNvPr id="584" name="2D Line Chart"/>
        <xdr:cNvGraphicFramePr/>
      </xdr:nvGraphicFramePr>
      <xdr:xfrm>
        <a:off x="9253993" y="10643129"/>
        <a:ext cx="348278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415206</xdr:colOff>
      <xdr:row>54</xdr:row>
      <xdr:rowOff>244016</xdr:rowOff>
    </xdr:from>
    <xdr:to>
      <xdr:col>11</xdr:col>
      <xdr:colOff>591800</xdr:colOff>
      <xdr:row>69</xdr:row>
      <xdr:rowOff>16241</xdr:rowOff>
    </xdr:to>
    <xdr:graphicFrame>
      <xdr:nvGraphicFramePr>
        <xdr:cNvPr id="585" name="2D Line Chart"/>
        <xdr:cNvGraphicFramePr/>
      </xdr:nvGraphicFramePr>
      <xdr:xfrm>
        <a:off x="5355506" y="14241321"/>
        <a:ext cx="337699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309288</xdr:colOff>
      <xdr:row>70</xdr:row>
      <xdr:rowOff>23499</xdr:rowOff>
    </xdr:from>
    <xdr:to>
      <xdr:col>11</xdr:col>
      <xdr:colOff>591800</xdr:colOff>
      <xdr:row>139</xdr:row>
      <xdr:rowOff>54169</xdr:rowOff>
    </xdr:to>
    <xdr:graphicFrame>
      <xdr:nvGraphicFramePr>
        <xdr:cNvPr id="586" name="2D Line Chart"/>
        <xdr:cNvGraphicFramePr/>
      </xdr:nvGraphicFramePr>
      <xdr:xfrm>
        <a:off x="5249588" y="17840329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313066</xdr:colOff>
      <xdr:row>70</xdr:row>
      <xdr:rowOff>23499</xdr:rowOff>
    </xdr:from>
    <xdr:to>
      <xdr:col>16</xdr:col>
      <xdr:colOff>712672</xdr:colOff>
      <xdr:row>139</xdr:row>
      <xdr:rowOff>54169</xdr:rowOff>
    </xdr:to>
    <xdr:graphicFrame>
      <xdr:nvGraphicFramePr>
        <xdr:cNvPr id="587" name="2D Line Chart"/>
        <xdr:cNvGraphicFramePr/>
      </xdr:nvGraphicFramePr>
      <xdr:xfrm>
        <a:off x="9253866" y="17840329"/>
        <a:ext cx="3600007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369581</xdr:colOff>
      <xdr:row>54</xdr:row>
      <xdr:rowOff>244016</xdr:rowOff>
    </xdr:from>
    <xdr:to>
      <xdr:col>16</xdr:col>
      <xdr:colOff>595578</xdr:colOff>
      <xdr:row>69</xdr:row>
      <xdr:rowOff>16241</xdr:rowOff>
    </xdr:to>
    <xdr:graphicFrame>
      <xdr:nvGraphicFramePr>
        <xdr:cNvPr id="588" name="2D Line Chart"/>
        <xdr:cNvGraphicFramePr/>
      </xdr:nvGraphicFramePr>
      <xdr:xfrm>
        <a:off x="9310381" y="14241321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10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590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768166</xdr:colOff>
      <xdr:row>60</xdr:row>
      <xdr:rowOff>191683</xdr:rowOff>
    </xdr:from>
    <xdr:to>
      <xdr:col>30</xdr:col>
      <xdr:colOff>223781</xdr:colOff>
      <xdr:row>74</xdr:row>
      <xdr:rowOff>137442</xdr:rowOff>
    </xdr:to>
    <xdr:graphicFrame>
      <xdr:nvGraphicFramePr>
        <xdr:cNvPr id="591" name="2D Line Chart"/>
        <xdr:cNvGraphicFramePr/>
      </xdr:nvGraphicFramePr>
      <xdr:xfrm>
        <a:off x="20910366" y="12661178"/>
        <a:ext cx="2960816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10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593" name="2 Axis Chart"/>
        <xdr:cNvGraphicFramePr/>
      </xdr:nvGraphicFramePr>
      <xdr:xfrm>
        <a:off x="16879281" y="12661178"/>
        <a:ext cx="324916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482600</xdr:colOff>
      <xdr:row>69</xdr:row>
      <xdr:rowOff>222504</xdr:rowOff>
    </xdr:from>
    <xdr:to>
      <xdr:col>25</xdr:col>
      <xdr:colOff>172001</xdr:colOff>
      <xdr:row>71</xdr:row>
      <xdr:rowOff>206578</xdr:rowOff>
    </xdr:to>
    <xdr:grpSp>
      <xdr:nvGrpSpPr>
        <xdr:cNvPr id="598" name="Drawing"/>
        <xdr:cNvGrpSpPr/>
      </xdr:nvGrpSpPr>
      <xdr:grpSpPr>
        <a:xfrm>
          <a:off x="17424400" y="14983714"/>
          <a:ext cx="2089702" cy="493345"/>
          <a:chOff x="-19050" y="-19050"/>
          <a:chExt cx="2089701" cy="493343"/>
        </a:xfrm>
      </xdr:grpSpPr>
      <xdr:pic>
        <xdr:nvPicPr>
          <xdr:cNvPr id="594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804025" cy="351165"/>
          </a:xfrm>
          <a:prstGeom prst="rect">
            <a:avLst/>
          </a:prstGeom>
          <a:effectLst/>
        </xdr:spPr>
      </xdr:pic>
      <xdr:pic>
        <xdr:nvPicPr>
          <xdr:cNvPr id="596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461166" y="126844"/>
            <a:ext cx="609486" cy="347450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10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600" name="2 Axis Chart"/>
        <xdr:cNvGraphicFramePr/>
      </xdr:nvGraphicFramePr>
      <xdr:xfrm>
        <a:off x="16773363" y="12667820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0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59</xdr:row>
      <xdr:rowOff>191429</xdr:rowOff>
    </xdr:from>
    <xdr:to>
      <xdr:col>26</xdr:col>
      <xdr:colOff>113376</xdr:colOff>
      <xdr:row>73</xdr:row>
      <xdr:rowOff>137187</xdr:rowOff>
    </xdr:to>
    <xdr:graphicFrame>
      <xdr:nvGraphicFramePr>
        <xdr:cNvPr id="602" name="2 Axis Chart"/>
        <xdr:cNvGraphicFramePr/>
      </xdr:nvGraphicFramePr>
      <xdr:xfrm>
        <a:off x="16702751" y="12406289"/>
        <a:ext cx="3552826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464480</xdr:colOff>
      <xdr:row>68</xdr:row>
      <xdr:rowOff>166223</xdr:rowOff>
    </xdr:from>
    <xdr:to>
      <xdr:col>25</xdr:col>
      <xdr:colOff>397733</xdr:colOff>
      <xdr:row>71</xdr:row>
      <xdr:rowOff>133126</xdr:rowOff>
    </xdr:to>
    <xdr:grpSp>
      <xdr:nvGrpSpPr>
        <xdr:cNvPr id="605" name="Drawing"/>
        <xdr:cNvGrpSpPr/>
      </xdr:nvGrpSpPr>
      <xdr:grpSpPr>
        <a:xfrm>
          <a:off x="17406280" y="14672798"/>
          <a:ext cx="2333554" cy="730809"/>
          <a:chOff x="0" y="0"/>
          <a:chExt cx="2333552" cy="730808"/>
        </a:xfrm>
      </xdr:grpSpPr>
      <xdr:sp>
        <xdr:nvSpPr>
          <xdr:cNvPr id="603" name="Line"/>
          <xdr:cNvSpPr/>
        </xdr:nvSpPr>
        <xdr:spPr>
          <a:xfrm>
            <a:off x="0" y="180858"/>
            <a:ext cx="2067963" cy="54995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236" y="21008"/>
                  <a:pt x="472" y="20416"/>
                  <a:pt x="970" y="20318"/>
                </a:cubicBezTo>
                <a:cubicBezTo>
                  <a:pt x="1469" y="20219"/>
                  <a:pt x="2230" y="20614"/>
                  <a:pt x="3154" y="20811"/>
                </a:cubicBezTo>
                <a:cubicBezTo>
                  <a:pt x="4079" y="21008"/>
                  <a:pt x="5167" y="21008"/>
                  <a:pt x="6144" y="20860"/>
                </a:cubicBezTo>
                <a:cubicBezTo>
                  <a:pt x="7121" y="20712"/>
                  <a:pt x="7987" y="20416"/>
                  <a:pt x="8774" y="20096"/>
                </a:cubicBezTo>
                <a:cubicBezTo>
                  <a:pt x="9561" y="19775"/>
                  <a:pt x="10269" y="19430"/>
                  <a:pt x="11030" y="18912"/>
                </a:cubicBezTo>
                <a:cubicBezTo>
                  <a:pt x="11790" y="18395"/>
                  <a:pt x="12603" y="17704"/>
                  <a:pt x="13436" y="16940"/>
                </a:cubicBezTo>
                <a:cubicBezTo>
                  <a:pt x="14269" y="16175"/>
                  <a:pt x="15121" y="15337"/>
                  <a:pt x="15849" y="14203"/>
                </a:cubicBezTo>
                <a:cubicBezTo>
                  <a:pt x="16577" y="13069"/>
                  <a:pt x="17180" y="11638"/>
                  <a:pt x="17784" y="10110"/>
                </a:cubicBezTo>
                <a:cubicBezTo>
                  <a:pt x="18387" y="8581"/>
                  <a:pt x="18990" y="6953"/>
                  <a:pt x="19626" y="5252"/>
                </a:cubicBezTo>
                <a:cubicBezTo>
                  <a:pt x="20262" y="3551"/>
                  <a:pt x="20931" y="1775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04" name="Line"/>
          <xdr:cNvSpPr/>
        </xdr:nvSpPr>
        <xdr:spPr>
          <a:xfrm>
            <a:off x="2037827" y="0"/>
            <a:ext cx="295726" cy="27879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76" h="21316" fill="norm" stroke="1" extrusionOk="0">
                <a:moveTo>
                  <a:pt x="1634" y="4612"/>
                </a:moveTo>
                <a:cubicBezTo>
                  <a:pt x="817" y="4324"/>
                  <a:pt x="0" y="4036"/>
                  <a:pt x="0" y="3892"/>
                </a:cubicBezTo>
                <a:cubicBezTo>
                  <a:pt x="0" y="3748"/>
                  <a:pt x="817" y="3748"/>
                  <a:pt x="4084" y="3268"/>
                </a:cubicBezTo>
                <a:cubicBezTo>
                  <a:pt x="7351" y="2788"/>
                  <a:pt x="13069" y="1828"/>
                  <a:pt x="16472" y="1060"/>
                </a:cubicBezTo>
                <a:cubicBezTo>
                  <a:pt x="19876" y="292"/>
                  <a:pt x="20965" y="-284"/>
                  <a:pt x="21282" y="148"/>
                </a:cubicBezTo>
                <a:cubicBezTo>
                  <a:pt x="21600" y="580"/>
                  <a:pt x="21146" y="2020"/>
                  <a:pt x="19286" y="5380"/>
                </a:cubicBezTo>
                <a:cubicBezTo>
                  <a:pt x="17425" y="8740"/>
                  <a:pt x="14158" y="14020"/>
                  <a:pt x="12025" y="16996"/>
                </a:cubicBezTo>
                <a:cubicBezTo>
                  <a:pt x="9892" y="19972"/>
                  <a:pt x="8894" y="20644"/>
                  <a:pt x="7896" y="21316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0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64</xdr:row>
      <xdr:rowOff>192699</xdr:rowOff>
    </xdr:from>
    <xdr:to>
      <xdr:col>25</xdr:col>
      <xdr:colOff>786349</xdr:colOff>
      <xdr:row>78</xdr:row>
      <xdr:rowOff>138457</xdr:rowOff>
    </xdr:to>
    <xdr:graphicFrame>
      <xdr:nvGraphicFramePr>
        <xdr:cNvPr id="607" name="2 Axis Chart"/>
        <xdr:cNvGraphicFramePr/>
      </xdr:nvGraphicFramePr>
      <xdr:xfrm>
        <a:off x="16949893" y="13680734"/>
        <a:ext cx="3178557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896379</xdr:colOff>
      <xdr:row>64</xdr:row>
      <xdr:rowOff>133397</xdr:rowOff>
    </xdr:from>
    <xdr:to>
      <xdr:col>30</xdr:col>
      <xdr:colOff>196672</xdr:colOff>
      <xdr:row>78</xdr:row>
      <xdr:rowOff>79155</xdr:rowOff>
    </xdr:to>
    <xdr:graphicFrame>
      <xdr:nvGraphicFramePr>
        <xdr:cNvPr id="608" name="2D Line Chart"/>
        <xdr:cNvGraphicFramePr/>
      </xdr:nvGraphicFramePr>
      <xdr:xfrm>
        <a:off x="21038579" y="13621432"/>
        <a:ext cx="280549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548310</xdr:colOff>
      <xdr:row>84</xdr:row>
      <xdr:rowOff>92036</xdr:rowOff>
    </xdr:from>
    <xdr:to>
      <xdr:col>26</xdr:col>
      <xdr:colOff>429105</xdr:colOff>
      <xdr:row>98</xdr:row>
      <xdr:rowOff>14769</xdr:rowOff>
    </xdr:to>
    <xdr:graphicFrame>
      <xdr:nvGraphicFramePr>
        <xdr:cNvPr id="609" name="2 Axis Chart"/>
        <xdr:cNvGraphicFramePr/>
      </xdr:nvGraphicFramePr>
      <xdr:xfrm>
        <a:off x="17490110" y="18672771"/>
        <a:ext cx="3081196" cy="3487624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29</xdr:col>
      <xdr:colOff>345320</xdr:colOff>
      <xdr:row>64</xdr:row>
      <xdr:rowOff>203543</xdr:rowOff>
    </xdr:from>
    <xdr:to>
      <xdr:col>30</xdr:col>
      <xdr:colOff>513438</xdr:colOff>
      <xdr:row>76</xdr:row>
      <xdr:rowOff>138265</xdr:rowOff>
    </xdr:to>
    <xdr:grpSp>
      <xdr:nvGrpSpPr>
        <xdr:cNvPr id="613" name="Drawing"/>
        <xdr:cNvGrpSpPr/>
      </xdr:nvGrpSpPr>
      <xdr:grpSpPr>
        <a:xfrm>
          <a:off x="23306920" y="13691578"/>
          <a:ext cx="853919" cy="2990343"/>
          <a:chOff x="0" y="0"/>
          <a:chExt cx="853918" cy="2990342"/>
        </a:xfrm>
      </xdr:grpSpPr>
      <xdr:sp>
        <xdr:nvSpPr>
          <xdr:cNvPr id="610" name="Line"/>
          <xdr:cNvSpPr/>
        </xdr:nvSpPr>
        <xdr:spPr>
          <a:xfrm>
            <a:off x="610929" y="427440"/>
            <a:ext cx="242990" cy="256290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251" h="21577" fill="norm" stroke="1" extrusionOk="0">
                <a:moveTo>
                  <a:pt x="791" y="205"/>
                </a:moveTo>
                <a:cubicBezTo>
                  <a:pt x="1084" y="106"/>
                  <a:pt x="1378" y="7"/>
                  <a:pt x="1525" y="0"/>
                </a:cubicBezTo>
                <a:cubicBezTo>
                  <a:pt x="1672" y="-7"/>
                  <a:pt x="1672" y="78"/>
                  <a:pt x="2113" y="219"/>
                </a:cubicBezTo>
                <a:cubicBezTo>
                  <a:pt x="2554" y="361"/>
                  <a:pt x="3435" y="559"/>
                  <a:pt x="5052" y="757"/>
                </a:cubicBezTo>
                <a:cubicBezTo>
                  <a:pt x="6668" y="955"/>
                  <a:pt x="9019" y="1153"/>
                  <a:pt x="11150" y="1408"/>
                </a:cubicBezTo>
                <a:cubicBezTo>
                  <a:pt x="13280" y="1662"/>
                  <a:pt x="15191" y="1973"/>
                  <a:pt x="16807" y="2398"/>
                </a:cubicBezTo>
                <a:cubicBezTo>
                  <a:pt x="18423" y="2822"/>
                  <a:pt x="19746" y="3360"/>
                  <a:pt x="20407" y="3862"/>
                </a:cubicBezTo>
                <a:cubicBezTo>
                  <a:pt x="21068" y="4364"/>
                  <a:pt x="21068" y="4831"/>
                  <a:pt x="21068" y="5340"/>
                </a:cubicBezTo>
                <a:cubicBezTo>
                  <a:pt x="21068" y="5849"/>
                  <a:pt x="21068" y="6401"/>
                  <a:pt x="20848" y="6931"/>
                </a:cubicBezTo>
                <a:cubicBezTo>
                  <a:pt x="20627" y="7462"/>
                  <a:pt x="20186" y="7971"/>
                  <a:pt x="19158" y="8438"/>
                </a:cubicBezTo>
                <a:cubicBezTo>
                  <a:pt x="18129" y="8905"/>
                  <a:pt x="16513" y="9329"/>
                  <a:pt x="14382" y="9753"/>
                </a:cubicBezTo>
                <a:cubicBezTo>
                  <a:pt x="12252" y="10178"/>
                  <a:pt x="9607" y="10602"/>
                  <a:pt x="7403" y="10942"/>
                </a:cubicBezTo>
                <a:cubicBezTo>
                  <a:pt x="5199" y="11281"/>
                  <a:pt x="3435" y="11536"/>
                  <a:pt x="2333" y="11698"/>
                </a:cubicBezTo>
                <a:cubicBezTo>
                  <a:pt x="1231" y="11861"/>
                  <a:pt x="791" y="11932"/>
                  <a:pt x="423" y="12002"/>
                </a:cubicBezTo>
                <a:cubicBezTo>
                  <a:pt x="56" y="12073"/>
                  <a:pt x="-238" y="12144"/>
                  <a:pt x="276" y="12165"/>
                </a:cubicBezTo>
                <a:cubicBezTo>
                  <a:pt x="791" y="12186"/>
                  <a:pt x="2113" y="12158"/>
                  <a:pt x="3876" y="12151"/>
                </a:cubicBezTo>
                <a:cubicBezTo>
                  <a:pt x="5640" y="12144"/>
                  <a:pt x="7844" y="12158"/>
                  <a:pt x="9680" y="12193"/>
                </a:cubicBezTo>
                <a:cubicBezTo>
                  <a:pt x="11517" y="12229"/>
                  <a:pt x="12986" y="12285"/>
                  <a:pt x="13868" y="12370"/>
                </a:cubicBezTo>
                <a:cubicBezTo>
                  <a:pt x="14750" y="12455"/>
                  <a:pt x="15044" y="12568"/>
                  <a:pt x="15044" y="12667"/>
                </a:cubicBezTo>
                <a:cubicBezTo>
                  <a:pt x="15044" y="12766"/>
                  <a:pt x="14750" y="12851"/>
                  <a:pt x="13501" y="12964"/>
                </a:cubicBezTo>
                <a:cubicBezTo>
                  <a:pt x="12252" y="13077"/>
                  <a:pt x="10048" y="13219"/>
                  <a:pt x="8652" y="13318"/>
                </a:cubicBezTo>
                <a:cubicBezTo>
                  <a:pt x="7256" y="13417"/>
                  <a:pt x="6668" y="13474"/>
                  <a:pt x="6154" y="13530"/>
                </a:cubicBezTo>
                <a:cubicBezTo>
                  <a:pt x="5640" y="13587"/>
                  <a:pt x="5199" y="13643"/>
                  <a:pt x="5272" y="13693"/>
                </a:cubicBezTo>
                <a:cubicBezTo>
                  <a:pt x="5346" y="13742"/>
                  <a:pt x="5933" y="13785"/>
                  <a:pt x="6815" y="13799"/>
                </a:cubicBezTo>
                <a:cubicBezTo>
                  <a:pt x="7697" y="13813"/>
                  <a:pt x="8872" y="13799"/>
                  <a:pt x="9680" y="13820"/>
                </a:cubicBezTo>
                <a:cubicBezTo>
                  <a:pt x="10489" y="13841"/>
                  <a:pt x="10929" y="13898"/>
                  <a:pt x="11958" y="14089"/>
                </a:cubicBezTo>
                <a:cubicBezTo>
                  <a:pt x="12986" y="14280"/>
                  <a:pt x="14603" y="14605"/>
                  <a:pt x="16072" y="15008"/>
                </a:cubicBezTo>
                <a:cubicBezTo>
                  <a:pt x="17542" y="15411"/>
                  <a:pt x="18864" y="15892"/>
                  <a:pt x="19672" y="16345"/>
                </a:cubicBezTo>
                <a:cubicBezTo>
                  <a:pt x="20480" y="16798"/>
                  <a:pt x="20774" y="17222"/>
                  <a:pt x="20995" y="17632"/>
                </a:cubicBezTo>
                <a:cubicBezTo>
                  <a:pt x="21215" y="18043"/>
                  <a:pt x="21362" y="18439"/>
                  <a:pt x="21142" y="18849"/>
                </a:cubicBezTo>
                <a:cubicBezTo>
                  <a:pt x="20921" y="19259"/>
                  <a:pt x="20333" y="19683"/>
                  <a:pt x="18938" y="20058"/>
                </a:cubicBezTo>
                <a:cubicBezTo>
                  <a:pt x="17542" y="20433"/>
                  <a:pt x="15338" y="20758"/>
                  <a:pt x="13354" y="20992"/>
                </a:cubicBezTo>
                <a:cubicBezTo>
                  <a:pt x="11370" y="21225"/>
                  <a:pt x="9607" y="21367"/>
                  <a:pt x="8284" y="21459"/>
                </a:cubicBezTo>
                <a:cubicBezTo>
                  <a:pt x="6962" y="21551"/>
                  <a:pt x="6080" y="21593"/>
                  <a:pt x="5713" y="21572"/>
                </a:cubicBezTo>
                <a:cubicBezTo>
                  <a:pt x="5346" y="21551"/>
                  <a:pt x="5493" y="21466"/>
                  <a:pt x="5640" y="21381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11" name="Line"/>
          <xdr:cNvSpPr/>
        </xdr:nvSpPr>
        <xdr:spPr>
          <a:xfrm>
            <a:off x="0" y="-1"/>
            <a:ext cx="830971" cy="436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09" h="21512" fill="norm" stroke="1" extrusionOk="0">
                <a:moveTo>
                  <a:pt x="0" y="3636"/>
                </a:moveTo>
                <a:cubicBezTo>
                  <a:pt x="216" y="4464"/>
                  <a:pt x="433" y="5291"/>
                  <a:pt x="758" y="5788"/>
                </a:cubicBezTo>
                <a:cubicBezTo>
                  <a:pt x="1082" y="6284"/>
                  <a:pt x="1515" y="6450"/>
                  <a:pt x="2251" y="5953"/>
                </a:cubicBezTo>
                <a:cubicBezTo>
                  <a:pt x="2987" y="5457"/>
                  <a:pt x="4026" y="4298"/>
                  <a:pt x="5194" y="3181"/>
                </a:cubicBezTo>
                <a:cubicBezTo>
                  <a:pt x="6363" y="2064"/>
                  <a:pt x="7662" y="988"/>
                  <a:pt x="9069" y="450"/>
                </a:cubicBezTo>
                <a:cubicBezTo>
                  <a:pt x="10475" y="-88"/>
                  <a:pt x="11990" y="-88"/>
                  <a:pt x="13440" y="160"/>
                </a:cubicBezTo>
                <a:cubicBezTo>
                  <a:pt x="14891" y="409"/>
                  <a:pt x="16276" y="905"/>
                  <a:pt x="17639" y="1650"/>
                </a:cubicBezTo>
                <a:cubicBezTo>
                  <a:pt x="19003" y="2395"/>
                  <a:pt x="20345" y="3388"/>
                  <a:pt x="20972" y="5043"/>
                </a:cubicBezTo>
                <a:cubicBezTo>
                  <a:pt x="21600" y="6698"/>
                  <a:pt x="21513" y="9015"/>
                  <a:pt x="20951" y="11581"/>
                </a:cubicBezTo>
                <a:cubicBezTo>
                  <a:pt x="20388" y="14146"/>
                  <a:pt x="19349" y="16960"/>
                  <a:pt x="18678" y="18657"/>
                </a:cubicBezTo>
                <a:cubicBezTo>
                  <a:pt x="18007" y="20353"/>
                  <a:pt x="17704" y="20933"/>
                  <a:pt x="17401" y="21512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12" name="Line"/>
          <xdr:cNvSpPr/>
        </xdr:nvSpPr>
        <xdr:spPr>
          <a:xfrm>
            <a:off x="608179" y="290557"/>
            <a:ext cx="233572" cy="26471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49" h="21404" fill="norm" stroke="1" extrusionOk="0">
                <a:moveTo>
                  <a:pt x="1083" y="0"/>
                </a:moveTo>
                <a:cubicBezTo>
                  <a:pt x="1700" y="408"/>
                  <a:pt x="2318" y="815"/>
                  <a:pt x="2626" y="2174"/>
                </a:cubicBezTo>
                <a:cubicBezTo>
                  <a:pt x="2935" y="3532"/>
                  <a:pt x="2935" y="5842"/>
                  <a:pt x="2472" y="8830"/>
                </a:cubicBezTo>
                <a:cubicBezTo>
                  <a:pt x="2009" y="11819"/>
                  <a:pt x="1083" y="15487"/>
                  <a:pt x="543" y="17796"/>
                </a:cubicBezTo>
                <a:cubicBezTo>
                  <a:pt x="3" y="20106"/>
                  <a:pt x="-151" y="21057"/>
                  <a:pt x="158" y="21328"/>
                </a:cubicBezTo>
                <a:cubicBezTo>
                  <a:pt x="466" y="21600"/>
                  <a:pt x="1238" y="21192"/>
                  <a:pt x="3629" y="19223"/>
                </a:cubicBezTo>
                <a:cubicBezTo>
                  <a:pt x="6020" y="17253"/>
                  <a:pt x="10032" y="13721"/>
                  <a:pt x="13272" y="11547"/>
                </a:cubicBezTo>
                <a:cubicBezTo>
                  <a:pt x="16512" y="9374"/>
                  <a:pt x="18980" y="8558"/>
                  <a:pt x="21449" y="7743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0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686213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615" name="2 Axis Chart"/>
        <xdr:cNvGraphicFramePr/>
      </xdr:nvGraphicFramePr>
      <xdr:xfrm>
        <a:off x="16827913" y="12661178"/>
        <a:ext cx="337114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1000552</xdr:colOff>
      <xdr:row>60</xdr:row>
      <xdr:rowOff>191683</xdr:rowOff>
    </xdr:from>
    <xdr:to>
      <xdr:col>30</xdr:col>
      <xdr:colOff>406764</xdr:colOff>
      <xdr:row>74</xdr:row>
      <xdr:rowOff>137442</xdr:rowOff>
    </xdr:to>
    <xdr:graphicFrame>
      <xdr:nvGraphicFramePr>
        <xdr:cNvPr id="616" name="2D Line Chart"/>
        <xdr:cNvGraphicFramePr/>
      </xdr:nvGraphicFramePr>
      <xdr:xfrm>
        <a:off x="21142752" y="12661178"/>
        <a:ext cx="2911413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459576</xdr:colOff>
      <xdr:row>64</xdr:row>
      <xdr:rowOff>192838</xdr:rowOff>
    </xdr:from>
    <xdr:to>
      <xdr:col>25</xdr:col>
      <xdr:colOff>82694</xdr:colOff>
      <xdr:row>66</xdr:row>
      <xdr:rowOff>227634</xdr:rowOff>
    </xdr:to>
    <xdr:grpSp>
      <xdr:nvGrpSpPr>
        <xdr:cNvPr id="619" name="Drawing"/>
        <xdr:cNvGrpSpPr/>
      </xdr:nvGrpSpPr>
      <xdr:grpSpPr>
        <a:xfrm>
          <a:off x="17401376" y="13680873"/>
          <a:ext cx="2023419" cy="544067"/>
          <a:chOff x="0" y="0"/>
          <a:chExt cx="2023417" cy="544065"/>
        </a:xfrm>
      </xdr:grpSpPr>
      <xdr:sp>
        <xdr:nvSpPr>
          <xdr:cNvPr id="617" name="Line"/>
          <xdr:cNvSpPr/>
        </xdr:nvSpPr>
        <xdr:spPr>
          <a:xfrm>
            <a:off x="-1" y="-1"/>
            <a:ext cx="1897741" cy="54406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91" h="21545" fill="norm" stroke="1" extrusionOk="0">
                <a:moveTo>
                  <a:pt x="195" y="1972"/>
                </a:moveTo>
                <a:cubicBezTo>
                  <a:pt x="102" y="2101"/>
                  <a:pt x="10" y="2230"/>
                  <a:pt x="0" y="2197"/>
                </a:cubicBezTo>
                <a:cubicBezTo>
                  <a:pt x="-9" y="2165"/>
                  <a:pt x="65" y="1972"/>
                  <a:pt x="315" y="1617"/>
                </a:cubicBezTo>
                <a:cubicBezTo>
                  <a:pt x="565" y="1263"/>
                  <a:pt x="991" y="747"/>
                  <a:pt x="1464" y="424"/>
                </a:cubicBezTo>
                <a:cubicBezTo>
                  <a:pt x="1936" y="102"/>
                  <a:pt x="2455" y="-27"/>
                  <a:pt x="2964" y="5"/>
                </a:cubicBezTo>
                <a:cubicBezTo>
                  <a:pt x="3474" y="37"/>
                  <a:pt x="3974" y="231"/>
                  <a:pt x="4446" y="360"/>
                </a:cubicBezTo>
                <a:cubicBezTo>
                  <a:pt x="4919" y="489"/>
                  <a:pt x="5363" y="553"/>
                  <a:pt x="5771" y="811"/>
                </a:cubicBezTo>
                <a:cubicBezTo>
                  <a:pt x="6178" y="1069"/>
                  <a:pt x="6549" y="1520"/>
                  <a:pt x="6873" y="1843"/>
                </a:cubicBezTo>
                <a:cubicBezTo>
                  <a:pt x="7197" y="2165"/>
                  <a:pt x="7475" y="2359"/>
                  <a:pt x="7901" y="2971"/>
                </a:cubicBezTo>
                <a:cubicBezTo>
                  <a:pt x="8327" y="3584"/>
                  <a:pt x="8901" y="4615"/>
                  <a:pt x="9420" y="5486"/>
                </a:cubicBezTo>
                <a:cubicBezTo>
                  <a:pt x="9939" y="6356"/>
                  <a:pt x="10402" y="7066"/>
                  <a:pt x="10782" y="7872"/>
                </a:cubicBezTo>
                <a:cubicBezTo>
                  <a:pt x="11161" y="8677"/>
                  <a:pt x="11458" y="9580"/>
                  <a:pt x="11727" y="10451"/>
                </a:cubicBezTo>
                <a:cubicBezTo>
                  <a:pt x="11995" y="11321"/>
                  <a:pt x="12236" y="12159"/>
                  <a:pt x="12458" y="12933"/>
                </a:cubicBezTo>
                <a:cubicBezTo>
                  <a:pt x="12681" y="13707"/>
                  <a:pt x="12884" y="14416"/>
                  <a:pt x="13181" y="15254"/>
                </a:cubicBezTo>
                <a:cubicBezTo>
                  <a:pt x="13477" y="16092"/>
                  <a:pt x="13866" y="17060"/>
                  <a:pt x="14237" y="17866"/>
                </a:cubicBezTo>
                <a:cubicBezTo>
                  <a:pt x="14607" y="18671"/>
                  <a:pt x="14959" y="19316"/>
                  <a:pt x="15283" y="19832"/>
                </a:cubicBezTo>
                <a:cubicBezTo>
                  <a:pt x="15607" y="20348"/>
                  <a:pt x="15904" y="20735"/>
                  <a:pt x="16293" y="21025"/>
                </a:cubicBezTo>
                <a:cubicBezTo>
                  <a:pt x="16682" y="21315"/>
                  <a:pt x="17164" y="21509"/>
                  <a:pt x="17562" y="21541"/>
                </a:cubicBezTo>
                <a:cubicBezTo>
                  <a:pt x="17960" y="21573"/>
                  <a:pt x="18275" y="21444"/>
                  <a:pt x="18571" y="21218"/>
                </a:cubicBezTo>
                <a:cubicBezTo>
                  <a:pt x="18868" y="20993"/>
                  <a:pt x="19146" y="20670"/>
                  <a:pt x="19479" y="20219"/>
                </a:cubicBezTo>
                <a:cubicBezTo>
                  <a:pt x="19813" y="19768"/>
                  <a:pt x="20202" y="19187"/>
                  <a:pt x="20526" y="18672"/>
                </a:cubicBezTo>
                <a:cubicBezTo>
                  <a:pt x="20850" y="18156"/>
                  <a:pt x="21109" y="17704"/>
                  <a:pt x="21276" y="17350"/>
                </a:cubicBezTo>
                <a:cubicBezTo>
                  <a:pt x="21443" y="16995"/>
                  <a:pt x="21517" y="16737"/>
                  <a:pt x="21591" y="16479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18" name="Line"/>
          <xdr:cNvSpPr/>
        </xdr:nvSpPr>
        <xdr:spPr>
          <a:xfrm>
            <a:off x="1873316" y="293584"/>
            <a:ext cx="150102" cy="17985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12" h="21303" fill="norm" stroke="1" extrusionOk="0">
                <a:moveTo>
                  <a:pt x="0" y="4101"/>
                </a:moveTo>
                <a:cubicBezTo>
                  <a:pt x="4645" y="3522"/>
                  <a:pt x="9290" y="2944"/>
                  <a:pt x="12426" y="2365"/>
                </a:cubicBezTo>
                <a:cubicBezTo>
                  <a:pt x="15561" y="1787"/>
                  <a:pt x="17187" y="1208"/>
                  <a:pt x="18581" y="726"/>
                </a:cubicBezTo>
                <a:cubicBezTo>
                  <a:pt x="19974" y="244"/>
                  <a:pt x="21136" y="-142"/>
                  <a:pt x="21368" y="51"/>
                </a:cubicBezTo>
                <a:cubicBezTo>
                  <a:pt x="21600" y="244"/>
                  <a:pt x="20903" y="1015"/>
                  <a:pt x="19394" y="3715"/>
                </a:cubicBezTo>
                <a:cubicBezTo>
                  <a:pt x="17884" y="6415"/>
                  <a:pt x="15561" y="11044"/>
                  <a:pt x="14052" y="13937"/>
                </a:cubicBezTo>
                <a:cubicBezTo>
                  <a:pt x="12542" y="16829"/>
                  <a:pt x="11845" y="17987"/>
                  <a:pt x="11265" y="19047"/>
                </a:cubicBezTo>
                <a:cubicBezTo>
                  <a:pt x="10684" y="20108"/>
                  <a:pt x="10219" y="21072"/>
                  <a:pt x="10103" y="21265"/>
                </a:cubicBezTo>
                <a:cubicBezTo>
                  <a:pt x="9987" y="21458"/>
                  <a:pt x="10219" y="20879"/>
                  <a:pt x="10452" y="20301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0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621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560916</xdr:colOff>
      <xdr:row>64</xdr:row>
      <xdr:rowOff>146595</xdr:rowOff>
    </xdr:from>
    <xdr:to>
      <xdr:col>24</xdr:col>
      <xdr:colOff>776219</xdr:colOff>
      <xdr:row>72</xdr:row>
      <xdr:rowOff>165735</xdr:rowOff>
    </xdr:to>
    <xdr:grpSp>
      <xdr:nvGrpSpPr>
        <xdr:cNvPr id="626" name="Drawing"/>
        <xdr:cNvGrpSpPr/>
      </xdr:nvGrpSpPr>
      <xdr:grpSpPr>
        <a:xfrm>
          <a:off x="17502716" y="13634630"/>
          <a:ext cx="1815504" cy="2056221"/>
          <a:chOff x="-31750" y="-31749"/>
          <a:chExt cx="1815502" cy="2056219"/>
        </a:xfrm>
      </xdr:grpSpPr>
      <xdr:pic>
        <xdr:nvPicPr>
          <xdr:cNvPr id="622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81369"/>
            <a:ext cx="1693334" cy="1943101"/>
          </a:xfrm>
          <a:prstGeom prst="rect">
            <a:avLst/>
          </a:prstGeom>
          <a:effectLst/>
        </xdr:spPr>
      </xdr:pic>
      <xdr:pic>
        <xdr:nvPicPr>
          <xdr:cNvPr id="624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427956" y="-31750"/>
            <a:ext cx="355797" cy="398107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10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23</xdr:col>
      <xdr:colOff>238978</xdr:colOff>
      <xdr:row>60</xdr:row>
      <xdr:rowOff>99721</xdr:rowOff>
    </xdr:from>
    <xdr:to>
      <xdr:col>27</xdr:col>
      <xdr:colOff>640806</xdr:colOff>
      <xdr:row>74</xdr:row>
      <xdr:rowOff>45479</xdr:rowOff>
    </xdr:to>
    <xdr:graphicFrame>
      <xdr:nvGraphicFramePr>
        <xdr:cNvPr id="628" name="2 Axis Chart"/>
        <xdr:cNvGraphicFramePr/>
      </xdr:nvGraphicFramePr>
      <xdr:xfrm>
        <a:off x="17980878" y="12569216"/>
        <a:ext cx="360222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405480</xdr:colOff>
      <xdr:row>62</xdr:row>
      <xdr:rowOff>43941</xdr:rowOff>
    </xdr:from>
    <xdr:to>
      <xdr:col>26</xdr:col>
      <xdr:colOff>407644</xdr:colOff>
      <xdr:row>69</xdr:row>
      <xdr:rowOff>179920</xdr:rowOff>
    </xdr:to>
    <xdr:grpSp>
      <xdr:nvGrpSpPr>
        <xdr:cNvPr id="631" name="Drawing"/>
        <xdr:cNvGrpSpPr/>
      </xdr:nvGrpSpPr>
      <xdr:grpSpPr>
        <a:xfrm>
          <a:off x="18947480" y="13022706"/>
          <a:ext cx="1602365" cy="1918425"/>
          <a:chOff x="0" y="0"/>
          <a:chExt cx="1602364" cy="1918424"/>
        </a:xfrm>
      </xdr:grpSpPr>
      <xdr:sp>
        <xdr:nvSpPr>
          <xdr:cNvPr id="629" name="Line"/>
          <xdr:cNvSpPr/>
        </xdr:nvSpPr>
        <xdr:spPr>
          <a:xfrm>
            <a:off x="-1" y="184235"/>
            <a:ext cx="1494288" cy="173419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9" h="21600" fill="norm" stroke="1" extrusionOk="0">
                <a:moveTo>
                  <a:pt x="136" y="21600"/>
                </a:moveTo>
                <a:cubicBezTo>
                  <a:pt x="57" y="21510"/>
                  <a:pt x="-21" y="21420"/>
                  <a:pt x="5" y="21364"/>
                </a:cubicBezTo>
                <a:cubicBezTo>
                  <a:pt x="31" y="21308"/>
                  <a:pt x="162" y="21285"/>
                  <a:pt x="592" y="21094"/>
                </a:cubicBezTo>
                <a:cubicBezTo>
                  <a:pt x="1022" y="20903"/>
                  <a:pt x="1753" y="20543"/>
                  <a:pt x="2444" y="20115"/>
                </a:cubicBezTo>
                <a:cubicBezTo>
                  <a:pt x="3136" y="19688"/>
                  <a:pt x="3788" y="19193"/>
                  <a:pt x="4453" y="18630"/>
                </a:cubicBezTo>
                <a:cubicBezTo>
                  <a:pt x="5118" y="18068"/>
                  <a:pt x="5796" y="17438"/>
                  <a:pt x="6475" y="16762"/>
                </a:cubicBezTo>
                <a:cubicBezTo>
                  <a:pt x="7153" y="16087"/>
                  <a:pt x="7831" y="15367"/>
                  <a:pt x="8431" y="14749"/>
                </a:cubicBezTo>
                <a:cubicBezTo>
                  <a:pt x="9031" y="14130"/>
                  <a:pt x="9553" y="13613"/>
                  <a:pt x="10075" y="13140"/>
                </a:cubicBezTo>
                <a:cubicBezTo>
                  <a:pt x="10596" y="12668"/>
                  <a:pt x="11118" y="12240"/>
                  <a:pt x="11575" y="11779"/>
                </a:cubicBezTo>
                <a:cubicBezTo>
                  <a:pt x="12031" y="11317"/>
                  <a:pt x="12422" y="10822"/>
                  <a:pt x="12866" y="10282"/>
                </a:cubicBezTo>
                <a:cubicBezTo>
                  <a:pt x="13309" y="9742"/>
                  <a:pt x="13805" y="9157"/>
                  <a:pt x="14314" y="8617"/>
                </a:cubicBezTo>
                <a:cubicBezTo>
                  <a:pt x="14822" y="8077"/>
                  <a:pt x="15344" y="7582"/>
                  <a:pt x="15827" y="7076"/>
                </a:cubicBezTo>
                <a:cubicBezTo>
                  <a:pt x="16309" y="6570"/>
                  <a:pt x="16753" y="6052"/>
                  <a:pt x="17222" y="5456"/>
                </a:cubicBezTo>
                <a:cubicBezTo>
                  <a:pt x="17692" y="4860"/>
                  <a:pt x="18188" y="4185"/>
                  <a:pt x="18644" y="3577"/>
                </a:cubicBezTo>
                <a:cubicBezTo>
                  <a:pt x="19101" y="2970"/>
                  <a:pt x="19518" y="2430"/>
                  <a:pt x="19896" y="1969"/>
                </a:cubicBezTo>
                <a:cubicBezTo>
                  <a:pt x="20275" y="1507"/>
                  <a:pt x="20614" y="1125"/>
                  <a:pt x="20888" y="810"/>
                </a:cubicBezTo>
                <a:cubicBezTo>
                  <a:pt x="21162" y="495"/>
                  <a:pt x="21370" y="247"/>
                  <a:pt x="21579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30" name="Line"/>
          <xdr:cNvSpPr/>
        </xdr:nvSpPr>
        <xdr:spPr>
          <a:xfrm>
            <a:off x="1326729" y="0"/>
            <a:ext cx="275636" cy="34681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263" h="21487" fill="norm" stroke="1" extrusionOk="0">
                <a:moveTo>
                  <a:pt x="2475" y="9064"/>
                </a:moveTo>
                <a:cubicBezTo>
                  <a:pt x="1360" y="8952"/>
                  <a:pt x="245" y="8840"/>
                  <a:pt x="36" y="8561"/>
                </a:cubicBezTo>
                <a:cubicBezTo>
                  <a:pt x="-173" y="8281"/>
                  <a:pt x="524" y="7833"/>
                  <a:pt x="2544" y="6882"/>
                </a:cubicBezTo>
                <a:cubicBezTo>
                  <a:pt x="4565" y="5931"/>
                  <a:pt x="7910" y="4476"/>
                  <a:pt x="10697" y="3300"/>
                </a:cubicBezTo>
                <a:cubicBezTo>
                  <a:pt x="13484" y="2125"/>
                  <a:pt x="15714" y="1230"/>
                  <a:pt x="17177" y="670"/>
                </a:cubicBezTo>
                <a:cubicBezTo>
                  <a:pt x="18640" y="111"/>
                  <a:pt x="19337" y="-113"/>
                  <a:pt x="19824" y="55"/>
                </a:cubicBezTo>
                <a:cubicBezTo>
                  <a:pt x="20312" y="223"/>
                  <a:pt x="20591" y="782"/>
                  <a:pt x="20870" y="1902"/>
                </a:cubicBezTo>
                <a:cubicBezTo>
                  <a:pt x="21148" y="3021"/>
                  <a:pt x="21427" y="4699"/>
                  <a:pt x="21148" y="6882"/>
                </a:cubicBezTo>
                <a:cubicBezTo>
                  <a:pt x="20870" y="9064"/>
                  <a:pt x="20033" y="11750"/>
                  <a:pt x="19267" y="13821"/>
                </a:cubicBezTo>
                <a:cubicBezTo>
                  <a:pt x="18501" y="15891"/>
                  <a:pt x="17804" y="17346"/>
                  <a:pt x="17386" y="18353"/>
                </a:cubicBezTo>
                <a:cubicBezTo>
                  <a:pt x="16968" y="19361"/>
                  <a:pt x="16828" y="19920"/>
                  <a:pt x="17107" y="20368"/>
                </a:cubicBezTo>
                <a:cubicBezTo>
                  <a:pt x="17386" y="20816"/>
                  <a:pt x="18082" y="21151"/>
                  <a:pt x="18779" y="21487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113376</xdr:colOff>
      <xdr:row>74</xdr:row>
      <xdr:rowOff>144083</xdr:rowOff>
    </xdr:to>
    <xdr:graphicFrame>
      <xdr:nvGraphicFramePr>
        <xdr:cNvPr id="51" name="2 Axis Chart"/>
        <xdr:cNvGraphicFramePr/>
      </xdr:nvGraphicFramePr>
      <xdr:xfrm>
        <a:off x="16773363" y="12667820"/>
        <a:ext cx="348221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104872</xdr:colOff>
      <xdr:row>65</xdr:row>
      <xdr:rowOff>23318</xdr:rowOff>
    </xdr:from>
    <xdr:to>
      <xdr:col>25</xdr:col>
      <xdr:colOff>178955</xdr:colOff>
      <xdr:row>67</xdr:row>
      <xdr:rowOff>227476</xdr:rowOff>
    </xdr:to>
    <xdr:grpSp>
      <xdr:nvGrpSpPr>
        <xdr:cNvPr id="54" name="Drawing"/>
        <xdr:cNvGrpSpPr/>
      </xdr:nvGrpSpPr>
      <xdr:grpSpPr>
        <a:xfrm>
          <a:off x="17846772" y="13765988"/>
          <a:ext cx="1674284" cy="713429"/>
          <a:chOff x="0" y="0"/>
          <a:chExt cx="1674282" cy="713428"/>
        </a:xfrm>
      </xdr:grpSpPr>
      <xdr:sp>
        <xdr:nvSpPr>
          <xdr:cNvPr id="52" name="Line"/>
          <xdr:cNvSpPr/>
        </xdr:nvSpPr>
        <xdr:spPr>
          <a:xfrm>
            <a:off x="0" y="-1"/>
            <a:ext cx="1599850" cy="67021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91" h="21582" fill="norm" stroke="1" extrusionOk="0">
                <a:moveTo>
                  <a:pt x="73" y="8125"/>
                </a:moveTo>
                <a:cubicBezTo>
                  <a:pt x="32" y="7881"/>
                  <a:pt x="-9" y="7637"/>
                  <a:pt x="1" y="7345"/>
                </a:cubicBezTo>
                <a:cubicBezTo>
                  <a:pt x="11" y="7052"/>
                  <a:pt x="73" y="6711"/>
                  <a:pt x="257" y="6296"/>
                </a:cubicBezTo>
                <a:cubicBezTo>
                  <a:pt x="441" y="5882"/>
                  <a:pt x="747" y="5394"/>
                  <a:pt x="1146" y="4785"/>
                </a:cubicBezTo>
                <a:cubicBezTo>
                  <a:pt x="1544" y="4175"/>
                  <a:pt x="2035" y="3444"/>
                  <a:pt x="2474" y="2859"/>
                </a:cubicBezTo>
                <a:cubicBezTo>
                  <a:pt x="2913" y="2274"/>
                  <a:pt x="3302" y="1835"/>
                  <a:pt x="3720" y="1518"/>
                </a:cubicBezTo>
                <a:cubicBezTo>
                  <a:pt x="4139" y="1201"/>
                  <a:pt x="4589" y="1006"/>
                  <a:pt x="5090" y="787"/>
                </a:cubicBezTo>
                <a:cubicBezTo>
                  <a:pt x="5590" y="567"/>
                  <a:pt x="6142" y="323"/>
                  <a:pt x="6704" y="177"/>
                </a:cubicBezTo>
                <a:cubicBezTo>
                  <a:pt x="7266" y="31"/>
                  <a:pt x="7838" y="-18"/>
                  <a:pt x="8410" y="6"/>
                </a:cubicBezTo>
                <a:cubicBezTo>
                  <a:pt x="8982" y="31"/>
                  <a:pt x="9555" y="128"/>
                  <a:pt x="10137" y="470"/>
                </a:cubicBezTo>
                <a:cubicBezTo>
                  <a:pt x="10719" y="811"/>
                  <a:pt x="11312" y="1396"/>
                  <a:pt x="11843" y="1981"/>
                </a:cubicBezTo>
                <a:cubicBezTo>
                  <a:pt x="12375" y="2566"/>
                  <a:pt x="12845" y="3151"/>
                  <a:pt x="13325" y="3761"/>
                </a:cubicBezTo>
                <a:cubicBezTo>
                  <a:pt x="13805" y="4370"/>
                  <a:pt x="14296" y="5004"/>
                  <a:pt x="14766" y="5662"/>
                </a:cubicBezTo>
                <a:cubicBezTo>
                  <a:pt x="15236" y="6321"/>
                  <a:pt x="15685" y="7003"/>
                  <a:pt x="16094" y="7710"/>
                </a:cubicBezTo>
                <a:cubicBezTo>
                  <a:pt x="16503" y="8417"/>
                  <a:pt x="16870" y="9149"/>
                  <a:pt x="17310" y="10051"/>
                </a:cubicBezTo>
                <a:cubicBezTo>
                  <a:pt x="17749" y="10953"/>
                  <a:pt x="18260" y="12025"/>
                  <a:pt x="18659" y="12927"/>
                </a:cubicBezTo>
                <a:cubicBezTo>
                  <a:pt x="19057" y="13829"/>
                  <a:pt x="19343" y="14561"/>
                  <a:pt x="19588" y="15365"/>
                </a:cubicBezTo>
                <a:cubicBezTo>
                  <a:pt x="19834" y="16170"/>
                  <a:pt x="20038" y="17047"/>
                  <a:pt x="20201" y="17779"/>
                </a:cubicBezTo>
                <a:cubicBezTo>
                  <a:pt x="20365" y="18510"/>
                  <a:pt x="20488" y="19095"/>
                  <a:pt x="20641" y="19510"/>
                </a:cubicBezTo>
                <a:cubicBezTo>
                  <a:pt x="20794" y="19924"/>
                  <a:pt x="20978" y="20168"/>
                  <a:pt x="21141" y="20485"/>
                </a:cubicBezTo>
                <a:cubicBezTo>
                  <a:pt x="21305" y="20802"/>
                  <a:pt x="21448" y="21192"/>
                  <a:pt x="21591" y="21582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3" name="Line"/>
          <xdr:cNvSpPr/>
        </xdr:nvSpPr>
        <xdr:spPr>
          <a:xfrm>
            <a:off x="1418147" y="465796"/>
            <a:ext cx="256136" cy="24763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93" h="21540" fill="norm" stroke="1" extrusionOk="0">
                <a:moveTo>
                  <a:pt x="0" y="13039"/>
                </a:moveTo>
                <a:cubicBezTo>
                  <a:pt x="2922" y="14224"/>
                  <a:pt x="5845" y="15410"/>
                  <a:pt x="9148" y="16661"/>
                </a:cubicBezTo>
                <a:cubicBezTo>
                  <a:pt x="12452" y="17912"/>
                  <a:pt x="16137" y="19229"/>
                  <a:pt x="18360" y="20151"/>
                </a:cubicBezTo>
                <a:cubicBezTo>
                  <a:pt x="20584" y="21073"/>
                  <a:pt x="21346" y="21600"/>
                  <a:pt x="21473" y="21534"/>
                </a:cubicBezTo>
                <a:cubicBezTo>
                  <a:pt x="21600" y="21468"/>
                  <a:pt x="21092" y="20810"/>
                  <a:pt x="20774" y="18637"/>
                </a:cubicBezTo>
                <a:cubicBezTo>
                  <a:pt x="20457" y="16463"/>
                  <a:pt x="20329" y="12776"/>
                  <a:pt x="20393" y="9417"/>
                </a:cubicBezTo>
                <a:cubicBezTo>
                  <a:pt x="20457" y="6059"/>
                  <a:pt x="20711" y="3029"/>
                  <a:pt x="20965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56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447253</xdr:colOff>
      <xdr:row>64</xdr:row>
      <xdr:rowOff>201353</xdr:rowOff>
    </xdr:from>
    <xdr:to>
      <xdr:col>24</xdr:col>
      <xdr:colOff>737221</xdr:colOff>
      <xdr:row>69</xdr:row>
      <xdr:rowOff>181971</xdr:rowOff>
    </xdr:to>
    <xdr:grpSp>
      <xdr:nvGrpSpPr>
        <xdr:cNvPr id="59" name="Drawing"/>
        <xdr:cNvGrpSpPr/>
      </xdr:nvGrpSpPr>
      <xdr:grpSpPr>
        <a:xfrm>
          <a:off x="17389053" y="13689388"/>
          <a:ext cx="1890169" cy="1253794"/>
          <a:chOff x="0" y="0"/>
          <a:chExt cx="1890167" cy="1253792"/>
        </a:xfrm>
      </xdr:grpSpPr>
      <xdr:sp>
        <xdr:nvSpPr>
          <xdr:cNvPr id="57" name="Line"/>
          <xdr:cNvSpPr/>
        </xdr:nvSpPr>
        <xdr:spPr>
          <a:xfrm>
            <a:off x="0" y="143466"/>
            <a:ext cx="1747536" cy="11103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62" fill="norm" stroke="1" extrusionOk="0">
                <a:moveTo>
                  <a:pt x="0" y="20739"/>
                </a:moveTo>
                <a:cubicBezTo>
                  <a:pt x="163" y="20995"/>
                  <a:pt x="326" y="21251"/>
                  <a:pt x="541" y="21402"/>
                </a:cubicBezTo>
                <a:cubicBezTo>
                  <a:pt x="756" y="21553"/>
                  <a:pt x="1022" y="21600"/>
                  <a:pt x="1363" y="21530"/>
                </a:cubicBezTo>
                <a:cubicBezTo>
                  <a:pt x="1704" y="21460"/>
                  <a:pt x="2119" y="21274"/>
                  <a:pt x="2504" y="21146"/>
                </a:cubicBezTo>
                <a:cubicBezTo>
                  <a:pt x="2889" y="21018"/>
                  <a:pt x="3244" y="20948"/>
                  <a:pt x="3593" y="20844"/>
                </a:cubicBezTo>
                <a:cubicBezTo>
                  <a:pt x="3941" y="20739"/>
                  <a:pt x="4281" y="20599"/>
                  <a:pt x="4696" y="20390"/>
                </a:cubicBezTo>
                <a:cubicBezTo>
                  <a:pt x="5111" y="20180"/>
                  <a:pt x="5600" y="19901"/>
                  <a:pt x="6052" y="19645"/>
                </a:cubicBezTo>
                <a:cubicBezTo>
                  <a:pt x="6504" y="19389"/>
                  <a:pt x="6919" y="19156"/>
                  <a:pt x="7326" y="18900"/>
                </a:cubicBezTo>
                <a:cubicBezTo>
                  <a:pt x="7733" y="18644"/>
                  <a:pt x="8133" y="18365"/>
                  <a:pt x="8526" y="18062"/>
                </a:cubicBezTo>
                <a:cubicBezTo>
                  <a:pt x="8919" y="17759"/>
                  <a:pt x="9304" y="17434"/>
                  <a:pt x="9696" y="17084"/>
                </a:cubicBezTo>
                <a:cubicBezTo>
                  <a:pt x="10089" y="16735"/>
                  <a:pt x="10489" y="16363"/>
                  <a:pt x="10911" y="15956"/>
                </a:cubicBezTo>
                <a:cubicBezTo>
                  <a:pt x="11333" y="15548"/>
                  <a:pt x="11778" y="15106"/>
                  <a:pt x="12119" y="14780"/>
                </a:cubicBezTo>
                <a:cubicBezTo>
                  <a:pt x="12459" y="14454"/>
                  <a:pt x="12696" y="14245"/>
                  <a:pt x="12933" y="13989"/>
                </a:cubicBezTo>
                <a:cubicBezTo>
                  <a:pt x="13170" y="13733"/>
                  <a:pt x="13407" y="13430"/>
                  <a:pt x="13667" y="13093"/>
                </a:cubicBezTo>
                <a:cubicBezTo>
                  <a:pt x="13926" y="12755"/>
                  <a:pt x="14207" y="12383"/>
                  <a:pt x="14519" y="11987"/>
                </a:cubicBezTo>
                <a:cubicBezTo>
                  <a:pt x="14830" y="11591"/>
                  <a:pt x="15170" y="11172"/>
                  <a:pt x="15452" y="10788"/>
                </a:cubicBezTo>
                <a:cubicBezTo>
                  <a:pt x="15733" y="10404"/>
                  <a:pt x="15956" y="10055"/>
                  <a:pt x="16244" y="9613"/>
                </a:cubicBezTo>
                <a:cubicBezTo>
                  <a:pt x="16533" y="9171"/>
                  <a:pt x="16889" y="8635"/>
                  <a:pt x="17156" y="8216"/>
                </a:cubicBezTo>
                <a:cubicBezTo>
                  <a:pt x="17422" y="7797"/>
                  <a:pt x="17600" y="7495"/>
                  <a:pt x="17830" y="7111"/>
                </a:cubicBezTo>
                <a:cubicBezTo>
                  <a:pt x="18059" y="6727"/>
                  <a:pt x="18341" y="6261"/>
                  <a:pt x="18593" y="5842"/>
                </a:cubicBezTo>
                <a:cubicBezTo>
                  <a:pt x="18844" y="5423"/>
                  <a:pt x="19067" y="5051"/>
                  <a:pt x="19304" y="4632"/>
                </a:cubicBezTo>
                <a:cubicBezTo>
                  <a:pt x="19541" y="4213"/>
                  <a:pt x="19793" y="3747"/>
                  <a:pt x="19993" y="3375"/>
                </a:cubicBezTo>
                <a:cubicBezTo>
                  <a:pt x="20193" y="3003"/>
                  <a:pt x="20341" y="2723"/>
                  <a:pt x="20526" y="2316"/>
                </a:cubicBezTo>
                <a:cubicBezTo>
                  <a:pt x="20711" y="1909"/>
                  <a:pt x="20933" y="1373"/>
                  <a:pt x="21119" y="966"/>
                </a:cubicBezTo>
                <a:cubicBezTo>
                  <a:pt x="21304" y="559"/>
                  <a:pt x="21452" y="279"/>
                  <a:pt x="21600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8" name="Line"/>
          <xdr:cNvSpPr/>
        </xdr:nvSpPr>
        <xdr:spPr>
          <a:xfrm>
            <a:off x="1675465" y="0"/>
            <a:ext cx="214703" cy="19380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95" h="21560" fill="norm" stroke="1" extrusionOk="0">
                <a:moveTo>
                  <a:pt x="1095" y="7960"/>
                </a:moveTo>
                <a:cubicBezTo>
                  <a:pt x="495" y="7693"/>
                  <a:pt x="-105" y="7427"/>
                  <a:pt x="15" y="7160"/>
                </a:cubicBezTo>
                <a:cubicBezTo>
                  <a:pt x="135" y="6893"/>
                  <a:pt x="975" y="6627"/>
                  <a:pt x="3015" y="5560"/>
                </a:cubicBezTo>
                <a:cubicBezTo>
                  <a:pt x="5055" y="4493"/>
                  <a:pt x="8295" y="2627"/>
                  <a:pt x="11115" y="1560"/>
                </a:cubicBezTo>
                <a:cubicBezTo>
                  <a:pt x="13935" y="493"/>
                  <a:pt x="16335" y="227"/>
                  <a:pt x="17835" y="93"/>
                </a:cubicBezTo>
                <a:cubicBezTo>
                  <a:pt x="19335" y="-40"/>
                  <a:pt x="19935" y="-40"/>
                  <a:pt x="20475" y="160"/>
                </a:cubicBezTo>
                <a:cubicBezTo>
                  <a:pt x="21015" y="360"/>
                  <a:pt x="21495" y="760"/>
                  <a:pt x="21495" y="1293"/>
                </a:cubicBezTo>
                <a:cubicBezTo>
                  <a:pt x="21495" y="1827"/>
                  <a:pt x="21015" y="2493"/>
                  <a:pt x="19815" y="4560"/>
                </a:cubicBezTo>
                <a:cubicBezTo>
                  <a:pt x="18615" y="6627"/>
                  <a:pt x="16695" y="10093"/>
                  <a:pt x="15075" y="13160"/>
                </a:cubicBezTo>
                <a:cubicBezTo>
                  <a:pt x="13455" y="16227"/>
                  <a:pt x="12135" y="18893"/>
                  <a:pt x="10815" y="2156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23</xdr:col>
      <xdr:colOff>168366</xdr:colOff>
      <xdr:row>60</xdr:row>
      <xdr:rowOff>99721</xdr:rowOff>
    </xdr:from>
    <xdr:to>
      <xdr:col>27</xdr:col>
      <xdr:colOff>640806</xdr:colOff>
      <xdr:row>74</xdr:row>
      <xdr:rowOff>45479</xdr:rowOff>
    </xdr:to>
    <xdr:graphicFrame>
      <xdr:nvGraphicFramePr>
        <xdr:cNvPr id="61" name="2 Axis Chart"/>
        <xdr:cNvGraphicFramePr/>
      </xdr:nvGraphicFramePr>
      <xdr:xfrm>
        <a:off x="17910266" y="12569216"/>
        <a:ext cx="367284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405480</xdr:colOff>
      <xdr:row>62</xdr:row>
      <xdr:rowOff>43941</xdr:rowOff>
    </xdr:from>
    <xdr:to>
      <xdr:col>26</xdr:col>
      <xdr:colOff>407644</xdr:colOff>
      <xdr:row>69</xdr:row>
      <xdr:rowOff>179920</xdr:rowOff>
    </xdr:to>
    <xdr:grpSp>
      <xdr:nvGrpSpPr>
        <xdr:cNvPr id="64" name="Drawing"/>
        <xdr:cNvGrpSpPr/>
      </xdr:nvGrpSpPr>
      <xdr:grpSpPr>
        <a:xfrm>
          <a:off x="18947480" y="13022706"/>
          <a:ext cx="1602365" cy="1918425"/>
          <a:chOff x="0" y="0"/>
          <a:chExt cx="1602364" cy="1918424"/>
        </a:xfrm>
      </xdr:grpSpPr>
      <xdr:sp>
        <xdr:nvSpPr>
          <xdr:cNvPr id="62" name="Line"/>
          <xdr:cNvSpPr/>
        </xdr:nvSpPr>
        <xdr:spPr>
          <a:xfrm>
            <a:off x="-1" y="184235"/>
            <a:ext cx="1494288" cy="173419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9" h="21600" fill="norm" stroke="1" extrusionOk="0">
                <a:moveTo>
                  <a:pt x="136" y="21600"/>
                </a:moveTo>
                <a:cubicBezTo>
                  <a:pt x="57" y="21510"/>
                  <a:pt x="-21" y="21420"/>
                  <a:pt x="5" y="21364"/>
                </a:cubicBezTo>
                <a:cubicBezTo>
                  <a:pt x="31" y="21308"/>
                  <a:pt x="162" y="21285"/>
                  <a:pt x="592" y="21094"/>
                </a:cubicBezTo>
                <a:cubicBezTo>
                  <a:pt x="1022" y="20903"/>
                  <a:pt x="1753" y="20543"/>
                  <a:pt x="2444" y="20115"/>
                </a:cubicBezTo>
                <a:cubicBezTo>
                  <a:pt x="3136" y="19688"/>
                  <a:pt x="3788" y="19193"/>
                  <a:pt x="4453" y="18630"/>
                </a:cubicBezTo>
                <a:cubicBezTo>
                  <a:pt x="5118" y="18068"/>
                  <a:pt x="5796" y="17438"/>
                  <a:pt x="6475" y="16762"/>
                </a:cubicBezTo>
                <a:cubicBezTo>
                  <a:pt x="7153" y="16087"/>
                  <a:pt x="7831" y="15367"/>
                  <a:pt x="8431" y="14749"/>
                </a:cubicBezTo>
                <a:cubicBezTo>
                  <a:pt x="9031" y="14130"/>
                  <a:pt x="9553" y="13613"/>
                  <a:pt x="10075" y="13140"/>
                </a:cubicBezTo>
                <a:cubicBezTo>
                  <a:pt x="10596" y="12668"/>
                  <a:pt x="11118" y="12240"/>
                  <a:pt x="11575" y="11779"/>
                </a:cubicBezTo>
                <a:cubicBezTo>
                  <a:pt x="12031" y="11317"/>
                  <a:pt x="12422" y="10822"/>
                  <a:pt x="12866" y="10282"/>
                </a:cubicBezTo>
                <a:cubicBezTo>
                  <a:pt x="13309" y="9742"/>
                  <a:pt x="13805" y="9157"/>
                  <a:pt x="14314" y="8617"/>
                </a:cubicBezTo>
                <a:cubicBezTo>
                  <a:pt x="14822" y="8077"/>
                  <a:pt x="15344" y="7582"/>
                  <a:pt x="15827" y="7076"/>
                </a:cubicBezTo>
                <a:cubicBezTo>
                  <a:pt x="16309" y="6570"/>
                  <a:pt x="16753" y="6052"/>
                  <a:pt x="17222" y="5456"/>
                </a:cubicBezTo>
                <a:cubicBezTo>
                  <a:pt x="17692" y="4860"/>
                  <a:pt x="18188" y="4185"/>
                  <a:pt x="18644" y="3577"/>
                </a:cubicBezTo>
                <a:cubicBezTo>
                  <a:pt x="19101" y="2970"/>
                  <a:pt x="19518" y="2430"/>
                  <a:pt x="19896" y="1969"/>
                </a:cubicBezTo>
                <a:cubicBezTo>
                  <a:pt x="20275" y="1507"/>
                  <a:pt x="20614" y="1125"/>
                  <a:pt x="20888" y="810"/>
                </a:cubicBezTo>
                <a:cubicBezTo>
                  <a:pt x="21162" y="495"/>
                  <a:pt x="21370" y="247"/>
                  <a:pt x="21579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3" name="Line"/>
          <xdr:cNvSpPr/>
        </xdr:nvSpPr>
        <xdr:spPr>
          <a:xfrm>
            <a:off x="1326729" y="0"/>
            <a:ext cx="275636" cy="34681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263" h="21487" fill="norm" stroke="1" extrusionOk="0">
                <a:moveTo>
                  <a:pt x="2475" y="9064"/>
                </a:moveTo>
                <a:cubicBezTo>
                  <a:pt x="1360" y="8952"/>
                  <a:pt x="245" y="8840"/>
                  <a:pt x="36" y="8561"/>
                </a:cubicBezTo>
                <a:cubicBezTo>
                  <a:pt x="-173" y="8281"/>
                  <a:pt x="524" y="7833"/>
                  <a:pt x="2544" y="6882"/>
                </a:cubicBezTo>
                <a:cubicBezTo>
                  <a:pt x="4565" y="5931"/>
                  <a:pt x="7910" y="4476"/>
                  <a:pt x="10697" y="3300"/>
                </a:cubicBezTo>
                <a:cubicBezTo>
                  <a:pt x="13484" y="2125"/>
                  <a:pt x="15714" y="1230"/>
                  <a:pt x="17177" y="670"/>
                </a:cubicBezTo>
                <a:cubicBezTo>
                  <a:pt x="18640" y="111"/>
                  <a:pt x="19337" y="-113"/>
                  <a:pt x="19824" y="55"/>
                </a:cubicBezTo>
                <a:cubicBezTo>
                  <a:pt x="20312" y="223"/>
                  <a:pt x="20591" y="782"/>
                  <a:pt x="20870" y="1902"/>
                </a:cubicBezTo>
                <a:cubicBezTo>
                  <a:pt x="21148" y="3021"/>
                  <a:pt x="21427" y="4699"/>
                  <a:pt x="21148" y="6882"/>
                </a:cubicBezTo>
                <a:cubicBezTo>
                  <a:pt x="20870" y="9064"/>
                  <a:pt x="20033" y="11750"/>
                  <a:pt x="19267" y="13821"/>
                </a:cubicBezTo>
                <a:cubicBezTo>
                  <a:pt x="18501" y="15891"/>
                  <a:pt x="17804" y="17346"/>
                  <a:pt x="17386" y="18353"/>
                </a:cubicBezTo>
                <a:cubicBezTo>
                  <a:pt x="16968" y="19361"/>
                  <a:pt x="16828" y="19920"/>
                  <a:pt x="17107" y="20368"/>
                </a:cubicBezTo>
                <a:cubicBezTo>
                  <a:pt x="17386" y="20816"/>
                  <a:pt x="18082" y="21151"/>
                  <a:pt x="18779" y="21487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  <xdr:twoCellAnchor>
    <xdr:from>
      <xdr:col>30</xdr:col>
      <xdr:colOff>129049</xdr:colOff>
      <xdr:row>42</xdr:row>
      <xdr:rowOff>185487</xdr:rowOff>
    </xdr:from>
    <xdr:to>
      <xdr:col>34</xdr:col>
      <xdr:colOff>364683</xdr:colOff>
      <xdr:row>56</xdr:row>
      <xdr:rowOff>182058</xdr:rowOff>
    </xdr:to>
    <xdr:graphicFrame>
      <xdr:nvGraphicFramePr>
        <xdr:cNvPr id="65" name="2D Line Chart"/>
        <xdr:cNvGraphicFramePr/>
      </xdr:nvGraphicFramePr>
      <xdr:xfrm>
        <a:off x="24119349" y="7971857"/>
        <a:ext cx="2978835" cy="366115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1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23</xdr:col>
      <xdr:colOff>238978</xdr:colOff>
      <xdr:row>60</xdr:row>
      <xdr:rowOff>99721</xdr:rowOff>
    </xdr:from>
    <xdr:to>
      <xdr:col>27</xdr:col>
      <xdr:colOff>464276</xdr:colOff>
      <xdr:row>74</xdr:row>
      <xdr:rowOff>45479</xdr:rowOff>
    </xdr:to>
    <xdr:graphicFrame>
      <xdr:nvGraphicFramePr>
        <xdr:cNvPr id="67" name="2 Axis Chart"/>
        <xdr:cNvGraphicFramePr/>
      </xdr:nvGraphicFramePr>
      <xdr:xfrm>
        <a:off x="17980878" y="12569216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405480</xdr:colOff>
      <xdr:row>62</xdr:row>
      <xdr:rowOff>43941</xdr:rowOff>
    </xdr:from>
    <xdr:to>
      <xdr:col>26</xdr:col>
      <xdr:colOff>407644</xdr:colOff>
      <xdr:row>69</xdr:row>
      <xdr:rowOff>179920</xdr:rowOff>
    </xdr:to>
    <xdr:grpSp>
      <xdr:nvGrpSpPr>
        <xdr:cNvPr id="70" name="Drawing"/>
        <xdr:cNvGrpSpPr/>
      </xdr:nvGrpSpPr>
      <xdr:grpSpPr>
        <a:xfrm>
          <a:off x="18947480" y="13022706"/>
          <a:ext cx="1602365" cy="1918425"/>
          <a:chOff x="0" y="0"/>
          <a:chExt cx="1602364" cy="1918424"/>
        </a:xfrm>
      </xdr:grpSpPr>
      <xdr:sp>
        <xdr:nvSpPr>
          <xdr:cNvPr id="68" name="Line"/>
          <xdr:cNvSpPr/>
        </xdr:nvSpPr>
        <xdr:spPr>
          <a:xfrm>
            <a:off x="-1" y="184235"/>
            <a:ext cx="1494288" cy="173419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9" h="21600" fill="norm" stroke="1" extrusionOk="0">
                <a:moveTo>
                  <a:pt x="136" y="21600"/>
                </a:moveTo>
                <a:cubicBezTo>
                  <a:pt x="57" y="21510"/>
                  <a:pt x="-21" y="21420"/>
                  <a:pt x="5" y="21364"/>
                </a:cubicBezTo>
                <a:cubicBezTo>
                  <a:pt x="31" y="21308"/>
                  <a:pt x="162" y="21285"/>
                  <a:pt x="592" y="21094"/>
                </a:cubicBezTo>
                <a:cubicBezTo>
                  <a:pt x="1022" y="20903"/>
                  <a:pt x="1753" y="20543"/>
                  <a:pt x="2444" y="20115"/>
                </a:cubicBezTo>
                <a:cubicBezTo>
                  <a:pt x="3136" y="19688"/>
                  <a:pt x="3788" y="19193"/>
                  <a:pt x="4453" y="18630"/>
                </a:cubicBezTo>
                <a:cubicBezTo>
                  <a:pt x="5118" y="18068"/>
                  <a:pt x="5796" y="17438"/>
                  <a:pt x="6475" y="16762"/>
                </a:cubicBezTo>
                <a:cubicBezTo>
                  <a:pt x="7153" y="16087"/>
                  <a:pt x="7831" y="15367"/>
                  <a:pt x="8431" y="14749"/>
                </a:cubicBezTo>
                <a:cubicBezTo>
                  <a:pt x="9031" y="14130"/>
                  <a:pt x="9553" y="13613"/>
                  <a:pt x="10075" y="13140"/>
                </a:cubicBezTo>
                <a:cubicBezTo>
                  <a:pt x="10596" y="12668"/>
                  <a:pt x="11118" y="12240"/>
                  <a:pt x="11575" y="11779"/>
                </a:cubicBezTo>
                <a:cubicBezTo>
                  <a:pt x="12031" y="11317"/>
                  <a:pt x="12422" y="10822"/>
                  <a:pt x="12866" y="10282"/>
                </a:cubicBezTo>
                <a:cubicBezTo>
                  <a:pt x="13309" y="9742"/>
                  <a:pt x="13805" y="9157"/>
                  <a:pt x="14314" y="8617"/>
                </a:cubicBezTo>
                <a:cubicBezTo>
                  <a:pt x="14822" y="8077"/>
                  <a:pt x="15344" y="7582"/>
                  <a:pt x="15827" y="7076"/>
                </a:cubicBezTo>
                <a:cubicBezTo>
                  <a:pt x="16309" y="6570"/>
                  <a:pt x="16753" y="6052"/>
                  <a:pt x="17222" y="5456"/>
                </a:cubicBezTo>
                <a:cubicBezTo>
                  <a:pt x="17692" y="4860"/>
                  <a:pt x="18188" y="4185"/>
                  <a:pt x="18644" y="3577"/>
                </a:cubicBezTo>
                <a:cubicBezTo>
                  <a:pt x="19101" y="2970"/>
                  <a:pt x="19518" y="2430"/>
                  <a:pt x="19896" y="1969"/>
                </a:cubicBezTo>
                <a:cubicBezTo>
                  <a:pt x="20275" y="1507"/>
                  <a:pt x="20614" y="1125"/>
                  <a:pt x="20888" y="810"/>
                </a:cubicBezTo>
                <a:cubicBezTo>
                  <a:pt x="21162" y="495"/>
                  <a:pt x="21370" y="247"/>
                  <a:pt x="21579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9" name="Line"/>
          <xdr:cNvSpPr/>
        </xdr:nvSpPr>
        <xdr:spPr>
          <a:xfrm>
            <a:off x="1326729" y="0"/>
            <a:ext cx="275636" cy="34681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263" h="21487" fill="norm" stroke="1" extrusionOk="0">
                <a:moveTo>
                  <a:pt x="2475" y="9064"/>
                </a:moveTo>
                <a:cubicBezTo>
                  <a:pt x="1360" y="8952"/>
                  <a:pt x="245" y="8840"/>
                  <a:pt x="36" y="8561"/>
                </a:cubicBezTo>
                <a:cubicBezTo>
                  <a:pt x="-173" y="8281"/>
                  <a:pt x="524" y="7833"/>
                  <a:pt x="2544" y="6882"/>
                </a:cubicBezTo>
                <a:cubicBezTo>
                  <a:pt x="4565" y="5931"/>
                  <a:pt x="7910" y="4476"/>
                  <a:pt x="10697" y="3300"/>
                </a:cubicBezTo>
                <a:cubicBezTo>
                  <a:pt x="13484" y="2125"/>
                  <a:pt x="15714" y="1230"/>
                  <a:pt x="17177" y="670"/>
                </a:cubicBezTo>
                <a:cubicBezTo>
                  <a:pt x="18640" y="111"/>
                  <a:pt x="19337" y="-113"/>
                  <a:pt x="19824" y="55"/>
                </a:cubicBezTo>
                <a:cubicBezTo>
                  <a:pt x="20312" y="223"/>
                  <a:pt x="20591" y="782"/>
                  <a:pt x="20870" y="1902"/>
                </a:cubicBezTo>
                <a:cubicBezTo>
                  <a:pt x="21148" y="3021"/>
                  <a:pt x="21427" y="4699"/>
                  <a:pt x="21148" y="6882"/>
                </a:cubicBezTo>
                <a:cubicBezTo>
                  <a:pt x="20870" y="9064"/>
                  <a:pt x="20033" y="11750"/>
                  <a:pt x="19267" y="13821"/>
                </a:cubicBezTo>
                <a:cubicBezTo>
                  <a:pt x="18501" y="15891"/>
                  <a:pt x="17804" y="17346"/>
                  <a:pt x="17386" y="18353"/>
                </a:cubicBezTo>
                <a:cubicBezTo>
                  <a:pt x="16968" y="19361"/>
                  <a:pt x="16828" y="19920"/>
                  <a:pt x="17107" y="20368"/>
                </a:cubicBezTo>
                <a:cubicBezTo>
                  <a:pt x="17386" y="20816"/>
                  <a:pt x="18082" y="21151"/>
                  <a:pt x="18779" y="21487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1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20</xdr:col>
      <xdr:colOff>559506</xdr:colOff>
      <xdr:row>38</xdr:row>
      <xdr:rowOff>32540</xdr:rowOff>
    </xdr:from>
    <xdr:to>
      <xdr:col>25</xdr:col>
      <xdr:colOff>41918</xdr:colOff>
      <xdr:row>51</xdr:row>
      <xdr:rowOff>59401</xdr:rowOff>
    </xdr:to>
    <xdr:graphicFrame>
      <xdr:nvGraphicFramePr>
        <xdr:cNvPr id="72" name="2D Line Chart"/>
        <xdr:cNvGraphicFramePr/>
      </xdr:nvGraphicFramePr>
      <xdr:xfrm>
        <a:off x="15901106" y="9955685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25</xdr:col>
      <xdr:colOff>612814</xdr:colOff>
      <xdr:row>38</xdr:row>
      <xdr:rowOff>32540</xdr:rowOff>
    </xdr:from>
    <xdr:to>
      <xdr:col>29</xdr:col>
      <xdr:colOff>312396</xdr:colOff>
      <xdr:row>51</xdr:row>
      <xdr:rowOff>59401</xdr:rowOff>
    </xdr:to>
    <xdr:graphicFrame>
      <xdr:nvGraphicFramePr>
        <xdr:cNvPr id="73" name="2D Line Chart"/>
        <xdr:cNvGraphicFramePr/>
      </xdr:nvGraphicFramePr>
      <xdr:xfrm>
        <a:off x="19954914" y="9955685"/>
        <a:ext cx="343338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20</xdr:col>
      <xdr:colOff>510103</xdr:colOff>
      <xdr:row>52</xdr:row>
      <xdr:rowOff>66252</xdr:rowOff>
    </xdr:from>
    <xdr:to>
      <xdr:col>25</xdr:col>
      <xdr:colOff>41918</xdr:colOff>
      <xdr:row>65</xdr:row>
      <xdr:rowOff>93112</xdr:rowOff>
    </xdr:to>
    <xdr:graphicFrame>
      <xdr:nvGraphicFramePr>
        <xdr:cNvPr id="74" name="2D Line Chart"/>
        <xdr:cNvGraphicFramePr/>
      </xdr:nvGraphicFramePr>
      <xdr:xfrm>
        <a:off x="15851703" y="13554287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20</xdr:col>
      <xdr:colOff>559506</xdr:colOff>
      <xdr:row>66</xdr:row>
      <xdr:rowOff>92928</xdr:rowOff>
    </xdr:from>
    <xdr:to>
      <xdr:col>25</xdr:col>
      <xdr:colOff>41918</xdr:colOff>
      <xdr:row>79</xdr:row>
      <xdr:rowOff>119789</xdr:rowOff>
    </xdr:to>
    <xdr:graphicFrame>
      <xdr:nvGraphicFramePr>
        <xdr:cNvPr id="75" name="2D Line Chart"/>
        <xdr:cNvGraphicFramePr/>
      </xdr:nvGraphicFramePr>
      <xdr:xfrm>
        <a:off x="15901106" y="17145853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25</xdr:col>
      <xdr:colOff>563284</xdr:colOff>
      <xdr:row>66</xdr:row>
      <xdr:rowOff>99962</xdr:rowOff>
    </xdr:from>
    <xdr:to>
      <xdr:col>29</xdr:col>
      <xdr:colOff>429490</xdr:colOff>
      <xdr:row>79</xdr:row>
      <xdr:rowOff>126823</xdr:rowOff>
    </xdr:to>
    <xdr:graphicFrame>
      <xdr:nvGraphicFramePr>
        <xdr:cNvPr id="76" name="2D Line Chart"/>
        <xdr:cNvGraphicFramePr/>
      </xdr:nvGraphicFramePr>
      <xdr:xfrm>
        <a:off x="19905384" y="17152887"/>
        <a:ext cx="3600007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25</xdr:col>
      <xdr:colOff>297188</xdr:colOff>
      <xdr:row>52</xdr:row>
      <xdr:rowOff>66252</xdr:rowOff>
    </xdr:from>
    <xdr:to>
      <xdr:col>30</xdr:col>
      <xdr:colOff>9787</xdr:colOff>
      <xdr:row>65</xdr:row>
      <xdr:rowOff>93112</xdr:rowOff>
    </xdr:to>
    <xdr:graphicFrame>
      <xdr:nvGraphicFramePr>
        <xdr:cNvPr id="77" name="2 Axis Chart"/>
        <xdr:cNvGraphicFramePr/>
      </xdr:nvGraphicFramePr>
      <xdr:xfrm>
        <a:off x="19639288" y="13554287"/>
        <a:ext cx="4132200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32</xdr:col>
      <xdr:colOff>17035</xdr:colOff>
      <xdr:row>21</xdr:row>
      <xdr:rowOff>178730</xdr:rowOff>
    </xdr:from>
    <xdr:to>
      <xdr:col>37</xdr:col>
      <xdr:colOff>33817</xdr:colOff>
      <xdr:row>36</xdr:row>
      <xdr:rowOff>69510</xdr:rowOff>
    </xdr:to>
    <xdr:graphicFrame>
      <xdr:nvGraphicFramePr>
        <xdr:cNvPr id="78" name="2D Line Chart"/>
        <xdr:cNvGraphicFramePr/>
      </xdr:nvGraphicFramePr>
      <xdr:xfrm>
        <a:off x="25150335" y="5673385"/>
        <a:ext cx="3445783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37</xdr:col>
      <xdr:colOff>295260</xdr:colOff>
      <xdr:row>21</xdr:row>
      <xdr:rowOff>178730</xdr:rowOff>
    </xdr:from>
    <xdr:to>
      <xdr:col>42</xdr:col>
      <xdr:colOff>102051</xdr:colOff>
      <xdr:row>36</xdr:row>
      <xdr:rowOff>69510</xdr:rowOff>
    </xdr:to>
    <xdr:graphicFrame>
      <xdr:nvGraphicFramePr>
        <xdr:cNvPr id="79" name="2D Line Chart"/>
        <xdr:cNvGraphicFramePr/>
      </xdr:nvGraphicFramePr>
      <xdr:xfrm>
        <a:off x="28857560" y="5673385"/>
        <a:ext cx="3235792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</xdr:wsDr>
</file>

<file path=xl/drawings/drawing1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81" name="2 Axis Chart"/>
        <xdr:cNvGraphicFramePr/>
      </xdr:nvGraphicFramePr>
      <xdr:xfrm>
        <a:off x="16949893" y="12661178"/>
        <a:ext cx="335508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745674</xdr:colOff>
      <xdr:row>60</xdr:row>
      <xdr:rowOff>191683</xdr:rowOff>
    </xdr:from>
    <xdr:to>
      <xdr:col>29</xdr:col>
      <xdr:colOff>1327397</xdr:colOff>
      <xdr:row>74</xdr:row>
      <xdr:rowOff>137442</xdr:rowOff>
    </xdr:to>
    <xdr:graphicFrame>
      <xdr:nvGraphicFramePr>
        <xdr:cNvPr id="82" name="2D Line Chart"/>
        <xdr:cNvGraphicFramePr/>
      </xdr:nvGraphicFramePr>
      <xdr:xfrm>
        <a:off x="20887874" y="12661178"/>
        <a:ext cx="298202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436395</xdr:colOff>
      <xdr:row>64</xdr:row>
      <xdr:rowOff>223307</xdr:rowOff>
    </xdr:from>
    <xdr:to>
      <xdr:col>25</xdr:col>
      <xdr:colOff>93459</xdr:colOff>
      <xdr:row>67</xdr:row>
      <xdr:rowOff>87556</xdr:rowOff>
    </xdr:to>
    <xdr:grpSp>
      <xdr:nvGrpSpPr>
        <xdr:cNvPr id="87" name="Drawing"/>
        <xdr:cNvGrpSpPr/>
      </xdr:nvGrpSpPr>
      <xdr:grpSpPr>
        <a:xfrm>
          <a:off x="17378195" y="13711342"/>
          <a:ext cx="2057365" cy="628155"/>
          <a:chOff x="-31750" y="-31750"/>
          <a:chExt cx="2057363" cy="628153"/>
        </a:xfrm>
      </xdr:grpSpPr>
      <xdr:pic>
        <xdr:nvPicPr>
          <xdr:cNvPr id="83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63343"/>
            <a:ext cx="1946376" cy="533061"/>
          </a:xfrm>
          <a:prstGeom prst="rect">
            <a:avLst/>
          </a:prstGeom>
          <a:effectLst/>
        </xdr:spPr>
      </xdr:pic>
      <xdr:pic>
        <xdr:nvPicPr>
          <xdr:cNvPr id="85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744620" y="-31750"/>
            <a:ext cx="280994" cy="261296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1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89" name="2 Axis Chart"/>
        <xdr:cNvGraphicFramePr/>
      </xdr:nvGraphicFramePr>
      <xdr:xfrm>
        <a:off x="16773363" y="12661178"/>
        <a:ext cx="348221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1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91" name="2 Axis Chart"/>
        <xdr:cNvGraphicFramePr/>
      </xdr:nvGraphicFramePr>
      <xdr:xfrm>
        <a:off x="16949893" y="12661178"/>
        <a:ext cx="324916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293109</xdr:colOff>
      <xdr:row>63</xdr:row>
      <xdr:rowOff>164949</xdr:rowOff>
    </xdr:from>
    <xdr:to>
      <xdr:col>25</xdr:col>
      <xdr:colOff>540347</xdr:colOff>
      <xdr:row>65</xdr:row>
      <xdr:rowOff>67754</xdr:rowOff>
    </xdr:to>
    <xdr:sp>
      <xdr:nvSpPr>
        <xdr:cNvPr id="92" name="Drawing"/>
        <xdr:cNvSpPr/>
      </xdr:nvSpPr>
      <xdr:spPr>
        <a:xfrm>
          <a:off x="18835109" y="13398349"/>
          <a:ext cx="1047339" cy="412076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497" h="21444" fill="norm" stroke="1" extrusionOk="0">
              <a:moveTo>
                <a:pt x="13422" y="1277"/>
              </a:moveTo>
              <a:cubicBezTo>
                <a:pt x="12127" y="768"/>
                <a:pt x="10832" y="259"/>
                <a:pt x="9473" y="74"/>
              </a:cubicBezTo>
              <a:cubicBezTo>
                <a:pt x="8114" y="-111"/>
                <a:pt x="6691" y="28"/>
                <a:pt x="5414" y="745"/>
              </a:cubicBezTo>
              <a:cubicBezTo>
                <a:pt x="4137" y="1462"/>
                <a:pt x="3006" y="2757"/>
                <a:pt x="2121" y="4352"/>
              </a:cubicBezTo>
              <a:cubicBezTo>
                <a:pt x="1236" y="5948"/>
                <a:pt x="598" y="7844"/>
                <a:pt x="278" y="9718"/>
              </a:cubicBezTo>
              <a:cubicBezTo>
                <a:pt x="-41" y="11591"/>
                <a:pt x="-41" y="13441"/>
                <a:pt x="59" y="14829"/>
              </a:cubicBezTo>
              <a:cubicBezTo>
                <a:pt x="160" y="16216"/>
                <a:pt x="360" y="17141"/>
                <a:pt x="990" y="17766"/>
              </a:cubicBezTo>
              <a:cubicBezTo>
                <a:pt x="1619" y="18390"/>
                <a:pt x="2677" y="18714"/>
                <a:pt x="3954" y="19130"/>
              </a:cubicBezTo>
              <a:cubicBezTo>
                <a:pt x="5231" y="19546"/>
                <a:pt x="6727" y="20055"/>
                <a:pt x="8132" y="20448"/>
              </a:cubicBezTo>
              <a:cubicBezTo>
                <a:pt x="9537" y="20841"/>
                <a:pt x="10850" y="21119"/>
                <a:pt x="12209" y="21281"/>
              </a:cubicBezTo>
              <a:cubicBezTo>
                <a:pt x="13568" y="21443"/>
                <a:pt x="14973" y="21489"/>
                <a:pt x="16314" y="21396"/>
              </a:cubicBezTo>
              <a:cubicBezTo>
                <a:pt x="17655" y="21304"/>
                <a:pt x="18932" y="21073"/>
                <a:pt x="19789" y="20125"/>
              </a:cubicBezTo>
              <a:cubicBezTo>
                <a:pt x="20647" y="19176"/>
                <a:pt x="21085" y="17511"/>
                <a:pt x="21313" y="15337"/>
              </a:cubicBezTo>
              <a:cubicBezTo>
                <a:pt x="21541" y="13164"/>
                <a:pt x="21559" y="10481"/>
                <a:pt x="21358" y="8446"/>
              </a:cubicBezTo>
              <a:cubicBezTo>
                <a:pt x="21158" y="6411"/>
                <a:pt x="20738" y="5023"/>
                <a:pt x="19862" y="3959"/>
              </a:cubicBezTo>
              <a:cubicBezTo>
                <a:pt x="18987" y="2895"/>
                <a:pt x="17655" y="2155"/>
                <a:pt x="16332" y="1901"/>
              </a:cubicBezTo>
              <a:cubicBezTo>
                <a:pt x="15010" y="1647"/>
                <a:pt x="13696" y="1878"/>
                <a:pt x="12921" y="1993"/>
              </a:cubicBezTo>
              <a:cubicBezTo>
                <a:pt x="12145" y="2109"/>
                <a:pt x="11908" y="2109"/>
                <a:pt x="11671" y="2109"/>
              </a:cubicBezTo>
            </a:path>
          </a:pathLst>
        </a:custGeom>
        <a:noFill/>
        <a:ln w="38100" cap="rnd">
          <a:solidFill>
            <a:srgbClr val="FF3A3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1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188724</xdr:rowOff>
    </xdr:from>
    <xdr:to>
      <xdr:col>26</xdr:col>
      <xdr:colOff>56861</xdr:colOff>
      <xdr:row>74</xdr:row>
      <xdr:rowOff>134482</xdr:rowOff>
    </xdr:to>
    <xdr:graphicFrame>
      <xdr:nvGraphicFramePr>
        <xdr:cNvPr id="94" name="2 Axis Chart"/>
        <xdr:cNvGraphicFramePr/>
      </xdr:nvGraphicFramePr>
      <xdr:xfrm>
        <a:off x="16879281" y="12658219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395103</xdr:colOff>
      <xdr:row>67</xdr:row>
      <xdr:rowOff>39128</xdr:rowOff>
    </xdr:from>
    <xdr:to>
      <xdr:col>25</xdr:col>
      <xdr:colOff>232860</xdr:colOff>
      <xdr:row>69</xdr:row>
      <xdr:rowOff>218042</xdr:rowOff>
    </xdr:to>
    <xdr:grpSp>
      <xdr:nvGrpSpPr>
        <xdr:cNvPr id="99" name="Drawing"/>
        <xdr:cNvGrpSpPr/>
      </xdr:nvGrpSpPr>
      <xdr:grpSpPr>
        <a:xfrm>
          <a:off x="17336903" y="14291068"/>
          <a:ext cx="2238058" cy="688185"/>
          <a:chOff x="-31750" y="-31749"/>
          <a:chExt cx="2238057" cy="688183"/>
        </a:xfrm>
      </xdr:grpSpPr>
      <xdr:pic>
        <xdr:nvPicPr>
          <xdr:cNvPr id="9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0"/>
            <a:ext cx="1994569" cy="593092"/>
          </a:xfrm>
          <a:prstGeom prst="rect">
            <a:avLst/>
          </a:prstGeom>
          <a:effectLst/>
        </xdr:spPr>
      </xdr:pic>
      <xdr:pic>
        <xdr:nvPicPr>
          <xdr:cNvPr id="9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632333" y="336919"/>
            <a:ext cx="573975" cy="319515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49</xdr:row>
      <xdr:rowOff>191937</xdr:rowOff>
    </xdr:from>
    <xdr:to>
      <xdr:col>26</xdr:col>
      <xdr:colOff>162779</xdr:colOff>
      <xdr:row>63</xdr:row>
      <xdr:rowOff>137696</xdr:rowOff>
    </xdr:to>
    <xdr:graphicFrame>
      <xdr:nvGraphicFramePr>
        <xdr:cNvPr id="5" name="2 Axis Chart"/>
        <xdr:cNvGraphicFramePr/>
      </xdr:nvGraphicFramePr>
      <xdr:xfrm>
        <a:off x="16773363" y="12916067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929940</xdr:colOff>
      <xdr:row>49</xdr:row>
      <xdr:rowOff>191937</xdr:rowOff>
    </xdr:from>
    <xdr:to>
      <xdr:col>30</xdr:col>
      <xdr:colOff>406764</xdr:colOff>
      <xdr:row>63</xdr:row>
      <xdr:rowOff>137696</xdr:rowOff>
    </xdr:to>
    <xdr:graphicFrame>
      <xdr:nvGraphicFramePr>
        <xdr:cNvPr id="6" name="2D Line Chart"/>
        <xdr:cNvGraphicFramePr/>
      </xdr:nvGraphicFramePr>
      <xdr:xfrm>
        <a:off x="21072140" y="12916067"/>
        <a:ext cx="298202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2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433246</xdr:colOff>
      <xdr:row>45</xdr:row>
      <xdr:rowOff>332583</xdr:rowOff>
    </xdr:from>
    <xdr:to>
      <xdr:col>25</xdr:col>
      <xdr:colOff>398306</xdr:colOff>
      <xdr:row>60</xdr:row>
      <xdr:rowOff>234517</xdr:rowOff>
    </xdr:to>
    <xdr:graphicFrame>
      <xdr:nvGraphicFramePr>
        <xdr:cNvPr id="101" name="2 Axis Chart"/>
        <xdr:cNvGraphicFramePr/>
      </xdr:nvGraphicFramePr>
      <xdr:xfrm>
        <a:off x="16574946" y="8880953"/>
        <a:ext cx="3165461" cy="382306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233205</xdr:colOff>
      <xdr:row>46</xdr:row>
      <xdr:rowOff>44154</xdr:rowOff>
    </xdr:from>
    <xdr:to>
      <xdr:col>30</xdr:col>
      <xdr:colOff>70721</xdr:colOff>
      <xdr:row>61</xdr:row>
      <xdr:rowOff>29549</xdr:rowOff>
    </xdr:to>
    <xdr:graphicFrame>
      <xdr:nvGraphicFramePr>
        <xdr:cNvPr id="102" name="2D Line Chart"/>
        <xdr:cNvGraphicFramePr/>
      </xdr:nvGraphicFramePr>
      <xdr:xfrm>
        <a:off x="20375405" y="8943679"/>
        <a:ext cx="3571317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2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104" name="2 Axis Chart"/>
        <xdr:cNvGraphicFramePr/>
      </xdr:nvGraphicFramePr>
      <xdr:xfrm>
        <a:off x="16773363" y="12661178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381723</xdr:colOff>
      <xdr:row>66</xdr:row>
      <xdr:rowOff>81238</xdr:rowOff>
    </xdr:from>
    <xdr:to>
      <xdr:col>25</xdr:col>
      <xdr:colOff>109823</xdr:colOff>
      <xdr:row>70</xdr:row>
      <xdr:rowOff>58884</xdr:rowOff>
    </xdr:to>
    <xdr:grpSp>
      <xdr:nvGrpSpPr>
        <xdr:cNvPr id="109" name="Drawing"/>
        <xdr:cNvGrpSpPr/>
      </xdr:nvGrpSpPr>
      <xdr:grpSpPr>
        <a:xfrm>
          <a:off x="18923723" y="14078543"/>
          <a:ext cx="528201" cy="996187"/>
          <a:chOff x="-19050" y="-19049"/>
          <a:chExt cx="528200" cy="996185"/>
        </a:xfrm>
      </xdr:grpSpPr>
      <xdr:pic>
        <xdr:nvPicPr>
          <xdr:cNvPr id="10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269948"/>
            <a:ext cx="372613" cy="707188"/>
          </a:xfrm>
          <a:prstGeom prst="rect">
            <a:avLst/>
          </a:prstGeom>
          <a:effectLst/>
        </xdr:spPr>
      </xdr:pic>
      <xdr:pic>
        <xdr:nvPicPr>
          <xdr:cNvPr id="10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85807" y="-19050"/>
            <a:ext cx="323344" cy="301229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111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423413</xdr:colOff>
      <xdr:row>65</xdr:row>
      <xdr:rowOff>189677</xdr:rowOff>
    </xdr:from>
    <xdr:to>
      <xdr:col>25</xdr:col>
      <xdr:colOff>47631</xdr:colOff>
      <xdr:row>67</xdr:row>
      <xdr:rowOff>237064</xdr:rowOff>
    </xdr:to>
    <xdr:grpSp>
      <xdr:nvGrpSpPr>
        <xdr:cNvPr id="114" name="Drawing"/>
        <xdr:cNvGrpSpPr/>
      </xdr:nvGrpSpPr>
      <xdr:grpSpPr>
        <a:xfrm>
          <a:off x="17365213" y="13932347"/>
          <a:ext cx="2024519" cy="556658"/>
          <a:chOff x="0" y="0"/>
          <a:chExt cx="2024518" cy="556656"/>
        </a:xfrm>
      </xdr:grpSpPr>
      <xdr:sp>
        <xdr:nvSpPr>
          <xdr:cNvPr id="112" name="Line"/>
          <xdr:cNvSpPr/>
        </xdr:nvSpPr>
        <xdr:spPr>
          <a:xfrm>
            <a:off x="0" y="0"/>
            <a:ext cx="1981084" cy="55665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378" fill="norm" stroke="1" extrusionOk="0">
                <a:moveTo>
                  <a:pt x="0" y="11286"/>
                </a:moveTo>
                <a:cubicBezTo>
                  <a:pt x="757" y="9537"/>
                  <a:pt x="1514" y="7788"/>
                  <a:pt x="2160" y="6367"/>
                </a:cubicBezTo>
                <a:cubicBezTo>
                  <a:pt x="2806" y="4946"/>
                  <a:pt x="3339" y="3853"/>
                  <a:pt x="3941" y="2978"/>
                </a:cubicBezTo>
                <a:cubicBezTo>
                  <a:pt x="4543" y="2104"/>
                  <a:pt x="5214" y="1448"/>
                  <a:pt x="5890" y="1011"/>
                </a:cubicBezTo>
                <a:cubicBezTo>
                  <a:pt x="6567" y="574"/>
                  <a:pt x="7250" y="355"/>
                  <a:pt x="7833" y="180"/>
                </a:cubicBezTo>
                <a:cubicBezTo>
                  <a:pt x="8417" y="5"/>
                  <a:pt x="8901" y="-126"/>
                  <a:pt x="9335" y="202"/>
                </a:cubicBezTo>
                <a:cubicBezTo>
                  <a:pt x="9770" y="530"/>
                  <a:pt x="10154" y="1317"/>
                  <a:pt x="10626" y="2541"/>
                </a:cubicBezTo>
                <a:cubicBezTo>
                  <a:pt x="11098" y="3765"/>
                  <a:pt x="11657" y="5427"/>
                  <a:pt x="12103" y="6870"/>
                </a:cubicBezTo>
                <a:cubicBezTo>
                  <a:pt x="12550" y="8313"/>
                  <a:pt x="12886" y="9537"/>
                  <a:pt x="13152" y="10718"/>
                </a:cubicBezTo>
                <a:cubicBezTo>
                  <a:pt x="13419" y="11898"/>
                  <a:pt x="13618" y="13035"/>
                  <a:pt x="13866" y="14259"/>
                </a:cubicBezTo>
                <a:cubicBezTo>
                  <a:pt x="14114" y="15484"/>
                  <a:pt x="14412" y="16795"/>
                  <a:pt x="14785" y="17867"/>
                </a:cubicBezTo>
                <a:cubicBezTo>
                  <a:pt x="15157" y="18938"/>
                  <a:pt x="15604" y="19769"/>
                  <a:pt x="16057" y="20315"/>
                </a:cubicBezTo>
                <a:cubicBezTo>
                  <a:pt x="16510" y="20862"/>
                  <a:pt x="16970" y="21124"/>
                  <a:pt x="17516" y="21277"/>
                </a:cubicBezTo>
                <a:cubicBezTo>
                  <a:pt x="18062" y="21430"/>
                  <a:pt x="18695" y="21474"/>
                  <a:pt x="19241" y="20927"/>
                </a:cubicBezTo>
                <a:cubicBezTo>
                  <a:pt x="19788" y="20381"/>
                  <a:pt x="20247" y="19244"/>
                  <a:pt x="20626" y="18238"/>
                </a:cubicBezTo>
                <a:cubicBezTo>
                  <a:pt x="21004" y="17233"/>
                  <a:pt x="21302" y="16358"/>
                  <a:pt x="21600" y="15484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13" name="Line"/>
          <xdr:cNvSpPr/>
        </xdr:nvSpPr>
        <xdr:spPr>
          <a:xfrm>
            <a:off x="1887987" y="358753"/>
            <a:ext cx="136532" cy="129749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35" h="21355" fill="norm" stroke="1" extrusionOk="0">
                <a:moveTo>
                  <a:pt x="0" y="4981"/>
                </a:moveTo>
                <a:cubicBezTo>
                  <a:pt x="0" y="5794"/>
                  <a:pt x="0" y="6607"/>
                  <a:pt x="942" y="6897"/>
                </a:cubicBezTo>
                <a:cubicBezTo>
                  <a:pt x="1883" y="7187"/>
                  <a:pt x="3766" y="6955"/>
                  <a:pt x="6646" y="5794"/>
                </a:cubicBezTo>
                <a:cubicBezTo>
                  <a:pt x="9526" y="4632"/>
                  <a:pt x="13403" y="2542"/>
                  <a:pt x="16061" y="1323"/>
                </a:cubicBezTo>
                <a:cubicBezTo>
                  <a:pt x="18720" y="103"/>
                  <a:pt x="20160" y="-245"/>
                  <a:pt x="20880" y="161"/>
                </a:cubicBezTo>
                <a:cubicBezTo>
                  <a:pt x="21600" y="568"/>
                  <a:pt x="21600" y="1729"/>
                  <a:pt x="20991" y="5387"/>
                </a:cubicBezTo>
                <a:cubicBezTo>
                  <a:pt x="20382" y="9045"/>
                  <a:pt x="19163" y="15200"/>
                  <a:pt x="17945" y="21355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2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116" name="2 Axis Chart"/>
        <xdr:cNvGraphicFramePr/>
      </xdr:nvGraphicFramePr>
      <xdr:xfrm>
        <a:off x="16773363" y="12661178"/>
        <a:ext cx="348221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401067</xdr:colOff>
      <xdr:row>65</xdr:row>
      <xdr:rowOff>206525</xdr:rowOff>
    </xdr:from>
    <xdr:to>
      <xdr:col>25</xdr:col>
      <xdr:colOff>244515</xdr:colOff>
      <xdr:row>68</xdr:row>
      <xdr:rowOff>2562</xdr:rowOff>
    </xdr:to>
    <xdr:grpSp>
      <xdr:nvGrpSpPr>
        <xdr:cNvPr id="121" name="Drawing"/>
        <xdr:cNvGrpSpPr/>
      </xdr:nvGrpSpPr>
      <xdr:grpSpPr>
        <a:xfrm>
          <a:off x="17342867" y="13949195"/>
          <a:ext cx="2243749" cy="559943"/>
          <a:chOff x="-31750" y="-31750"/>
          <a:chExt cx="2243747" cy="559942"/>
        </a:xfrm>
      </xdr:grpSpPr>
      <xdr:pic>
        <xdr:nvPicPr>
          <xdr:cNvPr id="117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1"/>
            <a:ext cx="2009826" cy="559944"/>
          </a:xfrm>
          <a:prstGeom prst="rect">
            <a:avLst/>
          </a:prstGeom>
          <a:effectLst/>
        </xdr:spPr>
      </xdr:pic>
      <xdr:pic>
        <xdr:nvPicPr>
          <xdr:cNvPr id="119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758574" y="239807"/>
            <a:ext cx="453424" cy="279624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719111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123" name="2 Axis Chart"/>
        <xdr:cNvGraphicFramePr/>
      </xdr:nvGraphicFramePr>
      <xdr:xfrm>
        <a:off x="16860811" y="12661178"/>
        <a:ext cx="326763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25</xdr:col>
      <xdr:colOff>50207</xdr:colOff>
      <xdr:row>164</xdr:row>
      <xdr:rowOff>274904</xdr:rowOff>
    </xdr:from>
    <xdr:to>
      <xdr:col>32</xdr:col>
      <xdr:colOff>578362</xdr:colOff>
      <xdr:row>166</xdr:row>
      <xdr:rowOff>84351</xdr:rowOff>
    </xdr:to>
    <xdr:sp>
      <xdr:nvSpPr>
        <xdr:cNvPr id="124" name="Arus kas negatif berkurang…"/>
        <xdr:cNvSpPr txBox="1"/>
      </xdr:nvSpPr>
      <xdr:spPr>
        <a:xfrm>
          <a:off x="19392307" y="55023969"/>
          <a:ext cx="6433656" cy="168968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Arus kas negatif berkurang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Berikut ini arus kas operasional dan investasi (Rp miliar) 5 kuartal terakhir: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1.087 ; 465 ; 967 ; 1.397 ; 3.786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-1.641 ; -2.083 ; -5.936 ; -3.175 ; -5.175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Arus kas bebas (free cashflow) berubah dari -1.778 miliar rupiah menjadi -1.388 miliar rupiah pada kuartal ketiga dengan arus kas investasi sebesar -5.175 miliar rupiah.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Rata-rata arus kas per kuartal adalah -2.438 miliar rupiah saat ini.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</a:t>
          </a:r>
        </a:p>
      </xdr:txBody>
    </xdr:sp>
    <xdr:clientData/>
  </xdr:twoCellAnchor>
  <xdr:twoCellAnchor>
    <xdr:from>
      <xdr:col>22</xdr:col>
      <xdr:colOff>478477</xdr:colOff>
      <xdr:row>67</xdr:row>
      <xdr:rowOff>199115</xdr:rowOff>
    </xdr:from>
    <xdr:to>
      <xdr:col>25</xdr:col>
      <xdr:colOff>145529</xdr:colOff>
      <xdr:row>71</xdr:row>
      <xdr:rowOff>122360</xdr:rowOff>
    </xdr:to>
    <xdr:grpSp>
      <xdr:nvGrpSpPr>
        <xdr:cNvPr id="129" name="Drawing"/>
        <xdr:cNvGrpSpPr/>
      </xdr:nvGrpSpPr>
      <xdr:grpSpPr>
        <a:xfrm>
          <a:off x="17420277" y="14451055"/>
          <a:ext cx="2067353" cy="941786"/>
          <a:chOff x="-19050" y="-19050"/>
          <a:chExt cx="2067351" cy="941784"/>
        </a:xfrm>
      </xdr:grpSpPr>
      <xdr:pic>
        <xdr:nvPicPr>
          <xdr:cNvPr id="12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215024"/>
            <a:ext cx="1774292" cy="707711"/>
          </a:xfrm>
          <a:prstGeom prst="rect">
            <a:avLst/>
          </a:prstGeom>
          <a:effectLst/>
        </xdr:spPr>
      </xdr:pic>
      <xdr:pic>
        <xdr:nvPicPr>
          <xdr:cNvPr id="12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95497" y="-19051"/>
            <a:ext cx="452805" cy="434368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131" name="2 Axis Chart"/>
        <xdr:cNvGraphicFramePr/>
      </xdr:nvGraphicFramePr>
      <xdr:xfrm>
        <a:off x="16949893" y="12661178"/>
        <a:ext cx="317855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239135</xdr:colOff>
      <xdr:row>64</xdr:row>
      <xdr:rowOff>42961</xdr:rowOff>
    </xdr:from>
    <xdr:to>
      <xdr:col>24</xdr:col>
      <xdr:colOff>608203</xdr:colOff>
      <xdr:row>65</xdr:row>
      <xdr:rowOff>141674</xdr:rowOff>
    </xdr:to>
    <xdr:grpSp>
      <xdr:nvGrpSpPr>
        <xdr:cNvPr id="134" name="Drawing"/>
        <xdr:cNvGrpSpPr/>
      </xdr:nvGrpSpPr>
      <xdr:grpSpPr>
        <a:xfrm>
          <a:off x="17981035" y="13530996"/>
          <a:ext cx="1169169" cy="353349"/>
          <a:chOff x="0" y="0"/>
          <a:chExt cx="1169168" cy="353347"/>
        </a:xfrm>
      </xdr:grpSpPr>
      <xdr:sp>
        <xdr:nvSpPr>
          <xdr:cNvPr id="132" name="Line"/>
          <xdr:cNvSpPr/>
        </xdr:nvSpPr>
        <xdr:spPr>
          <a:xfrm>
            <a:off x="-1" y="0"/>
            <a:ext cx="1034774" cy="30223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50" h="21556" fill="norm" stroke="1" extrusionOk="0">
                <a:moveTo>
                  <a:pt x="86" y="1698"/>
                </a:moveTo>
                <a:cubicBezTo>
                  <a:pt x="18" y="1117"/>
                  <a:pt x="-50" y="537"/>
                  <a:pt x="52" y="246"/>
                </a:cubicBezTo>
                <a:cubicBezTo>
                  <a:pt x="153" y="-44"/>
                  <a:pt x="425" y="-44"/>
                  <a:pt x="1018" y="72"/>
                </a:cubicBezTo>
                <a:cubicBezTo>
                  <a:pt x="1612" y="188"/>
                  <a:pt x="2527" y="421"/>
                  <a:pt x="3443" y="653"/>
                </a:cubicBezTo>
                <a:cubicBezTo>
                  <a:pt x="4358" y="885"/>
                  <a:pt x="5274" y="1117"/>
                  <a:pt x="6291" y="1698"/>
                </a:cubicBezTo>
                <a:cubicBezTo>
                  <a:pt x="7308" y="2279"/>
                  <a:pt x="8427" y="3208"/>
                  <a:pt x="9478" y="4079"/>
                </a:cubicBezTo>
                <a:cubicBezTo>
                  <a:pt x="10530" y="4950"/>
                  <a:pt x="11513" y="5762"/>
                  <a:pt x="12378" y="6575"/>
                </a:cubicBezTo>
                <a:cubicBezTo>
                  <a:pt x="13242" y="7388"/>
                  <a:pt x="13988" y="8201"/>
                  <a:pt x="14717" y="9246"/>
                </a:cubicBezTo>
                <a:cubicBezTo>
                  <a:pt x="15446" y="10291"/>
                  <a:pt x="16158" y="11569"/>
                  <a:pt x="16904" y="12846"/>
                </a:cubicBezTo>
                <a:cubicBezTo>
                  <a:pt x="17650" y="14124"/>
                  <a:pt x="18430" y="15401"/>
                  <a:pt x="19142" y="16562"/>
                </a:cubicBezTo>
                <a:cubicBezTo>
                  <a:pt x="19855" y="17724"/>
                  <a:pt x="20499" y="18769"/>
                  <a:pt x="20889" y="19582"/>
                </a:cubicBezTo>
                <a:cubicBezTo>
                  <a:pt x="21279" y="20395"/>
                  <a:pt x="21414" y="20975"/>
                  <a:pt x="21550" y="21556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33" name="Line"/>
          <xdr:cNvSpPr/>
        </xdr:nvSpPr>
        <xdr:spPr>
          <a:xfrm>
            <a:off x="985926" y="212683"/>
            <a:ext cx="183243" cy="14066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13" h="21449" fill="norm" stroke="1" extrusionOk="0">
                <a:moveTo>
                  <a:pt x="6882" y="2483"/>
                </a:moveTo>
                <a:cubicBezTo>
                  <a:pt x="6882" y="1241"/>
                  <a:pt x="6882" y="0"/>
                  <a:pt x="7168" y="0"/>
                </a:cubicBezTo>
                <a:cubicBezTo>
                  <a:pt x="7455" y="0"/>
                  <a:pt x="8028" y="1241"/>
                  <a:pt x="9844" y="4221"/>
                </a:cubicBezTo>
                <a:cubicBezTo>
                  <a:pt x="11660" y="7200"/>
                  <a:pt x="14719" y="11917"/>
                  <a:pt x="16630" y="14773"/>
                </a:cubicBezTo>
                <a:cubicBezTo>
                  <a:pt x="18542" y="17628"/>
                  <a:pt x="19306" y="18621"/>
                  <a:pt x="20071" y="19490"/>
                </a:cubicBezTo>
                <a:cubicBezTo>
                  <a:pt x="20835" y="20359"/>
                  <a:pt x="21600" y="21103"/>
                  <a:pt x="21504" y="21352"/>
                </a:cubicBezTo>
                <a:cubicBezTo>
                  <a:pt x="21409" y="21600"/>
                  <a:pt x="20453" y="21352"/>
                  <a:pt x="18255" y="20855"/>
                </a:cubicBezTo>
                <a:cubicBezTo>
                  <a:pt x="16057" y="20359"/>
                  <a:pt x="12616" y="19614"/>
                  <a:pt x="9366" y="19117"/>
                </a:cubicBezTo>
                <a:cubicBezTo>
                  <a:pt x="6117" y="18621"/>
                  <a:pt x="3058" y="18372"/>
                  <a:pt x="0" y="18124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2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136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55554</xdr:colOff>
      <xdr:row>66</xdr:row>
      <xdr:rowOff>212669</xdr:rowOff>
    </xdr:from>
    <xdr:to>
      <xdr:col>25</xdr:col>
      <xdr:colOff>4387</xdr:colOff>
      <xdr:row>68</xdr:row>
      <xdr:rowOff>169425</xdr:rowOff>
    </xdr:to>
    <xdr:grpSp>
      <xdr:nvGrpSpPr>
        <xdr:cNvPr id="141" name="Drawing"/>
        <xdr:cNvGrpSpPr/>
      </xdr:nvGrpSpPr>
      <xdr:grpSpPr>
        <a:xfrm>
          <a:off x="17797454" y="14209974"/>
          <a:ext cx="1549034" cy="466027"/>
          <a:chOff x="-19049" y="-19050"/>
          <a:chExt cx="1549032" cy="466025"/>
        </a:xfrm>
      </xdr:grpSpPr>
      <xdr:pic>
        <xdr:nvPicPr>
          <xdr:cNvPr id="137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455700" cy="455776"/>
          </a:xfrm>
          <a:prstGeom prst="rect">
            <a:avLst/>
          </a:prstGeom>
          <a:effectLst/>
        </xdr:spPr>
      </xdr:pic>
      <xdr:pic>
        <xdr:nvPicPr>
          <xdr:cNvPr id="139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319498" y="283177"/>
            <a:ext cx="210485" cy="163799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143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470020</xdr:colOff>
      <xdr:row>66</xdr:row>
      <xdr:rowOff>140807</xdr:rowOff>
    </xdr:from>
    <xdr:to>
      <xdr:col>25</xdr:col>
      <xdr:colOff>3674</xdr:colOff>
      <xdr:row>69</xdr:row>
      <xdr:rowOff>116434</xdr:rowOff>
    </xdr:to>
    <xdr:grpSp>
      <xdr:nvGrpSpPr>
        <xdr:cNvPr id="148" name="Drawing"/>
        <xdr:cNvGrpSpPr/>
      </xdr:nvGrpSpPr>
      <xdr:grpSpPr>
        <a:xfrm>
          <a:off x="17411820" y="14138112"/>
          <a:ext cx="1933955" cy="739533"/>
          <a:chOff x="-19050" y="-19049"/>
          <a:chExt cx="1933953" cy="739531"/>
        </a:xfrm>
      </xdr:grpSpPr>
      <xdr:pic>
        <xdr:nvPicPr>
          <xdr:cNvPr id="144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806056" cy="739532"/>
          </a:xfrm>
          <a:prstGeom prst="rect">
            <a:avLst/>
          </a:prstGeom>
          <a:effectLst/>
        </xdr:spPr>
      </xdr:pic>
      <xdr:pic>
        <xdr:nvPicPr>
          <xdr:cNvPr id="146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28720" y="6284"/>
            <a:ext cx="386184" cy="359871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2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690288</xdr:colOff>
      <xdr:row>51</xdr:row>
      <xdr:rowOff>32299</xdr:rowOff>
    </xdr:from>
    <xdr:to>
      <xdr:col>12</xdr:col>
      <xdr:colOff>172700</xdr:colOff>
      <xdr:row>64</xdr:row>
      <xdr:rowOff>59159</xdr:rowOff>
    </xdr:to>
    <xdr:graphicFrame>
      <xdr:nvGraphicFramePr>
        <xdr:cNvPr id="150" name="2D Line Chart"/>
        <xdr:cNvGraphicFramePr/>
      </xdr:nvGraphicFramePr>
      <xdr:xfrm>
        <a:off x="5630588" y="13011064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743596</xdr:colOff>
      <xdr:row>51</xdr:row>
      <xdr:rowOff>32299</xdr:rowOff>
    </xdr:from>
    <xdr:to>
      <xdr:col>17</xdr:col>
      <xdr:colOff>176478</xdr:colOff>
      <xdr:row>64</xdr:row>
      <xdr:rowOff>59159</xdr:rowOff>
    </xdr:to>
    <xdr:graphicFrame>
      <xdr:nvGraphicFramePr>
        <xdr:cNvPr id="151" name="2D Line Chart"/>
        <xdr:cNvGraphicFramePr/>
      </xdr:nvGraphicFramePr>
      <xdr:xfrm>
        <a:off x="9684396" y="13011064"/>
        <a:ext cx="343338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8</xdr:col>
      <xdr:colOff>17315</xdr:colOff>
      <xdr:row>65</xdr:row>
      <xdr:rowOff>66009</xdr:rowOff>
    </xdr:from>
    <xdr:to>
      <xdr:col>12</xdr:col>
      <xdr:colOff>172700</xdr:colOff>
      <xdr:row>79</xdr:row>
      <xdr:rowOff>92870</xdr:rowOff>
    </xdr:to>
    <xdr:graphicFrame>
      <xdr:nvGraphicFramePr>
        <xdr:cNvPr id="152" name="2D Line Chart"/>
        <xdr:cNvGraphicFramePr/>
      </xdr:nvGraphicFramePr>
      <xdr:xfrm>
        <a:off x="5757715" y="16609664"/>
        <a:ext cx="335578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12</xdr:col>
      <xdr:colOff>644663</xdr:colOff>
      <xdr:row>65</xdr:row>
      <xdr:rowOff>66009</xdr:rowOff>
    </xdr:from>
    <xdr:to>
      <xdr:col>17</xdr:col>
      <xdr:colOff>176478</xdr:colOff>
      <xdr:row>79</xdr:row>
      <xdr:rowOff>92870</xdr:rowOff>
    </xdr:to>
    <xdr:graphicFrame>
      <xdr:nvGraphicFramePr>
        <xdr:cNvPr id="153" name="2D Line Chart"/>
        <xdr:cNvGraphicFramePr/>
      </xdr:nvGraphicFramePr>
      <xdr:xfrm>
        <a:off x="9585463" y="16609664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7</xdr:col>
      <xdr:colOff>746803</xdr:colOff>
      <xdr:row>80</xdr:row>
      <xdr:rowOff>92686</xdr:rowOff>
    </xdr:from>
    <xdr:to>
      <xdr:col>12</xdr:col>
      <xdr:colOff>172700</xdr:colOff>
      <xdr:row>151</xdr:row>
      <xdr:rowOff>130977</xdr:rowOff>
    </xdr:to>
    <xdr:graphicFrame>
      <xdr:nvGraphicFramePr>
        <xdr:cNvPr id="154" name="2D Line Chart"/>
        <xdr:cNvGraphicFramePr/>
      </xdr:nvGraphicFramePr>
      <xdr:xfrm>
        <a:off x="5687103" y="20201231"/>
        <a:ext cx="3426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799984</xdr:colOff>
      <xdr:row>80</xdr:row>
      <xdr:rowOff>99720</xdr:rowOff>
    </xdr:from>
    <xdr:to>
      <xdr:col>17</xdr:col>
      <xdr:colOff>293572</xdr:colOff>
      <xdr:row>151</xdr:row>
      <xdr:rowOff>138010</xdr:rowOff>
    </xdr:to>
    <xdr:graphicFrame>
      <xdr:nvGraphicFramePr>
        <xdr:cNvPr id="155" name="2D Line Chart"/>
        <xdr:cNvGraphicFramePr/>
      </xdr:nvGraphicFramePr>
      <xdr:xfrm>
        <a:off x="9740784" y="20208265"/>
        <a:ext cx="3494089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2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792362</xdr:colOff>
      <xdr:row>39</xdr:row>
      <xdr:rowOff>121336</xdr:rowOff>
    </xdr:from>
    <xdr:to>
      <xdr:col>12</xdr:col>
      <xdr:colOff>274774</xdr:colOff>
      <xdr:row>52</xdr:row>
      <xdr:rowOff>148197</xdr:rowOff>
    </xdr:to>
    <xdr:graphicFrame>
      <xdr:nvGraphicFramePr>
        <xdr:cNvPr id="157" name="2D Line Chart"/>
        <xdr:cNvGraphicFramePr/>
      </xdr:nvGraphicFramePr>
      <xdr:xfrm>
        <a:off x="5732662" y="10044481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13</xdr:col>
      <xdr:colOff>45570</xdr:colOff>
      <xdr:row>39</xdr:row>
      <xdr:rowOff>121336</xdr:rowOff>
    </xdr:from>
    <xdr:to>
      <xdr:col>17</xdr:col>
      <xdr:colOff>278552</xdr:colOff>
      <xdr:row>52</xdr:row>
      <xdr:rowOff>148197</xdr:rowOff>
    </xdr:to>
    <xdr:graphicFrame>
      <xdr:nvGraphicFramePr>
        <xdr:cNvPr id="158" name="2D Line Chart"/>
        <xdr:cNvGraphicFramePr/>
      </xdr:nvGraphicFramePr>
      <xdr:xfrm>
        <a:off x="9786470" y="10044481"/>
        <a:ext cx="343338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8</xdr:col>
      <xdr:colOff>98180</xdr:colOff>
      <xdr:row>53</xdr:row>
      <xdr:rowOff>155046</xdr:rowOff>
    </xdr:from>
    <xdr:to>
      <xdr:col>12</xdr:col>
      <xdr:colOff>274774</xdr:colOff>
      <xdr:row>67</xdr:row>
      <xdr:rowOff>181907</xdr:rowOff>
    </xdr:to>
    <xdr:graphicFrame>
      <xdr:nvGraphicFramePr>
        <xdr:cNvPr id="159" name="2D Line Chart"/>
        <xdr:cNvGraphicFramePr/>
      </xdr:nvGraphicFramePr>
      <xdr:xfrm>
        <a:off x="5838580" y="13643081"/>
        <a:ext cx="337699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13</xdr:col>
      <xdr:colOff>52555</xdr:colOff>
      <xdr:row>53</xdr:row>
      <xdr:rowOff>155046</xdr:rowOff>
    </xdr:from>
    <xdr:to>
      <xdr:col>17</xdr:col>
      <xdr:colOff>278552</xdr:colOff>
      <xdr:row>67</xdr:row>
      <xdr:rowOff>181907</xdr:rowOff>
    </xdr:to>
    <xdr:graphicFrame>
      <xdr:nvGraphicFramePr>
        <xdr:cNvPr id="160" name="2D Line Chart"/>
        <xdr:cNvGraphicFramePr/>
      </xdr:nvGraphicFramePr>
      <xdr:xfrm>
        <a:off x="9793455" y="13643081"/>
        <a:ext cx="3426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8</xdr:col>
      <xdr:colOff>98180</xdr:colOff>
      <xdr:row>68</xdr:row>
      <xdr:rowOff>181723</xdr:rowOff>
    </xdr:from>
    <xdr:to>
      <xdr:col>12</xdr:col>
      <xdr:colOff>274774</xdr:colOff>
      <xdr:row>138</xdr:row>
      <xdr:rowOff>218108</xdr:rowOff>
    </xdr:to>
    <xdr:graphicFrame>
      <xdr:nvGraphicFramePr>
        <xdr:cNvPr id="161" name="2D Line Chart"/>
        <xdr:cNvGraphicFramePr/>
      </xdr:nvGraphicFramePr>
      <xdr:xfrm>
        <a:off x="5838580" y="17234648"/>
        <a:ext cx="337699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796140</xdr:colOff>
      <xdr:row>68</xdr:row>
      <xdr:rowOff>188757</xdr:rowOff>
    </xdr:from>
    <xdr:to>
      <xdr:col>17</xdr:col>
      <xdr:colOff>395646</xdr:colOff>
      <xdr:row>138</xdr:row>
      <xdr:rowOff>225142</xdr:rowOff>
    </xdr:to>
    <xdr:graphicFrame>
      <xdr:nvGraphicFramePr>
        <xdr:cNvPr id="162" name="2D Line Chart"/>
        <xdr:cNvGraphicFramePr/>
      </xdr:nvGraphicFramePr>
      <xdr:xfrm>
        <a:off x="9736940" y="17241682"/>
        <a:ext cx="3600007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8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688673</xdr:colOff>
      <xdr:row>68</xdr:row>
      <xdr:rowOff>196690</xdr:rowOff>
    </xdr:from>
    <xdr:to>
      <xdr:col>25</xdr:col>
      <xdr:colOff>744369</xdr:colOff>
      <xdr:row>73</xdr:row>
      <xdr:rowOff>220220</xdr:rowOff>
    </xdr:to>
    <xdr:sp>
      <xdr:nvSpPr>
        <xdr:cNvPr id="9" name="Drawing"/>
        <xdr:cNvSpPr/>
      </xdr:nvSpPr>
      <xdr:spPr>
        <a:xfrm>
          <a:off x="18430573" y="14703265"/>
          <a:ext cx="1655897" cy="1296706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390" h="21551" fill="norm" stroke="1" extrusionOk="0">
              <a:moveTo>
                <a:pt x="12557" y="2603"/>
              </a:moveTo>
              <a:cubicBezTo>
                <a:pt x="11281" y="2556"/>
                <a:pt x="10005" y="2509"/>
                <a:pt x="8893" y="2791"/>
              </a:cubicBezTo>
              <a:cubicBezTo>
                <a:pt x="7781" y="3072"/>
                <a:pt x="6833" y="3682"/>
                <a:pt x="5849" y="4585"/>
              </a:cubicBezTo>
              <a:cubicBezTo>
                <a:pt x="4865" y="5488"/>
                <a:pt x="3844" y="6684"/>
                <a:pt x="2987" y="7716"/>
              </a:cubicBezTo>
              <a:cubicBezTo>
                <a:pt x="2130" y="8748"/>
                <a:pt x="1438" y="9616"/>
                <a:pt x="891" y="10624"/>
              </a:cubicBezTo>
              <a:cubicBezTo>
                <a:pt x="344" y="11633"/>
                <a:pt x="-57" y="12782"/>
                <a:pt x="7" y="13966"/>
              </a:cubicBezTo>
              <a:cubicBezTo>
                <a:pt x="71" y="15150"/>
                <a:pt x="599" y="16370"/>
                <a:pt x="1292" y="17484"/>
              </a:cubicBezTo>
              <a:cubicBezTo>
                <a:pt x="1985" y="18598"/>
                <a:pt x="2841" y="19607"/>
                <a:pt x="3953" y="20275"/>
              </a:cubicBezTo>
              <a:cubicBezTo>
                <a:pt x="5065" y="20943"/>
                <a:pt x="6432" y="21272"/>
                <a:pt x="7845" y="21436"/>
              </a:cubicBezTo>
              <a:cubicBezTo>
                <a:pt x="9257" y="21600"/>
                <a:pt x="10716" y="21600"/>
                <a:pt x="12019" y="21365"/>
              </a:cubicBezTo>
              <a:cubicBezTo>
                <a:pt x="13322" y="21131"/>
                <a:pt x="14471" y="20662"/>
                <a:pt x="15582" y="19888"/>
              </a:cubicBezTo>
              <a:cubicBezTo>
                <a:pt x="16694" y="19114"/>
                <a:pt x="17770" y="18035"/>
                <a:pt x="18690" y="16863"/>
              </a:cubicBezTo>
              <a:cubicBezTo>
                <a:pt x="19611" y="15690"/>
                <a:pt x="20376" y="14423"/>
                <a:pt x="20859" y="13016"/>
              </a:cubicBezTo>
              <a:cubicBezTo>
                <a:pt x="21342" y="11609"/>
                <a:pt x="21543" y="10061"/>
                <a:pt x="21260" y="8713"/>
              </a:cubicBezTo>
              <a:cubicBezTo>
                <a:pt x="20978" y="7364"/>
                <a:pt x="20212" y="6215"/>
                <a:pt x="19228" y="5078"/>
              </a:cubicBezTo>
              <a:cubicBezTo>
                <a:pt x="18244" y="3940"/>
                <a:pt x="17041" y="2814"/>
                <a:pt x="15847" y="1970"/>
              </a:cubicBezTo>
              <a:cubicBezTo>
                <a:pt x="14653" y="1126"/>
                <a:pt x="13468" y="563"/>
                <a:pt x="12283" y="0"/>
              </a:cubicBezTo>
            </a:path>
          </a:pathLst>
        </a:custGeom>
        <a:noFill/>
        <a:ln w="38100" cap="rnd">
          <a:solidFill>
            <a:srgbClr val="FF3A3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3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365702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164" name="2 Axis Chart"/>
        <xdr:cNvGraphicFramePr/>
      </xdr:nvGraphicFramePr>
      <xdr:xfrm>
        <a:off x="16507402" y="12661178"/>
        <a:ext cx="3621048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620633</xdr:colOff>
      <xdr:row>65</xdr:row>
      <xdr:rowOff>33908</xdr:rowOff>
    </xdr:from>
    <xdr:to>
      <xdr:col>25</xdr:col>
      <xdr:colOff>153043</xdr:colOff>
      <xdr:row>70</xdr:row>
      <xdr:rowOff>189342</xdr:rowOff>
    </xdr:to>
    <xdr:grpSp>
      <xdr:nvGrpSpPr>
        <xdr:cNvPr id="169" name="Drawing"/>
        <xdr:cNvGrpSpPr/>
      </xdr:nvGrpSpPr>
      <xdr:grpSpPr>
        <a:xfrm>
          <a:off x="17562433" y="13776578"/>
          <a:ext cx="1932711" cy="1428610"/>
          <a:chOff x="-19050" y="-19049"/>
          <a:chExt cx="1932709" cy="1428608"/>
        </a:xfrm>
      </xdr:grpSpPr>
      <xdr:pic>
        <xdr:nvPicPr>
          <xdr:cNvPr id="16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131703"/>
            <a:ext cx="1850046" cy="1277856"/>
          </a:xfrm>
          <a:prstGeom prst="rect">
            <a:avLst/>
          </a:prstGeom>
          <a:effectLst/>
        </xdr:spPr>
      </xdr:pic>
      <xdr:pic>
        <xdr:nvPicPr>
          <xdr:cNvPr id="16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683759" y="-19050"/>
            <a:ext cx="229901" cy="333038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3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345574</xdr:colOff>
      <xdr:row>40</xdr:row>
      <xdr:rowOff>132252</xdr:rowOff>
    </xdr:from>
    <xdr:to>
      <xdr:col>11</xdr:col>
      <xdr:colOff>628086</xdr:colOff>
      <xdr:row>53</xdr:row>
      <xdr:rowOff>159113</xdr:rowOff>
    </xdr:to>
    <xdr:graphicFrame>
      <xdr:nvGraphicFramePr>
        <xdr:cNvPr id="171" name="2D Line Chart"/>
        <xdr:cNvGraphicFramePr/>
      </xdr:nvGraphicFramePr>
      <xdr:xfrm>
        <a:off x="5285874" y="10564667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7</xdr:col>
      <xdr:colOff>296171</xdr:colOff>
      <xdr:row>54</xdr:row>
      <xdr:rowOff>165555</xdr:rowOff>
    </xdr:from>
    <xdr:to>
      <xdr:col>11</xdr:col>
      <xdr:colOff>628086</xdr:colOff>
      <xdr:row>68</xdr:row>
      <xdr:rowOff>192416</xdr:rowOff>
    </xdr:to>
    <xdr:graphicFrame>
      <xdr:nvGraphicFramePr>
        <xdr:cNvPr id="172" name="2D Line Chart"/>
        <xdr:cNvGraphicFramePr/>
      </xdr:nvGraphicFramePr>
      <xdr:xfrm>
        <a:off x="5236471" y="14162860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225559</xdr:colOff>
      <xdr:row>69</xdr:row>
      <xdr:rowOff>199673</xdr:rowOff>
    </xdr:from>
    <xdr:to>
      <xdr:col>11</xdr:col>
      <xdr:colOff>628086</xdr:colOff>
      <xdr:row>138</xdr:row>
      <xdr:rowOff>230344</xdr:rowOff>
    </xdr:to>
    <xdr:graphicFrame>
      <xdr:nvGraphicFramePr>
        <xdr:cNvPr id="173" name="2D Line Chart"/>
        <xdr:cNvGraphicFramePr/>
      </xdr:nvGraphicFramePr>
      <xdr:xfrm>
        <a:off x="5165859" y="17761868"/>
        <a:ext cx="360292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12</xdr:col>
      <xdr:colOff>349352</xdr:colOff>
      <xdr:row>69</xdr:row>
      <xdr:rowOff>199673</xdr:rowOff>
    </xdr:from>
    <xdr:to>
      <xdr:col>16</xdr:col>
      <xdr:colOff>748958</xdr:colOff>
      <xdr:row>138</xdr:row>
      <xdr:rowOff>230344</xdr:rowOff>
    </xdr:to>
    <xdr:graphicFrame>
      <xdr:nvGraphicFramePr>
        <xdr:cNvPr id="174" name="2D Line Chart"/>
        <xdr:cNvGraphicFramePr/>
      </xdr:nvGraphicFramePr>
      <xdr:xfrm>
        <a:off x="9290152" y="17761868"/>
        <a:ext cx="3600007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299949</xdr:colOff>
      <xdr:row>54</xdr:row>
      <xdr:rowOff>165555</xdr:rowOff>
    </xdr:from>
    <xdr:to>
      <xdr:col>16</xdr:col>
      <xdr:colOff>631864</xdr:colOff>
      <xdr:row>68</xdr:row>
      <xdr:rowOff>192416</xdr:rowOff>
    </xdr:to>
    <xdr:graphicFrame>
      <xdr:nvGraphicFramePr>
        <xdr:cNvPr id="175" name="2D Line Chart"/>
        <xdr:cNvGraphicFramePr/>
      </xdr:nvGraphicFramePr>
      <xdr:xfrm>
        <a:off x="9240749" y="14162860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349479</xdr:colOff>
      <xdr:row>40</xdr:row>
      <xdr:rowOff>132252</xdr:rowOff>
    </xdr:from>
    <xdr:to>
      <xdr:col>16</xdr:col>
      <xdr:colOff>746208</xdr:colOff>
      <xdr:row>53</xdr:row>
      <xdr:rowOff>159113</xdr:rowOff>
    </xdr:to>
    <xdr:graphicFrame>
      <xdr:nvGraphicFramePr>
        <xdr:cNvPr id="176" name="2D Line Chart"/>
        <xdr:cNvGraphicFramePr/>
      </xdr:nvGraphicFramePr>
      <xdr:xfrm>
        <a:off x="9290279" y="10564667"/>
        <a:ext cx="3597130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3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19</xdr:col>
      <xdr:colOff>293905</xdr:colOff>
      <xdr:row>40</xdr:row>
      <xdr:rowOff>210714</xdr:rowOff>
    </xdr:from>
    <xdr:to>
      <xdr:col>23</xdr:col>
      <xdr:colOff>576417</xdr:colOff>
      <xdr:row>53</xdr:row>
      <xdr:rowOff>237574</xdr:rowOff>
    </xdr:to>
    <xdr:graphicFrame>
      <xdr:nvGraphicFramePr>
        <xdr:cNvPr id="178" name="2D Line Chart"/>
        <xdr:cNvGraphicFramePr/>
      </xdr:nvGraphicFramePr>
      <xdr:xfrm>
        <a:off x="14835405" y="10643129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297810</xdr:colOff>
      <xdr:row>40</xdr:row>
      <xdr:rowOff>210714</xdr:rowOff>
    </xdr:from>
    <xdr:to>
      <xdr:col>28</xdr:col>
      <xdr:colOff>46795</xdr:colOff>
      <xdr:row>53</xdr:row>
      <xdr:rowOff>237574</xdr:rowOff>
    </xdr:to>
    <xdr:graphicFrame>
      <xdr:nvGraphicFramePr>
        <xdr:cNvPr id="179" name="2D Line Chart"/>
        <xdr:cNvGraphicFramePr/>
      </xdr:nvGraphicFramePr>
      <xdr:xfrm>
        <a:off x="18839810" y="10643129"/>
        <a:ext cx="348278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19</xdr:col>
      <xdr:colOff>399823</xdr:colOff>
      <xdr:row>54</xdr:row>
      <xdr:rowOff>244016</xdr:rowOff>
    </xdr:from>
    <xdr:to>
      <xdr:col>23</xdr:col>
      <xdr:colOff>576417</xdr:colOff>
      <xdr:row>68</xdr:row>
      <xdr:rowOff>16241</xdr:rowOff>
    </xdr:to>
    <xdr:graphicFrame>
      <xdr:nvGraphicFramePr>
        <xdr:cNvPr id="180" name="2D Line Chart"/>
        <xdr:cNvGraphicFramePr/>
      </xdr:nvGraphicFramePr>
      <xdr:xfrm>
        <a:off x="14941323" y="14241321"/>
        <a:ext cx="337699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19</xdr:col>
      <xdr:colOff>293905</xdr:colOff>
      <xdr:row>69</xdr:row>
      <xdr:rowOff>23499</xdr:rowOff>
    </xdr:from>
    <xdr:to>
      <xdr:col>23</xdr:col>
      <xdr:colOff>576417</xdr:colOff>
      <xdr:row>82</xdr:row>
      <xdr:rowOff>50359</xdr:rowOff>
    </xdr:to>
    <xdr:graphicFrame>
      <xdr:nvGraphicFramePr>
        <xdr:cNvPr id="181" name="2D Line Chart"/>
        <xdr:cNvGraphicFramePr/>
      </xdr:nvGraphicFramePr>
      <xdr:xfrm>
        <a:off x="14835405" y="17840329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24</xdr:col>
      <xdr:colOff>297683</xdr:colOff>
      <xdr:row>69</xdr:row>
      <xdr:rowOff>23499</xdr:rowOff>
    </xdr:from>
    <xdr:to>
      <xdr:col>28</xdr:col>
      <xdr:colOff>163889</xdr:colOff>
      <xdr:row>82</xdr:row>
      <xdr:rowOff>50359</xdr:rowOff>
    </xdr:to>
    <xdr:graphicFrame>
      <xdr:nvGraphicFramePr>
        <xdr:cNvPr id="182" name="2D Line Chart"/>
        <xdr:cNvGraphicFramePr/>
      </xdr:nvGraphicFramePr>
      <xdr:xfrm>
        <a:off x="18839683" y="17840329"/>
        <a:ext cx="3600007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24</xdr:col>
      <xdr:colOff>248280</xdr:colOff>
      <xdr:row>54</xdr:row>
      <xdr:rowOff>244016</xdr:rowOff>
    </xdr:from>
    <xdr:to>
      <xdr:col>28</xdr:col>
      <xdr:colOff>46795</xdr:colOff>
      <xdr:row>68</xdr:row>
      <xdr:rowOff>16241</xdr:rowOff>
    </xdr:to>
    <xdr:graphicFrame>
      <xdr:nvGraphicFramePr>
        <xdr:cNvPr id="183" name="2D Line Chart"/>
        <xdr:cNvGraphicFramePr/>
      </xdr:nvGraphicFramePr>
      <xdr:xfrm>
        <a:off x="18790280" y="14241321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3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33839</xdr:colOff>
      <xdr:row>50</xdr:row>
      <xdr:rowOff>168918</xdr:rowOff>
    </xdr:from>
    <xdr:to>
      <xdr:col>24</xdr:col>
      <xdr:colOff>724482</xdr:colOff>
      <xdr:row>65</xdr:row>
      <xdr:rowOff>159393</xdr:rowOff>
    </xdr:to>
    <xdr:graphicFrame>
      <xdr:nvGraphicFramePr>
        <xdr:cNvPr id="185" name="2 Axis Chart"/>
        <xdr:cNvGraphicFramePr/>
      </xdr:nvGraphicFramePr>
      <xdr:xfrm>
        <a:off x="16175539" y="10092063"/>
        <a:ext cx="3090944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21</xdr:col>
      <xdr:colOff>542080</xdr:colOff>
      <xdr:row>54</xdr:row>
      <xdr:rowOff>22704</xdr:rowOff>
    </xdr:from>
    <xdr:to>
      <xdr:col>24</xdr:col>
      <xdr:colOff>504655</xdr:colOff>
      <xdr:row>63</xdr:row>
      <xdr:rowOff>152703</xdr:rowOff>
    </xdr:to>
    <xdr:grpSp>
      <xdr:nvGrpSpPr>
        <xdr:cNvPr id="192" name="Drawing"/>
        <xdr:cNvGrpSpPr/>
      </xdr:nvGrpSpPr>
      <xdr:grpSpPr>
        <a:xfrm>
          <a:off x="16683780" y="10964389"/>
          <a:ext cx="2362876" cy="2421715"/>
          <a:chOff x="0" y="0"/>
          <a:chExt cx="2362874" cy="2421713"/>
        </a:xfrm>
      </xdr:grpSpPr>
      <xdr:sp>
        <xdr:nvSpPr>
          <xdr:cNvPr id="186" name="Line"/>
          <xdr:cNvSpPr/>
        </xdr:nvSpPr>
        <xdr:spPr>
          <a:xfrm>
            <a:off x="80184" y="-1"/>
            <a:ext cx="1835604" cy="242171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76" fill="norm" stroke="1" extrusionOk="0">
                <a:moveTo>
                  <a:pt x="0" y="13100"/>
                </a:moveTo>
                <a:cubicBezTo>
                  <a:pt x="613" y="12669"/>
                  <a:pt x="1226" y="12237"/>
                  <a:pt x="1768" y="11751"/>
                </a:cubicBezTo>
                <a:cubicBezTo>
                  <a:pt x="2310" y="11265"/>
                  <a:pt x="2780" y="10726"/>
                  <a:pt x="3187" y="10137"/>
                </a:cubicBezTo>
                <a:cubicBezTo>
                  <a:pt x="3593" y="9549"/>
                  <a:pt x="3935" y="8912"/>
                  <a:pt x="4270" y="8275"/>
                </a:cubicBezTo>
                <a:cubicBezTo>
                  <a:pt x="4605" y="7638"/>
                  <a:pt x="4933" y="7001"/>
                  <a:pt x="5290" y="6321"/>
                </a:cubicBezTo>
                <a:cubicBezTo>
                  <a:pt x="5646" y="5641"/>
                  <a:pt x="6031" y="4918"/>
                  <a:pt x="6359" y="4189"/>
                </a:cubicBezTo>
                <a:cubicBezTo>
                  <a:pt x="6687" y="3461"/>
                  <a:pt x="6958" y="2727"/>
                  <a:pt x="7250" y="2068"/>
                </a:cubicBezTo>
                <a:cubicBezTo>
                  <a:pt x="7542" y="1410"/>
                  <a:pt x="7856" y="827"/>
                  <a:pt x="8041" y="503"/>
                </a:cubicBezTo>
                <a:cubicBezTo>
                  <a:pt x="8227" y="179"/>
                  <a:pt x="8284" y="115"/>
                  <a:pt x="8362" y="66"/>
                </a:cubicBezTo>
                <a:cubicBezTo>
                  <a:pt x="8440" y="17"/>
                  <a:pt x="8540" y="-15"/>
                  <a:pt x="8626" y="7"/>
                </a:cubicBezTo>
                <a:cubicBezTo>
                  <a:pt x="8711" y="28"/>
                  <a:pt x="8783" y="104"/>
                  <a:pt x="9004" y="492"/>
                </a:cubicBezTo>
                <a:cubicBezTo>
                  <a:pt x="9225" y="881"/>
                  <a:pt x="9595" y="1583"/>
                  <a:pt x="9888" y="2230"/>
                </a:cubicBezTo>
                <a:cubicBezTo>
                  <a:pt x="10180" y="2878"/>
                  <a:pt x="10394" y="3472"/>
                  <a:pt x="10550" y="4028"/>
                </a:cubicBezTo>
                <a:cubicBezTo>
                  <a:pt x="10707" y="4584"/>
                  <a:pt x="10807" y="5102"/>
                  <a:pt x="10893" y="5577"/>
                </a:cubicBezTo>
                <a:cubicBezTo>
                  <a:pt x="10978" y="6052"/>
                  <a:pt x="11050" y="6483"/>
                  <a:pt x="11142" y="7045"/>
                </a:cubicBezTo>
                <a:cubicBezTo>
                  <a:pt x="11235" y="7606"/>
                  <a:pt x="11349" y="8297"/>
                  <a:pt x="11456" y="9025"/>
                </a:cubicBezTo>
                <a:cubicBezTo>
                  <a:pt x="11563" y="9754"/>
                  <a:pt x="11663" y="10521"/>
                  <a:pt x="11805" y="11336"/>
                </a:cubicBezTo>
                <a:cubicBezTo>
                  <a:pt x="11948" y="12151"/>
                  <a:pt x="12133" y="13014"/>
                  <a:pt x="12333" y="13878"/>
                </a:cubicBezTo>
                <a:cubicBezTo>
                  <a:pt x="12532" y="14741"/>
                  <a:pt x="12746" y="15605"/>
                  <a:pt x="13017" y="16301"/>
                </a:cubicBezTo>
                <a:cubicBezTo>
                  <a:pt x="13288" y="16997"/>
                  <a:pt x="13616" y="17526"/>
                  <a:pt x="13887" y="18061"/>
                </a:cubicBezTo>
                <a:cubicBezTo>
                  <a:pt x="14158" y="18595"/>
                  <a:pt x="14371" y="19135"/>
                  <a:pt x="14578" y="19664"/>
                </a:cubicBezTo>
                <a:cubicBezTo>
                  <a:pt x="14785" y="20193"/>
                  <a:pt x="14985" y="20711"/>
                  <a:pt x="15091" y="21007"/>
                </a:cubicBezTo>
                <a:cubicBezTo>
                  <a:pt x="15198" y="21304"/>
                  <a:pt x="15213" y="21380"/>
                  <a:pt x="15248" y="21450"/>
                </a:cubicBezTo>
                <a:cubicBezTo>
                  <a:pt x="15284" y="21520"/>
                  <a:pt x="15341" y="21585"/>
                  <a:pt x="15391" y="21574"/>
                </a:cubicBezTo>
                <a:cubicBezTo>
                  <a:pt x="15441" y="21563"/>
                  <a:pt x="15484" y="21477"/>
                  <a:pt x="15747" y="21067"/>
                </a:cubicBezTo>
                <a:cubicBezTo>
                  <a:pt x="16011" y="20657"/>
                  <a:pt x="16496" y="19923"/>
                  <a:pt x="16995" y="19221"/>
                </a:cubicBezTo>
                <a:cubicBezTo>
                  <a:pt x="17494" y="18519"/>
                  <a:pt x="18007" y="17850"/>
                  <a:pt x="18428" y="17186"/>
                </a:cubicBezTo>
                <a:cubicBezTo>
                  <a:pt x="18848" y="16522"/>
                  <a:pt x="19176" y="15864"/>
                  <a:pt x="19454" y="15265"/>
                </a:cubicBezTo>
                <a:cubicBezTo>
                  <a:pt x="19732" y="14666"/>
                  <a:pt x="19960" y="14126"/>
                  <a:pt x="20246" y="13489"/>
                </a:cubicBezTo>
                <a:cubicBezTo>
                  <a:pt x="20531" y="12852"/>
                  <a:pt x="20873" y="12118"/>
                  <a:pt x="21108" y="11616"/>
                </a:cubicBezTo>
                <a:cubicBezTo>
                  <a:pt x="21343" y="11114"/>
                  <a:pt x="21472" y="10844"/>
                  <a:pt x="21600" y="10575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87" name="Line"/>
          <xdr:cNvSpPr/>
        </xdr:nvSpPr>
        <xdr:spPr>
          <a:xfrm>
            <a:off x="1290593" y="1379588"/>
            <a:ext cx="428913" cy="36712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2624" y="17964"/>
                  <a:pt x="5247" y="14329"/>
                  <a:pt x="8847" y="10729"/>
                </a:cubicBezTo>
                <a:cubicBezTo>
                  <a:pt x="12447" y="7129"/>
                  <a:pt x="17024" y="3564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88" name="Line"/>
          <xdr:cNvSpPr/>
        </xdr:nvSpPr>
        <xdr:spPr>
          <a:xfrm>
            <a:off x="298275" y="1750343"/>
            <a:ext cx="487072" cy="8360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0"/>
                </a:moveTo>
                <a:cubicBezTo>
                  <a:pt x="2901" y="4696"/>
                  <a:pt x="5803" y="9391"/>
                  <a:pt x="8758" y="12835"/>
                </a:cubicBezTo>
                <a:cubicBezTo>
                  <a:pt x="11713" y="16278"/>
                  <a:pt x="14722" y="18470"/>
                  <a:pt x="16872" y="19722"/>
                </a:cubicBezTo>
                <a:cubicBezTo>
                  <a:pt x="19021" y="20974"/>
                  <a:pt x="20310" y="21287"/>
                  <a:pt x="21600" y="2160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89" name="Line"/>
          <xdr:cNvSpPr/>
        </xdr:nvSpPr>
        <xdr:spPr>
          <a:xfrm>
            <a:off x="1257878" y="733098"/>
            <a:ext cx="843288" cy="50374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382" fill="norm" stroke="1" extrusionOk="0">
                <a:moveTo>
                  <a:pt x="0" y="21382"/>
                </a:moveTo>
                <a:cubicBezTo>
                  <a:pt x="2514" y="19325"/>
                  <a:pt x="5028" y="17268"/>
                  <a:pt x="7557" y="14182"/>
                </a:cubicBezTo>
                <a:cubicBezTo>
                  <a:pt x="10086" y="11096"/>
                  <a:pt x="12631" y="6982"/>
                  <a:pt x="14757" y="4410"/>
                </a:cubicBezTo>
                <a:cubicBezTo>
                  <a:pt x="16883" y="1839"/>
                  <a:pt x="18590" y="811"/>
                  <a:pt x="19645" y="296"/>
                </a:cubicBezTo>
                <a:cubicBezTo>
                  <a:pt x="20700" y="-218"/>
                  <a:pt x="21103" y="-218"/>
                  <a:pt x="21321" y="1582"/>
                </a:cubicBezTo>
                <a:cubicBezTo>
                  <a:pt x="21538" y="3382"/>
                  <a:pt x="21569" y="6982"/>
                  <a:pt x="21600" y="10582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90" name="Line"/>
          <xdr:cNvSpPr/>
        </xdr:nvSpPr>
        <xdr:spPr>
          <a:xfrm>
            <a:off x="-1" y="1644932"/>
            <a:ext cx="955008" cy="68338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15" h="21487" fill="norm" stroke="1" extrusionOk="0">
                <a:moveTo>
                  <a:pt x="16959" y="0"/>
                </a:moveTo>
                <a:cubicBezTo>
                  <a:pt x="14731" y="114"/>
                  <a:pt x="12503" y="229"/>
                  <a:pt x="10384" y="648"/>
                </a:cubicBezTo>
                <a:cubicBezTo>
                  <a:pt x="8265" y="1067"/>
                  <a:pt x="6254" y="1790"/>
                  <a:pt x="4570" y="3105"/>
                </a:cubicBezTo>
                <a:cubicBezTo>
                  <a:pt x="2885" y="4419"/>
                  <a:pt x="1527" y="6324"/>
                  <a:pt x="766" y="8305"/>
                </a:cubicBezTo>
                <a:cubicBezTo>
                  <a:pt x="5" y="10286"/>
                  <a:pt x="-158" y="12343"/>
                  <a:pt x="141" y="14229"/>
                </a:cubicBezTo>
                <a:cubicBezTo>
                  <a:pt x="440" y="16114"/>
                  <a:pt x="1200" y="17829"/>
                  <a:pt x="2586" y="19029"/>
                </a:cubicBezTo>
                <a:cubicBezTo>
                  <a:pt x="3972" y="20229"/>
                  <a:pt x="5982" y="20914"/>
                  <a:pt x="8115" y="21257"/>
                </a:cubicBezTo>
                <a:cubicBezTo>
                  <a:pt x="10248" y="21600"/>
                  <a:pt x="12503" y="21600"/>
                  <a:pt x="14500" y="20971"/>
                </a:cubicBezTo>
                <a:cubicBezTo>
                  <a:pt x="16497" y="20343"/>
                  <a:pt x="18236" y="19086"/>
                  <a:pt x="19472" y="17410"/>
                </a:cubicBezTo>
                <a:cubicBezTo>
                  <a:pt x="20708" y="15733"/>
                  <a:pt x="21442" y="13638"/>
                  <a:pt x="21415" y="11676"/>
                </a:cubicBezTo>
                <a:cubicBezTo>
                  <a:pt x="21388" y="9714"/>
                  <a:pt x="20600" y="7886"/>
                  <a:pt x="19866" y="6686"/>
                </a:cubicBezTo>
                <a:cubicBezTo>
                  <a:pt x="19133" y="5486"/>
                  <a:pt x="18453" y="4914"/>
                  <a:pt x="17774" y="4343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91" name="Line"/>
          <xdr:cNvSpPr/>
        </xdr:nvSpPr>
        <xdr:spPr>
          <a:xfrm>
            <a:off x="1293456" y="628384"/>
            <a:ext cx="1069419" cy="513529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21" h="21290" fill="norm" stroke="1" extrusionOk="0">
                <a:moveTo>
                  <a:pt x="13994" y="402"/>
                </a:moveTo>
                <a:cubicBezTo>
                  <a:pt x="11762" y="201"/>
                  <a:pt x="9529" y="0"/>
                  <a:pt x="7575" y="0"/>
                </a:cubicBezTo>
                <a:cubicBezTo>
                  <a:pt x="5621" y="0"/>
                  <a:pt x="3947" y="201"/>
                  <a:pt x="2673" y="1381"/>
                </a:cubicBezTo>
                <a:cubicBezTo>
                  <a:pt x="1399" y="2562"/>
                  <a:pt x="525" y="4722"/>
                  <a:pt x="173" y="7384"/>
                </a:cubicBezTo>
                <a:cubicBezTo>
                  <a:pt x="-179" y="10047"/>
                  <a:pt x="-9" y="13211"/>
                  <a:pt x="816" y="15698"/>
                </a:cubicBezTo>
                <a:cubicBezTo>
                  <a:pt x="1641" y="18184"/>
                  <a:pt x="3122" y="19993"/>
                  <a:pt x="4869" y="20796"/>
                </a:cubicBezTo>
                <a:cubicBezTo>
                  <a:pt x="6617" y="21600"/>
                  <a:pt x="8631" y="21399"/>
                  <a:pt x="10524" y="20369"/>
                </a:cubicBezTo>
                <a:cubicBezTo>
                  <a:pt x="12417" y="19340"/>
                  <a:pt x="14189" y="17481"/>
                  <a:pt x="15851" y="15371"/>
                </a:cubicBezTo>
                <a:cubicBezTo>
                  <a:pt x="17514" y="13261"/>
                  <a:pt x="19067" y="10900"/>
                  <a:pt x="19977" y="9393"/>
                </a:cubicBezTo>
                <a:cubicBezTo>
                  <a:pt x="20887" y="7887"/>
                  <a:pt x="21154" y="7233"/>
                  <a:pt x="21421" y="658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3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194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639636</xdr:colOff>
      <xdr:row>60</xdr:row>
      <xdr:rowOff>191683</xdr:rowOff>
    </xdr:from>
    <xdr:to>
      <xdr:col>30</xdr:col>
      <xdr:colOff>45848</xdr:colOff>
      <xdr:row>74</xdr:row>
      <xdr:rowOff>137442</xdr:rowOff>
    </xdr:to>
    <xdr:graphicFrame>
      <xdr:nvGraphicFramePr>
        <xdr:cNvPr id="195" name="2D Line Chart"/>
        <xdr:cNvGraphicFramePr/>
      </xdr:nvGraphicFramePr>
      <xdr:xfrm>
        <a:off x="20781836" y="12661178"/>
        <a:ext cx="2911413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185747</xdr:colOff>
      <xdr:row>67</xdr:row>
      <xdr:rowOff>2106</xdr:rowOff>
    </xdr:from>
    <xdr:to>
      <xdr:col>24</xdr:col>
      <xdr:colOff>667649</xdr:colOff>
      <xdr:row>68</xdr:row>
      <xdr:rowOff>219981</xdr:rowOff>
    </xdr:to>
    <xdr:grpSp>
      <xdr:nvGrpSpPr>
        <xdr:cNvPr id="200" name="Drawing"/>
        <xdr:cNvGrpSpPr/>
      </xdr:nvGrpSpPr>
      <xdr:grpSpPr>
        <a:xfrm>
          <a:off x="17927647" y="14254046"/>
          <a:ext cx="1282003" cy="472511"/>
          <a:chOff x="-31750" y="-31750"/>
          <a:chExt cx="1282001" cy="472510"/>
        </a:xfrm>
      </xdr:grpSpPr>
      <xdr:pic>
        <xdr:nvPicPr>
          <xdr:cNvPr id="196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-31750"/>
            <a:ext cx="1188151" cy="390389"/>
          </a:xfrm>
          <a:prstGeom prst="rect">
            <a:avLst/>
          </a:prstGeom>
          <a:effectLst/>
        </xdr:spPr>
      </xdr:pic>
      <xdr:pic>
        <xdr:nvPicPr>
          <xdr:cNvPr id="198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900531" y="166712"/>
            <a:ext cx="349721" cy="274049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3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317856</xdr:colOff>
      <xdr:row>61</xdr:row>
      <xdr:rowOff>55654</xdr:rowOff>
    </xdr:from>
    <xdr:to>
      <xdr:col>25</xdr:col>
      <xdr:colOff>543154</xdr:colOff>
      <xdr:row>75</xdr:row>
      <xdr:rowOff>1412</xdr:rowOff>
    </xdr:to>
    <xdr:graphicFrame>
      <xdr:nvGraphicFramePr>
        <xdr:cNvPr id="202" name="2 Axis Chart"/>
        <xdr:cNvGraphicFramePr/>
      </xdr:nvGraphicFramePr>
      <xdr:xfrm>
        <a:off x="16459556" y="12779784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302326</xdr:colOff>
      <xdr:row>60</xdr:row>
      <xdr:rowOff>250986</xdr:rowOff>
    </xdr:from>
    <xdr:to>
      <xdr:col>29</xdr:col>
      <xdr:colOff>464949</xdr:colOff>
      <xdr:row>74</xdr:row>
      <xdr:rowOff>196744</xdr:rowOff>
    </xdr:to>
    <xdr:graphicFrame>
      <xdr:nvGraphicFramePr>
        <xdr:cNvPr id="203" name="2D Line Chart"/>
        <xdr:cNvGraphicFramePr/>
      </xdr:nvGraphicFramePr>
      <xdr:xfrm>
        <a:off x="20444526" y="12720481"/>
        <a:ext cx="298202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59266</xdr:colOff>
      <xdr:row>65</xdr:row>
      <xdr:rowOff>183388</xdr:rowOff>
    </xdr:from>
    <xdr:to>
      <xdr:col>24</xdr:col>
      <xdr:colOff>448734</xdr:colOff>
      <xdr:row>71</xdr:row>
      <xdr:rowOff>126966</xdr:rowOff>
    </xdr:to>
    <xdr:grpSp>
      <xdr:nvGrpSpPr>
        <xdr:cNvPr id="206" name="Drawing"/>
        <xdr:cNvGrpSpPr/>
      </xdr:nvGrpSpPr>
      <xdr:grpSpPr>
        <a:xfrm>
          <a:off x="17001066" y="13926058"/>
          <a:ext cx="1989669" cy="1471389"/>
          <a:chOff x="0" y="0"/>
          <a:chExt cx="1989667" cy="1471388"/>
        </a:xfrm>
      </xdr:grpSpPr>
      <xdr:sp>
        <xdr:nvSpPr>
          <xdr:cNvPr id="204" name="Line"/>
          <xdr:cNvSpPr/>
        </xdr:nvSpPr>
        <xdr:spPr>
          <a:xfrm>
            <a:off x="0" y="230206"/>
            <a:ext cx="1854200" cy="124118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90" fill="norm" stroke="1" extrusionOk="0">
                <a:moveTo>
                  <a:pt x="0" y="21428"/>
                </a:moveTo>
                <a:cubicBezTo>
                  <a:pt x="82" y="21379"/>
                  <a:pt x="164" y="21330"/>
                  <a:pt x="238" y="21342"/>
                </a:cubicBezTo>
                <a:cubicBezTo>
                  <a:pt x="312" y="21355"/>
                  <a:pt x="378" y="21428"/>
                  <a:pt x="542" y="21490"/>
                </a:cubicBezTo>
                <a:cubicBezTo>
                  <a:pt x="707" y="21551"/>
                  <a:pt x="970" y="21600"/>
                  <a:pt x="1323" y="21588"/>
                </a:cubicBezTo>
                <a:cubicBezTo>
                  <a:pt x="1677" y="21575"/>
                  <a:pt x="2121" y="21502"/>
                  <a:pt x="2573" y="21379"/>
                </a:cubicBezTo>
                <a:cubicBezTo>
                  <a:pt x="3025" y="21256"/>
                  <a:pt x="3485" y="21085"/>
                  <a:pt x="3921" y="20986"/>
                </a:cubicBezTo>
                <a:cubicBezTo>
                  <a:pt x="4356" y="20888"/>
                  <a:pt x="4767" y="20864"/>
                  <a:pt x="5195" y="20802"/>
                </a:cubicBezTo>
                <a:cubicBezTo>
                  <a:pt x="5622" y="20741"/>
                  <a:pt x="6066" y="20643"/>
                  <a:pt x="6567" y="20446"/>
                </a:cubicBezTo>
                <a:cubicBezTo>
                  <a:pt x="7068" y="20250"/>
                  <a:pt x="7627" y="19955"/>
                  <a:pt x="8104" y="19636"/>
                </a:cubicBezTo>
                <a:cubicBezTo>
                  <a:pt x="8581" y="19317"/>
                  <a:pt x="8975" y="18974"/>
                  <a:pt x="9378" y="18667"/>
                </a:cubicBezTo>
                <a:cubicBezTo>
                  <a:pt x="9781" y="18360"/>
                  <a:pt x="10192" y="18090"/>
                  <a:pt x="10636" y="17759"/>
                </a:cubicBezTo>
                <a:cubicBezTo>
                  <a:pt x="11079" y="17427"/>
                  <a:pt x="11556" y="17035"/>
                  <a:pt x="11951" y="16691"/>
                </a:cubicBezTo>
                <a:cubicBezTo>
                  <a:pt x="12345" y="16347"/>
                  <a:pt x="12658" y="16053"/>
                  <a:pt x="12921" y="15770"/>
                </a:cubicBezTo>
                <a:cubicBezTo>
                  <a:pt x="13184" y="15488"/>
                  <a:pt x="13397" y="15218"/>
                  <a:pt x="13685" y="14887"/>
                </a:cubicBezTo>
                <a:cubicBezTo>
                  <a:pt x="13973" y="14555"/>
                  <a:pt x="14334" y="14163"/>
                  <a:pt x="14655" y="13782"/>
                </a:cubicBezTo>
                <a:cubicBezTo>
                  <a:pt x="14975" y="13402"/>
                  <a:pt x="15255" y="13034"/>
                  <a:pt x="15559" y="12641"/>
                </a:cubicBezTo>
                <a:cubicBezTo>
                  <a:pt x="15863" y="12248"/>
                  <a:pt x="16192" y="11831"/>
                  <a:pt x="16545" y="11340"/>
                </a:cubicBezTo>
                <a:cubicBezTo>
                  <a:pt x="16899" y="10849"/>
                  <a:pt x="17277" y="10285"/>
                  <a:pt x="17605" y="9794"/>
                </a:cubicBezTo>
                <a:cubicBezTo>
                  <a:pt x="17934" y="9303"/>
                  <a:pt x="18214" y="8885"/>
                  <a:pt x="18493" y="8407"/>
                </a:cubicBezTo>
                <a:cubicBezTo>
                  <a:pt x="18773" y="7928"/>
                  <a:pt x="19052" y="7388"/>
                  <a:pt x="19266" y="6934"/>
                </a:cubicBezTo>
                <a:cubicBezTo>
                  <a:pt x="19479" y="6480"/>
                  <a:pt x="19627" y="6112"/>
                  <a:pt x="19800" y="5682"/>
                </a:cubicBezTo>
                <a:cubicBezTo>
                  <a:pt x="19973" y="5253"/>
                  <a:pt x="20170" y="4762"/>
                  <a:pt x="20326" y="4345"/>
                </a:cubicBezTo>
                <a:cubicBezTo>
                  <a:pt x="20482" y="3927"/>
                  <a:pt x="20597" y="3584"/>
                  <a:pt x="20762" y="3031"/>
                </a:cubicBezTo>
                <a:cubicBezTo>
                  <a:pt x="20926" y="2479"/>
                  <a:pt x="21140" y="1718"/>
                  <a:pt x="21288" y="1178"/>
                </a:cubicBezTo>
                <a:cubicBezTo>
                  <a:pt x="21436" y="638"/>
                  <a:pt x="21518" y="319"/>
                  <a:pt x="21600" y="0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05" name="Line"/>
          <xdr:cNvSpPr/>
        </xdr:nvSpPr>
        <xdr:spPr>
          <a:xfrm>
            <a:off x="1743952" y="0"/>
            <a:ext cx="245716" cy="17517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93" h="21451" fill="norm" stroke="1" extrusionOk="0">
                <a:moveTo>
                  <a:pt x="2608" y="16267"/>
                </a:moveTo>
                <a:cubicBezTo>
                  <a:pt x="2115" y="16785"/>
                  <a:pt x="1621" y="17304"/>
                  <a:pt x="1066" y="17736"/>
                </a:cubicBezTo>
                <a:cubicBezTo>
                  <a:pt x="510" y="18168"/>
                  <a:pt x="-107" y="18513"/>
                  <a:pt x="16" y="18341"/>
                </a:cubicBezTo>
                <a:cubicBezTo>
                  <a:pt x="140" y="18168"/>
                  <a:pt x="1004" y="17477"/>
                  <a:pt x="3287" y="15144"/>
                </a:cubicBezTo>
                <a:cubicBezTo>
                  <a:pt x="5571" y="12811"/>
                  <a:pt x="9273" y="8837"/>
                  <a:pt x="12051" y="6072"/>
                </a:cubicBezTo>
                <a:cubicBezTo>
                  <a:pt x="14828" y="3307"/>
                  <a:pt x="16679" y="1752"/>
                  <a:pt x="17913" y="888"/>
                </a:cubicBezTo>
                <a:cubicBezTo>
                  <a:pt x="19148" y="24"/>
                  <a:pt x="19765" y="-149"/>
                  <a:pt x="20259" y="110"/>
                </a:cubicBezTo>
                <a:cubicBezTo>
                  <a:pt x="20752" y="369"/>
                  <a:pt x="21123" y="1061"/>
                  <a:pt x="21308" y="2961"/>
                </a:cubicBezTo>
                <a:cubicBezTo>
                  <a:pt x="21493" y="4862"/>
                  <a:pt x="21493" y="7972"/>
                  <a:pt x="21370" y="10997"/>
                </a:cubicBezTo>
                <a:cubicBezTo>
                  <a:pt x="21246" y="14021"/>
                  <a:pt x="20999" y="16958"/>
                  <a:pt x="20999" y="18686"/>
                </a:cubicBezTo>
                <a:cubicBezTo>
                  <a:pt x="20999" y="20414"/>
                  <a:pt x="21246" y="20933"/>
                  <a:pt x="21493" y="21451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3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192189</xdr:rowOff>
    </xdr:from>
    <xdr:to>
      <xdr:col>26</xdr:col>
      <xdr:colOff>233391</xdr:colOff>
      <xdr:row>74</xdr:row>
      <xdr:rowOff>137948</xdr:rowOff>
    </xdr:to>
    <xdr:graphicFrame>
      <xdr:nvGraphicFramePr>
        <xdr:cNvPr id="208" name="2 Axis Chart"/>
        <xdr:cNvGraphicFramePr/>
      </xdr:nvGraphicFramePr>
      <xdr:xfrm>
        <a:off x="16702751" y="12661684"/>
        <a:ext cx="367284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3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23</xdr:col>
      <xdr:colOff>205451</xdr:colOff>
      <xdr:row>60</xdr:row>
      <xdr:rowOff>12994</xdr:rowOff>
    </xdr:from>
    <xdr:to>
      <xdr:col>27</xdr:col>
      <xdr:colOff>607279</xdr:colOff>
      <xdr:row>73</xdr:row>
      <xdr:rowOff>213387</xdr:rowOff>
    </xdr:to>
    <xdr:graphicFrame>
      <xdr:nvGraphicFramePr>
        <xdr:cNvPr id="210" name="2 Axis Chart"/>
        <xdr:cNvGraphicFramePr/>
      </xdr:nvGraphicFramePr>
      <xdr:xfrm>
        <a:off x="17947351" y="12482489"/>
        <a:ext cx="360222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25</xdr:col>
      <xdr:colOff>748249</xdr:colOff>
      <xdr:row>68</xdr:row>
      <xdr:rowOff>159541</xdr:rowOff>
    </xdr:from>
    <xdr:to>
      <xdr:col>26</xdr:col>
      <xdr:colOff>516002</xdr:colOff>
      <xdr:row>72</xdr:row>
      <xdr:rowOff>31270</xdr:rowOff>
    </xdr:to>
    <xdr:grpSp>
      <xdr:nvGrpSpPr>
        <xdr:cNvPr id="213" name="Drawing"/>
        <xdr:cNvGrpSpPr/>
      </xdr:nvGrpSpPr>
      <xdr:grpSpPr>
        <a:xfrm>
          <a:off x="20090349" y="14666116"/>
          <a:ext cx="567854" cy="890270"/>
          <a:chOff x="0" y="0"/>
          <a:chExt cx="567852" cy="890269"/>
        </a:xfrm>
      </xdr:grpSpPr>
      <xdr:sp>
        <xdr:nvSpPr>
          <xdr:cNvPr id="211" name="Line"/>
          <xdr:cNvSpPr/>
        </xdr:nvSpPr>
        <xdr:spPr>
          <a:xfrm>
            <a:off x="0" y="319297"/>
            <a:ext cx="402347" cy="57097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57" h="21600" fill="norm" stroke="1" extrusionOk="0">
                <a:moveTo>
                  <a:pt x="977" y="21600"/>
                </a:moveTo>
                <a:cubicBezTo>
                  <a:pt x="513" y="21600"/>
                  <a:pt x="50" y="21600"/>
                  <a:pt x="3" y="21436"/>
                </a:cubicBezTo>
                <a:cubicBezTo>
                  <a:pt x="-43" y="21273"/>
                  <a:pt x="328" y="20945"/>
                  <a:pt x="1579" y="19833"/>
                </a:cubicBezTo>
                <a:cubicBezTo>
                  <a:pt x="2831" y="18720"/>
                  <a:pt x="4963" y="16822"/>
                  <a:pt x="7142" y="14825"/>
                </a:cubicBezTo>
                <a:cubicBezTo>
                  <a:pt x="9320" y="12829"/>
                  <a:pt x="11545" y="10735"/>
                  <a:pt x="13260" y="9164"/>
                </a:cubicBezTo>
                <a:cubicBezTo>
                  <a:pt x="14975" y="7593"/>
                  <a:pt x="16180" y="6545"/>
                  <a:pt x="17246" y="5302"/>
                </a:cubicBezTo>
                <a:cubicBezTo>
                  <a:pt x="18312" y="4058"/>
                  <a:pt x="19239" y="2618"/>
                  <a:pt x="19935" y="1702"/>
                </a:cubicBezTo>
                <a:cubicBezTo>
                  <a:pt x="20630" y="785"/>
                  <a:pt x="21093" y="393"/>
                  <a:pt x="21557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12" name="Line"/>
          <xdr:cNvSpPr/>
        </xdr:nvSpPr>
        <xdr:spPr>
          <a:xfrm>
            <a:off x="278585" y="-1"/>
            <a:ext cx="289268" cy="44811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95" h="21434" fill="norm" stroke="1" extrusionOk="0">
                <a:moveTo>
                  <a:pt x="1868" y="11300"/>
                </a:moveTo>
                <a:cubicBezTo>
                  <a:pt x="968" y="11383"/>
                  <a:pt x="68" y="11465"/>
                  <a:pt x="3" y="11341"/>
                </a:cubicBezTo>
                <a:cubicBezTo>
                  <a:pt x="-61" y="11217"/>
                  <a:pt x="710" y="10886"/>
                  <a:pt x="2575" y="9934"/>
                </a:cubicBezTo>
                <a:cubicBezTo>
                  <a:pt x="4439" y="8983"/>
                  <a:pt x="7396" y="7410"/>
                  <a:pt x="10032" y="6128"/>
                </a:cubicBezTo>
                <a:cubicBezTo>
                  <a:pt x="12668" y="4845"/>
                  <a:pt x="14982" y="3852"/>
                  <a:pt x="16589" y="2983"/>
                </a:cubicBezTo>
                <a:cubicBezTo>
                  <a:pt x="18196" y="2114"/>
                  <a:pt x="19096" y="1369"/>
                  <a:pt x="19803" y="831"/>
                </a:cubicBezTo>
                <a:cubicBezTo>
                  <a:pt x="20510" y="293"/>
                  <a:pt x="21025" y="-38"/>
                  <a:pt x="21282" y="3"/>
                </a:cubicBezTo>
                <a:cubicBezTo>
                  <a:pt x="21539" y="45"/>
                  <a:pt x="21539" y="459"/>
                  <a:pt x="21410" y="2321"/>
                </a:cubicBezTo>
                <a:cubicBezTo>
                  <a:pt x="21282" y="4183"/>
                  <a:pt x="21025" y="7493"/>
                  <a:pt x="20446" y="10638"/>
                </a:cubicBezTo>
                <a:cubicBezTo>
                  <a:pt x="19868" y="13783"/>
                  <a:pt x="18968" y="16762"/>
                  <a:pt x="18453" y="18624"/>
                </a:cubicBezTo>
                <a:cubicBezTo>
                  <a:pt x="17939" y="20486"/>
                  <a:pt x="17810" y="21231"/>
                  <a:pt x="18003" y="21396"/>
                </a:cubicBezTo>
                <a:cubicBezTo>
                  <a:pt x="18196" y="21562"/>
                  <a:pt x="18710" y="21148"/>
                  <a:pt x="19225" y="20734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3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49</xdr:row>
      <xdr:rowOff>191937</xdr:rowOff>
    </xdr:from>
    <xdr:to>
      <xdr:col>26</xdr:col>
      <xdr:colOff>56861</xdr:colOff>
      <xdr:row>63</xdr:row>
      <xdr:rowOff>137696</xdr:rowOff>
    </xdr:to>
    <xdr:graphicFrame>
      <xdr:nvGraphicFramePr>
        <xdr:cNvPr id="215" name="2 Axis Chart"/>
        <xdr:cNvGraphicFramePr/>
      </xdr:nvGraphicFramePr>
      <xdr:xfrm>
        <a:off x="16773363" y="12916067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711880</xdr:colOff>
      <xdr:row>49</xdr:row>
      <xdr:rowOff>191937</xdr:rowOff>
    </xdr:from>
    <xdr:to>
      <xdr:col>30</xdr:col>
      <xdr:colOff>118091</xdr:colOff>
      <xdr:row>63</xdr:row>
      <xdr:rowOff>137696</xdr:rowOff>
    </xdr:to>
    <xdr:graphicFrame>
      <xdr:nvGraphicFramePr>
        <xdr:cNvPr id="216" name="2D Line Chart"/>
        <xdr:cNvGraphicFramePr/>
      </xdr:nvGraphicFramePr>
      <xdr:xfrm>
        <a:off x="20854080" y="12916067"/>
        <a:ext cx="2911412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3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7458</xdr:colOff>
      <xdr:row>74</xdr:row>
      <xdr:rowOff>137442</xdr:rowOff>
    </xdr:to>
    <xdr:graphicFrame>
      <xdr:nvGraphicFramePr>
        <xdr:cNvPr id="218" name="2 Axis Chart"/>
        <xdr:cNvGraphicFramePr/>
      </xdr:nvGraphicFramePr>
      <xdr:xfrm>
        <a:off x="16773363" y="12661178"/>
        <a:ext cx="3376296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25</xdr:col>
      <xdr:colOff>50207</xdr:colOff>
      <xdr:row>164</xdr:row>
      <xdr:rowOff>274904</xdr:rowOff>
    </xdr:from>
    <xdr:to>
      <xdr:col>32</xdr:col>
      <xdr:colOff>578362</xdr:colOff>
      <xdr:row>166</xdr:row>
      <xdr:rowOff>84351</xdr:rowOff>
    </xdr:to>
    <xdr:sp>
      <xdr:nvSpPr>
        <xdr:cNvPr id="219" name="Arus kas negatif berkurang…"/>
        <xdr:cNvSpPr txBox="1"/>
      </xdr:nvSpPr>
      <xdr:spPr>
        <a:xfrm>
          <a:off x="19392307" y="55023969"/>
          <a:ext cx="6433656" cy="168968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Arus kas negatif berkurang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Berikut ini arus kas operasional dan investasi (Rp miliar) 5 kuartal terakhir: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1.087 ; 465 ; 967 ; 1.397 ; 3.786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-1.641 ; -2.083 ; -5.936 ; -3.175 ; -5.175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Arus kas bebas (free cashflow) berubah dari -1.778 miliar rupiah menjadi -1.388 miliar rupiah pada kuartal ketiga dengan arus kas investasi sebesar -5.175 miliar rupiah.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Rata-rata arus kas per kuartal adalah -2.438 miliar rupiah saat ini.</a:t>
          </a:r>
          <a:endParaRPr b="0" baseline="0" cap="none" i="0" spc="0" strike="noStrike" sz="1100" u="none">
            <a:solidFill>
              <a:srgbClr val="000000"/>
            </a:solidFill>
            <a:uFillTx/>
            <a:latin typeface="+mn-lt"/>
            <a:ea typeface="+mn-ea"/>
            <a:cs typeface="+mn-cs"/>
            <a:sym typeface="Helvetica Neue"/>
          </a:endParaRPr>
        </a:p>
        <a:p>
          <a:pPr marL="0" marR="0" indent="0" algn="l" defTabSz="457200" rtl="0" latinLnBrk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defRPr>
          </a:pPr>
          <a:r>
            <a:rPr b="0" baseline="0" cap="none" i="0" spc="0" strike="noStrike" sz="1100" u="none">
              <a:solidFill>
                <a:srgbClr val="000000"/>
              </a:solidFill>
              <a:uFillTx/>
              <a:latin typeface="+mn-lt"/>
              <a:ea typeface="+mn-ea"/>
              <a:cs typeface="+mn-cs"/>
              <a:sym typeface="Helvetica Neue"/>
            </a:rPr>
            <a:t>	•	</a:t>
          </a:r>
        </a:p>
      </xdr:txBody>
    </xdr:sp>
    <xdr:clientData/>
  </xdr:twoCellAnchor>
</xdr:wsDr>
</file>

<file path=xl/drawings/drawing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162779</xdr:colOff>
      <xdr:row>74</xdr:row>
      <xdr:rowOff>144083</xdr:rowOff>
    </xdr:to>
    <xdr:graphicFrame>
      <xdr:nvGraphicFramePr>
        <xdr:cNvPr id="11" name="2 Axis Chart"/>
        <xdr:cNvGraphicFramePr/>
      </xdr:nvGraphicFramePr>
      <xdr:xfrm>
        <a:off x="16773363" y="12667820"/>
        <a:ext cx="3531617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470020</xdr:colOff>
      <xdr:row>66</xdr:row>
      <xdr:rowOff>140807</xdr:rowOff>
    </xdr:from>
    <xdr:to>
      <xdr:col>25</xdr:col>
      <xdr:colOff>3674</xdr:colOff>
      <xdr:row>69</xdr:row>
      <xdr:rowOff>116434</xdr:rowOff>
    </xdr:to>
    <xdr:grpSp>
      <xdr:nvGrpSpPr>
        <xdr:cNvPr id="16" name="Drawing"/>
        <xdr:cNvGrpSpPr/>
      </xdr:nvGrpSpPr>
      <xdr:grpSpPr>
        <a:xfrm>
          <a:off x="17411820" y="14138112"/>
          <a:ext cx="1933955" cy="739533"/>
          <a:chOff x="-19050" y="-19049"/>
          <a:chExt cx="1933953" cy="739531"/>
        </a:xfrm>
      </xdr:grpSpPr>
      <xdr:pic>
        <xdr:nvPicPr>
          <xdr:cNvPr id="12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806056" cy="739532"/>
          </a:xfrm>
          <a:prstGeom prst="rect">
            <a:avLst/>
          </a:prstGeom>
          <a:effectLst/>
        </xdr:spPr>
      </xdr:pic>
      <xdr:pic>
        <xdr:nvPicPr>
          <xdr:cNvPr id="14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28720" y="6284"/>
            <a:ext cx="386184" cy="359871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4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23</xdr:col>
      <xdr:colOff>1596</xdr:colOff>
      <xdr:row>65</xdr:row>
      <xdr:rowOff>56985</xdr:rowOff>
    </xdr:from>
    <xdr:to>
      <xdr:col>27</xdr:col>
      <xdr:colOff>403424</xdr:colOff>
      <xdr:row>79</xdr:row>
      <xdr:rowOff>2744</xdr:rowOff>
    </xdr:to>
    <xdr:graphicFrame>
      <xdr:nvGraphicFramePr>
        <xdr:cNvPr id="221" name="2 Axis Chart"/>
        <xdr:cNvGraphicFramePr/>
      </xdr:nvGraphicFramePr>
      <xdr:xfrm>
        <a:off x="17743496" y="13799655"/>
        <a:ext cx="360222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145954</xdr:colOff>
      <xdr:row>67</xdr:row>
      <xdr:rowOff>177804</xdr:rowOff>
    </xdr:from>
    <xdr:to>
      <xdr:col>26</xdr:col>
      <xdr:colOff>334362</xdr:colOff>
      <xdr:row>74</xdr:row>
      <xdr:rowOff>253934</xdr:rowOff>
    </xdr:to>
    <xdr:grpSp>
      <xdr:nvGrpSpPr>
        <xdr:cNvPr id="224" name="Drawing"/>
        <xdr:cNvGrpSpPr/>
      </xdr:nvGrpSpPr>
      <xdr:grpSpPr>
        <a:xfrm>
          <a:off x="18687954" y="14429744"/>
          <a:ext cx="1788609" cy="1858576"/>
          <a:chOff x="0" y="0"/>
          <a:chExt cx="1788608" cy="1858575"/>
        </a:xfrm>
      </xdr:grpSpPr>
      <xdr:sp>
        <xdr:nvSpPr>
          <xdr:cNvPr id="222" name="Line"/>
          <xdr:cNvSpPr/>
        </xdr:nvSpPr>
        <xdr:spPr>
          <a:xfrm>
            <a:off x="0" y="180136"/>
            <a:ext cx="1596076" cy="167844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4" h="21580" fill="norm" stroke="1" extrusionOk="0">
                <a:moveTo>
                  <a:pt x="157" y="21496"/>
                </a:moveTo>
                <a:cubicBezTo>
                  <a:pt x="89" y="21544"/>
                  <a:pt x="21" y="21593"/>
                  <a:pt x="4" y="21577"/>
                </a:cubicBezTo>
                <a:cubicBezTo>
                  <a:pt x="-13" y="21561"/>
                  <a:pt x="21" y="21479"/>
                  <a:pt x="98" y="21358"/>
                </a:cubicBezTo>
                <a:cubicBezTo>
                  <a:pt x="175" y="21236"/>
                  <a:pt x="294" y="21074"/>
                  <a:pt x="405" y="20993"/>
                </a:cubicBezTo>
                <a:cubicBezTo>
                  <a:pt x="515" y="20912"/>
                  <a:pt x="618" y="20912"/>
                  <a:pt x="771" y="20807"/>
                </a:cubicBezTo>
                <a:cubicBezTo>
                  <a:pt x="925" y="20701"/>
                  <a:pt x="1129" y="20490"/>
                  <a:pt x="1428" y="20182"/>
                </a:cubicBezTo>
                <a:cubicBezTo>
                  <a:pt x="1726" y="19874"/>
                  <a:pt x="2118" y="19469"/>
                  <a:pt x="2561" y="19023"/>
                </a:cubicBezTo>
                <a:cubicBezTo>
                  <a:pt x="3005" y="18577"/>
                  <a:pt x="3499" y="18090"/>
                  <a:pt x="3959" y="17661"/>
                </a:cubicBezTo>
                <a:cubicBezTo>
                  <a:pt x="4420" y="17231"/>
                  <a:pt x="4846" y="16858"/>
                  <a:pt x="5289" y="16444"/>
                </a:cubicBezTo>
                <a:cubicBezTo>
                  <a:pt x="5732" y="16031"/>
                  <a:pt x="6193" y="15577"/>
                  <a:pt x="6644" y="15131"/>
                </a:cubicBezTo>
                <a:cubicBezTo>
                  <a:pt x="7096" y="14685"/>
                  <a:pt x="7539" y="14247"/>
                  <a:pt x="7966" y="13809"/>
                </a:cubicBezTo>
                <a:cubicBezTo>
                  <a:pt x="8392" y="13371"/>
                  <a:pt x="8801" y="12934"/>
                  <a:pt x="9210" y="12512"/>
                </a:cubicBezTo>
                <a:cubicBezTo>
                  <a:pt x="9619" y="12090"/>
                  <a:pt x="10028" y="11685"/>
                  <a:pt x="10480" y="11255"/>
                </a:cubicBezTo>
                <a:cubicBezTo>
                  <a:pt x="10932" y="10825"/>
                  <a:pt x="11426" y="10371"/>
                  <a:pt x="11921" y="9901"/>
                </a:cubicBezTo>
                <a:cubicBezTo>
                  <a:pt x="12415" y="9431"/>
                  <a:pt x="12909" y="8944"/>
                  <a:pt x="13378" y="8474"/>
                </a:cubicBezTo>
                <a:cubicBezTo>
                  <a:pt x="13847" y="8004"/>
                  <a:pt x="14290" y="7550"/>
                  <a:pt x="14776" y="7063"/>
                </a:cubicBezTo>
                <a:cubicBezTo>
                  <a:pt x="15262" y="6577"/>
                  <a:pt x="15791" y="6058"/>
                  <a:pt x="16277" y="5588"/>
                </a:cubicBezTo>
                <a:cubicBezTo>
                  <a:pt x="16762" y="5117"/>
                  <a:pt x="17206" y="4696"/>
                  <a:pt x="17606" y="4258"/>
                </a:cubicBezTo>
                <a:cubicBezTo>
                  <a:pt x="18007" y="3820"/>
                  <a:pt x="18365" y="3366"/>
                  <a:pt x="18731" y="2912"/>
                </a:cubicBezTo>
                <a:cubicBezTo>
                  <a:pt x="19098" y="2458"/>
                  <a:pt x="19473" y="2004"/>
                  <a:pt x="19865" y="1582"/>
                </a:cubicBezTo>
                <a:cubicBezTo>
                  <a:pt x="20257" y="1161"/>
                  <a:pt x="20666" y="771"/>
                  <a:pt x="20922" y="528"/>
                </a:cubicBezTo>
                <a:cubicBezTo>
                  <a:pt x="21178" y="285"/>
                  <a:pt x="21280" y="188"/>
                  <a:pt x="21374" y="115"/>
                </a:cubicBezTo>
                <a:cubicBezTo>
                  <a:pt x="21468" y="42"/>
                  <a:pt x="21553" y="-7"/>
                  <a:pt x="21570" y="1"/>
                </a:cubicBezTo>
                <a:cubicBezTo>
                  <a:pt x="21587" y="9"/>
                  <a:pt x="21536" y="74"/>
                  <a:pt x="21485" y="139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23" name="Line"/>
          <xdr:cNvSpPr/>
        </xdr:nvSpPr>
        <xdr:spPr>
          <a:xfrm>
            <a:off x="1461188" y="-1"/>
            <a:ext cx="327421" cy="20606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02" h="21518" fill="norm" stroke="1" extrusionOk="0">
                <a:moveTo>
                  <a:pt x="2947" y="13220"/>
                </a:moveTo>
                <a:cubicBezTo>
                  <a:pt x="2453" y="13220"/>
                  <a:pt x="1958" y="13220"/>
                  <a:pt x="1381" y="13220"/>
                </a:cubicBezTo>
                <a:cubicBezTo>
                  <a:pt x="804" y="13220"/>
                  <a:pt x="144" y="13220"/>
                  <a:pt x="21" y="13220"/>
                </a:cubicBezTo>
                <a:cubicBezTo>
                  <a:pt x="-103" y="13220"/>
                  <a:pt x="309" y="13220"/>
                  <a:pt x="1876" y="12101"/>
                </a:cubicBezTo>
                <a:cubicBezTo>
                  <a:pt x="3442" y="10981"/>
                  <a:pt x="6163" y="8742"/>
                  <a:pt x="8883" y="6701"/>
                </a:cubicBezTo>
                <a:cubicBezTo>
                  <a:pt x="11604" y="4659"/>
                  <a:pt x="14324" y="2816"/>
                  <a:pt x="16179" y="1696"/>
                </a:cubicBezTo>
                <a:cubicBezTo>
                  <a:pt x="18034" y="577"/>
                  <a:pt x="19024" y="181"/>
                  <a:pt x="19766" y="50"/>
                </a:cubicBezTo>
                <a:cubicBezTo>
                  <a:pt x="20508" y="-82"/>
                  <a:pt x="21002" y="50"/>
                  <a:pt x="21250" y="445"/>
                </a:cubicBezTo>
                <a:cubicBezTo>
                  <a:pt x="21497" y="840"/>
                  <a:pt x="21497" y="1499"/>
                  <a:pt x="20837" y="2816"/>
                </a:cubicBezTo>
                <a:cubicBezTo>
                  <a:pt x="20178" y="4133"/>
                  <a:pt x="18859" y="6108"/>
                  <a:pt x="17663" y="8084"/>
                </a:cubicBezTo>
                <a:cubicBezTo>
                  <a:pt x="16468" y="10059"/>
                  <a:pt x="15396" y="12035"/>
                  <a:pt x="14860" y="14274"/>
                </a:cubicBezTo>
                <a:cubicBezTo>
                  <a:pt x="14325" y="16513"/>
                  <a:pt x="14325" y="19016"/>
                  <a:pt x="14325" y="21518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  <xdr:twoCellAnchor>
    <xdr:from>
      <xdr:col>20</xdr:col>
      <xdr:colOff>703083</xdr:colOff>
      <xdr:row>46</xdr:row>
      <xdr:rowOff>43215</xdr:rowOff>
    </xdr:from>
    <xdr:to>
      <xdr:col>25</xdr:col>
      <xdr:colOff>342875</xdr:colOff>
      <xdr:row>61</xdr:row>
      <xdr:rowOff>28610</xdr:rowOff>
    </xdr:to>
    <xdr:graphicFrame>
      <xdr:nvGraphicFramePr>
        <xdr:cNvPr id="225" name="2D Line Chart"/>
        <xdr:cNvGraphicFramePr/>
      </xdr:nvGraphicFramePr>
      <xdr:xfrm>
        <a:off x="16044683" y="8942740"/>
        <a:ext cx="3640293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4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78705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227" name="2 Axis Chart"/>
        <xdr:cNvGraphicFramePr/>
      </xdr:nvGraphicFramePr>
      <xdr:xfrm>
        <a:off x="17020505" y="12661178"/>
        <a:ext cx="310794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464067</xdr:colOff>
      <xdr:row>60</xdr:row>
      <xdr:rowOff>191683</xdr:rowOff>
    </xdr:from>
    <xdr:to>
      <xdr:col>29</xdr:col>
      <xdr:colOff>428951</xdr:colOff>
      <xdr:row>74</xdr:row>
      <xdr:rowOff>137442</xdr:rowOff>
    </xdr:to>
    <xdr:graphicFrame>
      <xdr:nvGraphicFramePr>
        <xdr:cNvPr id="228" name="2D Line Chart"/>
        <xdr:cNvGraphicFramePr/>
      </xdr:nvGraphicFramePr>
      <xdr:xfrm>
        <a:off x="20606267" y="12661178"/>
        <a:ext cx="278428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325883</xdr:colOff>
      <xdr:row>64</xdr:row>
      <xdr:rowOff>159611</xdr:rowOff>
    </xdr:from>
    <xdr:to>
      <xdr:col>25</xdr:col>
      <xdr:colOff>8391</xdr:colOff>
      <xdr:row>70</xdr:row>
      <xdr:rowOff>98361</xdr:rowOff>
    </xdr:to>
    <xdr:grpSp>
      <xdr:nvGrpSpPr>
        <xdr:cNvPr id="231" name="Drawing"/>
        <xdr:cNvGrpSpPr/>
      </xdr:nvGrpSpPr>
      <xdr:grpSpPr>
        <a:xfrm>
          <a:off x="18067783" y="13647646"/>
          <a:ext cx="1282709" cy="1466561"/>
          <a:chOff x="0" y="0"/>
          <a:chExt cx="1282708" cy="1466559"/>
        </a:xfrm>
      </xdr:grpSpPr>
      <xdr:sp>
        <xdr:nvSpPr>
          <xdr:cNvPr id="229" name="Line"/>
          <xdr:cNvSpPr/>
        </xdr:nvSpPr>
        <xdr:spPr>
          <a:xfrm>
            <a:off x="-1" y="224572"/>
            <a:ext cx="1136299" cy="124198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3" h="21543" fill="norm" stroke="1" extrusionOk="0">
                <a:moveTo>
                  <a:pt x="1165" y="20234"/>
                </a:moveTo>
                <a:cubicBezTo>
                  <a:pt x="935" y="20444"/>
                  <a:pt x="705" y="20654"/>
                  <a:pt x="475" y="20904"/>
                </a:cubicBezTo>
                <a:cubicBezTo>
                  <a:pt x="245" y="21153"/>
                  <a:pt x="15" y="21442"/>
                  <a:pt x="0" y="21521"/>
                </a:cubicBezTo>
                <a:cubicBezTo>
                  <a:pt x="-14" y="21600"/>
                  <a:pt x="187" y="21469"/>
                  <a:pt x="633" y="21074"/>
                </a:cubicBezTo>
                <a:cubicBezTo>
                  <a:pt x="1079" y="20680"/>
                  <a:pt x="1769" y="20023"/>
                  <a:pt x="2503" y="19274"/>
                </a:cubicBezTo>
                <a:cubicBezTo>
                  <a:pt x="3236" y="18526"/>
                  <a:pt x="4013" y="17685"/>
                  <a:pt x="4732" y="16857"/>
                </a:cubicBezTo>
                <a:cubicBezTo>
                  <a:pt x="5451" y="16029"/>
                  <a:pt x="6112" y="15215"/>
                  <a:pt x="6803" y="14426"/>
                </a:cubicBezTo>
                <a:cubicBezTo>
                  <a:pt x="7493" y="13638"/>
                  <a:pt x="8212" y="12876"/>
                  <a:pt x="8916" y="12140"/>
                </a:cubicBezTo>
                <a:cubicBezTo>
                  <a:pt x="9621" y="11404"/>
                  <a:pt x="10311" y="10695"/>
                  <a:pt x="11016" y="10012"/>
                </a:cubicBezTo>
                <a:cubicBezTo>
                  <a:pt x="11721" y="9328"/>
                  <a:pt x="12440" y="8672"/>
                  <a:pt x="13159" y="8028"/>
                </a:cubicBezTo>
                <a:cubicBezTo>
                  <a:pt x="13878" y="7384"/>
                  <a:pt x="14597" y="6753"/>
                  <a:pt x="15373" y="6057"/>
                </a:cubicBezTo>
                <a:cubicBezTo>
                  <a:pt x="16150" y="5361"/>
                  <a:pt x="16984" y="4599"/>
                  <a:pt x="17761" y="3836"/>
                </a:cubicBezTo>
                <a:cubicBezTo>
                  <a:pt x="18537" y="3074"/>
                  <a:pt x="19256" y="2312"/>
                  <a:pt x="19846" y="1721"/>
                </a:cubicBezTo>
                <a:cubicBezTo>
                  <a:pt x="20436" y="1130"/>
                  <a:pt x="20896" y="709"/>
                  <a:pt x="21183" y="460"/>
                </a:cubicBezTo>
                <a:cubicBezTo>
                  <a:pt x="21471" y="210"/>
                  <a:pt x="21586" y="131"/>
                  <a:pt x="21572" y="79"/>
                </a:cubicBezTo>
                <a:cubicBezTo>
                  <a:pt x="21557" y="26"/>
                  <a:pt x="21413" y="0"/>
                  <a:pt x="21270" y="0"/>
                </a:cubicBezTo>
                <a:cubicBezTo>
                  <a:pt x="21126" y="0"/>
                  <a:pt x="20982" y="26"/>
                  <a:pt x="20838" y="53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30" name="Line"/>
          <xdr:cNvSpPr/>
        </xdr:nvSpPr>
        <xdr:spPr>
          <a:xfrm>
            <a:off x="957792" y="0"/>
            <a:ext cx="324917" cy="26850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49" h="21508" fill="norm" stroke="1" extrusionOk="0">
                <a:moveTo>
                  <a:pt x="3513" y="17503"/>
                </a:moveTo>
                <a:cubicBezTo>
                  <a:pt x="3015" y="17503"/>
                  <a:pt x="2518" y="17503"/>
                  <a:pt x="1871" y="17382"/>
                </a:cubicBezTo>
                <a:cubicBezTo>
                  <a:pt x="1224" y="17261"/>
                  <a:pt x="427" y="17018"/>
                  <a:pt x="129" y="16593"/>
                </a:cubicBezTo>
                <a:cubicBezTo>
                  <a:pt x="-170" y="16169"/>
                  <a:pt x="29" y="15562"/>
                  <a:pt x="975" y="14712"/>
                </a:cubicBezTo>
                <a:cubicBezTo>
                  <a:pt x="1920" y="13863"/>
                  <a:pt x="3612" y="12771"/>
                  <a:pt x="5952" y="11133"/>
                </a:cubicBezTo>
                <a:cubicBezTo>
                  <a:pt x="8291" y="9495"/>
                  <a:pt x="11277" y="7310"/>
                  <a:pt x="13766" y="5429"/>
                </a:cubicBezTo>
                <a:cubicBezTo>
                  <a:pt x="16254" y="3548"/>
                  <a:pt x="18245" y="1971"/>
                  <a:pt x="19489" y="1061"/>
                </a:cubicBezTo>
                <a:cubicBezTo>
                  <a:pt x="20733" y="151"/>
                  <a:pt x="21231" y="-92"/>
                  <a:pt x="21330" y="29"/>
                </a:cubicBezTo>
                <a:cubicBezTo>
                  <a:pt x="21430" y="151"/>
                  <a:pt x="21131" y="636"/>
                  <a:pt x="20385" y="2578"/>
                </a:cubicBezTo>
                <a:cubicBezTo>
                  <a:pt x="19638" y="4519"/>
                  <a:pt x="18444" y="7917"/>
                  <a:pt x="17598" y="11315"/>
                </a:cubicBezTo>
                <a:cubicBezTo>
                  <a:pt x="16752" y="14713"/>
                  <a:pt x="16254" y="18110"/>
                  <a:pt x="15756" y="21508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4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198960</xdr:rowOff>
    </xdr:from>
    <xdr:to>
      <xdr:col>26</xdr:col>
      <xdr:colOff>162779</xdr:colOff>
      <xdr:row>74</xdr:row>
      <xdr:rowOff>144718</xdr:rowOff>
    </xdr:to>
    <xdr:graphicFrame>
      <xdr:nvGraphicFramePr>
        <xdr:cNvPr id="233" name="2 Axis Chart"/>
        <xdr:cNvGraphicFramePr/>
      </xdr:nvGraphicFramePr>
      <xdr:xfrm>
        <a:off x="16702751" y="12733860"/>
        <a:ext cx="360222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796206</xdr:colOff>
      <xdr:row>53</xdr:row>
      <xdr:rowOff>29759</xdr:rowOff>
    </xdr:from>
    <xdr:to>
      <xdr:col>12</xdr:col>
      <xdr:colOff>172699</xdr:colOff>
      <xdr:row>66</xdr:row>
      <xdr:rowOff>56620</xdr:rowOff>
    </xdr:to>
    <xdr:graphicFrame>
      <xdr:nvGraphicFramePr>
        <xdr:cNvPr id="235" name="2D Line Chart"/>
        <xdr:cNvGraphicFramePr/>
      </xdr:nvGraphicFramePr>
      <xdr:xfrm>
        <a:off x="5736506" y="10462174"/>
        <a:ext cx="3376994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13</xdr:col>
      <xdr:colOff>14107</xdr:colOff>
      <xdr:row>53</xdr:row>
      <xdr:rowOff>29759</xdr:rowOff>
    </xdr:from>
    <xdr:to>
      <xdr:col>17</xdr:col>
      <xdr:colOff>176477</xdr:colOff>
      <xdr:row>66</xdr:row>
      <xdr:rowOff>56620</xdr:rowOff>
    </xdr:to>
    <xdr:graphicFrame>
      <xdr:nvGraphicFramePr>
        <xdr:cNvPr id="236" name="2D Line Chart"/>
        <xdr:cNvGraphicFramePr/>
      </xdr:nvGraphicFramePr>
      <xdr:xfrm>
        <a:off x="9755007" y="10462174"/>
        <a:ext cx="3362771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8</xdr:col>
      <xdr:colOff>17315</xdr:colOff>
      <xdr:row>67</xdr:row>
      <xdr:rowOff>63470</xdr:rowOff>
    </xdr:from>
    <xdr:to>
      <xdr:col>12</xdr:col>
      <xdr:colOff>172699</xdr:colOff>
      <xdr:row>81</xdr:row>
      <xdr:rowOff>90330</xdr:rowOff>
    </xdr:to>
    <xdr:graphicFrame>
      <xdr:nvGraphicFramePr>
        <xdr:cNvPr id="237" name="2D Line Chart"/>
        <xdr:cNvGraphicFramePr/>
      </xdr:nvGraphicFramePr>
      <xdr:xfrm>
        <a:off x="5757715" y="14060775"/>
        <a:ext cx="335578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12</xdr:col>
      <xdr:colOff>750580</xdr:colOff>
      <xdr:row>67</xdr:row>
      <xdr:rowOff>63470</xdr:rowOff>
    </xdr:from>
    <xdr:to>
      <xdr:col>17</xdr:col>
      <xdr:colOff>176477</xdr:colOff>
      <xdr:row>81</xdr:row>
      <xdr:rowOff>90330</xdr:rowOff>
    </xdr:to>
    <xdr:graphicFrame>
      <xdr:nvGraphicFramePr>
        <xdr:cNvPr id="238" name="2D Line Chart"/>
        <xdr:cNvGraphicFramePr/>
      </xdr:nvGraphicFramePr>
      <xdr:xfrm>
        <a:off x="9691380" y="14060775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7</xdr:col>
      <xdr:colOff>796206</xdr:colOff>
      <xdr:row>82</xdr:row>
      <xdr:rowOff>90147</xdr:rowOff>
    </xdr:from>
    <xdr:to>
      <xdr:col>12</xdr:col>
      <xdr:colOff>172699</xdr:colOff>
      <xdr:row>152</xdr:row>
      <xdr:rowOff>126532</xdr:rowOff>
    </xdr:to>
    <xdr:graphicFrame>
      <xdr:nvGraphicFramePr>
        <xdr:cNvPr id="239" name="2D Line Chart"/>
        <xdr:cNvGraphicFramePr/>
      </xdr:nvGraphicFramePr>
      <xdr:xfrm>
        <a:off x="5736506" y="17652342"/>
        <a:ext cx="3376994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799983</xdr:colOff>
      <xdr:row>82</xdr:row>
      <xdr:rowOff>97180</xdr:rowOff>
    </xdr:from>
    <xdr:to>
      <xdr:col>17</xdr:col>
      <xdr:colOff>293571</xdr:colOff>
      <xdr:row>152</xdr:row>
      <xdr:rowOff>133566</xdr:rowOff>
    </xdr:to>
    <xdr:graphicFrame>
      <xdr:nvGraphicFramePr>
        <xdr:cNvPr id="240" name="2D Line Chart"/>
        <xdr:cNvGraphicFramePr/>
      </xdr:nvGraphicFramePr>
      <xdr:xfrm>
        <a:off x="9740783" y="17659375"/>
        <a:ext cx="3494089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4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27</xdr:col>
      <xdr:colOff>131583</xdr:colOff>
      <xdr:row>56</xdr:row>
      <xdr:rowOff>2830</xdr:rowOff>
    </xdr:from>
    <xdr:to>
      <xdr:col>30</xdr:col>
      <xdr:colOff>623581</xdr:colOff>
      <xdr:row>69</xdr:row>
      <xdr:rowOff>203223</xdr:rowOff>
    </xdr:to>
    <xdr:graphicFrame>
      <xdr:nvGraphicFramePr>
        <xdr:cNvPr id="242" name="2 Axis Chart"/>
        <xdr:cNvGraphicFramePr/>
      </xdr:nvGraphicFramePr>
      <xdr:xfrm>
        <a:off x="21073883" y="11453785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28</xdr:col>
      <xdr:colOff>163806</xdr:colOff>
      <xdr:row>61</xdr:row>
      <xdr:rowOff>49503</xdr:rowOff>
    </xdr:from>
    <xdr:to>
      <xdr:col>29</xdr:col>
      <xdr:colOff>593836</xdr:colOff>
      <xdr:row>65</xdr:row>
      <xdr:rowOff>95372</xdr:rowOff>
    </xdr:to>
    <xdr:grpSp>
      <xdr:nvGrpSpPr>
        <xdr:cNvPr id="245" name="Drawing"/>
        <xdr:cNvGrpSpPr/>
      </xdr:nvGrpSpPr>
      <xdr:grpSpPr>
        <a:xfrm>
          <a:off x="21906206" y="12773633"/>
          <a:ext cx="1877831" cy="1064410"/>
          <a:chOff x="0" y="0"/>
          <a:chExt cx="1877830" cy="1064409"/>
        </a:xfrm>
      </xdr:grpSpPr>
      <xdr:sp>
        <xdr:nvSpPr>
          <xdr:cNvPr id="243" name="Line"/>
          <xdr:cNvSpPr/>
        </xdr:nvSpPr>
        <xdr:spPr>
          <a:xfrm>
            <a:off x="-1" y="62665"/>
            <a:ext cx="1739607" cy="100174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83" h="21600" fill="norm" stroke="1" extrusionOk="0">
                <a:moveTo>
                  <a:pt x="657" y="21600"/>
                </a:moveTo>
                <a:cubicBezTo>
                  <a:pt x="561" y="21600"/>
                  <a:pt x="465" y="21600"/>
                  <a:pt x="330" y="21600"/>
                </a:cubicBezTo>
                <a:cubicBezTo>
                  <a:pt x="195" y="21600"/>
                  <a:pt x="22" y="21600"/>
                  <a:pt x="2" y="21550"/>
                </a:cubicBezTo>
                <a:cubicBezTo>
                  <a:pt x="-17" y="21500"/>
                  <a:pt x="118" y="21399"/>
                  <a:pt x="484" y="20997"/>
                </a:cubicBezTo>
                <a:cubicBezTo>
                  <a:pt x="850" y="20595"/>
                  <a:pt x="1447" y="19892"/>
                  <a:pt x="2054" y="19239"/>
                </a:cubicBezTo>
                <a:cubicBezTo>
                  <a:pt x="2661" y="18586"/>
                  <a:pt x="3278" y="17983"/>
                  <a:pt x="3769" y="17514"/>
                </a:cubicBezTo>
                <a:cubicBezTo>
                  <a:pt x="4261" y="17046"/>
                  <a:pt x="4627" y="16711"/>
                  <a:pt x="5060" y="16275"/>
                </a:cubicBezTo>
                <a:cubicBezTo>
                  <a:pt x="5494" y="15840"/>
                  <a:pt x="5995" y="15304"/>
                  <a:pt x="6592" y="14768"/>
                </a:cubicBezTo>
                <a:cubicBezTo>
                  <a:pt x="7189" y="14233"/>
                  <a:pt x="7883" y="13697"/>
                  <a:pt x="8509" y="13144"/>
                </a:cubicBezTo>
                <a:cubicBezTo>
                  <a:pt x="9136" y="12592"/>
                  <a:pt x="9694" y="12022"/>
                  <a:pt x="10263" y="11436"/>
                </a:cubicBezTo>
                <a:cubicBezTo>
                  <a:pt x="10831" y="10850"/>
                  <a:pt x="11409" y="10247"/>
                  <a:pt x="12026" y="9611"/>
                </a:cubicBezTo>
                <a:cubicBezTo>
                  <a:pt x="12642" y="8975"/>
                  <a:pt x="13298" y="8305"/>
                  <a:pt x="13837" y="7769"/>
                </a:cubicBezTo>
                <a:cubicBezTo>
                  <a:pt x="14377" y="7233"/>
                  <a:pt x="14800" y="6832"/>
                  <a:pt x="15282" y="6413"/>
                </a:cubicBezTo>
                <a:cubicBezTo>
                  <a:pt x="15764" y="5994"/>
                  <a:pt x="16303" y="5559"/>
                  <a:pt x="16795" y="5140"/>
                </a:cubicBezTo>
                <a:cubicBezTo>
                  <a:pt x="17286" y="4722"/>
                  <a:pt x="17729" y="4320"/>
                  <a:pt x="18182" y="3851"/>
                </a:cubicBezTo>
                <a:cubicBezTo>
                  <a:pt x="18635" y="3382"/>
                  <a:pt x="19097" y="2847"/>
                  <a:pt x="19569" y="2294"/>
                </a:cubicBezTo>
                <a:cubicBezTo>
                  <a:pt x="20042" y="1741"/>
                  <a:pt x="20523" y="1172"/>
                  <a:pt x="20860" y="787"/>
                </a:cubicBezTo>
                <a:cubicBezTo>
                  <a:pt x="21198" y="402"/>
                  <a:pt x="21390" y="201"/>
                  <a:pt x="21583" y="0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44" name="Line"/>
          <xdr:cNvSpPr/>
        </xdr:nvSpPr>
        <xdr:spPr>
          <a:xfrm>
            <a:off x="1525278" y="0"/>
            <a:ext cx="352553" cy="20710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495" fill="norm" stroke="1" extrusionOk="0">
                <a:moveTo>
                  <a:pt x="0" y="10856"/>
                </a:moveTo>
                <a:cubicBezTo>
                  <a:pt x="381" y="10373"/>
                  <a:pt x="761" y="9889"/>
                  <a:pt x="1522" y="9405"/>
                </a:cubicBezTo>
                <a:cubicBezTo>
                  <a:pt x="2284" y="8922"/>
                  <a:pt x="3426" y="8438"/>
                  <a:pt x="5138" y="7632"/>
                </a:cubicBezTo>
                <a:cubicBezTo>
                  <a:pt x="6851" y="6826"/>
                  <a:pt x="9135" y="5698"/>
                  <a:pt x="11514" y="4408"/>
                </a:cubicBezTo>
                <a:cubicBezTo>
                  <a:pt x="13893" y="3119"/>
                  <a:pt x="16367" y="1668"/>
                  <a:pt x="17937" y="862"/>
                </a:cubicBezTo>
                <a:cubicBezTo>
                  <a:pt x="19507" y="56"/>
                  <a:pt x="20173" y="-105"/>
                  <a:pt x="20696" y="56"/>
                </a:cubicBezTo>
                <a:cubicBezTo>
                  <a:pt x="21219" y="217"/>
                  <a:pt x="21600" y="701"/>
                  <a:pt x="21600" y="1265"/>
                </a:cubicBezTo>
                <a:cubicBezTo>
                  <a:pt x="21600" y="1829"/>
                  <a:pt x="21219" y="2474"/>
                  <a:pt x="20268" y="4489"/>
                </a:cubicBezTo>
                <a:cubicBezTo>
                  <a:pt x="19316" y="6504"/>
                  <a:pt x="17794" y="9889"/>
                  <a:pt x="16509" y="12952"/>
                </a:cubicBezTo>
                <a:cubicBezTo>
                  <a:pt x="15225" y="16014"/>
                  <a:pt x="14178" y="18755"/>
                  <a:pt x="13131" y="21495"/>
                </a:cubicBezTo>
              </a:path>
            </a:pathLst>
          </a:custGeom>
          <a:noFill/>
          <a:ln w="381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4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536690</xdr:colOff>
      <xdr:row>52</xdr:row>
      <xdr:rowOff>60137</xdr:rowOff>
    </xdr:from>
    <xdr:to>
      <xdr:col>26</xdr:col>
      <xdr:colOff>16276</xdr:colOff>
      <xdr:row>67</xdr:row>
      <xdr:rowOff>50612</xdr:rowOff>
    </xdr:to>
    <xdr:graphicFrame>
      <xdr:nvGraphicFramePr>
        <xdr:cNvPr id="247" name="2 Axis Chart"/>
        <xdr:cNvGraphicFramePr/>
      </xdr:nvGraphicFramePr>
      <xdr:xfrm>
        <a:off x="16678390" y="10492552"/>
        <a:ext cx="3480087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4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345574</xdr:colOff>
      <xdr:row>41</xdr:row>
      <xdr:rowOff>123373</xdr:rowOff>
    </xdr:from>
    <xdr:to>
      <xdr:col>11</xdr:col>
      <xdr:colOff>628086</xdr:colOff>
      <xdr:row>54</xdr:row>
      <xdr:rowOff>150233</xdr:rowOff>
    </xdr:to>
    <xdr:graphicFrame>
      <xdr:nvGraphicFramePr>
        <xdr:cNvPr id="249" name="2D Line Chart"/>
        <xdr:cNvGraphicFramePr/>
      </xdr:nvGraphicFramePr>
      <xdr:xfrm>
        <a:off x="5285874" y="10583093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7</xdr:col>
      <xdr:colOff>451492</xdr:colOff>
      <xdr:row>55</xdr:row>
      <xdr:rowOff>156675</xdr:rowOff>
    </xdr:from>
    <xdr:to>
      <xdr:col>11</xdr:col>
      <xdr:colOff>628086</xdr:colOff>
      <xdr:row>69</xdr:row>
      <xdr:rowOff>183536</xdr:rowOff>
    </xdr:to>
    <xdr:graphicFrame>
      <xdr:nvGraphicFramePr>
        <xdr:cNvPr id="250" name="2D Line Chart"/>
        <xdr:cNvGraphicFramePr/>
      </xdr:nvGraphicFramePr>
      <xdr:xfrm>
        <a:off x="5391792" y="14181285"/>
        <a:ext cx="337699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345574</xdr:colOff>
      <xdr:row>70</xdr:row>
      <xdr:rowOff>190794</xdr:rowOff>
    </xdr:from>
    <xdr:to>
      <xdr:col>11</xdr:col>
      <xdr:colOff>628086</xdr:colOff>
      <xdr:row>139</xdr:row>
      <xdr:rowOff>221464</xdr:rowOff>
    </xdr:to>
    <xdr:graphicFrame>
      <xdr:nvGraphicFramePr>
        <xdr:cNvPr id="251" name="2D Line Chart"/>
        <xdr:cNvGraphicFramePr/>
      </xdr:nvGraphicFramePr>
      <xdr:xfrm>
        <a:off x="5285874" y="17780294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12</xdr:col>
      <xdr:colOff>278740</xdr:colOff>
      <xdr:row>70</xdr:row>
      <xdr:rowOff>190794</xdr:rowOff>
    </xdr:from>
    <xdr:to>
      <xdr:col>16</xdr:col>
      <xdr:colOff>748958</xdr:colOff>
      <xdr:row>139</xdr:row>
      <xdr:rowOff>221464</xdr:rowOff>
    </xdr:to>
    <xdr:graphicFrame>
      <xdr:nvGraphicFramePr>
        <xdr:cNvPr id="252" name="2D Line Chart"/>
        <xdr:cNvGraphicFramePr/>
      </xdr:nvGraphicFramePr>
      <xdr:xfrm>
        <a:off x="9219540" y="17780294"/>
        <a:ext cx="3670619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299949</xdr:colOff>
      <xdr:row>55</xdr:row>
      <xdr:rowOff>156675</xdr:rowOff>
    </xdr:from>
    <xdr:to>
      <xdr:col>16</xdr:col>
      <xdr:colOff>631864</xdr:colOff>
      <xdr:row>69</xdr:row>
      <xdr:rowOff>183536</xdr:rowOff>
    </xdr:to>
    <xdr:graphicFrame>
      <xdr:nvGraphicFramePr>
        <xdr:cNvPr id="253" name="2D Line Chart"/>
        <xdr:cNvGraphicFramePr/>
      </xdr:nvGraphicFramePr>
      <xdr:xfrm>
        <a:off x="9240749" y="14181285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398882</xdr:colOff>
      <xdr:row>41</xdr:row>
      <xdr:rowOff>123373</xdr:rowOff>
    </xdr:from>
    <xdr:to>
      <xdr:col>16</xdr:col>
      <xdr:colOff>631864</xdr:colOff>
      <xdr:row>54</xdr:row>
      <xdr:rowOff>150233</xdr:rowOff>
    </xdr:to>
    <xdr:graphicFrame>
      <xdr:nvGraphicFramePr>
        <xdr:cNvPr id="254" name="2D Line Chart"/>
        <xdr:cNvGraphicFramePr/>
      </xdr:nvGraphicFramePr>
      <xdr:xfrm>
        <a:off x="9339682" y="10583093"/>
        <a:ext cx="343338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4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619676</xdr:colOff>
      <xdr:row>40</xdr:row>
      <xdr:rowOff>29759</xdr:rowOff>
    </xdr:from>
    <xdr:to>
      <xdr:col>12</xdr:col>
      <xdr:colOff>172700</xdr:colOff>
      <xdr:row>53</xdr:row>
      <xdr:rowOff>56620</xdr:rowOff>
    </xdr:to>
    <xdr:graphicFrame>
      <xdr:nvGraphicFramePr>
        <xdr:cNvPr id="256" name="2D Line Chart"/>
        <xdr:cNvGraphicFramePr/>
      </xdr:nvGraphicFramePr>
      <xdr:xfrm>
        <a:off x="5559976" y="10462174"/>
        <a:ext cx="355352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623581</xdr:colOff>
      <xdr:row>40</xdr:row>
      <xdr:rowOff>29759</xdr:rowOff>
    </xdr:from>
    <xdr:to>
      <xdr:col>17</xdr:col>
      <xdr:colOff>176478</xdr:colOff>
      <xdr:row>53</xdr:row>
      <xdr:rowOff>56620</xdr:rowOff>
    </xdr:to>
    <xdr:graphicFrame>
      <xdr:nvGraphicFramePr>
        <xdr:cNvPr id="257" name="2D Line Chart"/>
        <xdr:cNvGraphicFramePr/>
      </xdr:nvGraphicFramePr>
      <xdr:xfrm>
        <a:off x="9564381" y="10462174"/>
        <a:ext cx="3553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690288</xdr:colOff>
      <xdr:row>54</xdr:row>
      <xdr:rowOff>63470</xdr:rowOff>
    </xdr:from>
    <xdr:to>
      <xdr:col>12</xdr:col>
      <xdr:colOff>172700</xdr:colOff>
      <xdr:row>68</xdr:row>
      <xdr:rowOff>90330</xdr:rowOff>
    </xdr:to>
    <xdr:graphicFrame>
      <xdr:nvGraphicFramePr>
        <xdr:cNvPr id="258" name="2D Line Chart"/>
        <xdr:cNvGraphicFramePr/>
      </xdr:nvGraphicFramePr>
      <xdr:xfrm>
        <a:off x="5630588" y="14060775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12</xdr:col>
      <xdr:colOff>574051</xdr:colOff>
      <xdr:row>54</xdr:row>
      <xdr:rowOff>63470</xdr:rowOff>
    </xdr:from>
    <xdr:to>
      <xdr:col>17</xdr:col>
      <xdr:colOff>176478</xdr:colOff>
      <xdr:row>68</xdr:row>
      <xdr:rowOff>90330</xdr:rowOff>
    </xdr:to>
    <xdr:graphicFrame>
      <xdr:nvGraphicFramePr>
        <xdr:cNvPr id="259" name="2D Line Chart"/>
        <xdr:cNvGraphicFramePr/>
      </xdr:nvGraphicFramePr>
      <xdr:xfrm>
        <a:off x="9514851" y="14060775"/>
        <a:ext cx="360292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7</xdr:col>
      <xdr:colOff>619676</xdr:colOff>
      <xdr:row>69</xdr:row>
      <xdr:rowOff>97180</xdr:rowOff>
    </xdr:from>
    <xdr:to>
      <xdr:col>12</xdr:col>
      <xdr:colOff>172700</xdr:colOff>
      <xdr:row>139</xdr:row>
      <xdr:rowOff>131661</xdr:rowOff>
    </xdr:to>
    <xdr:graphicFrame>
      <xdr:nvGraphicFramePr>
        <xdr:cNvPr id="260" name="2D Line Chart"/>
        <xdr:cNvGraphicFramePr/>
      </xdr:nvGraphicFramePr>
      <xdr:xfrm>
        <a:off x="5559976" y="17659375"/>
        <a:ext cx="355352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623454</xdr:colOff>
      <xdr:row>69</xdr:row>
      <xdr:rowOff>97180</xdr:rowOff>
    </xdr:from>
    <xdr:to>
      <xdr:col>17</xdr:col>
      <xdr:colOff>293572</xdr:colOff>
      <xdr:row>139</xdr:row>
      <xdr:rowOff>131661</xdr:rowOff>
    </xdr:to>
    <xdr:graphicFrame>
      <xdr:nvGraphicFramePr>
        <xdr:cNvPr id="261" name="2D Line Chart"/>
        <xdr:cNvGraphicFramePr/>
      </xdr:nvGraphicFramePr>
      <xdr:xfrm>
        <a:off x="9564254" y="17659375"/>
        <a:ext cx="3670619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20</xdr:col>
      <xdr:colOff>729357</xdr:colOff>
      <xdr:row>34</xdr:row>
      <xdr:rowOff>162836</xdr:rowOff>
    </xdr:from>
    <xdr:to>
      <xdr:col>24</xdr:col>
      <xdr:colOff>760584</xdr:colOff>
      <xdr:row>49</xdr:row>
      <xdr:rowOff>150771</xdr:rowOff>
    </xdr:to>
    <xdr:graphicFrame>
      <xdr:nvGraphicFramePr>
        <xdr:cNvPr id="262" name="2D Line Chart"/>
        <xdr:cNvGraphicFramePr/>
      </xdr:nvGraphicFramePr>
      <xdr:xfrm>
        <a:off x="16070957" y="9064901"/>
        <a:ext cx="3231628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24</xdr:col>
      <xdr:colOff>795909</xdr:colOff>
      <xdr:row>34</xdr:row>
      <xdr:rowOff>162836</xdr:rowOff>
    </xdr:from>
    <xdr:to>
      <xdr:col>28</xdr:col>
      <xdr:colOff>877064</xdr:colOff>
      <xdr:row>49</xdr:row>
      <xdr:rowOff>150771</xdr:rowOff>
    </xdr:to>
    <xdr:graphicFrame>
      <xdr:nvGraphicFramePr>
        <xdr:cNvPr id="263" name="2D Line Chart"/>
        <xdr:cNvGraphicFramePr/>
      </xdr:nvGraphicFramePr>
      <xdr:xfrm>
        <a:off x="19337909" y="9064901"/>
        <a:ext cx="3281556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</xdr:wsDr>
</file>

<file path=xl/drawings/drawing4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55</xdr:row>
      <xdr:rowOff>193462</xdr:rowOff>
    </xdr:from>
    <xdr:to>
      <xdr:col>25</xdr:col>
      <xdr:colOff>715737</xdr:colOff>
      <xdr:row>69</xdr:row>
      <xdr:rowOff>139220</xdr:rowOff>
    </xdr:to>
    <xdr:graphicFrame>
      <xdr:nvGraphicFramePr>
        <xdr:cNvPr id="265" name="2 Axis Chart"/>
        <xdr:cNvGraphicFramePr/>
      </xdr:nvGraphicFramePr>
      <xdr:xfrm>
        <a:off x="16949893" y="14445402"/>
        <a:ext cx="3107945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849258</xdr:colOff>
      <xdr:row>55</xdr:row>
      <xdr:rowOff>193462</xdr:rowOff>
    </xdr:from>
    <xdr:to>
      <xdr:col>30</xdr:col>
      <xdr:colOff>149551</xdr:colOff>
      <xdr:row>69</xdr:row>
      <xdr:rowOff>139220</xdr:rowOff>
    </xdr:to>
    <xdr:graphicFrame>
      <xdr:nvGraphicFramePr>
        <xdr:cNvPr id="266" name="2D Line Chart"/>
        <xdr:cNvGraphicFramePr/>
      </xdr:nvGraphicFramePr>
      <xdr:xfrm>
        <a:off x="20991458" y="14445402"/>
        <a:ext cx="280549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572727</xdr:colOff>
      <xdr:row>62</xdr:row>
      <xdr:rowOff>4143</xdr:rowOff>
    </xdr:from>
    <xdr:to>
      <xdr:col>24</xdr:col>
      <xdr:colOff>798417</xdr:colOff>
      <xdr:row>65</xdr:row>
      <xdr:rowOff>248605</xdr:rowOff>
    </xdr:to>
    <xdr:grpSp>
      <xdr:nvGrpSpPr>
        <xdr:cNvPr id="269" name="Drawing"/>
        <xdr:cNvGrpSpPr/>
      </xdr:nvGrpSpPr>
      <xdr:grpSpPr>
        <a:xfrm>
          <a:off x="17514527" y="16038528"/>
          <a:ext cx="1825891" cy="1008368"/>
          <a:chOff x="0" y="0"/>
          <a:chExt cx="1825890" cy="1008367"/>
        </a:xfrm>
      </xdr:grpSpPr>
      <xdr:sp>
        <xdr:nvSpPr>
          <xdr:cNvPr id="267" name="Line"/>
          <xdr:cNvSpPr/>
        </xdr:nvSpPr>
        <xdr:spPr>
          <a:xfrm>
            <a:off x="0" y="-1"/>
            <a:ext cx="1772968" cy="83056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45" fill="norm" stroke="1" extrusionOk="0">
                <a:moveTo>
                  <a:pt x="0" y="7593"/>
                </a:moveTo>
                <a:cubicBezTo>
                  <a:pt x="162" y="7145"/>
                  <a:pt x="324" y="6697"/>
                  <a:pt x="574" y="6111"/>
                </a:cubicBezTo>
                <a:cubicBezTo>
                  <a:pt x="825" y="5526"/>
                  <a:pt x="1165" y="4802"/>
                  <a:pt x="1529" y="4165"/>
                </a:cubicBezTo>
                <a:cubicBezTo>
                  <a:pt x="1893" y="3528"/>
                  <a:pt x="2281" y="2977"/>
                  <a:pt x="2734" y="2408"/>
                </a:cubicBezTo>
                <a:cubicBezTo>
                  <a:pt x="3187" y="1840"/>
                  <a:pt x="3705" y="1254"/>
                  <a:pt x="4150" y="823"/>
                </a:cubicBezTo>
                <a:cubicBezTo>
                  <a:pt x="4595" y="393"/>
                  <a:pt x="4967" y="117"/>
                  <a:pt x="5275" y="31"/>
                </a:cubicBezTo>
                <a:cubicBezTo>
                  <a:pt x="5582" y="-55"/>
                  <a:pt x="5825" y="48"/>
                  <a:pt x="6173" y="238"/>
                </a:cubicBezTo>
                <a:cubicBezTo>
                  <a:pt x="6520" y="427"/>
                  <a:pt x="6973" y="703"/>
                  <a:pt x="7443" y="892"/>
                </a:cubicBezTo>
                <a:cubicBezTo>
                  <a:pt x="7912" y="1082"/>
                  <a:pt x="8397" y="1185"/>
                  <a:pt x="8899" y="1289"/>
                </a:cubicBezTo>
                <a:cubicBezTo>
                  <a:pt x="9400" y="1392"/>
                  <a:pt x="9918" y="1495"/>
                  <a:pt x="10379" y="1650"/>
                </a:cubicBezTo>
                <a:cubicBezTo>
                  <a:pt x="10840" y="1805"/>
                  <a:pt x="11245" y="2012"/>
                  <a:pt x="11625" y="2219"/>
                </a:cubicBezTo>
                <a:cubicBezTo>
                  <a:pt x="12005" y="2425"/>
                  <a:pt x="12361" y="2632"/>
                  <a:pt x="12717" y="2977"/>
                </a:cubicBezTo>
                <a:cubicBezTo>
                  <a:pt x="13073" y="3321"/>
                  <a:pt x="13429" y="3803"/>
                  <a:pt x="13793" y="4320"/>
                </a:cubicBezTo>
                <a:cubicBezTo>
                  <a:pt x="14157" y="4837"/>
                  <a:pt x="14529" y="5388"/>
                  <a:pt x="14926" y="5974"/>
                </a:cubicBezTo>
                <a:cubicBezTo>
                  <a:pt x="15322" y="6559"/>
                  <a:pt x="15743" y="7179"/>
                  <a:pt x="16131" y="7748"/>
                </a:cubicBezTo>
                <a:cubicBezTo>
                  <a:pt x="16520" y="8316"/>
                  <a:pt x="16876" y="8833"/>
                  <a:pt x="17223" y="9470"/>
                </a:cubicBezTo>
                <a:cubicBezTo>
                  <a:pt x="17571" y="10108"/>
                  <a:pt x="17911" y="10866"/>
                  <a:pt x="18243" y="11641"/>
                </a:cubicBezTo>
                <a:cubicBezTo>
                  <a:pt x="18574" y="12416"/>
                  <a:pt x="18898" y="13208"/>
                  <a:pt x="19222" y="14069"/>
                </a:cubicBezTo>
                <a:cubicBezTo>
                  <a:pt x="19545" y="14931"/>
                  <a:pt x="19869" y="15861"/>
                  <a:pt x="20168" y="16808"/>
                </a:cubicBezTo>
                <a:cubicBezTo>
                  <a:pt x="20467" y="17756"/>
                  <a:pt x="20742" y="18720"/>
                  <a:pt x="20977" y="19512"/>
                </a:cubicBezTo>
                <a:cubicBezTo>
                  <a:pt x="21212" y="20305"/>
                  <a:pt x="21406" y="20925"/>
                  <a:pt x="21600" y="21545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68" name="Line"/>
          <xdr:cNvSpPr/>
        </xdr:nvSpPr>
        <xdr:spPr>
          <a:xfrm>
            <a:off x="1601294" y="647287"/>
            <a:ext cx="224597" cy="36108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62" h="21512" fill="norm" stroke="1" extrusionOk="0">
                <a:moveTo>
                  <a:pt x="412" y="9969"/>
                </a:moveTo>
                <a:cubicBezTo>
                  <a:pt x="160" y="10365"/>
                  <a:pt x="-93" y="10760"/>
                  <a:pt x="33" y="10800"/>
                </a:cubicBezTo>
                <a:cubicBezTo>
                  <a:pt x="160" y="10840"/>
                  <a:pt x="665" y="10523"/>
                  <a:pt x="1233" y="10365"/>
                </a:cubicBezTo>
                <a:cubicBezTo>
                  <a:pt x="1802" y="10207"/>
                  <a:pt x="2433" y="10207"/>
                  <a:pt x="3570" y="10721"/>
                </a:cubicBezTo>
                <a:cubicBezTo>
                  <a:pt x="4707" y="11235"/>
                  <a:pt x="6349" y="12264"/>
                  <a:pt x="8686" y="13767"/>
                </a:cubicBezTo>
                <a:cubicBezTo>
                  <a:pt x="11023" y="15270"/>
                  <a:pt x="14054" y="17248"/>
                  <a:pt x="16012" y="18554"/>
                </a:cubicBezTo>
                <a:cubicBezTo>
                  <a:pt x="17970" y="19859"/>
                  <a:pt x="18854" y="20492"/>
                  <a:pt x="19549" y="20927"/>
                </a:cubicBezTo>
                <a:cubicBezTo>
                  <a:pt x="20244" y="21363"/>
                  <a:pt x="20749" y="21600"/>
                  <a:pt x="21065" y="21481"/>
                </a:cubicBezTo>
                <a:cubicBezTo>
                  <a:pt x="21381" y="21363"/>
                  <a:pt x="21507" y="20888"/>
                  <a:pt x="21128" y="19266"/>
                </a:cubicBezTo>
                <a:cubicBezTo>
                  <a:pt x="20749" y="17644"/>
                  <a:pt x="19865" y="14875"/>
                  <a:pt x="19360" y="12264"/>
                </a:cubicBezTo>
                <a:cubicBezTo>
                  <a:pt x="18854" y="9653"/>
                  <a:pt x="18728" y="7200"/>
                  <a:pt x="18854" y="5182"/>
                </a:cubicBezTo>
                <a:cubicBezTo>
                  <a:pt x="18981" y="3165"/>
                  <a:pt x="19360" y="1582"/>
                  <a:pt x="19739" y="0"/>
                </a:cubicBezTo>
              </a:path>
            </a:pathLst>
          </a:custGeom>
          <a:noFill/>
          <a:ln w="635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4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113376</xdr:colOff>
      <xdr:row>74</xdr:row>
      <xdr:rowOff>144083</xdr:rowOff>
    </xdr:to>
    <xdr:graphicFrame>
      <xdr:nvGraphicFramePr>
        <xdr:cNvPr id="271" name="2 Axis Chart"/>
        <xdr:cNvGraphicFramePr/>
      </xdr:nvGraphicFramePr>
      <xdr:xfrm>
        <a:off x="16773363" y="12667820"/>
        <a:ext cx="348221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18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722416</xdr:colOff>
      <xdr:row>66</xdr:row>
      <xdr:rowOff>96619</xdr:rowOff>
    </xdr:from>
    <xdr:to>
      <xdr:col>24</xdr:col>
      <xdr:colOff>683296</xdr:colOff>
      <xdr:row>68</xdr:row>
      <xdr:rowOff>52962</xdr:rowOff>
    </xdr:to>
    <xdr:grpSp>
      <xdr:nvGrpSpPr>
        <xdr:cNvPr id="21" name="Drawing"/>
        <xdr:cNvGrpSpPr/>
      </xdr:nvGrpSpPr>
      <xdr:grpSpPr>
        <a:xfrm>
          <a:off x="17664216" y="14093924"/>
          <a:ext cx="1561081" cy="465614"/>
          <a:chOff x="0" y="0"/>
          <a:chExt cx="1561080" cy="465612"/>
        </a:xfrm>
      </xdr:grpSpPr>
      <xdr:sp>
        <xdr:nvSpPr>
          <xdr:cNvPr id="19" name="Line"/>
          <xdr:cNvSpPr/>
        </xdr:nvSpPr>
        <xdr:spPr>
          <a:xfrm>
            <a:off x="0" y="67065"/>
            <a:ext cx="1430454" cy="39854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44" h="21600" fill="norm" stroke="1" extrusionOk="0">
                <a:moveTo>
                  <a:pt x="123" y="14694"/>
                </a:moveTo>
                <a:cubicBezTo>
                  <a:pt x="33" y="14935"/>
                  <a:pt x="-56" y="15176"/>
                  <a:pt x="44" y="15417"/>
                </a:cubicBezTo>
                <a:cubicBezTo>
                  <a:pt x="145" y="15658"/>
                  <a:pt x="435" y="15899"/>
                  <a:pt x="758" y="16019"/>
                </a:cubicBezTo>
                <a:cubicBezTo>
                  <a:pt x="1082" y="16140"/>
                  <a:pt x="1439" y="16140"/>
                  <a:pt x="1718" y="16421"/>
                </a:cubicBezTo>
                <a:cubicBezTo>
                  <a:pt x="1997" y="16702"/>
                  <a:pt x="2198" y="17264"/>
                  <a:pt x="2365" y="17906"/>
                </a:cubicBezTo>
                <a:cubicBezTo>
                  <a:pt x="2532" y="18549"/>
                  <a:pt x="2666" y="19271"/>
                  <a:pt x="2934" y="19833"/>
                </a:cubicBezTo>
                <a:cubicBezTo>
                  <a:pt x="3202" y="20396"/>
                  <a:pt x="3604" y="20797"/>
                  <a:pt x="4128" y="21038"/>
                </a:cubicBezTo>
                <a:cubicBezTo>
                  <a:pt x="4652" y="21279"/>
                  <a:pt x="5299" y="21359"/>
                  <a:pt x="5757" y="21439"/>
                </a:cubicBezTo>
                <a:cubicBezTo>
                  <a:pt x="6214" y="21520"/>
                  <a:pt x="6482" y="21600"/>
                  <a:pt x="6794" y="21600"/>
                </a:cubicBezTo>
                <a:cubicBezTo>
                  <a:pt x="7107" y="21600"/>
                  <a:pt x="7464" y="21520"/>
                  <a:pt x="7944" y="21359"/>
                </a:cubicBezTo>
                <a:cubicBezTo>
                  <a:pt x="8423" y="21199"/>
                  <a:pt x="9026" y="20958"/>
                  <a:pt x="9606" y="20837"/>
                </a:cubicBezTo>
                <a:cubicBezTo>
                  <a:pt x="10186" y="20717"/>
                  <a:pt x="10744" y="20717"/>
                  <a:pt x="11358" y="20275"/>
                </a:cubicBezTo>
                <a:cubicBezTo>
                  <a:pt x="11971" y="19833"/>
                  <a:pt x="12641" y="18950"/>
                  <a:pt x="13344" y="18027"/>
                </a:cubicBezTo>
                <a:cubicBezTo>
                  <a:pt x="14046" y="17103"/>
                  <a:pt x="14783" y="16140"/>
                  <a:pt x="15430" y="15056"/>
                </a:cubicBezTo>
                <a:cubicBezTo>
                  <a:pt x="16077" y="13972"/>
                  <a:pt x="16635" y="12767"/>
                  <a:pt x="17159" y="11764"/>
                </a:cubicBezTo>
                <a:cubicBezTo>
                  <a:pt x="17684" y="10760"/>
                  <a:pt x="18175" y="9957"/>
                  <a:pt x="18654" y="8953"/>
                </a:cubicBezTo>
                <a:cubicBezTo>
                  <a:pt x="19134" y="7949"/>
                  <a:pt x="19603" y="6745"/>
                  <a:pt x="19971" y="5741"/>
                </a:cubicBezTo>
                <a:cubicBezTo>
                  <a:pt x="20339" y="4738"/>
                  <a:pt x="20607" y="3935"/>
                  <a:pt x="20852" y="3011"/>
                </a:cubicBezTo>
                <a:cubicBezTo>
                  <a:pt x="21098" y="2088"/>
                  <a:pt x="21321" y="1044"/>
                  <a:pt x="21544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0" name="Line"/>
          <xdr:cNvSpPr/>
        </xdr:nvSpPr>
        <xdr:spPr>
          <a:xfrm>
            <a:off x="1310444" y="-1"/>
            <a:ext cx="250637" cy="15151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69" h="21446" fill="norm" stroke="1" extrusionOk="0">
                <a:moveTo>
                  <a:pt x="0" y="3201"/>
                </a:moveTo>
                <a:cubicBezTo>
                  <a:pt x="1263" y="2572"/>
                  <a:pt x="2526" y="1943"/>
                  <a:pt x="4484" y="1733"/>
                </a:cubicBezTo>
                <a:cubicBezTo>
                  <a:pt x="6442" y="1524"/>
                  <a:pt x="9095" y="1733"/>
                  <a:pt x="11558" y="1628"/>
                </a:cubicBezTo>
                <a:cubicBezTo>
                  <a:pt x="14021" y="1524"/>
                  <a:pt x="16295" y="1104"/>
                  <a:pt x="18000" y="685"/>
                </a:cubicBezTo>
                <a:cubicBezTo>
                  <a:pt x="19705" y="265"/>
                  <a:pt x="20842" y="-154"/>
                  <a:pt x="21221" y="56"/>
                </a:cubicBezTo>
                <a:cubicBezTo>
                  <a:pt x="21600" y="265"/>
                  <a:pt x="21221" y="1104"/>
                  <a:pt x="20400" y="1943"/>
                </a:cubicBezTo>
                <a:cubicBezTo>
                  <a:pt x="19579" y="2782"/>
                  <a:pt x="18316" y="3621"/>
                  <a:pt x="16926" y="5089"/>
                </a:cubicBezTo>
                <a:cubicBezTo>
                  <a:pt x="15537" y="6557"/>
                  <a:pt x="14021" y="8654"/>
                  <a:pt x="12442" y="11485"/>
                </a:cubicBezTo>
                <a:cubicBezTo>
                  <a:pt x="10863" y="14316"/>
                  <a:pt x="9221" y="17881"/>
                  <a:pt x="7579" y="21446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5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273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684101</xdr:colOff>
      <xdr:row>66</xdr:row>
      <xdr:rowOff>10691</xdr:rowOff>
    </xdr:from>
    <xdr:to>
      <xdr:col>25</xdr:col>
      <xdr:colOff>39284</xdr:colOff>
      <xdr:row>71</xdr:row>
      <xdr:rowOff>119870</xdr:rowOff>
    </xdr:to>
    <xdr:grpSp>
      <xdr:nvGrpSpPr>
        <xdr:cNvPr id="276" name="Drawing"/>
        <xdr:cNvGrpSpPr/>
      </xdr:nvGrpSpPr>
      <xdr:grpSpPr>
        <a:xfrm>
          <a:off x="18426001" y="14007996"/>
          <a:ext cx="955384" cy="1382355"/>
          <a:chOff x="0" y="0"/>
          <a:chExt cx="955383" cy="1382353"/>
        </a:xfrm>
      </xdr:grpSpPr>
      <xdr:sp>
        <xdr:nvSpPr>
          <xdr:cNvPr id="274" name="Line"/>
          <xdr:cNvSpPr/>
        </xdr:nvSpPr>
        <xdr:spPr>
          <a:xfrm>
            <a:off x="0" y="282096"/>
            <a:ext cx="835137" cy="110025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152" y="21455"/>
                  <a:pt x="305" y="21311"/>
                  <a:pt x="629" y="21166"/>
                </a:cubicBezTo>
                <a:cubicBezTo>
                  <a:pt x="952" y="21022"/>
                  <a:pt x="1448" y="20877"/>
                  <a:pt x="2114" y="20530"/>
                </a:cubicBezTo>
                <a:cubicBezTo>
                  <a:pt x="2781" y="20183"/>
                  <a:pt x="3619" y="19634"/>
                  <a:pt x="4381" y="18954"/>
                </a:cubicBezTo>
                <a:cubicBezTo>
                  <a:pt x="5143" y="18275"/>
                  <a:pt x="5829" y="17465"/>
                  <a:pt x="6629" y="16627"/>
                </a:cubicBezTo>
                <a:cubicBezTo>
                  <a:pt x="7429" y="15788"/>
                  <a:pt x="8343" y="14920"/>
                  <a:pt x="9105" y="14241"/>
                </a:cubicBezTo>
                <a:cubicBezTo>
                  <a:pt x="9867" y="13561"/>
                  <a:pt x="10476" y="13070"/>
                  <a:pt x="11162" y="12419"/>
                </a:cubicBezTo>
                <a:cubicBezTo>
                  <a:pt x="11848" y="11769"/>
                  <a:pt x="12610" y="10959"/>
                  <a:pt x="13410" y="10193"/>
                </a:cubicBezTo>
                <a:cubicBezTo>
                  <a:pt x="14210" y="9427"/>
                  <a:pt x="15048" y="8704"/>
                  <a:pt x="15733" y="8010"/>
                </a:cubicBezTo>
                <a:cubicBezTo>
                  <a:pt x="16419" y="7316"/>
                  <a:pt x="16952" y="6651"/>
                  <a:pt x="17524" y="5884"/>
                </a:cubicBezTo>
                <a:cubicBezTo>
                  <a:pt x="18095" y="5118"/>
                  <a:pt x="18705" y="4251"/>
                  <a:pt x="19181" y="3484"/>
                </a:cubicBezTo>
                <a:cubicBezTo>
                  <a:pt x="19657" y="2718"/>
                  <a:pt x="20000" y="2053"/>
                  <a:pt x="20381" y="1489"/>
                </a:cubicBezTo>
                <a:cubicBezTo>
                  <a:pt x="20762" y="925"/>
                  <a:pt x="21181" y="463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275" name="Line"/>
          <xdr:cNvSpPr/>
        </xdr:nvSpPr>
        <xdr:spPr>
          <a:xfrm>
            <a:off x="729780" y="-1"/>
            <a:ext cx="225604" cy="33070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45" h="21554" fill="norm" stroke="1" extrusionOk="0">
                <a:moveTo>
                  <a:pt x="1606" y="11762"/>
                </a:moveTo>
                <a:cubicBezTo>
                  <a:pt x="770" y="11666"/>
                  <a:pt x="-66" y="11570"/>
                  <a:pt x="4" y="11330"/>
                </a:cubicBezTo>
                <a:cubicBezTo>
                  <a:pt x="73" y="11090"/>
                  <a:pt x="1049" y="10706"/>
                  <a:pt x="3069" y="9602"/>
                </a:cubicBezTo>
                <a:cubicBezTo>
                  <a:pt x="5090" y="8498"/>
                  <a:pt x="8156" y="6674"/>
                  <a:pt x="10595" y="5090"/>
                </a:cubicBezTo>
                <a:cubicBezTo>
                  <a:pt x="13033" y="3506"/>
                  <a:pt x="14845" y="2162"/>
                  <a:pt x="16029" y="1346"/>
                </a:cubicBezTo>
                <a:cubicBezTo>
                  <a:pt x="17214" y="530"/>
                  <a:pt x="17771" y="242"/>
                  <a:pt x="18608" y="98"/>
                </a:cubicBezTo>
                <a:cubicBezTo>
                  <a:pt x="19444" y="-46"/>
                  <a:pt x="20558" y="-46"/>
                  <a:pt x="21046" y="194"/>
                </a:cubicBezTo>
                <a:cubicBezTo>
                  <a:pt x="21534" y="434"/>
                  <a:pt x="21395" y="914"/>
                  <a:pt x="20837" y="2786"/>
                </a:cubicBezTo>
                <a:cubicBezTo>
                  <a:pt x="20280" y="4658"/>
                  <a:pt x="19304" y="7922"/>
                  <a:pt x="18329" y="10370"/>
                </a:cubicBezTo>
                <a:cubicBezTo>
                  <a:pt x="17353" y="12818"/>
                  <a:pt x="16378" y="14450"/>
                  <a:pt x="16099" y="16178"/>
                </a:cubicBezTo>
                <a:cubicBezTo>
                  <a:pt x="15820" y="17906"/>
                  <a:pt x="16239" y="19730"/>
                  <a:pt x="16657" y="21554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5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278" name="2 Axis Chart"/>
        <xdr:cNvGraphicFramePr/>
      </xdr:nvGraphicFramePr>
      <xdr:xfrm>
        <a:off x="16949893" y="12661178"/>
        <a:ext cx="317855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839218</xdr:colOff>
      <xdr:row>60</xdr:row>
      <xdr:rowOff>132381</xdr:rowOff>
    </xdr:from>
    <xdr:to>
      <xdr:col>30</xdr:col>
      <xdr:colOff>188915</xdr:colOff>
      <xdr:row>74</xdr:row>
      <xdr:rowOff>78139</xdr:rowOff>
    </xdr:to>
    <xdr:graphicFrame>
      <xdr:nvGraphicFramePr>
        <xdr:cNvPr id="279" name="2D Line Chart"/>
        <xdr:cNvGraphicFramePr/>
      </xdr:nvGraphicFramePr>
      <xdr:xfrm>
        <a:off x="20981418" y="12601876"/>
        <a:ext cx="2854898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557482</xdr:colOff>
      <xdr:row>64</xdr:row>
      <xdr:rowOff>110106</xdr:rowOff>
    </xdr:from>
    <xdr:to>
      <xdr:col>25</xdr:col>
      <xdr:colOff>56747</xdr:colOff>
      <xdr:row>69</xdr:row>
      <xdr:rowOff>254572</xdr:rowOff>
    </xdr:to>
    <xdr:grpSp>
      <xdr:nvGrpSpPr>
        <xdr:cNvPr id="284" name="Drawing"/>
        <xdr:cNvGrpSpPr/>
      </xdr:nvGrpSpPr>
      <xdr:grpSpPr>
        <a:xfrm>
          <a:off x="17499282" y="13598141"/>
          <a:ext cx="1899566" cy="1417642"/>
          <a:chOff x="-31750" y="-31749"/>
          <a:chExt cx="1899564" cy="1417641"/>
        </a:xfrm>
      </xdr:grpSpPr>
      <xdr:pic>
        <xdr:nvPicPr>
          <xdr:cNvPr id="280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140325"/>
            <a:ext cx="1728909" cy="1245567"/>
          </a:xfrm>
          <a:prstGeom prst="rect">
            <a:avLst/>
          </a:prstGeom>
          <a:effectLst/>
        </xdr:spPr>
      </xdr:pic>
      <xdr:pic>
        <xdr:nvPicPr>
          <xdr:cNvPr id="282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525044" y="-31750"/>
            <a:ext cx="342771" cy="348212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5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286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498280</xdr:colOff>
      <xdr:row>64</xdr:row>
      <xdr:rowOff>134109</xdr:rowOff>
    </xdr:from>
    <xdr:to>
      <xdr:col>25</xdr:col>
      <xdr:colOff>53942</xdr:colOff>
      <xdr:row>68</xdr:row>
      <xdr:rowOff>120787</xdr:rowOff>
    </xdr:to>
    <xdr:grpSp>
      <xdr:nvGrpSpPr>
        <xdr:cNvPr id="291" name="Drawing"/>
        <xdr:cNvGrpSpPr/>
      </xdr:nvGrpSpPr>
      <xdr:grpSpPr>
        <a:xfrm>
          <a:off x="17440080" y="13622144"/>
          <a:ext cx="1955963" cy="1005219"/>
          <a:chOff x="-19050" y="-19049"/>
          <a:chExt cx="1955962" cy="1005217"/>
        </a:xfrm>
      </xdr:grpSpPr>
      <xdr:pic>
        <xdr:nvPicPr>
          <xdr:cNvPr id="287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44048"/>
            <a:ext cx="1903407" cy="942120"/>
          </a:xfrm>
          <a:prstGeom prst="rect">
            <a:avLst/>
          </a:prstGeom>
          <a:effectLst/>
        </xdr:spPr>
      </xdr:pic>
      <xdr:pic>
        <xdr:nvPicPr>
          <xdr:cNvPr id="289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631853" y="-19050"/>
            <a:ext cx="305060" cy="282264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5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191351</xdr:rowOff>
    </xdr:from>
    <xdr:to>
      <xdr:col>26</xdr:col>
      <xdr:colOff>56861</xdr:colOff>
      <xdr:row>74</xdr:row>
      <xdr:rowOff>137109</xdr:rowOff>
    </xdr:to>
    <xdr:graphicFrame>
      <xdr:nvGraphicFramePr>
        <xdr:cNvPr id="293" name="2 Axis Chart"/>
        <xdr:cNvGraphicFramePr/>
      </xdr:nvGraphicFramePr>
      <xdr:xfrm>
        <a:off x="16773363" y="12660846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553333</xdr:colOff>
      <xdr:row>60</xdr:row>
      <xdr:rowOff>191683</xdr:rowOff>
    </xdr:from>
    <xdr:to>
      <xdr:col>29</xdr:col>
      <xdr:colOff>645344</xdr:colOff>
      <xdr:row>74</xdr:row>
      <xdr:rowOff>137442</xdr:rowOff>
    </xdr:to>
    <xdr:graphicFrame>
      <xdr:nvGraphicFramePr>
        <xdr:cNvPr id="294" name="2D Line Chart"/>
        <xdr:cNvGraphicFramePr/>
      </xdr:nvGraphicFramePr>
      <xdr:xfrm>
        <a:off x="20695533" y="12661178"/>
        <a:ext cx="2911412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689371</xdr:colOff>
      <xdr:row>65</xdr:row>
      <xdr:rowOff>238858</xdr:rowOff>
    </xdr:from>
    <xdr:to>
      <xdr:col>25</xdr:col>
      <xdr:colOff>119091</xdr:colOff>
      <xdr:row>69</xdr:row>
      <xdr:rowOff>52597</xdr:rowOff>
    </xdr:to>
    <xdr:grpSp>
      <xdr:nvGrpSpPr>
        <xdr:cNvPr id="299" name="Drawing"/>
        <xdr:cNvGrpSpPr/>
      </xdr:nvGrpSpPr>
      <xdr:grpSpPr>
        <a:xfrm>
          <a:off x="17631171" y="13981528"/>
          <a:ext cx="1830021" cy="832280"/>
          <a:chOff x="-31750" y="-31749"/>
          <a:chExt cx="1830020" cy="832279"/>
        </a:xfrm>
      </xdr:grpSpPr>
      <xdr:pic>
        <xdr:nvPicPr>
          <xdr:cNvPr id="295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-31750"/>
            <a:ext cx="1589598" cy="667583"/>
          </a:xfrm>
          <a:prstGeom prst="rect">
            <a:avLst/>
          </a:prstGeom>
          <a:effectLst/>
        </xdr:spPr>
      </xdr:pic>
      <xdr:pic>
        <xdr:nvPicPr>
          <xdr:cNvPr id="297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404773" y="340100"/>
            <a:ext cx="393498" cy="460430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5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20</xdr:col>
      <xdr:colOff>665424</xdr:colOff>
      <xdr:row>51</xdr:row>
      <xdr:rowOff>29505</xdr:rowOff>
    </xdr:from>
    <xdr:to>
      <xdr:col>25</xdr:col>
      <xdr:colOff>41918</xdr:colOff>
      <xdr:row>64</xdr:row>
      <xdr:rowOff>56366</xdr:rowOff>
    </xdr:to>
    <xdr:graphicFrame>
      <xdr:nvGraphicFramePr>
        <xdr:cNvPr id="301" name="2D Line Chart"/>
        <xdr:cNvGraphicFramePr/>
      </xdr:nvGraphicFramePr>
      <xdr:xfrm>
        <a:off x="16007024" y="10207285"/>
        <a:ext cx="337699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25</xdr:col>
      <xdr:colOff>563411</xdr:colOff>
      <xdr:row>51</xdr:row>
      <xdr:rowOff>29505</xdr:rowOff>
    </xdr:from>
    <xdr:to>
      <xdr:col>29</xdr:col>
      <xdr:colOff>312396</xdr:colOff>
      <xdr:row>64</xdr:row>
      <xdr:rowOff>56366</xdr:rowOff>
    </xdr:to>
    <xdr:graphicFrame>
      <xdr:nvGraphicFramePr>
        <xdr:cNvPr id="302" name="2D Line Chart"/>
        <xdr:cNvGraphicFramePr/>
      </xdr:nvGraphicFramePr>
      <xdr:xfrm>
        <a:off x="19905511" y="10207285"/>
        <a:ext cx="348278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20</xdr:col>
      <xdr:colOff>616021</xdr:colOff>
      <xdr:row>65</xdr:row>
      <xdr:rowOff>63217</xdr:rowOff>
    </xdr:from>
    <xdr:to>
      <xdr:col>25</xdr:col>
      <xdr:colOff>41918</xdr:colOff>
      <xdr:row>78</xdr:row>
      <xdr:rowOff>90077</xdr:rowOff>
    </xdr:to>
    <xdr:graphicFrame>
      <xdr:nvGraphicFramePr>
        <xdr:cNvPr id="303" name="2D Line Chart"/>
        <xdr:cNvGraphicFramePr/>
      </xdr:nvGraphicFramePr>
      <xdr:xfrm>
        <a:off x="15957621" y="13805887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25</xdr:col>
      <xdr:colOff>513881</xdr:colOff>
      <xdr:row>65</xdr:row>
      <xdr:rowOff>63217</xdr:rowOff>
    </xdr:from>
    <xdr:to>
      <xdr:col>29</xdr:col>
      <xdr:colOff>312396</xdr:colOff>
      <xdr:row>78</xdr:row>
      <xdr:rowOff>90077</xdr:rowOff>
    </xdr:to>
    <xdr:graphicFrame>
      <xdr:nvGraphicFramePr>
        <xdr:cNvPr id="304" name="2D Line Chart"/>
        <xdr:cNvGraphicFramePr/>
      </xdr:nvGraphicFramePr>
      <xdr:xfrm>
        <a:off x="19855981" y="13805887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20</xdr:col>
      <xdr:colOff>510103</xdr:colOff>
      <xdr:row>79</xdr:row>
      <xdr:rowOff>89893</xdr:rowOff>
    </xdr:from>
    <xdr:to>
      <xdr:col>25</xdr:col>
      <xdr:colOff>41918</xdr:colOff>
      <xdr:row>92</xdr:row>
      <xdr:rowOff>116754</xdr:rowOff>
    </xdr:to>
    <xdr:graphicFrame>
      <xdr:nvGraphicFramePr>
        <xdr:cNvPr id="305" name="2D Line Chart"/>
        <xdr:cNvGraphicFramePr/>
      </xdr:nvGraphicFramePr>
      <xdr:xfrm>
        <a:off x="15851703" y="17397453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25</xdr:col>
      <xdr:colOff>669202</xdr:colOff>
      <xdr:row>79</xdr:row>
      <xdr:rowOff>96927</xdr:rowOff>
    </xdr:from>
    <xdr:to>
      <xdr:col>29</xdr:col>
      <xdr:colOff>429490</xdr:colOff>
      <xdr:row>92</xdr:row>
      <xdr:rowOff>123788</xdr:rowOff>
    </xdr:to>
    <xdr:graphicFrame>
      <xdr:nvGraphicFramePr>
        <xdr:cNvPr id="306" name="2D Line Chart"/>
        <xdr:cNvGraphicFramePr/>
      </xdr:nvGraphicFramePr>
      <xdr:xfrm>
        <a:off x="20011302" y="17404487"/>
        <a:ext cx="3494089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21</xdr:col>
      <xdr:colOff>533837</xdr:colOff>
      <xdr:row>98</xdr:row>
      <xdr:rowOff>8919</xdr:rowOff>
    </xdr:from>
    <xdr:to>
      <xdr:col>26</xdr:col>
      <xdr:colOff>242512</xdr:colOff>
      <xdr:row>106</xdr:row>
      <xdr:rowOff>108995</xdr:rowOff>
    </xdr:to>
    <xdr:graphicFrame>
      <xdr:nvGraphicFramePr>
        <xdr:cNvPr id="307" name="2 Axis Chart"/>
        <xdr:cNvGraphicFramePr/>
      </xdr:nvGraphicFramePr>
      <xdr:xfrm>
        <a:off x="16675537" y="22764144"/>
        <a:ext cx="3709176" cy="366115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24</xdr:col>
      <xdr:colOff>406922</xdr:colOff>
      <xdr:row>98</xdr:row>
      <xdr:rowOff>145491</xdr:rowOff>
    </xdr:from>
    <xdr:to>
      <xdr:col>25</xdr:col>
      <xdr:colOff>404745</xdr:colOff>
      <xdr:row>105</xdr:row>
      <xdr:rowOff>89754</xdr:rowOff>
    </xdr:to>
    <xdr:grpSp>
      <xdr:nvGrpSpPr>
        <xdr:cNvPr id="313" name="Drawing"/>
        <xdr:cNvGrpSpPr/>
      </xdr:nvGrpSpPr>
      <xdr:grpSpPr>
        <a:xfrm>
          <a:off x="18948922" y="22900716"/>
          <a:ext cx="797924" cy="2793509"/>
          <a:chOff x="0" y="0"/>
          <a:chExt cx="797922" cy="2793507"/>
        </a:xfrm>
      </xdr:grpSpPr>
      <xdr:sp>
        <xdr:nvSpPr>
          <xdr:cNvPr id="308" name="Line"/>
          <xdr:cNvSpPr/>
        </xdr:nvSpPr>
        <xdr:spPr>
          <a:xfrm>
            <a:off x="0" y="2086742"/>
            <a:ext cx="451280" cy="70676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1105" y="20311"/>
                  <a:pt x="2210" y="19022"/>
                  <a:pt x="3486" y="17599"/>
                </a:cubicBezTo>
                <a:cubicBezTo>
                  <a:pt x="4762" y="16176"/>
                  <a:pt x="6210" y="14619"/>
                  <a:pt x="7657" y="13074"/>
                </a:cubicBezTo>
                <a:cubicBezTo>
                  <a:pt x="9105" y="11530"/>
                  <a:pt x="10552" y="9997"/>
                  <a:pt x="12057" y="8392"/>
                </a:cubicBezTo>
                <a:cubicBezTo>
                  <a:pt x="13562" y="6786"/>
                  <a:pt x="15124" y="5108"/>
                  <a:pt x="16400" y="3880"/>
                </a:cubicBezTo>
                <a:cubicBezTo>
                  <a:pt x="17676" y="2651"/>
                  <a:pt x="18667" y="1873"/>
                  <a:pt x="19486" y="1301"/>
                </a:cubicBezTo>
                <a:cubicBezTo>
                  <a:pt x="20305" y="730"/>
                  <a:pt x="20952" y="365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09" name="Line"/>
          <xdr:cNvSpPr/>
        </xdr:nvSpPr>
        <xdr:spPr>
          <a:xfrm>
            <a:off x="355770" y="1887418"/>
            <a:ext cx="258207" cy="28050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95" h="21444" fill="norm" stroke="1" extrusionOk="0">
                <a:moveTo>
                  <a:pt x="0" y="10309"/>
                </a:moveTo>
                <a:cubicBezTo>
                  <a:pt x="2452" y="8666"/>
                  <a:pt x="4903" y="7024"/>
                  <a:pt x="8282" y="5320"/>
                </a:cubicBezTo>
                <a:cubicBezTo>
                  <a:pt x="11661" y="3616"/>
                  <a:pt x="15968" y="1852"/>
                  <a:pt x="18353" y="909"/>
                </a:cubicBezTo>
                <a:cubicBezTo>
                  <a:pt x="20739" y="-34"/>
                  <a:pt x="21202" y="-156"/>
                  <a:pt x="21401" y="148"/>
                </a:cubicBezTo>
                <a:cubicBezTo>
                  <a:pt x="21600" y="452"/>
                  <a:pt x="21534" y="1183"/>
                  <a:pt x="20705" y="3403"/>
                </a:cubicBezTo>
                <a:cubicBezTo>
                  <a:pt x="19877" y="5624"/>
                  <a:pt x="18287" y="9336"/>
                  <a:pt x="16631" y="12317"/>
                </a:cubicBezTo>
                <a:cubicBezTo>
                  <a:pt x="14974" y="15299"/>
                  <a:pt x="13252" y="17550"/>
                  <a:pt x="12291" y="18919"/>
                </a:cubicBezTo>
                <a:cubicBezTo>
                  <a:pt x="11330" y="20288"/>
                  <a:pt x="11131" y="20775"/>
                  <a:pt x="11363" y="21049"/>
                </a:cubicBezTo>
                <a:cubicBezTo>
                  <a:pt x="11595" y="21322"/>
                  <a:pt x="12258" y="21383"/>
                  <a:pt x="12920" y="21444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10" name="Line"/>
          <xdr:cNvSpPr/>
        </xdr:nvSpPr>
        <xdr:spPr>
          <a:xfrm>
            <a:off x="344751" y="-1"/>
            <a:ext cx="453172" cy="180260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39" h="21523" fill="norm" stroke="1" extrusionOk="0">
                <a:moveTo>
                  <a:pt x="9375" y="113"/>
                </a:moveTo>
                <a:cubicBezTo>
                  <a:pt x="11569" y="18"/>
                  <a:pt x="13763" y="-77"/>
                  <a:pt x="15712" y="99"/>
                </a:cubicBezTo>
                <a:cubicBezTo>
                  <a:pt x="17660" y="275"/>
                  <a:pt x="19362" y="721"/>
                  <a:pt x="20327" y="1310"/>
                </a:cubicBezTo>
                <a:cubicBezTo>
                  <a:pt x="21291" y="1900"/>
                  <a:pt x="21518" y="2631"/>
                  <a:pt x="21537" y="3358"/>
                </a:cubicBezTo>
                <a:cubicBezTo>
                  <a:pt x="21556" y="4085"/>
                  <a:pt x="21367" y="4807"/>
                  <a:pt x="20875" y="5477"/>
                </a:cubicBezTo>
                <a:cubicBezTo>
                  <a:pt x="20383" y="6147"/>
                  <a:pt x="19589" y="6765"/>
                  <a:pt x="18795" y="7416"/>
                </a:cubicBezTo>
                <a:cubicBezTo>
                  <a:pt x="18000" y="8067"/>
                  <a:pt x="17206" y="8751"/>
                  <a:pt x="16355" y="9421"/>
                </a:cubicBezTo>
                <a:cubicBezTo>
                  <a:pt x="15503" y="10091"/>
                  <a:pt x="14596" y="10747"/>
                  <a:pt x="13555" y="11407"/>
                </a:cubicBezTo>
                <a:cubicBezTo>
                  <a:pt x="12515" y="12068"/>
                  <a:pt x="11342" y="12733"/>
                  <a:pt x="10226" y="13393"/>
                </a:cubicBezTo>
                <a:cubicBezTo>
                  <a:pt x="9110" y="14054"/>
                  <a:pt x="8051" y="14709"/>
                  <a:pt x="6916" y="15375"/>
                </a:cubicBezTo>
                <a:cubicBezTo>
                  <a:pt x="5782" y="16040"/>
                  <a:pt x="4571" y="16715"/>
                  <a:pt x="3436" y="17385"/>
                </a:cubicBezTo>
                <a:cubicBezTo>
                  <a:pt x="2301" y="18054"/>
                  <a:pt x="1242" y="18720"/>
                  <a:pt x="656" y="19271"/>
                </a:cubicBezTo>
                <a:cubicBezTo>
                  <a:pt x="69" y="19822"/>
                  <a:pt x="-44" y="20259"/>
                  <a:pt x="13" y="20530"/>
                </a:cubicBezTo>
                <a:cubicBezTo>
                  <a:pt x="69" y="20801"/>
                  <a:pt x="296" y="20905"/>
                  <a:pt x="940" y="21043"/>
                </a:cubicBezTo>
                <a:cubicBezTo>
                  <a:pt x="1583" y="21181"/>
                  <a:pt x="2642" y="21352"/>
                  <a:pt x="3701" y="21523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11" name="Line"/>
          <xdr:cNvSpPr/>
        </xdr:nvSpPr>
        <xdr:spPr>
          <a:xfrm>
            <a:off x="80527" y="2634983"/>
            <a:ext cx="1271" cy="1"/>
          </a:xfrm>
          <a:prstGeom prst="ellipse">
            <a:avLst/>
          </a:pr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12" name="Line"/>
          <xdr:cNvSpPr/>
        </xdr:nvSpPr>
        <xdr:spPr>
          <a:xfrm>
            <a:off x="273686" y="1978241"/>
            <a:ext cx="1271" cy="1"/>
          </a:xfrm>
          <a:prstGeom prst="ellipse">
            <a:avLst/>
          </a:pr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5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315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701783</xdr:colOff>
      <xdr:row>65</xdr:row>
      <xdr:rowOff>187234</xdr:rowOff>
    </xdr:from>
    <xdr:to>
      <xdr:col>25</xdr:col>
      <xdr:colOff>60820</xdr:colOff>
      <xdr:row>67</xdr:row>
      <xdr:rowOff>131731</xdr:rowOff>
    </xdr:to>
    <xdr:grpSp>
      <xdr:nvGrpSpPr>
        <xdr:cNvPr id="318" name="Drawing"/>
        <xdr:cNvGrpSpPr/>
      </xdr:nvGrpSpPr>
      <xdr:grpSpPr>
        <a:xfrm>
          <a:off x="18443683" y="13929904"/>
          <a:ext cx="959238" cy="453768"/>
          <a:chOff x="0" y="0"/>
          <a:chExt cx="959236" cy="453767"/>
        </a:xfrm>
      </xdr:grpSpPr>
      <xdr:sp>
        <xdr:nvSpPr>
          <xdr:cNvPr id="316" name="Line"/>
          <xdr:cNvSpPr/>
        </xdr:nvSpPr>
        <xdr:spPr>
          <a:xfrm>
            <a:off x="0" y="0"/>
            <a:ext cx="867519" cy="37828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67"/>
                </a:moveTo>
                <a:cubicBezTo>
                  <a:pt x="1058" y="34"/>
                  <a:pt x="2116" y="0"/>
                  <a:pt x="3144" y="0"/>
                </a:cubicBezTo>
                <a:cubicBezTo>
                  <a:pt x="4173" y="0"/>
                  <a:pt x="5172" y="34"/>
                  <a:pt x="6039" y="388"/>
                </a:cubicBezTo>
                <a:cubicBezTo>
                  <a:pt x="6906" y="741"/>
                  <a:pt x="7641" y="1415"/>
                  <a:pt x="8508" y="2190"/>
                </a:cubicBezTo>
                <a:cubicBezTo>
                  <a:pt x="9375" y="2965"/>
                  <a:pt x="10374" y="3842"/>
                  <a:pt x="11366" y="4802"/>
                </a:cubicBezTo>
                <a:cubicBezTo>
                  <a:pt x="12358" y="5762"/>
                  <a:pt x="13342" y="6807"/>
                  <a:pt x="14172" y="7767"/>
                </a:cubicBezTo>
                <a:cubicBezTo>
                  <a:pt x="15002" y="8728"/>
                  <a:pt x="15678" y="9604"/>
                  <a:pt x="16384" y="10615"/>
                </a:cubicBezTo>
                <a:cubicBezTo>
                  <a:pt x="17089" y="11626"/>
                  <a:pt x="17824" y="12771"/>
                  <a:pt x="18536" y="14069"/>
                </a:cubicBezTo>
                <a:cubicBezTo>
                  <a:pt x="19249" y="15366"/>
                  <a:pt x="19940" y="16815"/>
                  <a:pt x="20336" y="17860"/>
                </a:cubicBezTo>
                <a:cubicBezTo>
                  <a:pt x="20733" y="18904"/>
                  <a:pt x="20836" y="19544"/>
                  <a:pt x="20998" y="20100"/>
                </a:cubicBezTo>
                <a:cubicBezTo>
                  <a:pt x="21159" y="20656"/>
                  <a:pt x="21380" y="21128"/>
                  <a:pt x="21600" y="21600"/>
                </a:cubicBezTo>
              </a:path>
            </a:pathLst>
          </a:custGeom>
          <a:noFill/>
          <a:ln w="18384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17" name="Line"/>
          <xdr:cNvSpPr/>
        </xdr:nvSpPr>
        <xdr:spPr>
          <a:xfrm>
            <a:off x="715260" y="233109"/>
            <a:ext cx="243977" cy="220659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18" h="21537" fill="norm" stroke="1" extrusionOk="0">
                <a:moveTo>
                  <a:pt x="12960" y="0"/>
                </a:moveTo>
                <a:cubicBezTo>
                  <a:pt x="14157" y="3686"/>
                  <a:pt x="15354" y="7373"/>
                  <a:pt x="16707" y="10800"/>
                </a:cubicBezTo>
                <a:cubicBezTo>
                  <a:pt x="18061" y="14227"/>
                  <a:pt x="19570" y="17395"/>
                  <a:pt x="20455" y="19152"/>
                </a:cubicBezTo>
                <a:cubicBezTo>
                  <a:pt x="21340" y="20909"/>
                  <a:pt x="21600" y="21254"/>
                  <a:pt x="21496" y="21427"/>
                </a:cubicBezTo>
                <a:cubicBezTo>
                  <a:pt x="21392" y="21600"/>
                  <a:pt x="20923" y="21600"/>
                  <a:pt x="18920" y="21197"/>
                </a:cubicBezTo>
                <a:cubicBezTo>
                  <a:pt x="16916" y="20794"/>
                  <a:pt x="13376" y="19987"/>
                  <a:pt x="10175" y="19382"/>
                </a:cubicBezTo>
                <a:cubicBezTo>
                  <a:pt x="6974" y="18778"/>
                  <a:pt x="4112" y="18374"/>
                  <a:pt x="2472" y="17885"/>
                </a:cubicBezTo>
                <a:cubicBezTo>
                  <a:pt x="833" y="17395"/>
                  <a:pt x="416" y="16819"/>
                  <a:pt x="0" y="16243"/>
                </a:cubicBezTo>
              </a:path>
            </a:pathLst>
          </a:custGeom>
          <a:noFill/>
          <a:ln w="18384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  <xdr:twoCellAnchor>
    <xdr:from>
      <xdr:col>27</xdr:col>
      <xdr:colOff>200452</xdr:colOff>
      <xdr:row>60</xdr:row>
      <xdr:rowOff>191683</xdr:rowOff>
    </xdr:from>
    <xdr:to>
      <xdr:col>30</xdr:col>
      <xdr:colOff>63864</xdr:colOff>
      <xdr:row>74</xdr:row>
      <xdr:rowOff>137442</xdr:rowOff>
    </xdr:to>
    <xdr:graphicFrame>
      <xdr:nvGraphicFramePr>
        <xdr:cNvPr id="319" name="2D Line Chart"/>
        <xdr:cNvGraphicFramePr/>
      </xdr:nvGraphicFramePr>
      <xdr:xfrm>
        <a:off x="21142752" y="12661178"/>
        <a:ext cx="2911413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5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609350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321" name="2 Axis Chart"/>
        <xdr:cNvGraphicFramePr/>
      </xdr:nvGraphicFramePr>
      <xdr:xfrm>
        <a:off x="16751050" y="12661178"/>
        <a:ext cx="3448012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778658</xdr:colOff>
      <xdr:row>60</xdr:row>
      <xdr:rowOff>250986</xdr:rowOff>
    </xdr:from>
    <xdr:to>
      <xdr:col>30</xdr:col>
      <xdr:colOff>128354</xdr:colOff>
      <xdr:row>74</xdr:row>
      <xdr:rowOff>196744</xdr:rowOff>
    </xdr:to>
    <xdr:graphicFrame>
      <xdr:nvGraphicFramePr>
        <xdr:cNvPr id="322" name="2D Line Chart"/>
        <xdr:cNvGraphicFramePr/>
      </xdr:nvGraphicFramePr>
      <xdr:xfrm>
        <a:off x="20920858" y="12720481"/>
        <a:ext cx="2854897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538582</xdr:colOff>
      <xdr:row>65</xdr:row>
      <xdr:rowOff>151894</xdr:rowOff>
    </xdr:from>
    <xdr:to>
      <xdr:col>25</xdr:col>
      <xdr:colOff>123939</xdr:colOff>
      <xdr:row>70</xdr:row>
      <xdr:rowOff>122502</xdr:rowOff>
    </xdr:to>
    <xdr:grpSp>
      <xdr:nvGrpSpPr>
        <xdr:cNvPr id="327" name="Drawing"/>
        <xdr:cNvGrpSpPr/>
      </xdr:nvGrpSpPr>
      <xdr:grpSpPr>
        <a:xfrm>
          <a:off x="17480382" y="13894564"/>
          <a:ext cx="1985658" cy="1243784"/>
          <a:chOff x="-31750" y="-31750"/>
          <a:chExt cx="1985657" cy="1243783"/>
        </a:xfrm>
      </xdr:grpSpPr>
      <xdr:pic>
        <xdr:nvPicPr>
          <xdr:cNvPr id="323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123577"/>
            <a:ext cx="1850295" cy="1088457"/>
          </a:xfrm>
          <a:prstGeom prst="rect">
            <a:avLst/>
          </a:prstGeom>
          <a:effectLst/>
        </xdr:spPr>
      </xdr:pic>
      <xdr:pic>
        <xdr:nvPicPr>
          <xdr:cNvPr id="325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577137" y="-31751"/>
            <a:ext cx="376771" cy="257504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5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329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408516</xdr:colOff>
      <xdr:row>65</xdr:row>
      <xdr:rowOff>185775</xdr:rowOff>
    </xdr:from>
    <xdr:to>
      <xdr:col>25</xdr:col>
      <xdr:colOff>127366</xdr:colOff>
      <xdr:row>68</xdr:row>
      <xdr:rowOff>145082</xdr:rowOff>
    </xdr:to>
    <xdr:grpSp>
      <xdr:nvGrpSpPr>
        <xdr:cNvPr id="334" name="Drawing"/>
        <xdr:cNvGrpSpPr/>
      </xdr:nvGrpSpPr>
      <xdr:grpSpPr>
        <a:xfrm>
          <a:off x="17350316" y="13928445"/>
          <a:ext cx="2119151" cy="723213"/>
          <a:chOff x="-31750" y="-31749"/>
          <a:chExt cx="2119149" cy="723212"/>
        </a:xfrm>
      </xdr:grpSpPr>
      <xdr:pic>
        <xdr:nvPicPr>
          <xdr:cNvPr id="330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0"/>
            <a:ext cx="2053168" cy="623639"/>
          </a:xfrm>
          <a:prstGeom prst="rect">
            <a:avLst/>
          </a:prstGeom>
          <a:effectLst/>
        </xdr:spPr>
      </xdr:pic>
      <xdr:pic>
        <xdr:nvPicPr>
          <xdr:cNvPr id="332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97969" y="261688"/>
            <a:ext cx="489431" cy="429775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5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113376</xdr:colOff>
      <xdr:row>74</xdr:row>
      <xdr:rowOff>144083</xdr:rowOff>
    </xdr:to>
    <xdr:graphicFrame>
      <xdr:nvGraphicFramePr>
        <xdr:cNvPr id="336" name="2 Axis Chart"/>
        <xdr:cNvGraphicFramePr/>
      </xdr:nvGraphicFramePr>
      <xdr:xfrm>
        <a:off x="16773363" y="12667820"/>
        <a:ext cx="3482214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5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690288</xdr:colOff>
      <xdr:row>43</xdr:row>
      <xdr:rowOff>31009</xdr:rowOff>
    </xdr:from>
    <xdr:to>
      <xdr:col>12</xdr:col>
      <xdr:colOff>172700</xdr:colOff>
      <xdr:row>56</xdr:row>
      <xdr:rowOff>57869</xdr:rowOff>
    </xdr:to>
    <xdr:graphicFrame>
      <xdr:nvGraphicFramePr>
        <xdr:cNvPr id="338" name="2D Line Chart"/>
        <xdr:cNvGraphicFramePr/>
      </xdr:nvGraphicFramePr>
      <xdr:xfrm>
        <a:off x="5630588" y="11227329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694193</xdr:colOff>
      <xdr:row>43</xdr:row>
      <xdr:rowOff>31009</xdr:rowOff>
    </xdr:from>
    <xdr:to>
      <xdr:col>17</xdr:col>
      <xdr:colOff>176478</xdr:colOff>
      <xdr:row>56</xdr:row>
      <xdr:rowOff>57869</xdr:rowOff>
    </xdr:to>
    <xdr:graphicFrame>
      <xdr:nvGraphicFramePr>
        <xdr:cNvPr id="339" name="2D Line Chart"/>
        <xdr:cNvGraphicFramePr/>
      </xdr:nvGraphicFramePr>
      <xdr:xfrm>
        <a:off x="9634993" y="11227329"/>
        <a:ext cx="348278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746803</xdr:colOff>
      <xdr:row>57</xdr:row>
      <xdr:rowOff>64311</xdr:rowOff>
    </xdr:from>
    <xdr:to>
      <xdr:col>12</xdr:col>
      <xdr:colOff>172700</xdr:colOff>
      <xdr:row>71</xdr:row>
      <xdr:rowOff>91171</xdr:rowOff>
    </xdr:to>
    <xdr:graphicFrame>
      <xdr:nvGraphicFramePr>
        <xdr:cNvPr id="340" name="2D Line Chart"/>
        <xdr:cNvGraphicFramePr/>
      </xdr:nvGraphicFramePr>
      <xdr:xfrm>
        <a:off x="5687103" y="14825521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640885</xdr:colOff>
      <xdr:row>72</xdr:row>
      <xdr:rowOff>98429</xdr:rowOff>
    </xdr:from>
    <xdr:to>
      <xdr:col>12</xdr:col>
      <xdr:colOff>172700</xdr:colOff>
      <xdr:row>141</xdr:row>
      <xdr:rowOff>132909</xdr:rowOff>
    </xdr:to>
    <xdr:graphicFrame>
      <xdr:nvGraphicFramePr>
        <xdr:cNvPr id="341" name="2D Line Chart"/>
        <xdr:cNvGraphicFramePr/>
      </xdr:nvGraphicFramePr>
      <xdr:xfrm>
        <a:off x="5581185" y="18424529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694066</xdr:colOff>
      <xdr:row>72</xdr:row>
      <xdr:rowOff>98429</xdr:rowOff>
    </xdr:from>
    <xdr:to>
      <xdr:col>17</xdr:col>
      <xdr:colOff>293572</xdr:colOff>
      <xdr:row>141</xdr:row>
      <xdr:rowOff>132909</xdr:rowOff>
    </xdr:to>
    <xdr:graphicFrame>
      <xdr:nvGraphicFramePr>
        <xdr:cNvPr id="342" name="2D Line Chart"/>
        <xdr:cNvGraphicFramePr/>
      </xdr:nvGraphicFramePr>
      <xdr:xfrm>
        <a:off x="9634866" y="18424529"/>
        <a:ext cx="3600007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644663</xdr:colOff>
      <xdr:row>57</xdr:row>
      <xdr:rowOff>64311</xdr:rowOff>
    </xdr:from>
    <xdr:to>
      <xdr:col>17</xdr:col>
      <xdr:colOff>176478</xdr:colOff>
      <xdr:row>71</xdr:row>
      <xdr:rowOff>91171</xdr:rowOff>
    </xdr:to>
    <xdr:graphicFrame>
      <xdr:nvGraphicFramePr>
        <xdr:cNvPr id="343" name="2D Line Chart"/>
        <xdr:cNvGraphicFramePr/>
      </xdr:nvGraphicFramePr>
      <xdr:xfrm>
        <a:off x="9585463" y="14825521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23" name="2 Axis Chart"/>
        <xdr:cNvGraphicFramePr/>
      </xdr:nvGraphicFramePr>
      <xdr:xfrm>
        <a:off x="16702751" y="12661178"/>
        <a:ext cx="360222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523536</xdr:colOff>
      <xdr:row>62</xdr:row>
      <xdr:rowOff>232358</xdr:rowOff>
    </xdr:from>
    <xdr:to>
      <xdr:col>24</xdr:col>
      <xdr:colOff>790270</xdr:colOff>
      <xdr:row>67</xdr:row>
      <xdr:rowOff>1194</xdr:rowOff>
    </xdr:to>
    <xdr:grpSp>
      <xdr:nvGrpSpPr>
        <xdr:cNvPr id="28" name="Drawing"/>
        <xdr:cNvGrpSpPr/>
      </xdr:nvGrpSpPr>
      <xdr:grpSpPr>
        <a:xfrm>
          <a:off x="17465336" y="13211123"/>
          <a:ext cx="1866935" cy="1042012"/>
          <a:chOff x="-19050" y="-19050"/>
          <a:chExt cx="1866934" cy="1042011"/>
        </a:xfrm>
      </xdr:grpSpPr>
      <xdr:pic>
        <xdr:nvPicPr>
          <xdr:cNvPr id="24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43692"/>
            <a:ext cx="1756240" cy="979270"/>
          </a:xfrm>
          <a:prstGeom prst="rect">
            <a:avLst/>
          </a:prstGeom>
          <a:effectLst/>
        </xdr:spPr>
      </xdr:pic>
      <xdr:pic>
        <xdr:nvPicPr>
          <xdr:cNvPr id="26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11534" y="-19051"/>
            <a:ext cx="336351" cy="359029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6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49</xdr:row>
      <xdr:rowOff>191937</xdr:rowOff>
    </xdr:from>
    <xdr:to>
      <xdr:col>26</xdr:col>
      <xdr:colOff>162779</xdr:colOff>
      <xdr:row>63</xdr:row>
      <xdr:rowOff>137696</xdr:rowOff>
    </xdr:to>
    <xdr:graphicFrame>
      <xdr:nvGraphicFramePr>
        <xdr:cNvPr id="345" name="2 Axis Chart"/>
        <xdr:cNvGraphicFramePr/>
      </xdr:nvGraphicFramePr>
      <xdr:xfrm>
        <a:off x="16773363" y="12916067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951149</xdr:colOff>
      <xdr:row>49</xdr:row>
      <xdr:rowOff>191937</xdr:rowOff>
    </xdr:from>
    <xdr:to>
      <xdr:col>30</xdr:col>
      <xdr:colOff>406764</xdr:colOff>
      <xdr:row>63</xdr:row>
      <xdr:rowOff>137696</xdr:rowOff>
    </xdr:to>
    <xdr:graphicFrame>
      <xdr:nvGraphicFramePr>
        <xdr:cNvPr id="346" name="2D Line Chart"/>
        <xdr:cNvGraphicFramePr/>
      </xdr:nvGraphicFramePr>
      <xdr:xfrm>
        <a:off x="21093349" y="12916067"/>
        <a:ext cx="2960816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6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20</xdr:col>
      <xdr:colOff>786007</xdr:colOff>
      <xdr:row>61</xdr:row>
      <xdr:rowOff>198110</xdr:rowOff>
    </xdr:from>
    <xdr:to>
      <xdr:col>25</xdr:col>
      <xdr:colOff>487706</xdr:colOff>
      <xdr:row>76</xdr:row>
      <xdr:rowOff>188585</xdr:rowOff>
    </xdr:to>
    <xdr:graphicFrame>
      <xdr:nvGraphicFramePr>
        <xdr:cNvPr id="348" name="2 Axis Chart"/>
        <xdr:cNvGraphicFramePr/>
      </xdr:nvGraphicFramePr>
      <xdr:xfrm>
        <a:off x="16127607" y="12922240"/>
        <a:ext cx="3702200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21</xdr:col>
      <xdr:colOff>518456</xdr:colOff>
      <xdr:row>66</xdr:row>
      <xdr:rowOff>245177</xdr:rowOff>
    </xdr:from>
    <xdr:to>
      <xdr:col>24</xdr:col>
      <xdr:colOff>434460</xdr:colOff>
      <xdr:row>75</xdr:row>
      <xdr:rowOff>21409</xdr:rowOff>
    </xdr:to>
    <xdr:grpSp>
      <xdr:nvGrpSpPr>
        <xdr:cNvPr id="352" name="Drawing"/>
        <xdr:cNvGrpSpPr/>
      </xdr:nvGrpSpPr>
      <xdr:grpSpPr>
        <a:xfrm>
          <a:off x="16660156" y="14242482"/>
          <a:ext cx="2316305" cy="2067948"/>
          <a:chOff x="0" y="0"/>
          <a:chExt cx="2316303" cy="2067946"/>
        </a:xfrm>
      </xdr:grpSpPr>
      <xdr:sp>
        <xdr:nvSpPr>
          <xdr:cNvPr id="349" name="Line"/>
          <xdr:cNvSpPr/>
        </xdr:nvSpPr>
        <xdr:spPr>
          <a:xfrm>
            <a:off x="0" y="0"/>
            <a:ext cx="826166" cy="1135344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1840" y="19779"/>
                  <a:pt x="3681" y="17957"/>
                  <a:pt x="5625" y="15980"/>
                </a:cubicBezTo>
                <a:cubicBezTo>
                  <a:pt x="7568" y="14004"/>
                  <a:pt x="9615" y="11871"/>
                  <a:pt x="11544" y="9696"/>
                </a:cubicBezTo>
                <a:cubicBezTo>
                  <a:pt x="13472" y="7521"/>
                  <a:pt x="15283" y="5304"/>
                  <a:pt x="16940" y="3680"/>
                </a:cubicBezTo>
                <a:cubicBezTo>
                  <a:pt x="18596" y="2057"/>
                  <a:pt x="20098" y="1029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50" name="Line"/>
          <xdr:cNvSpPr/>
        </xdr:nvSpPr>
        <xdr:spPr>
          <a:xfrm>
            <a:off x="724794" y="212876"/>
            <a:ext cx="745070" cy="178038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55" fill="norm" stroke="1" extrusionOk="0">
                <a:moveTo>
                  <a:pt x="0" y="0"/>
                </a:moveTo>
                <a:cubicBezTo>
                  <a:pt x="980" y="1350"/>
                  <a:pt x="1959" y="2700"/>
                  <a:pt x="3110" y="4019"/>
                </a:cubicBezTo>
                <a:cubicBezTo>
                  <a:pt x="4261" y="5339"/>
                  <a:pt x="5584" y="6627"/>
                  <a:pt x="7078" y="8059"/>
                </a:cubicBezTo>
                <a:cubicBezTo>
                  <a:pt x="8571" y="9491"/>
                  <a:pt x="10237" y="11066"/>
                  <a:pt x="11804" y="12641"/>
                </a:cubicBezTo>
                <a:cubicBezTo>
                  <a:pt x="13371" y="14216"/>
                  <a:pt x="14841" y="15791"/>
                  <a:pt x="16041" y="17161"/>
                </a:cubicBezTo>
                <a:cubicBezTo>
                  <a:pt x="17241" y="18532"/>
                  <a:pt x="18171" y="19698"/>
                  <a:pt x="18710" y="20362"/>
                </a:cubicBezTo>
                <a:cubicBezTo>
                  <a:pt x="19249" y="21027"/>
                  <a:pt x="19396" y="21191"/>
                  <a:pt x="19592" y="21334"/>
                </a:cubicBezTo>
                <a:cubicBezTo>
                  <a:pt x="19788" y="21477"/>
                  <a:pt x="20033" y="21600"/>
                  <a:pt x="20376" y="21539"/>
                </a:cubicBezTo>
                <a:cubicBezTo>
                  <a:pt x="20718" y="21477"/>
                  <a:pt x="21159" y="21232"/>
                  <a:pt x="21600" y="20986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51" name="Line"/>
          <xdr:cNvSpPr/>
        </xdr:nvSpPr>
        <xdr:spPr>
          <a:xfrm>
            <a:off x="1317809" y="861645"/>
            <a:ext cx="998495" cy="120630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1352" y="20057"/>
                  <a:pt x="2705" y="18514"/>
                  <a:pt x="4258" y="16850"/>
                </a:cubicBezTo>
                <a:cubicBezTo>
                  <a:pt x="5811" y="15187"/>
                  <a:pt x="7565" y="13402"/>
                  <a:pt x="9429" y="11526"/>
                </a:cubicBezTo>
                <a:cubicBezTo>
                  <a:pt x="11293" y="9650"/>
                  <a:pt x="13267" y="7684"/>
                  <a:pt x="15094" y="5914"/>
                </a:cubicBezTo>
                <a:cubicBezTo>
                  <a:pt x="16922" y="4145"/>
                  <a:pt x="18603" y="2571"/>
                  <a:pt x="19663" y="1618"/>
                </a:cubicBezTo>
                <a:cubicBezTo>
                  <a:pt x="20723" y="666"/>
                  <a:pt x="21161" y="333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6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345574</xdr:colOff>
      <xdr:row>40</xdr:row>
      <xdr:rowOff>138142</xdr:rowOff>
    </xdr:from>
    <xdr:to>
      <xdr:col>11</xdr:col>
      <xdr:colOff>628086</xdr:colOff>
      <xdr:row>53</xdr:row>
      <xdr:rowOff>165003</xdr:rowOff>
    </xdr:to>
    <xdr:graphicFrame>
      <xdr:nvGraphicFramePr>
        <xdr:cNvPr id="354" name="2D Line Chart"/>
        <xdr:cNvGraphicFramePr/>
      </xdr:nvGraphicFramePr>
      <xdr:xfrm>
        <a:off x="5285874" y="10570557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469494</xdr:colOff>
      <xdr:row>40</xdr:row>
      <xdr:rowOff>138142</xdr:rowOff>
    </xdr:from>
    <xdr:to>
      <xdr:col>16</xdr:col>
      <xdr:colOff>631864</xdr:colOff>
      <xdr:row>53</xdr:row>
      <xdr:rowOff>165003</xdr:rowOff>
    </xdr:to>
    <xdr:graphicFrame>
      <xdr:nvGraphicFramePr>
        <xdr:cNvPr id="355" name="2D Line Chart"/>
        <xdr:cNvGraphicFramePr/>
      </xdr:nvGraphicFramePr>
      <xdr:xfrm>
        <a:off x="9410294" y="10570557"/>
        <a:ext cx="3362771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402089</xdr:colOff>
      <xdr:row>54</xdr:row>
      <xdr:rowOff>171445</xdr:rowOff>
    </xdr:from>
    <xdr:to>
      <xdr:col>11</xdr:col>
      <xdr:colOff>628086</xdr:colOff>
      <xdr:row>68</xdr:row>
      <xdr:rowOff>198305</xdr:rowOff>
    </xdr:to>
    <xdr:graphicFrame>
      <xdr:nvGraphicFramePr>
        <xdr:cNvPr id="356" name="2D Line Chart"/>
        <xdr:cNvGraphicFramePr/>
      </xdr:nvGraphicFramePr>
      <xdr:xfrm>
        <a:off x="5342389" y="14168750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296171</xdr:colOff>
      <xdr:row>69</xdr:row>
      <xdr:rowOff>205563</xdr:rowOff>
    </xdr:from>
    <xdr:to>
      <xdr:col>11</xdr:col>
      <xdr:colOff>628086</xdr:colOff>
      <xdr:row>138</xdr:row>
      <xdr:rowOff>236234</xdr:rowOff>
    </xdr:to>
    <xdr:graphicFrame>
      <xdr:nvGraphicFramePr>
        <xdr:cNvPr id="357" name="2D Line Chart"/>
        <xdr:cNvGraphicFramePr/>
      </xdr:nvGraphicFramePr>
      <xdr:xfrm>
        <a:off x="5236471" y="17767758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349352</xdr:colOff>
      <xdr:row>69</xdr:row>
      <xdr:rowOff>205563</xdr:rowOff>
    </xdr:from>
    <xdr:to>
      <xdr:col>16</xdr:col>
      <xdr:colOff>748958</xdr:colOff>
      <xdr:row>138</xdr:row>
      <xdr:rowOff>236234</xdr:rowOff>
    </xdr:to>
    <xdr:graphicFrame>
      <xdr:nvGraphicFramePr>
        <xdr:cNvPr id="358" name="2D Line Chart"/>
        <xdr:cNvGraphicFramePr/>
      </xdr:nvGraphicFramePr>
      <xdr:xfrm>
        <a:off x="9290152" y="17767758"/>
        <a:ext cx="3600007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299949</xdr:colOff>
      <xdr:row>54</xdr:row>
      <xdr:rowOff>171445</xdr:rowOff>
    </xdr:from>
    <xdr:to>
      <xdr:col>16</xdr:col>
      <xdr:colOff>631864</xdr:colOff>
      <xdr:row>68</xdr:row>
      <xdr:rowOff>198305</xdr:rowOff>
    </xdr:to>
    <xdr:graphicFrame>
      <xdr:nvGraphicFramePr>
        <xdr:cNvPr id="359" name="2D Line Chart"/>
        <xdr:cNvGraphicFramePr/>
      </xdr:nvGraphicFramePr>
      <xdr:xfrm>
        <a:off x="9240749" y="14168750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  <xdr:twoCellAnchor>
    <xdr:from>
      <xdr:col>17</xdr:col>
      <xdr:colOff>701406</xdr:colOff>
      <xdr:row>38</xdr:row>
      <xdr:rowOff>249782</xdr:rowOff>
    </xdr:from>
    <xdr:to>
      <xdr:col>21</xdr:col>
      <xdr:colOff>767861</xdr:colOff>
      <xdr:row>53</xdr:row>
      <xdr:rowOff>240257</xdr:rowOff>
    </xdr:to>
    <xdr:graphicFrame>
      <xdr:nvGraphicFramePr>
        <xdr:cNvPr id="360" name="2D Line Chart"/>
        <xdr:cNvGraphicFramePr/>
      </xdr:nvGraphicFramePr>
      <xdr:xfrm>
        <a:off x="13642706" y="10172927"/>
        <a:ext cx="3266856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7"/>
        </a:graphicData>
      </a:graphic>
    </xdr:graphicFrame>
    <xdr:clientData/>
  </xdr:twoCellAnchor>
  <xdr:twoCellAnchor>
    <xdr:from>
      <xdr:col>22</xdr:col>
      <xdr:colOff>697663</xdr:colOff>
      <xdr:row>37</xdr:row>
      <xdr:rowOff>237620</xdr:rowOff>
    </xdr:from>
    <xdr:to>
      <xdr:col>26</xdr:col>
      <xdr:colOff>559701</xdr:colOff>
      <xdr:row>52</xdr:row>
      <xdr:rowOff>15605</xdr:rowOff>
    </xdr:to>
    <xdr:graphicFrame>
      <xdr:nvGraphicFramePr>
        <xdr:cNvPr id="361" name="2D Column Chart"/>
        <xdr:cNvGraphicFramePr/>
      </xdr:nvGraphicFramePr>
      <xdr:xfrm>
        <a:off x="17639463" y="9903590"/>
        <a:ext cx="3062439" cy="360005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8"/>
        </a:graphicData>
      </a:graphic>
    </xdr:graphicFrame>
    <xdr:clientData/>
  </xdr:twoCellAnchor>
  <xdr:twoCellAnchor>
    <xdr:from>
      <xdr:col>26</xdr:col>
      <xdr:colOff>1201052</xdr:colOff>
      <xdr:row>36</xdr:row>
      <xdr:rowOff>40639</xdr:rowOff>
    </xdr:from>
    <xdr:to>
      <xdr:col>30</xdr:col>
      <xdr:colOff>548751</xdr:colOff>
      <xdr:row>51</xdr:row>
      <xdr:rowOff>26034</xdr:rowOff>
    </xdr:to>
    <xdr:graphicFrame>
      <xdr:nvGraphicFramePr>
        <xdr:cNvPr id="362" name="2D Line Chart"/>
        <xdr:cNvGraphicFramePr/>
      </xdr:nvGraphicFramePr>
      <xdr:xfrm>
        <a:off x="21343252" y="9449434"/>
        <a:ext cx="2852900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9"/>
        </a:graphicData>
      </a:graphic>
    </xdr:graphicFrame>
    <xdr:clientData/>
  </xdr:twoCellAnchor>
</xdr:wsDr>
</file>

<file path=xl/drawings/drawing6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364" name="2 Axis Chart"/>
        <xdr:cNvGraphicFramePr/>
      </xdr:nvGraphicFramePr>
      <xdr:xfrm>
        <a:off x="16773363" y="12667820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400534</xdr:colOff>
      <xdr:row>66</xdr:row>
      <xdr:rowOff>53970</xdr:rowOff>
    </xdr:from>
    <xdr:to>
      <xdr:col>25</xdr:col>
      <xdr:colOff>231906</xdr:colOff>
      <xdr:row>70</xdr:row>
      <xdr:rowOff>147584</xdr:rowOff>
    </xdr:to>
    <xdr:grpSp>
      <xdr:nvGrpSpPr>
        <xdr:cNvPr id="369" name="Drawing"/>
        <xdr:cNvGrpSpPr/>
      </xdr:nvGrpSpPr>
      <xdr:grpSpPr>
        <a:xfrm>
          <a:off x="17342334" y="14051275"/>
          <a:ext cx="2231673" cy="1112155"/>
          <a:chOff x="-19050" y="-19050"/>
          <a:chExt cx="2231671" cy="1112153"/>
        </a:xfrm>
      </xdr:grpSpPr>
      <xdr:pic>
        <xdr:nvPicPr>
          <xdr:cNvPr id="36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193710"/>
            <a:ext cx="1989805" cy="899394"/>
          </a:xfrm>
          <a:prstGeom prst="rect">
            <a:avLst/>
          </a:prstGeom>
          <a:effectLst/>
        </xdr:spPr>
      </xdr:pic>
      <xdr:pic>
        <xdr:nvPicPr>
          <xdr:cNvPr id="36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739242" y="-19051"/>
            <a:ext cx="473380" cy="533474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6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451492</xdr:colOff>
      <xdr:row>40</xdr:row>
      <xdr:rowOff>138777</xdr:rowOff>
    </xdr:from>
    <xdr:to>
      <xdr:col>11</xdr:col>
      <xdr:colOff>628086</xdr:colOff>
      <xdr:row>53</xdr:row>
      <xdr:rowOff>165638</xdr:rowOff>
    </xdr:to>
    <xdr:graphicFrame>
      <xdr:nvGraphicFramePr>
        <xdr:cNvPr id="371" name="2D Line Chart"/>
        <xdr:cNvGraphicFramePr/>
      </xdr:nvGraphicFramePr>
      <xdr:xfrm>
        <a:off x="5391792" y="10664537"/>
        <a:ext cx="337699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349479</xdr:colOff>
      <xdr:row>40</xdr:row>
      <xdr:rowOff>138777</xdr:rowOff>
    </xdr:from>
    <xdr:to>
      <xdr:col>16</xdr:col>
      <xdr:colOff>631864</xdr:colOff>
      <xdr:row>53</xdr:row>
      <xdr:rowOff>165638</xdr:rowOff>
    </xdr:to>
    <xdr:graphicFrame>
      <xdr:nvGraphicFramePr>
        <xdr:cNvPr id="372" name="2D Line Chart"/>
        <xdr:cNvGraphicFramePr/>
      </xdr:nvGraphicFramePr>
      <xdr:xfrm>
        <a:off x="9290279" y="10664537"/>
        <a:ext cx="348278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522104</xdr:colOff>
      <xdr:row>54</xdr:row>
      <xdr:rowOff>172080</xdr:rowOff>
    </xdr:from>
    <xdr:to>
      <xdr:col>11</xdr:col>
      <xdr:colOff>628086</xdr:colOff>
      <xdr:row>68</xdr:row>
      <xdr:rowOff>198941</xdr:rowOff>
    </xdr:to>
    <xdr:graphicFrame>
      <xdr:nvGraphicFramePr>
        <xdr:cNvPr id="373" name="2D Line Chart"/>
        <xdr:cNvGraphicFramePr/>
      </xdr:nvGraphicFramePr>
      <xdr:xfrm>
        <a:off x="5462404" y="14262730"/>
        <a:ext cx="330638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402089</xdr:colOff>
      <xdr:row>69</xdr:row>
      <xdr:rowOff>206198</xdr:rowOff>
    </xdr:from>
    <xdr:to>
      <xdr:col>11</xdr:col>
      <xdr:colOff>628086</xdr:colOff>
      <xdr:row>138</xdr:row>
      <xdr:rowOff>236869</xdr:rowOff>
    </xdr:to>
    <xdr:graphicFrame>
      <xdr:nvGraphicFramePr>
        <xdr:cNvPr id="374" name="2D Line Chart"/>
        <xdr:cNvGraphicFramePr/>
      </xdr:nvGraphicFramePr>
      <xdr:xfrm>
        <a:off x="5342389" y="17861738"/>
        <a:ext cx="3426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455270</xdr:colOff>
      <xdr:row>69</xdr:row>
      <xdr:rowOff>206198</xdr:rowOff>
    </xdr:from>
    <xdr:to>
      <xdr:col>16</xdr:col>
      <xdr:colOff>748958</xdr:colOff>
      <xdr:row>138</xdr:row>
      <xdr:rowOff>236869</xdr:rowOff>
    </xdr:to>
    <xdr:graphicFrame>
      <xdr:nvGraphicFramePr>
        <xdr:cNvPr id="375" name="2D Line Chart"/>
        <xdr:cNvGraphicFramePr/>
      </xdr:nvGraphicFramePr>
      <xdr:xfrm>
        <a:off x="9396070" y="17861738"/>
        <a:ext cx="3494089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405867</xdr:colOff>
      <xdr:row>54</xdr:row>
      <xdr:rowOff>172080</xdr:rowOff>
    </xdr:from>
    <xdr:to>
      <xdr:col>16</xdr:col>
      <xdr:colOff>631864</xdr:colOff>
      <xdr:row>68</xdr:row>
      <xdr:rowOff>198941</xdr:rowOff>
    </xdr:to>
    <xdr:graphicFrame>
      <xdr:nvGraphicFramePr>
        <xdr:cNvPr id="376" name="2D Line Chart"/>
        <xdr:cNvGraphicFramePr/>
      </xdr:nvGraphicFramePr>
      <xdr:xfrm>
        <a:off x="9346667" y="14262730"/>
        <a:ext cx="3426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6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378" name="2 Axis Chart"/>
        <xdr:cNvGraphicFramePr/>
      </xdr:nvGraphicFramePr>
      <xdr:xfrm>
        <a:off x="16773363" y="12661178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82549</xdr:colOff>
      <xdr:row>65</xdr:row>
      <xdr:rowOff>202603</xdr:rowOff>
    </xdr:from>
    <xdr:to>
      <xdr:col>25</xdr:col>
      <xdr:colOff>181013</xdr:colOff>
      <xdr:row>66</xdr:row>
      <xdr:rowOff>241118</xdr:rowOff>
    </xdr:to>
    <xdr:grpSp>
      <xdr:nvGrpSpPr>
        <xdr:cNvPr id="383" name="Drawing"/>
        <xdr:cNvGrpSpPr/>
      </xdr:nvGrpSpPr>
      <xdr:grpSpPr>
        <a:xfrm>
          <a:off x="17824449" y="13945273"/>
          <a:ext cx="1698665" cy="293151"/>
          <a:chOff x="-19050" y="-19049"/>
          <a:chExt cx="1698664" cy="293150"/>
        </a:xfrm>
      </xdr:grpSpPr>
      <xdr:pic>
        <xdr:nvPicPr>
          <xdr:cNvPr id="379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88226"/>
            <a:ext cx="1464734" cy="185875"/>
          </a:xfrm>
          <a:prstGeom prst="rect">
            <a:avLst/>
          </a:prstGeom>
          <a:effectLst/>
        </xdr:spPr>
      </xdr:pic>
      <xdr:pic>
        <xdr:nvPicPr>
          <xdr:cNvPr id="381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339849" y="-19050"/>
            <a:ext cx="339766" cy="242743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6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198325</xdr:rowOff>
    </xdr:from>
    <xdr:to>
      <xdr:col>26</xdr:col>
      <xdr:colOff>233391</xdr:colOff>
      <xdr:row>74</xdr:row>
      <xdr:rowOff>144083</xdr:rowOff>
    </xdr:to>
    <xdr:graphicFrame>
      <xdr:nvGraphicFramePr>
        <xdr:cNvPr id="385" name="2 Axis Chart"/>
        <xdr:cNvGraphicFramePr/>
      </xdr:nvGraphicFramePr>
      <xdr:xfrm>
        <a:off x="16702751" y="12667820"/>
        <a:ext cx="367284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662400</xdr:colOff>
      <xdr:row>62</xdr:row>
      <xdr:rowOff>188268</xdr:rowOff>
    </xdr:from>
    <xdr:to>
      <xdr:col>26</xdr:col>
      <xdr:colOff>523968</xdr:colOff>
      <xdr:row>65</xdr:row>
      <xdr:rowOff>184360</xdr:rowOff>
    </xdr:to>
    <xdr:grpSp>
      <xdr:nvGrpSpPr>
        <xdr:cNvPr id="394" name="Drawing"/>
        <xdr:cNvGrpSpPr/>
      </xdr:nvGrpSpPr>
      <xdr:grpSpPr>
        <a:xfrm>
          <a:off x="17604200" y="13167033"/>
          <a:ext cx="3061968" cy="759998"/>
          <a:chOff x="-19050" y="-19050"/>
          <a:chExt cx="3061967" cy="759997"/>
        </a:xfrm>
      </xdr:grpSpPr>
      <xdr:pic>
        <xdr:nvPicPr>
          <xdr:cNvPr id="386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1808776" y="269560"/>
            <a:ext cx="495039" cy="71008"/>
          </a:xfrm>
          <a:prstGeom prst="rect">
            <a:avLst/>
          </a:prstGeom>
          <a:effectLst/>
        </xdr:spPr>
      </xdr:pic>
      <xdr:pic>
        <xdr:nvPicPr>
          <xdr:cNvPr id="388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2170780" y="-19051"/>
            <a:ext cx="872138" cy="662672"/>
          </a:xfrm>
          <a:prstGeom prst="rect">
            <a:avLst/>
          </a:prstGeom>
          <a:effectLst/>
        </xdr:spPr>
      </xdr:pic>
      <xdr:pic>
        <xdr:nvPicPr>
          <xdr:cNvPr id="390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-19050" y="374886"/>
            <a:ext cx="1647610" cy="366062"/>
          </a:xfrm>
          <a:prstGeom prst="rect">
            <a:avLst/>
          </a:prstGeom>
          <a:effectLst/>
        </xdr:spPr>
      </xdr:pic>
      <xdr:pic>
        <xdr:nvPicPr>
          <xdr:cNvPr id="392" name="Line Shape" descr="Line Shape"/>
          <xdr:cNvPicPr>
            <a:picLocks noChangeAspect="0"/>
          </xdr:cNvPicPr>
        </xdr:nvPicPr>
        <xdr:blipFill>
          <a:blip r:embed="rId5">
            <a:extLst/>
          </a:blip>
          <a:stretch>
            <a:fillRect/>
          </a:stretch>
        </xdr:blipFill>
        <xdr:spPr>
          <a:xfrm>
            <a:off x="1472776" y="343062"/>
            <a:ext cx="312677" cy="156169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6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690288</xdr:colOff>
      <xdr:row>34</xdr:row>
      <xdr:rowOff>28722</xdr:rowOff>
    </xdr:from>
    <xdr:to>
      <xdr:col>12</xdr:col>
      <xdr:colOff>172700</xdr:colOff>
      <xdr:row>47</xdr:row>
      <xdr:rowOff>55582</xdr:rowOff>
    </xdr:to>
    <xdr:graphicFrame>
      <xdr:nvGraphicFramePr>
        <xdr:cNvPr id="396" name="2D Line Chart"/>
        <xdr:cNvGraphicFramePr/>
      </xdr:nvGraphicFramePr>
      <xdr:xfrm>
        <a:off x="5630588" y="8933327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694193</xdr:colOff>
      <xdr:row>34</xdr:row>
      <xdr:rowOff>28722</xdr:rowOff>
    </xdr:from>
    <xdr:to>
      <xdr:col>17</xdr:col>
      <xdr:colOff>176478</xdr:colOff>
      <xdr:row>47</xdr:row>
      <xdr:rowOff>55582</xdr:rowOff>
    </xdr:to>
    <xdr:graphicFrame>
      <xdr:nvGraphicFramePr>
        <xdr:cNvPr id="397" name="2D Line Chart"/>
        <xdr:cNvGraphicFramePr/>
      </xdr:nvGraphicFramePr>
      <xdr:xfrm>
        <a:off x="9634993" y="8933327"/>
        <a:ext cx="348278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640885</xdr:colOff>
      <xdr:row>47</xdr:row>
      <xdr:rowOff>241405</xdr:rowOff>
    </xdr:from>
    <xdr:to>
      <xdr:col>12</xdr:col>
      <xdr:colOff>172700</xdr:colOff>
      <xdr:row>61</xdr:row>
      <xdr:rowOff>13631</xdr:rowOff>
    </xdr:to>
    <xdr:graphicFrame>
      <xdr:nvGraphicFramePr>
        <xdr:cNvPr id="398" name="2D Line Chart"/>
        <xdr:cNvGraphicFramePr/>
      </xdr:nvGraphicFramePr>
      <xdr:xfrm>
        <a:off x="5581185" y="12456265"/>
        <a:ext cx="353231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690288</xdr:colOff>
      <xdr:row>62</xdr:row>
      <xdr:rowOff>96143</xdr:rowOff>
    </xdr:from>
    <xdr:to>
      <xdr:col>12</xdr:col>
      <xdr:colOff>172700</xdr:colOff>
      <xdr:row>130</xdr:row>
      <xdr:rowOff>128718</xdr:rowOff>
    </xdr:to>
    <xdr:graphicFrame>
      <xdr:nvGraphicFramePr>
        <xdr:cNvPr id="399" name="2D Line Chart"/>
        <xdr:cNvGraphicFramePr/>
      </xdr:nvGraphicFramePr>
      <xdr:xfrm>
        <a:off x="5630588" y="16130528"/>
        <a:ext cx="348291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623454</xdr:colOff>
      <xdr:row>62</xdr:row>
      <xdr:rowOff>96143</xdr:rowOff>
    </xdr:from>
    <xdr:to>
      <xdr:col>17</xdr:col>
      <xdr:colOff>293572</xdr:colOff>
      <xdr:row>130</xdr:row>
      <xdr:rowOff>128718</xdr:rowOff>
    </xdr:to>
    <xdr:graphicFrame>
      <xdr:nvGraphicFramePr>
        <xdr:cNvPr id="400" name="2D Line Chart"/>
        <xdr:cNvGraphicFramePr/>
      </xdr:nvGraphicFramePr>
      <xdr:xfrm>
        <a:off x="9564254" y="16130528"/>
        <a:ext cx="3670619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623454</xdr:colOff>
      <xdr:row>47</xdr:row>
      <xdr:rowOff>241405</xdr:rowOff>
    </xdr:from>
    <xdr:to>
      <xdr:col>17</xdr:col>
      <xdr:colOff>755153</xdr:colOff>
      <xdr:row>61</xdr:row>
      <xdr:rowOff>13631</xdr:rowOff>
    </xdr:to>
    <xdr:graphicFrame>
      <xdr:nvGraphicFramePr>
        <xdr:cNvPr id="401" name="2 Axis Chart"/>
        <xdr:cNvGraphicFramePr/>
      </xdr:nvGraphicFramePr>
      <xdr:xfrm>
        <a:off x="9564254" y="12456265"/>
        <a:ext cx="4132200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6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371347</xdr:colOff>
      <xdr:row>32</xdr:row>
      <xdr:rowOff>47260</xdr:rowOff>
    </xdr:from>
    <xdr:to>
      <xdr:col>11</xdr:col>
      <xdr:colOff>547941</xdr:colOff>
      <xdr:row>45</xdr:row>
      <xdr:rowOff>74120</xdr:rowOff>
    </xdr:to>
    <xdr:graphicFrame>
      <xdr:nvGraphicFramePr>
        <xdr:cNvPr id="403" name="2D Line Chart"/>
        <xdr:cNvGraphicFramePr/>
      </xdr:nvGraphicFramePr>
      <xdr:xfrm>
        <a:off x="5311647" y="8442595"/>
        <a:ext cx="337699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12</xdr:col>
      <xdr:colOff>269335</xdr:colOff>
      <xdr:row>32</xdr:row>
      <xdr:rowOff>47260</xdr:rowOff>
    </xdr:from>
    <xdr:to>
      <xdr:col>16</xdr:col>
      <xdr:colOff>551719</xdr:colOff>
      <xdr:row>45</xdr:row>
      <xdr:rowOff>74120</xdr:rowOff>
    </xdr:to>
    <xdr:graphicFrame>
      <xdr:nvGraphicFramePr>
        <xdr:cNvPr id="404" name="2D Line Chart"/>
        <xdr:cNvGraphicFramePr/>
      </xdr:nvGraphicFramePr>
      <xdr:xfrm>
        <a:off x="9210135" y="8442595"/>
        <a:ext cx="3482785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7</xdr:col>
      <xdr:colOff>392556</xdr:colOff>
      <xdr:row>46</xdr:row>
      <xdr:rowOff>80562</xdr:rowOff>
    </xdr:from>
    <xdr:to>
      <xdr:col>11</xdr:col>
      <xdr:colOff>547941</xdr:colOff>
      <xdr:row>59</xdr:row>
      <xdr:rowOff>107422</xdr:rowOff>
    </xdr:to>
    <xdr:graphicFrame>
      <xdr:nvGraphicFramePr>
        <xdr:cNvPr id="405" name="2D Line Chart"/>
        <xdr:cNvGraphicFramePr/>
      </xdr:nvGraphicFramePr>
      <xdr:xfrm>
        <a:off x="5332856" y="12040787"/>
        <a:ext cx="335578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7</xdr:col>
      <xdr:colOff>371347</xdr:colOff>
      <xdr:row>61</xdr:row>
      <xdr:rowOff>114678</xdr:rowOff>
    </xdr:from>
    <xdr:to>
      <xdr:col>11</xdr:col>
      <xdr:colOff>547941</xdr:colOff>
      <xdr:row>130</xdr:row>
      <xdr:rowOff>143444</xdr:rowOff>
    </xdr:to>
    <xdr:graphicFrame>
      <xdr:nvGraphicFramePr>
        <xdr:cNvPr id="406" name="2D Line Chart"/>
        <xdr:cNvGraphicFramePr/>
      </xdr:nvGraphicFramePr>
      <xdr:xfrm>
        <a:off x="5311647" y="15639793"/>
        <a:ext cx="3376995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12</xdr:col>
      <xdr:colOff>269208</xdr:colOff>
      <xdr:row>61</xdr:row>
      <xdr:rowOff>114678</xdr:rowOff>
    </xdr:from>
    <xdr:to>
      <xdr:col>16</xdr:col>
      <xdr:colOff>668813</xdr:colOff>
      <xdr:row>130</xdr:row>
      <xdr:rowOff>143444</xdr:rowOff>
    </xdr:to>
    <xdr:graphicFrame>
      <xdr:nvGraphicFramePr>
        <xdr:cNvPr id="407" name="2D Line Chart"/>
        <xdr:cNvGraphicFramePr/>
      </xdr:nvGraphicFramePr>
      <xdr:xfrm>
        <a:off x="9210008" y="15639793"/>
        <a:ext cx="3600006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12</xdr:col>
      <xdr:colOff>325723</xdr:colOff>
      <xdr:row>46</xdr:row>
      <xdr:rowOff>80562</xdr:rowOff>
    </xdr:from>
    <xdr:to>
      <xdr:col>16</xdr:col>
      <xdr:colOff>563715</xdr:colOff>
      <xdr:row>59</xdr:row>
      <xdr:rowOff>107422</xdr:rowOff>
    </xdr:to>
    <xdr:graphicFrame>
      <xdr:nvGraphicFramePr>
        <xdr:cNvPr id="408" name="2D Line Chart"/>
        <xdr:cNvGraphicFramePr/>
      </xdr:nvGraphicFramePr>
      <xdr:xfrm>
        <a:off x="9266523" y="12040787"/>
        <a:ext cx="3438393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6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410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17</xdr:col>
      <xdr:colOff>722328</xdr:colOff>
      <xdr:row>23</xdr:row>
      <xdr:rowOff>186376</xdr:rowOff>
    </xdr:from>
    <xdr:to>
      <xdr:col>22</xdr:col>
      <xdr:colOff>287560</xdr:colOff>
      <xdr:row>38</xdr:row>
      <xdr:rowOff>75250</xdr:rowOff>
    </xdr:to>
    <xdr:graphicFrame>
      <xdr:nvGraphicFramePr>
        <xdr:cNvPr id="30" name="2D Column Chart"/>
        <xdr:cNvGraphicFramePr/>
      </xdr:nvGraphicFramePr>
      <xdr:xfrm>
        <a:off x="13663628" y="6188396"/>
        <a:ext cx="3565733" cy="381000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7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61</xdr:row>
      <xdr:rowOff>191937</xdr:rowOff>
    </xdr:from>
    <xdr:to>
      <xdr:col>26</xdr:col>
      <xdr:colOff>56861</xdr:colOff>
      <xdr:row>75</xdr:row>
      <xdr:rowOff>137696</xdr:rowOff>
    </xdr:to>
    <xdr:graphicFrame>
      <xdr:nvGraphicFramePr>
        <xdr:cNvPr id="412" name="2 Axis Chart"/>
        <xdr:cNvGraphicFramePr/>
      </xdr:nvGraphicFramePr>
      <xdr:xfrm>
        <a:off x="16773363" y="12916067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518583</xdr:colOff>
      <xdr:row>65</xdr:row>
      <xdr:rowOff>175498</xdr:rowOff>
    </xdr:from>
    <xdr:to>
      <xdr:col>24</xdr:col>
      <xdr:colOff>670587</xdr:colOff>
      <xdr:row>68</xdr:row>
      <xdr:rowOff>107608</xdr:rowOff>
    </xdr:to>
    <xdr:grpSp>
      <xdr:nvGrpSpPr>
        <xdr:cNvPr id="417" name="Drawing"/>
        <xdr:cNvGrpSpPr/>
      </xdr:nvGrpSpPr>
      <xdr:grpSpPr>
        <a:xfrm>
          <a:off x="17460383" y="13918168"/>
          <a:ext cx="1752205" cy="696016"/>
          <a:chOff x="-19050" y="-19050"/>
          <a:chExt cx="1752203" cy="696014"/>
        </a:xfrm>
      </xdr:grpSpPr>
      <xdr:pic>
        <xdr:nvPicPr>
          <xdr:cNvPr id="413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1"/>
            <a:ext cx="1651000" cy="595818"/>
          </a:xfrm>
          <a:prstGeom prst="rect">
            <a:avLst/>
          </a:prstGeom>
          <a:effectLst/>
        </xdr:spPr>
      </xdr:pic>
      <xdr:pic>
        <xdr:nvPicPr>
          <xdr:cNvPr id="415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444426" y="406289"/>
            <a:ext cx="288728" cy="270676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7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743891</xdr:colOff>
      <xdr:row>55</xdr:row>
      <xdr:rowOff>190596</xdr:rowOff>
    </xdr:from>
    <xdr:to>
      <xdr:col>27</xdr:col>
      <xdr:colOff>166309</xdr:colOff>
      <xdr:row>70</xdr:row>
      <xdr:rowOff>32227</xdr:rowOff>
    </xdr:to>
    <xdr:graphicFrame>
      <xdr:nvGraphicFramePr>
        <xdr:cNvPr id="419" name="2 Axis Chart"/>
        <xdr:cNvGraphicFramePr/>
      </xdr:nvGraphicFramePr>
      <xdr:xfrm>
        <a:off x="17685691" y="11386916"/>
        <a:ext cx="3422919" cy="366115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743858</xdr:colOff>
      <xdr:row>61</xdr:row>
      <xdr:rowOff>151301</xdr:rowOff>
    </xdr:from>
    <xdr:to>
      <xdr:col>26</xdr:col>
      <xdr:colOff>178166</xdr:colOff>
      <xdr:row>63</xdr:row>
      <xdr:rowOff>228599</xdr:rowOff>
    </xdr:to>
    <xdr:grpSp>
      <xdr:nvGrpSpPr>
        <xdr:cNvPr id="422" name="Drawing"/>
        <xdr:cNvGrpSpPr/>
      </xdr:nvGrpSpPr>
      <xdr:grpSpPr>
        <a:xfrm>
          <a:off x="18485758" y="12875431"/>
          <a:ext cx="1834609" cy="586569"/>
          <a:chOff x="0" y="0"/>
          <a:chExt cx="1834607" cy="586568"/>
        </a:xfrm>
      </xdr:grpSpPr>
      <xdr:sp>
        <xdr:nvSpPr>
          <xdr:cNvPr id="420" name="Line"/>
          <xdr:cNvSpPr/>
        </xdr:nvSpPr>
        <xdr:spPr>
          <a:xfrm>
            <a:off x="0" y="68800"/>
            <a:ext cx="1673051" cy="517769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90" h="21600" fill="norm" stroke="1" extrusionOk="0">
                <a:moveTo>
                  <a:pt x="158" y="21600"/>
                </a:moveTo>
                <a:cubicBezTo>
                  <a:pt x="74" y="21396"/>
                  <a:pt x="-10" y="21192"/>
                  <a:pt x="1" y="21057"/>
                </a:cubicBezTo>
                <a:cubicBezTo>
                  <a:pt x="11" y="20921"/>
                  <a:pt x="116" y="20853"/>
                  <a:pt x="484" y="20717"/>
                </a:cubicBezTo>
                <a:cubicBezTo>
                  <a:pt x="851" y="20581"/>
                  <a:pt x="1482" y="20377"/>
                  <a:pt x="2133" y="19936"/>
                </a:cubicBezTo>
                <a:cubicBezTo>
                  <a:pt x="2785" y="19494"/>
                  <a:pt x="3457" y="18815"/>
                  <a:pt x="4087" y="18102"/>
                </a:cubicBezTo>
                <a:cubicBezTo>
                  <a:pt x="4718" y="17389"/>
                  <a:pt x="5306" y="16642"/>
                  <a:pt x="5905" y="16030"/>
                </a:cubicBezTo>
                <a:cubicBezTo>
                  <a:pt x="6504" y="15419"/>
                  <a:pt x="7113" y="14943"/>
                  <a:pt x="7743" y="14332"/>
                </a:cubicBezTo>
                <a:cubicBezTo>
                  <a:pt x="8374" y="13721"/>
                  <a:pt x="9025" y="12974"/>
                  <a:pt x="9550" y="12498"/>
                </a:cubicBezTo>
                <a:cubicBezTo>
                  <a:pt x="10076" y="12023"/>
                  <a:pt x="10475" y="11819"/>
                  <a:pt x="10979" y="11547"/>
                </a:cubicBezTo>
                <a:cubicBezTo>
                  <a:pt x="11483" y="11275"/>
                  <a:pt x="12093" y="10936"/>
                  <a:pt x="12681" y="10426"/>
                </a:cubicBezTo>
                <a:cubicBezTo>
                  <a:pt x="13269" y="9917"/>
                  <a:pt x="13837" y="9238"/>
                  <a:pt x="14457" y="8491"/>
                </a:cubicBezTo>
                <a:cubicBezTo>
                  <a:pt x="15076" y="7743"/>
                  <a:pt x="15749" y="6928"/>
                  <a:pt x="16421" y="6147"/>
                </a:cubicBezTo>
                <a:cubicBezTo>
                  <a:pt x="17094" y="5366"/>
                  <a:pt x="17766" y="4619"/>
                  <a:pt x="18386" y="3974"/>
                </a:cubicBezTo>
                <a:cubicBezTo>
                  <a:pt x="19006" y="3328"/>
                  <a:pt x="19573" y="2785"/>
                  <a:pt x="20098" y="2140"/>
                </a:cubicBezTo>
                <a:cubicBezTo>
                  <a:pt x="20623" y="1494"/>
                  <a:pt x="21107" y="747"/>
                  <a:pt x="2159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21" name="Line"/>
          <xdr:cNvSpPr/>
        </xdr:nvSpPr>
        <xdr:spPr>
          <a:xfrm>
            <a:off x="1502088" y="0"/>
            <a:ext cx="332520" cy="19580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18" h="21467" fill="norm" stroke="1" extrusionOk="0">
                <a:moveTo>
                  <a:pt x="0" y="1652"/>
                </a:moveTo>
                <a:cubicBezTo>
                  <a:pt x="1159" y="938"/>
                  <a:pt x="2318" y="224"/>
                  <a:pt x="4320" y="46"/>
                </a:cubicBezTo>
                <a:cubicBezTo>
                  <a:pt x="6322" y="-133"/>
                  <a:pt x="9167" y="224"/>
                  <a:pt x="11748" y="938"/>
                </a:cubicBezTo>
                <a:cubicBezTo>
                  <a:pt x="14330" y="1652"/>
                  <a:pt x="16648" y="2723"/>
                  <a:pt x="18070" y="3437"/>
                </a:cubicBezTo>
                <a:cubicBezTo>
                  <a:pt x="19493" y="4151"/>
                  <a:pt x="20019" y="4508"/>
                  <a:pt x="20494" y="4955"/>
                </a:cubicBezTo>
                <a:cubicBezTo>
                  <a:pt x="20968" y="5401"/>
                  <a:pt x="21389" y="5936"/>
                  <a:pt x="21495" y="6650"/>
                </a:cubicBezTo>
                <a:cubicBezTo>
                  <a:pt x="21600" y="7364"/>
                  <a:pt x="21389" y="8257"/>
                  <a:pt x="20125" y="10488"/>
                </a:cubicBezTo>
                <a:cubicBezTo>
                  <a:pt x="18861" y="12720"/>
                  <a:pt x="16542" y="16290"/>
                  <a:pt x="15120" y="18343"/>
                </a:cubicBezTo>
                <a:cubicBezTo>
                  <a:pt x="13698" y="20396"/>
                  <a:pt x="13171" y="20931"/>
                  <a:pt x="12644" y="21467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7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424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635133</xdr:colOff>
      <xdr:row>64</xdr:row>
      <xdr:rowOff>240485</xdr:rowOff>
    </xdr:from>
    <xdr:to>
      <xdr:col>25</xdr:col>
      <xdr:colOff>139904</xdr:colOff>
      <xdr:row>67</xdr:row>
      <xdr:rowOff>157158</xdr:rowOff>
    </xdr:to>
    <xdr:grpSp>
      <xdr:nvGrpSpPr>
        <xdr:cNvPr id="429" name="Drawing"/>
        <xdr:cNvGrpSpPr/>
      </xdr:nvGrpSpPr>
      <xdr:grpSpPr>
        <a:xfrm>
          <a:off x="17576933" y="13728520"/>
          <a:ext cx="1905072" cy="680579"/>
          <a:chOff x="-31750" y="-31750"/>
          <a:chExt cx="1905070" cy="680577"/>
        </a:xfrm>
      </xdr:grpSpPr>
      <xdr:pic>
        <xdr:nvPicPr>
          <xdr:cNvPr id="42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128383"/>
            <a:ext cx="1721066" cy="520445"/>
          </a:xfrm>
          <a:prstGeom prst="rect">
            <a:avLst/>
          </a:prstGeom>
          <a:effectLst/>
        </xdr:spPr>
      </xdr:pic>
      <xdr:pic>
        <xdr:nvPicPr>
          <xdr:cNvPr id="42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27618" y="-31751"/>
            <a:ext cx="345703" cy="258987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27</xdr:col>
      <xdr:colOff>704731</xdr:colOff>
      <xdr:row>63</xdr:row>
      <xdr:rowOff>117960</xdr:rowOff>
    </xdr:from>
    <xdr:to>
      <xdr:col>30</xdr:col>
      <xdr:colOff>1215843</xdr:colOff>
      <xdr:row>77</xdr:row>
      <xdr:rowOff>63718</xdr:rowOff>
    </xdr:to>
    <xdr:graphicFrame>
      <xdr:nvGraphicFramePr>
        <xdr:cNvPr id="430" name="2D Line Chart"/>
        <xdr:cNvGraphicFramePr/>
      </xdr:nvGraphicFramePr>
      <xdr:xfrm>
        <a:off x="21647031" y="13351360"/>
        <a:ext cx="2911413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</xdr:wsDr>
</file>

<file path=xl/drawings/drawing7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432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541945</xdr:colOff>
      <xdr:row>65</xdr:row>
      <xdr:rowOff>179944</xdr:rowOff>
    </xdr:from>
    <xdr:to>
      <xdr:col>24</xdr:col>
      <xdr:colOff>717515</xdr:colOff>
      <xdr:row>67</xdr:row>
      <xdr:rowOff>155137</xdr:rowOff>
    </xdr:to>
    <xdr:grpSp>
      <xdr:nvGrpSpPr>
        <xdr:cNvPr id="435" name="Drawing"/>
        <xdr:cNvGrpSpPr/>
      </xdr:nvGrpSpPr>
      <xdr:grpSpPr>
        <a:xfrm>
          <a:off x="17483745" y="13922614"/>
          <a:ext cx="1775771" cy="484464"/>
          <a:chOff x="0" y="0"/>
          <a:chExt cx="1775769" cy="484463"/>
        </a:xfrm>
      </xdr:grpSpPr>
      <xdr:sp>
        <xdr:nvSpPr>
          <xdr:cNvPr id="433" name="Line"/>
          <xdr:cNvSpPr/>
        </xdr:nvSpPr>
        <xdr:spPr>
          <a:xfrm>
            <a:off x="0" y="120300"/>
            <a:ext cx="1558253" cy="364164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458" fill="norm" stroke="1" extrusionOk="0">
                <a:moveTo>
                  <a:pt x="0" y="2197"/>
                </a:moveTo>
                <a:cubicBezTo>
                  <a:pt x="465" y="4247"/>
                  <a:pt x="930" y="6297"/>
                  <a:pt x="1481" y="8054"/>
                </a:cubicBezTo>
                <a:cubicBezTo>
                  <a:pt x="2033" y="9812"/>
                  <a:pt x="2670" y="11276"/>
                  <a:pt x="3367" y="13033"/>
                </a:cubicBezTo>
                <a:cubicBezTo>
                  <a:pt x="4065" y="14790"/>
                  <a:pt x="4823" y="16841"/>
                  <a:pt x="5607" y="18268"/>
                </a:cubicBezTo>
                <a:cubicBezTo>
                  <a:pt x="6390" y="19696"/>
                  <a:pt x="7200" y="20502"/>
                  <a:pt x="8251" y="20978"/>
                </a:cubicBezTo>
                <a:cubicBezTo>
                  <a:pt x="9301" y="21454"/>
                  <a:pt x="10593" y="21600"/>
                  <a:pt x="11756" y="21307"/>
                </a:cubicBezTo>
                <a:cubicBezTo>
                  <a:pt x="12919" y="21014"/>
                  <a:pt x="13952" y="20282"/>
                  <a:pt x="14968" y="18598"/>
                </a:cubicBezTo>
                <a:cubicBezTo>
                  <a:pt x="15985" y="16914"/>
                  <a:pt x="16984" y="14278"/>
                  <a:pt x="17776" y="12081"/>
                </a:cubicBezTo>
                <a:cubicBezTo>
                  <a:pt x="18568" y="9885"/>
                  <a:pt x="19154" y="8127"/>
                  <a:pt x="19757" y="6187"/>
                </a:cubicBezTo>
                <a:cubicBezTo>
                  <a:pt x="20360" y="4247"/>
                  <a:pt x="20980" y="2123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34" name="Line"/>
          <xdr:cNvSpPr/>
        </xdr:nvSpPr>
        <xdr:spPr>
          <a:xfrm>
            <a:off x="1424469" y="0"/>
            <a:ext cx="351301" cy="26447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25" h="21510" fill="norm" stroke="1" extrusionOk="0">
                <a:moveTo>
                  <a:pt x="0" y="8396"/>
                </a:moveTo>
                <a:cubicBezTo>
                  <a:pt x="2615" y="7496"/>
                  <a:pt x="5230" y="6596"/>
                  <a:pt x="8136" y="5631"/>
                </a:cubicBezTo>
                <a:cubicBezTo>
                  <a:pt x="11042" y="4667"/>
                  <a:pt x="14239" y="3639"/>
                  <a:pt x="16370" y="2739"/>
                </a:cubicBezTo>
                <a:cubicBezTo>
                  <a:pt x="18500" y="1839"/>
                  <a:pt x="19566" y="1067"/>
                  <a:pt x="20292" y="585"/>
                </a:cubicBezTo>
                <a:cubicBezTo>
                  <a:pt x="21019" y="103"/>
                  <a:pt x="21406" y="-90"/>
                  <a:pt x="21503" y="39"/>
                </a:cubicBezTo>
                <a:cubicBezTo>
                  <a:pt x="21600" y="167"/>
                  <a:pt x="21406" y="617"/>
                  <a:pt x="20292" y="2642"/>
                </a:cubicBezTo>
                <a:cubicBezTo>
                  <a:pt x="19178" y="4667"/>
                  <a:pt x="17144" y="8267"/>
                  <a:pt x="15159" y="11674"/>
                </a:cubicBezTo>
                <a:cubicBezTo>
                  <a:pt x="13173" y="15081"/>
                  <a:pt x="11236" y="18296"/>
                  <a:pt x="9299" y="2151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7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25</xdr:col>
      <xdr:colOff>786349</xdr:colOff>
      <xdr:row>74</xdr:row>
      <xdr:rowOff>144083</xdr:rowOff>
    </xdr:to>
    <xdr:graphicFrame>
      <xdr:nvGraphicFramePr>
        <xdr:cNvPr id="437" name="2 Axis Chart"/>
        <xdr:cNvGraphicFramePr/>
      </xdr:nvGraphicFramePr>
      <xdr:xfrm>
        <a:off x="16879281" y="12667820"/>
        <a:ext cx="324916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748627</xdr:colOff>
      <xdr:row>67</xdr:row>
      <xdr:rowOff>51501</xdr:rowOff>
    </xdr:from>
    <xdr:to>
      <xdr:col>25</xdr:col>
      <xdr:colOff>173341</xdr:colOff>
      <xdr:row>71</xdr:row>
      <xdr:rowOff>8060</xdr:rowOff>
    </xdr:to>
    <xdr:grpSp>
      <xdr:nvGrpSpPr>
        <xdr:cNvPr id="442" name="Drawing"/>
        <xdr:cNvGrpSpPr/>
      </xdr:nvGrpSpPr>
      <xdr:grpSpPr>
        <a:xfrm>
          <a:off x="17690427" y="14303441"/>
          <a:ext cx="1825015" cy="975100"/>
          <a:chOff x="-19050" y="-19050"/>
          <a:chExt cx="1825014" cy="975099"/>
        </a:xfrm>
      </xdr:grpSpPr>
      <xdr:pic>
        <xdr:nvPicPr>
          <xdr:cNvPr id="438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757070" cy="975100"/>
          </a:xfrm>
          <a:prstGeom prst="rect">
            <a:avLst/>
          </a:prstGeom>
          <a:effectLst/>
        </xdr:spPr>
      </xdr:pic>
      <xdr:pic>
        <xdr:nvPicPr>
          <xdr:cNvPr id="440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438336" y="9470"/>
            <a:ext cx="367629" cy="325518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7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233391</xdr:colOff>
      <xdr:row>74</xdr:row>
      <xdr:rowOff>137442</xdr:rowOff>
    </xdr:to>
    <xdr:graphicFrame>
      <xdr:nvGraphicFramePr>
        <xdr:cNvPr id="444" name="2 Axis Chart"/>
        <xdr:cNvGraphicFramePr/>
      </xdr:nvGraphicFramePr>
      <xdr:xfrm>
        <a:off x="16773363" y="12661178"/>
        <a:ext cx="360222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410035</xdr:colOff>
      <xdr:row>64</xdr:row>
      <xdr:rowOff>72438</xdr:rowOff>
    </xdr:from>
    <xdr:to>
      <xdr:col>25</xdr:col>
      <xdr:colOff>159402</xdr:colOff>
      <xdr:row>68</xdr:row>
      <xdr:rowOff>249592</xdr:rowOff>
    </xdr:to>
    <xdr:grpSp>
      <xdr:nvGrpSpPr>
        <xdr:cNvPr id="449" name="Drawing"/>
        <xdr:cNvGrpSpPr/>
      </xdr:nvGrpSpPr>
      <xdr:grpSpPr>
        <a:xfrm>
          <a:off x="17351835" y="13560473"/>
          <a:ext cx="2149668" cy="1195695"/>
          <a:chOff x="-31750" y="-31749"/>
          <a:chExt cx="2149667" cy="1195693"/>
        </a:xfrm>
      </xdr:grpSpPr>
      <xdr:pic>
        <xdr:nvPicPr>
          <xdr:cNvPr id="445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0"/>
            <a:ext cx="2040764" cy="1033603"/>
          </a:xfrm>
          <a:prstGeom prst="rect">
            <a:avLst/>
          </a:prstGeom>
          <a:effectLst/>
        </xdr:spPr>
      </xdr:pic>
      <xdr:pic>
        <xdr:nvPicPr>
          <xdr:cNvPr id="44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805982" y="666096"/>
            <a:ext cx="311936" cy="497848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7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451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598733</xdr:colOff>
      <xdr:row>65</xdr:row>
      <xdr:rowOff>98033</xdr:rowOff>
    </xdr:from>
    <xdr:to>
      <xdr:col>24</xdr:col>
      <xdr:colOff>754346</xdr:colOff>
      <xdr:row>66</xdr:row>
      <xdr:rowOff>169235</xdr:rowOff>
    </xdr:to>
    <xdr:grpSp>
      <xdr:nvGrpSpPr>
        <xdr:cNvPr id="456" name="Drawing"/>
        <xdr:cNvGrpSpPr/>
      </xdr:nvGrpSpPr>
      <xdr:grpSpPr>
        <a:xfrm>
          <a:off x="17540533" y="13840703"/>
          <a:ext cx="1755814" cy="325838"/>
          <a:chOff x="-31750" y="-31749"/>
          <a:chExt cx="1755813" cy="325836"/>
        </a:xfrm>
      </xdr:grpSpPr>
      <xdr:pic>
        <xdr:nvPicPr>
          <xdr:cNvPr id="452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0"/>
            <a:ext cx="1610187" cy="203731"/>
          </a:xfrm>
          <a:prstGeom prst="rect">
            <a:avLst/>
          </a:prstGeom>
          <a:effectLst/>
        </xdr:spPr>
      </xdr:pic>
      <xdr:pic>
        <xdr:nvPicPr>
          <xdr:cNvPr id="454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292924" y="-28428"/>
            <a:ext cx="431140" cy="322515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7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458" name="2 Axis Chart"/>
        <xdr:cNvGraphicFramePr/>
      </xdr:nvGraphicFramePr>
      <xdr:xfrm>
        <a:off x="16879281" y="12661178"/>
        <a:ext cx="3319781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1339416</xdr:colOff>
      <xdr:row>60</xdr:row>
      <xdr:rowOff>191683</xdr:rowOff>
    </xdr:from>
    <xdr:to>
      <xdr:col>30</xdr:col>
      <xdr:colOff>639709</xdr:colOff>
      <xdr:row>74</xdr:row>
      <xdr:rowOff>137442</xdr:rowOff>
    </xdr:to>
    <xdr:graphicFrame>
      <xdr:nvGraphicFramePr>
        <xdr:cNvPr id="459" name="2D Line Chart"/>
        <xdr:cNvGraphicFramePr/>
      </xdr:nvGraphicFramePr>
      <xdr:xfrm>
        <a:off x="21481615" y="12661178"/>
        <a:ext cx="280549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39214</xdr:colOff>
      <xdr:row>67</xdr:row>
      <xdr:rowOff>242428</xdr:rowOff>
    </xdr:from>
    <xdr:to>
      <xdr:col>25</xdr:col>
      <xdr:colOff>84489</xdr:colOff>
      <xdr:row>70</xdr:row>
      <xdr:rowOff>144306</xdr:rowOff>
    </xdr:to>
    <xdr:grpSp>
      <xdr:nvGrpSpPr>
        <xdr:cNvPr id="464" name="Drawing"/>
        <xdr:cNvGrpSpPr/>
      </xdr:nvGrpSpPr>
      <xdr:grpSpPr>
        <a:xfrm>
          <a:off x="17781114" y="14494368"/>
          <a:ext cx="1645476" cy="665784"/>
          <a:chOff x="-31750" y="-31750"/>
          <a:chExt cx="1645475" cy="665783"/>
        </a:xfrm>
      </xdr:grpSpPr>
      <xdr:pic>
        <xdr:nvPicPr>
          <xdr:cNvPr id="460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78735"/>
            <a:ext cx="1532093" cy="555299"/>
          </a:xfrm>
          <a:prstGeom prst="rect">
            <a:avLst/>
          </a:prstGeom>
          <a:effectLst/>
        </xdr:spPr>
      </xdr:pic>
      <xdr:pic>
        <xdr:nvPicPr>
          <xdr:cNvPr id="462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343817" y="-31751"/>
            <a:ext cx="269909" cy="313104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7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570915</xdr:colOff>
      <xdr:row>73</xdr:row>
      <xdr:rowOff>138731</xdr:rowOff>
    </xdr:from>
    <xdr:to>
      <xdr:col>26</xdr:col>
      <xdr:colOff>640892</xdr:colOff>
      <xdr:row>87</xdr:row>
      <xdr:rowOff>84489</xdr:rowOff>
    </xdr:to>
    <xdr:graphicFrame>
      <xdr:nvGraphicFramePr>
        <xdr:cNvPr id="466" name="2 Axis Chart"/>
        <xdr:cNvGraphicFramePr/>
      </xdr:nvGraphicFramePr>
      <xdr:xfrm>
        <a:off x="17512715" y="18974101"/>
        <a:ext cx="3270378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775481</xdr:colOff>
      <xdr:row>88</xdr:row>
      <xdr:rowOff>124778</xdr:rowOff>
    </xdr:from>
    <xdr:to>
      <xdr:col>26</xdr:col>
      <xdr:colOff>429978</xdr:colOff>
      <xdr:row>102</xdr:row>
      <xdr:rowOff>70536</xdr:rowOff>
    </xdr:to>
    <xdr:graphicFrame>
      <xdr:nvGraphicFramePr>
        <xdr:cNvPr id="467" name="2D Line Chart"/>
        <xdr:cNvGraphicFramePr/>
      </xdr:nvGraphicFramePr>
      <xdr:xfrm>
        <a:off x="17717281" y="22779673"/>
        <a:ext cx="2854898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409106</xdr:colOff>
      <xdr:row>78</xdr:row>
      <xdr:rowOff>169667</xdr:rowOff>
    </xdr:from>
    <xdr:to>
      <xdr:col>25</xdr:col>
      <xdr:colOff>528999</xdr:colOff>
      <xdr:row>84</xdr:row>
      <xdr:rowOff>35403</xdr:rowOff>
    </xdr:to>
    <xdr:grpSp>
      <xdr:nvGrpSpPr>
        <xdr:cNvPr id="470" name="Drawing"/>
        <xdr:cNvGrpSpPr/>
      </xdr:nvGrpSpPr>
      <xdr:grpSpPr>
        <a:xfrm>
          <a:off x="18151006" y="20278212"/>
          <a:ext cx="1720094" cy="1393547"/>
          <a:chOff x="0" y="0"/>
          <a:chExt cx="1720093" cy="1393546"/>
        </a:xfrm>
      </xdr:grpSpPr>
      <xdr:sp>
        <xdr:nvSpPr>
          <xdr:cNvPr id="468" name="Line"/>
          <xdr:cNvSpPr/>
        </xdr:nvSpPr>
        <xdr:spPr>
          <a:xfrm>
            <a:off x="0" y="226445"/>
            <a:ext cx="1582806" cy="116710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92" h="21575" fill="norm" stroke="1" extrusionOk="0">
                <a:moveTo>
                  <a:pt x="183" y="21247"/>
                </a:moveTo>
                <a:cubicBezTo>
                  <a:pt x="96" y="21224"/>
                  <a:pt x="9" y="21200"/>
                  <a:pt x="1" y="21153"/>
                </a:cubicBezTo>
                <a:cubicBezTo>
                  <a:pt x="-8" y="21106"/>
                  <a:pt x="61" y="21035"/>
                  <a:pt x="183" y="21000"/>
                </a:cubicBezTo>
                <a:cubicBezTo>
                  <a:pt x="305" y="20965"/>
                  <a:pt x="478" y="20965"/>
                  <a:pt x="687" y="21071"/>
                </a:cubicBezTo>
                <a:cubicBezTo>
                  <a:pt x="895" y="21176"/>
                  <a:pt x="1138" y="21388"/>
                  <a:pt x="1346" y="21494"/>
                </a:cubicBezTo>
                <a:cubicBezTo>
                  <a:pt x="1555" y="21600"/>
                  <a:pt x="1728" y="21600"/>
                  <a:pt x="2067" y="21506"/>
                </a:cubicBezTo>
                <a:cubicBezTo>
                  <a:pt x="2405" y="21412"/>
                  <a:pt x="2909" y="21224"/>
                  <a:pt x="3387" y="21118"/>
                </a:cubicBezTo>
                <a:cubicBezTo>
                  <a:pt x="3864" y="21012"/>
                  <a:pt x="4315" y="20988"/>
                  <a:pt x="4671" y="20965"/>
                </a:cubicBezTo>
                <a:cubicBezTo>
                  <a:pt x="5027" y="20941"/>
                  <a:pt x="5288" y="20918"/>
                  <a:pt x="5687" y="20812"/>
                </a:cubicBezTo>
                <a:cubicBezTo>
                  <a:pt x="6087" y="20706"/>
                  <a:pt x="6625" y="20518"/>
                  <a:pt x="7146" y="20224"/>
                </a:cubicBezTo>
                <a:cubicBezTo>
                  <a:pt x="7667" y="19929"/>
                  <a:pt x="8170" y="19529"/>
                  <a:pt x="8596" y="19212"/>
                </a:cubicBezTo>
                <a:cubicBezTo>
                  <a:pt x="9021" y="18894"/>
                  <a:pt x="9368" y="18659"/>
                  <a:pt x="9785" y="18306"/>
                </a:cubicBezTo>
                <a:cubicBezTo>
                  <a:pt x="10202" y="17953"/>
                  <a:pt x="10688" y="17482"/>
                  <a:pt x="11105" y="17071"/>
                </a:cubicBezTo>
                <a:cubicBezTo>
                  <a:pt x="11521" y="16659"/>
                  <a:pt x="11869" y="16306"/>
                  <a:pt x="12224" y="15882"/>
                </a:cubicBezTo>
                <a:cubicBezTo>
                  <a:pt x="12580" y="15459"/>
                  <a:pt x="12945" y="14965"/>
                  <a:pt x="13301" y="14482"/>
                </a:cubicBezTo>
                <a:cubicBezTo>
                  <a:pt x="13657" y="14000"/>
                  <a:pt x="14004" y="13529"/>
                  <a:pt x="14412" y="12965"/>
                </a:cubicBezTo>
                <a:cubicBezTo>
                  <a:pt x="14820" y="12400"/>
                  <a:pt x="15289" y="11741"/>
                  <a:pt x="15706" y="11176"/>
                </a:cubicBezTo>
                <a:cubicBezTo>
                  <a:pt x="16123" y="10612"/>
                  <a:pt x="16487" y="10141"/>
                  <a:pt x="16860" y="9647"/>
                </a:cubicBezTo>
                <a:cubicBezTo>
                  <a:pt x="17234" y="9153"/>
                  <a:pt x="17616" y="8635"/>
                  <a:pt x="18024" y="8024"/>
                </a:cubicBezTo>
                <a:cubicBezTo>
                  <a:pt x="18432" y="7412"/>
                  <a:pt x="18866" y="6706"/>
                  <a:pt x="19248" y="6000"/>
                </a:cubicBezTo>
                <a:cubicBezTo>
                  <a:pt x="19630" y="5294"/>
                  <a:pt x="19960" y="4588"/>
                  <a:pt x="20255" y="3929"/>
                </a:cubicBezTo>
                <a:cubicBezTo>
                  <a:pt x="20550" y="3271"/>
                  <a:pt x="20811" y="2659"/>
                  <a:pt x="21028" y="2071"/>
                </a:cubicBezTo>
                <a:cubicBezTo>
                  <a:pt x="21245" y="1482"/>
                  <a:pt x="21418" y="918"/>
                  <a:pt x="21505" y="576"/>
                </a:cubicBezTo>
                <a:cubicBezTo>
                  <a:pt x="21592" y="235"/>
                  <a:pt x="21592" y="118"/>
                  <a:pt x="21592" y="0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69" name="Line"/>
          <xdr:cNvSpPr/>
        </xdr:nvSpPr>
        <xdr:spPr>
          <a:xfrm>
            <a:off x="1522588" y="0"/>
            <a:ext cx="197506" cy="216845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68" fill="norm" stroke="1" extrusionOk="0">
                <a:moveTo>
                  <a:pt x="3927" y="12894"/>
                </a:moveTo>
                <a:cubicBezTo>
                  <a:pt x="3647" y="13234"/>
                  <a:pt x="3366" y="13574"/>
                  <a:pt x="2899" y="13999"/>
                </a:cubicBezTo>
                <a:cubicBezTo>
                  <a:pt x="2431" y="14425"/>
                  <a:pt x="1777" y="14935"/>
                  <a:pt x="1169" y="15148"/>
                </a:cubicBezTo>
                <a:cubicBezTo>
                  <a:pt x="561" y="15360"/>
                  <a:pt x="0" y="15275"/>
                  <a:pt x="0" y="15063"/>
                </a:cubicBezTo>
                <a:cubicBezTo>
                  <a:pt x="0" y="14850"/>
                  <a:pt x="561" y="14510"/>
                  <a:pt x="2151" y="13489"/>
                </a:cubicBezTo>
                <a:cubicBezTo>
                  <a:pt x="3740" y="12469"/>
                  <a:pt x="6358" y="10768"/>
                  <a:pt x="8836" y="8727"/>
                </a:cubicBezTo>
                <a:cubicBezTo>
                  <a:pt x="11314" y="6686"/>
                  <a:pt x="13652" y="4305"/>
                  <a:pt x="15195" y="2817"/>
                </a:cubicBezTo>
                <a:cubicBezTo>
                  <a:pt x="16738" y="1329"/>
                  <a:pt x="17486" y="733"/>
                  <a:pt x="18094" y="393"/>
                </a:cubicBezTo>
                <a:cubicBezTo>
                  <a:pt x="18701" y="53"/>
                  <a:pt x="19169" y="-32"/>
                  <a:pt x="19636" y="11"/>
                </a:cubicBezTo>
                <a:cubicBezTo>
                  <a:pt x="20104" y="53"/>
                  <a:pt x="20571" y="223"/>
                  <a:pt x="20852" y="521"/>
                </a:cubicBezTo>
                <a:cubicBezTo>
                  <a:pt x="21133" y="818"/>
                  <a:pt x="21226" y="1244"/>
                  <a:pt x="21179" y="2647"/>
                </a:cubicBezTo>
                <a:cubicBezTo>
                  <a:pt x="21133" y="4050"/>
                  <a:pt x="20946" y="6431"/>
                  <a:pt x="20805" y="9280"/>
                </a:cubicBezTo>
                <a:cubicBezTo>
                  <a:pt x="20665" y="12129"/>
                  <a:pt x="20571" y="15445"/>
                  <a:pt x="20712" y="17571"/>
                </a:cubicBezTo>
                <a:cubicBezTo>
                  <a:pt x="20852" y="19697"/>
                  <a:pt x="21226" y="20633"/>
                  <a:pt x="21600" y="21568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7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472" name="2 Axis Chart"/>
        <xdr:cNvGraphicFramePr/>
      </xdr:nvGraphicFramePr>
      <xdr:xfrm>
        <a:off x="16702751" y="12661178"/>
        <a:ext cx="360222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1357836</xdr:colOff>
      <xdr:row>60</xdr:row>
      <xdr:rowOff>191683</xdr:rowOff>
    </xdr:from>
    <xdr:to>
      <xdr:col>31</xdr:col>
      <xdr:colOff>148860</xdr:colOff>
      <xdr:row>74</xdr:row>
      <xdr:rowOff>137442</xdr:rowOff>
    </xdr:to>
    <xdr:graphicFrame>
      <xdr:nvGraphicFramePr>
        <xdr:cNvPr id="473" name="2D Line Chart"/>
        <xdr:cNvGraphicFramePr/>
      </xdr:nvGraphicFramePr>
      <xdr:xfrm>
        <a:off x="21500036" y="12661178"/>
        <a:ext cx="298202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32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335860</xdr:colOff>
      <xdr:row>65</xdr:row>
      <xdr:rowOff>159698</xdr:rowOff>
    </xdr:from>
    <xdr:to>
      <xdr:col>25</xdr:col>
      <xdr:colOff>132211</xdr:colOff>
      <xdr:row>71</xdr:row>
      <xdr:rowOff>79695</xdr:rowOff>
    </xdr:to>
    <xdr:grpSp>
      <xdr:nvGrpSpPr>
        <xdr:cNvPr id="37" name="Drawing"/>
        <xdr:cNvGrpSpPr/>
      </xdr:nvGrpSpPr>
      <xdr:grpSpPr>
        <a:xfrm>
          <a:off x="17277660" y="13902368"/>
          <a:ext cx="2196652" cy="1447808"/>
          <a:chOff x="-31750" y="-31749"/>
          <a:chExt cx="2196651" cy="1447807"/>
        </a:xfrm>
      </xdr:grpSpPr>
      <xdr:pic>
        <xdr:nvPicPr>
          <xdr:cNvPr id="33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192047"/>
            <a:ext cx="2071885" cy="1224011"/>
          </a:xfrm>
          <a:prstGeom prst="rect">
            <a:avLst/>
          </a:prstGeom>
          <a:effectLst/>
        </xdr:spPr>
      </xdr:pic>
      <xdr:pic>
        <xdr:nvPicPr>
          <xdr:cNvPr id="35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857559" y="-31750"/>
            <a:ext cx="307343" cy="461940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8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475" name="2 Axis Chart"/>
        <xdr:cNvGraphicFramePr/>
      </xdr:nvGraphicFramePr>
      <xdr:xfrm>
        <a:off x="16773363" y="12667820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707811</xdr:colOff>
      <xdr:row>69</xdr:row>
      <xdr:rowOff>39099</xdr:rowOff>
    </xdr:from>
    <xdr:to>
      <xdr:col>25</xdr:col>
      <xdr:colOff>341378</xdr:colOff>
      <xdr:row>70</xdr:row>
      <xdr:rowOff>139207</xdr:rowOff>
    </xdr:to>
    <xdr:pic>
      <xdr:nvPicPr>
        <xdr:cNvPr id="476" name="Drawing" descr="Drawing"/>
        <xdr:cNvPicPr>
          <a:picLocks noChangeAspect="0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8449711" y="14800309"/>
          <a:ext cx="1233768" cy="354744"/>
        </a:xfrm>
        <a:prstGeom prst="rect">
          <a:avLst/>
        </a:prstGeom>
        <a:effectLst/>
      </xdr:spPr>
    </xdr:pic>
    <xdr:clientData/>
  </xdr:twoCellAnchor>
</xdr:wsDr>
</file>

<file path=xl/drawings/drawing8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479" name="2 Axis Chart"/>
        <xdr:cNvGraphicFramePr/>
      </xdr:nvGraphicFramePr>
      <xdr:xfrm>
        <a:off x="16879281" y="12661178"/>
        <a:ext cx="3376296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247890</xdr:colOff>
      <xdr:row>66</xdr:row>
      <xdr:rowOff>120569</xdr:rowOff>
    </xdr:from>
    <xdr:to>
      <xdr:col>24</xdr:col>
      <xdr:colOff>715166</xdr:colOff>
      <xdr:row>70</xdr:row>
      <xdr:rowOff>210001</xdr:rowOff>
    </xdr:to>
    <xdr:grpSp>
      <xdr:nvGrpSpPr>
        <xdr:cNvPr id="482" name="Drawing"/>
        <xdr:cNvGrpSpPr/>
      </xdr:nvGrpSpPr>
      <xdr:grpSpPr>
        <a:xfrm>
          <a:off x="17989790" y="14117874"/>
          <a:ext cx="1267377" cy="1107973"/>
          <a:chOff x="0" y="0"/>
          <a:chExt cx="1267376" cy="1107972"/>
        </a:xfrm>
      </xdr:grpSpPr>
      <xdr:sp>
        <xdr:nvSpPr>
          <xdr:cNvPr id="480" name="Line"/>
          <xdr:cNvSpPr/>
        </xdr:nvSpPr>
        <xdr:spPr>
          <a:xfrm>
            <a:off x="0" y="-1"/>
            <a:ext cx="1128622" cy="997714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82" fill="norm" stroke="1" extrusionOk="0">
                <a:moveTo>
                  <a:pt x="616" y="438"/>
                </a:moveTo>
                <a:cubicBezTo>
                  <a:pt x="522" y="357"/>
                  <a:pt x="427" y="277"/>
                  <a:pt x="296" y="196"/>
                </a:cubicBezTo>
                <a:cubicBezTo>
                  <a:pt x="166" y="116"/>
                  <a:pt x="0" y="36"/>
                  <a:pt x="0" y="9"/>
                </a:cubicBezTo>
                <a:cubicBezTo>
                  <a:pt x="0" y="-18"/>
                  <a:pt x="166" y="9"/>
                  <a:pt x="581" y="183"/>
                </a:cubicBezTo>
                <a:cubicBezTo>
                  <a:pt x="996" y="357"/>
                  <a:pt x="1660" y="679"/>
                  <a:pt x="2288" y="1041"/>
                </a:cubicBezTo>
                <a:cubicBezTo>
                  <a:pt x="2916" y="1402"/>
                  <a:pt x="3509" y="1804"/>
                  <a:pt x="4126" y="2247"/>
                </a:cubicBezTo>
                <a:cubicBezTo>
                  <a:pt x="4742" y="2689"/>
                  <a:pt x="5382" y="3171"/>
                  <a:pt x="6011" y="3694"/>
                </a:cubicBezTo>
                <a:cubicBezTo>
                  <a:pt x="6639" y="4216"/>
                  <a:pt x="7255" y="4779"/>
                  <a:pt x="7919" y="5369"/>
                </a:cubicBezTo>
                <a:cubicBezTo>
                  <a:pt x="8583" y="5958"/>
                  <a:pt x="9294" y="6575"/>
                  <a:pt x="9994" y="7231"/>
                </a:cubicBezTo>
                <a:cubicBezTo>
                  <a:pt x="10693" y="7888"/>
                  <a:pt x="11381" y="8584"/>
                  <a:pt x="11962" y="9241"/>
                </a:cubicBezTo>
                <a:cubicBezTo>
                  <a:pt x="12543" y="9898"/>
                  <a:pt x="13017" y="10514"/>
                  <a:pt x="13562" y="11184"/>
                </a:cubicBezTo>
                <a:cubicBezTo>
                  <a:pt x="14108" y="11854"/>
                  <a:pt x="14724" y="12578"/>
                  <a:pt x="15341" y="13261"/>
                </a:cubicBezTo>
                <a:cubicBezTo>
                  <a:pt x="15957" y="13944"/>
                  <a:pt x="16573" y="14587"/>
                  <a:pt x="17166" y="15271"/>
                </a:cubicBezTo>
                <a:cubicBezTo>
                  <a:pt x="17759" y="15954"/>
                  <a:pt x="18328" y="16678"/>
                  <a:pt x="18850" y="17348"/>
                </a:cubicBezTo>
                <a:cubicBezTo>
                  <a:pt x="19371" y="18018"/>
                  <a:pt x="19845" y="18634"/>
                  <a:pt x="20249" y="19237"/>
                </a:cubicBezTo>
                <a:cubicBezTo>
                  <a:pt x="20652" y="19840"/>
                  <a:pt x="20984" y="20430"/>
                  <a:pt x="21173" y="20805"/>
                </a:cubicBezTo>
                <a:cubicBezTo>
                  <a:pt x="21363" y="21180"/>
                  <a:pt x="21410" y="21341"/>
                  <a:pt x="21458" y="21435"/>
                </a:cubicBezTo>
                <a:cubicBezTo>
                  <a:pt x="21505" y="21528"/>
                  <a:pt x="21553" y="21555"/>
                  <a:pt x="21600" y="21582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81" name="Line"/>
          <xdr:cNvSpPr/>
        </xdr:nvSpPr>
        <xdr:spPr>
          <a:xfrm>
            <a:off x="1046855" y="831190"/>
            <a:ext cx="220522" cy="276783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79" h="21448" fill="norm" stroke="1" extrusionOk="0">
                <a:moveTo>
                  <a:pt x="10498" y="4840"/>
                </a:moveTo>
                <a:cubicBezTo>
                  <a:pt x="10378" y="3880"/>
                  <a:pt x="10257" y="2920"/>
                  <a:pt x="10197" y="2008"/>
                </a:cubicBezTo>
                <a:cubicBezTo>
                  <a:pt x="10136" y="1096"/>
                  <a:pt x="10136" y="232"/>
                  <a:pt x="10197" y="40"/>
                </a:cubicBezTo>
                <a:cubicBezTo>
                  <a:pt x="10257" y="-152"/>
                  <a:pt x="10378" y="328"/>
                  <a:pt x="11102" y="2056"/>
                </a:cubicBezTo>
                <a:cubicBezTo>
                  <a:pt x="11826" y="3784"/>
                  <a:pt x="13153" y="6760"/>
                  <a:pt x="14541" y="9544"/>
                </a:cubicBezTo>
                <a:cubicBezTo>
                  <a:pt x="15928" y="12328"/>
                  <a:pt x="17376" y="14920"/>
                  <a:pt x="18523" y="16600"/>
                </a:cubicBezTo>
                <a:cubicBezTo>
                  <a:pt x="19669" y="18280"/>
                  <a:pt x="20514" y="19048"/>
                  <a:pt x="20997" y="19672"/>
                </a:cubicBezTo>
                <a:cubicBezTo>
                  <a:pt x="21479" y="20296"/>
                  <a:pt x="21600" y="20776"/>
                  <a:pt x="21359" y="21064"/>
                </a:cubicBezTo>
                <a:cubicBezTo>
                  <a:pt x="21117" y="21352"/>
                  <a:pt x="20514" y="21448"/>
                  <a:pt x="19428" y="21448"/>
                </a:cubicBezTo>
                <a:cubicBezTo>
                  <a:pt x="18342" y="21448"/>
                  <a:pt x="16773" y="21352"/>
                  <a:pt x="15204" y="20920"/>
                </a:cubicBezTo>
                <a:cubicBezTo>
                  <a:pt x="13636" y="20488"/>
                  <a:pt x="12067" y="19720"/>
                  <a:pt x="9533" y="18472"/>
                </a:cubicBezTo>
                <a:cubicBezTo>
                  <a:pt x="6999" y="17224"/>
                  <a:pt x="3499" y="15496"/>
                  <a:pt x="0" y="13768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8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22</xdr:col>
      <xdr:colOff>8093</xdr:colOff>
      <xdr:row>60</xdr:row>
      <xdr:rowOff>191683</xdr:rowOff>
    </xdr:from>
    <xdr:to>
      <xdr:col>25</xdr:col>
      <xdr:colOff>715737</xdr:colOff>
      <xdr:row>74</xdr:row>
      <xdr:rowOff>137442</xdr:rowOff>
    </xdr:to>
    <xdr:graphicFrame>
      <xdr:nvGraphicFramePr>
        <xdr:cNvPr id="484" name="2 Axis Chart"/>
        <xdr:cNvGraphicFramePr/>
      </xdr:nvGraphicFramePr>
      <xdr:xfrm>
        <a:off x="16949893" y="12661178"/>
        <a:ext cx="3107945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772066</xdr:colOff>
      <xdr:row>68</xdr:row>
      <xdr:rowOff>17991</xdr:rowOff>
    </xdr:from>
    <xdr:to>
      <xdr:col>26</xdr:col>
      <xdr:colOff>27662</xdr:colOff>
      <xdr:row>73</xdr:row>
      <xdr:rowOff>41521</xdr:rowOff>
    </xdr:to>
    <xdr:sp>
      <xdr:nvSpPr>
        <xdr:cNvPr id="485" name="Drawing"/>
        <xdr:cNvSpPr/>
      </xdr:nvSpPr>
      <xdr:spPr>
        <a:xfrm>
          <a:off x="18513966" y="14524566"/>
          <a:ext cx="1655897" cy="1296706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390" h="21551" fill="norm" stroke="1" extrusionOk="0">
              <a:moveTo>
                <a:pt x="12557" y="2603"/>
              </a:moveTo>
              <a:cubicBezTo>
                <a:pt x="11281" y="2556"/>
                <a:pt x="10005" y="2509"/>
                <a:pt x="8893" y="2791"/>
              </a:cubicBezTo>
              <a:cubicBezTo>
                <a:pt x="7781" y="3072"/>
                <a:pt x="6833" y="3682"/>
                <a:pt x="5849" y="4585"/>
              </a:cubicBezTo>
              <a:cubicBezTo>
                <a:pt x="4865" y="5488"/>
                <a:pt x="3844" y="6684"/>
                <a:pt x="2987" y="7716"/>
              </a:cubicBezTo>
              <a:cubicBezTo>
                <a:pt x="2130" y="8748"/>
                <a:pt x="1438" y="9616"/>
                <a:pt x="891" y="10624"/>
              </a:cubicBezTo>
              <a:cubicBezTo>
                <a:pt x="344" y="11633"/>
                <a:pt x="-57" y="12782"/>
                <a:pt x="7" y="13966"/>
              </a:cubicBezTo>
              <a:cubicBezTo>
                <a:pt x="71" y="15150"/>
                <a:pt x="599" y="16370"/>
                <a:pt x="1292" y="17484"/>
              </a:cubicBezTo>
              <a:cubicBezTo>
                <a:pt x="1985" y="18598"/>
                <a:pt x="2841" y="19607"/>
                <a:pt x="3953" y="20275"/>
              </a:cubicBezTo>
              <a:cubicBezTo>
                <a:pt x="5065" y="20943"/>
                <a:pt x="6432" y="21272"/>
                <a:pt x="7845" y="21436"/>
              </a:cubicBezTo>
              <a:cubicBezTo>
                <a:pt x="9257" y="21600"/>
                <a:pt x="10716" y="21600"/>
                <a:pt x="12019" y="21365"/>
              </a:cubicBezTo>
              <a:cubicBezTo>
                <a:pt x="13322" y="21131"/>
                <a:pt x="14471" y="20662"/>
                <a:pt x="15582" y="19888"/>
              </a:cubicBezTo>
              <a:cubicBezTo>
                <a:pt x="16694" y="19114"/>
                <a:pt x="17770" y="18035"/>
                <a:pt x="18690" y="16863"/>
              </a:cubicBezTo>
              <a:cubicBezTo>
                <a:pt x="19611" y="15690"/>
                <a:pt x="20376" y="14423"/>
                <a:pt x="20859" y="13016"/>
              </a:cubicBezTo>
              <a:cubicBezTo>
                <a:pt x="21342" y="11609"/>
                <a:pt x="21543" y="10061"/>
                <a:pt x="21260" y="8713"/>
              </a:cubicBezTo>
              <a:cubicBezTo>
                <a:pt x="20978" y="7364"/>
                <a:pt x="20212" y="6215"/>
                <a:pt x="19228" y="5078"/>
              </a:cubicBezTo>
              <a:cubicBezTo>
                <a:pt x="18244" y="3940"/>
                <a:pt x="17041" y="2814"/>
                <a:pt x="15847" y="1970"/>
              </a:cubicBezTo>
              <a:cubicBezTo>
                <a:pt x="14653" y="1126"/>
                <a:pt x="13468" y="563"/>
                <a:pt x="12283" y="0"/>
              </a:cubicBezTo>
            </a:path>
          </a:pathLst>
        </a:custGeom>
        <a:noFill/>
        <a:ln w="38100" cap="rnd">
          <a:solidFill>
            <a:srgbClr val="FF3A3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8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487" name="2 Axis Chart"/>
        <xdr:cNvGraphicFramePr/>
      </xdr:nvGraphicFramePr>
      <xdr:xfrm>
        <a:off x="16773363" y="12667820"/>
        <a:ext cx="3425699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599016</xdr:colOff>
      <xdr:row>66</xdr:row>
      <xdr:rowOff>60261</xdr:rowOff>
    </xdr:from>
    <xdr:to>
      <xdr:col>25</xdr:col>
      <xdr:colOff>254975</xdr:colOff>
      <xdr:row>71</xdr:row>
      <xdr:rowOff>192673</xdr:rowOff>
    </xdr:to>
    <xdr:grpSp>
      <xdr:nvGrpSpPr>
        <xdr:cNvPr id="492" name="Drawing"/>
        <xdr:cNvGrpSpPr/>
      </xdr:nvGrpSpPr>
      <xdr:grpSpPr>
        <a:xfrm>
          <a:off x="17540816" y="14057566"/>
          <a:ext cx="2056260" cy="1405588"/>
          <a:chOff x="-19050" y="-19049"/>
          <a:chExt cx="2056258" cy="1405586"/>
        </a:xfrm>
      </xdr:grpSpPr>
      <xdr:pic>
        <xdr:nvPicPr>
          <xdr:cNvPr id="488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905000" cy="1277684"/>
          </a:xfrm>
          <a:prstGeom prst="rect">
            <a:avLst/>
          </a:prstGeom>
          <a:effectLst/>
        </xdr:spPr>
      </xdr:pic>
      <xdr:pic>
        <xdr:nvPicPr>
          <xdr:cNvPr id="490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636183" y="907267"/>
            <a:ext cx="401026" cy="479270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27</xdr:col>
      <xdr:colOff>668383</xdr:colOff>
      <xdr:row>47</xdr:row>
      <xdr:rowOff>187515</xdr:rowOff>
    </xdr:from>
    <xdr:to>
      <xdr:col>31</xdr:col>
      <xdr:colOff>44427</xdr:colOff>
      <xdr:row>62</xdr:row>
      <xdr:rowOff>175450</xdr:rowOff>
    </xdr:to>
    <xdr:graphicFrame>
      <xdr:nvGraphicFramePr>
        <xdr:cNvPr id="493" name="2D Line Chart"/>
        <xdr:cNvGraphicFramePr/>
      </xdr:nvGraphicFramePr>
      <xdr:xfrm>
        <a:off x="21610683" y="9344215"/>
        <a:ext cx="2995545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</xdr:wsDr>
</file>

<file path=xl/drawings/drawing8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198325</xdr:rowOff>
    </xdr:from>
    <xdr:to>
      <xdr:col>26</xdr:col>
      <xdr:colOff>56861</xdr:colOff>
      <xdr:row>74</xdr:row>
      <xdr:rowOff>144083</xdr:rowOff>
    </xdr:to>
    <xdr:graphicFrame>
      <xdr:nvGraphicFramePr>
        <xdr:cNvPr id="495" name="2 Axis Chart"/>
        <xdr:cNvGraphicFramePr/>
      </xdr:nvGraphicFramePr>
      <xdr:xfrm>
        <a:off x="16879281" y="12667820"/>
        <a:ext cx="3319781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368705</xdr:colOff>
      <xdr:row>63</xdr:row>
      <xdr:rowOff>216362</xdr:rowOff>
    </xdr:from>
    <xdr:to>
      <xdr:col>25</xdr:col>
      <xdr:colOff>176199</xdr:colOff>
      <xdr:row>68</xdr:row>
      <xdr:rowOff>159099</xdr:rowOff>
    </xdr:to>
    <xdr:grpSp>
      <xdr:nvGrpSpPr>
        <xdr:cNvPr id="500" name="Drawing"/>
        <xdr:cNvGrpSpPr/>
      </xdr:nvGrpSpPr>
      <xdr:grpSpPr>
        <a:xfrm>
          <a:off x="17310505" y="13449762"/>
          <a:ext cx="2207795" cy="1215913"/>
          <a:chOff x="-19050" y="-19049"/>
          <a:chExt cx="2207793" cy="1215912"/>
        </a:xfrm>
      </xdr:grpSpPr>
      <xdr:pic>
        <xdr:nvPicPr>
          <xdr:cNvPr id="496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45436"/>
            <a:ext cx="2086802" cy="1151427"/>
          </a:xfrm>
          <a:prstGeom prst="rect">
            <a:avLst/>
          </a:prstGeom>
          <a:effectLst/>
        </xdr:spPr>
      </xdr:pic>
      <xdr:pic>
        <xdr:nvPicPr>
          <xdr:cNvPr id="498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881632" y="-19050"/>
            <a:ext cx="307112" cy="206688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8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281137</xdr:colOff>
      <xdr:row>60</xdr:row>
      <xdr:rowOff>250986</xdr:rowOff>
    </xdr:from>
    <xdr:to>
      <xdr:col>25</xdr:col>
      <xdr:colOff>722861</xdr:colOff>
      <xdr:row>74</xdr:row>
      <xdr:rowOff>196744</xdr:rowOff>
    </xdr:to>
    <xdr:graphicFrame>
      <xdr:nvGraphicFramePr>
        <xdr:cNvPr id="502" name="2 Axis Chart"/>
        <xdr:cNvGraphicFramePr/>
      </xdr:nvGraphicFramePr>
      <xdr:xfrm>
        <a:off x="16422837" y="12720481"/>
        <a:ext cx="3642125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372936</xdr:colOff>
      <xdr:row>60</xdr:row>
      <xdr:rowOff>250986</xdr:rowOff>
    </xdr:from>
    <xdr:to>
      <xdr:col>29</xdr:col>
      <xdr:colOff>464948</xdr:colOff>
      <xdr:row>74</xdr:row>
      <xdr:rowOff>196744</xdr:rowOff>
    </xdr:to>
    <xdr:graphicFrame>
      <xdr:nvGraphicFramePr>
        <xdr:cNvPr id="503" name="2D Line Chart"/>
        <xdr:cNvGraphicFramePr/>
      </xdr:nvGraphicFramePr>
      <xdr:xfrm>
        <a:off x="20515136" y="12720481"/>
        <a:ext cx="2911413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</xdr:wsDr>
</file>

<file path=xl/drawings/drawing8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20</xdr:col>
      <xdr:colOff>703082</xdr:colOff>
      <xdr:row>46</xdr:row>
      <xdr:rowOff>48470</xdr:rowOff>
    </xdr:from>
    <xdr:to>
      <xdr:col>25</xdr:col>
      <xdr:colOff>272141</xdr:colOff>
      <xdr:row>54</xdr:row>
      <xdr:rowOff>192457</xdr:rowOff>
    </xdr:to>
    <xdr:graphicFrame>
      <xdr:nvGraphicFramePr>
        <xdr:cNvPr id="505" name="2D Line Chart"/>
        <xdr:cNvGraphicFramePr/>
      </xdr:nvGraphicFramePr>
      <xdr:xfrm>
        <a:off x="16044682" y="8947995"/>
        <a:ext cx="3569560" cy="2186148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8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25</xdr:col>
      <xdr:colOff>786349</xdr:colOff>
      <xdr:row>74</xdr:row>
      <xdr:rowOff>137442</xdr:rowOff>
    </xdr:to>
    <xdr:graphicFrame>
      <xdr:nvGraphicFramePr>
        <xdr:cNvPr id="507" name="2 Axis Chart"/>
        <xdr:cNvGraphicFramePr/>
      </xdr:nvGraphicFramePr>
      <xdr:xfrm>
        <a:off x="16879281" y="12661178"/>
        <a:ext cx="324916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508572</xdr:colOff>
      <xdr:row>65</xdr:row>
      <xdr:rowOff>182892</xdr:rowOff>
    </xdr:from>
    <xdr:to>
      <xdr:col>25</xdr:col>
      <xdr:colOff>96223</xdr:colOff>
      <xdr:row>69</xdr:row>
      <xdr:rowOff>104754</xdr:rowOff>
    </xdr:to>
    <xdr:grpSp>
      <xdr:nvGrpSpPr>
        <xdr:cNvPr id="510" name="Drawing"/>
        <xdr:cNvGrpSpPr/>
      </xdr:nvGrpSpPr>
      <xdr:grpSpPr>
        <a:xfrm>
          <a:off x="17450372" y="13925562"/>
          <a:ext cx="1987952" cy="940403"/>
          <a:chOff x="0" y="0"/>
          <a:chExt cx="1987951" cy="940402"/>
        </a:xfrm>
      </xdr:grpSpPr>
      <xdr:sp>
        <xdr:nvSpPr>
          <xdr:cNvPr id="508" name="Line"/>
          <xdr:cNvSpPr/>
        </xdr:nvSpPr>
        <xdr:spPr>
          <a:xfrm>
            <a:off x="0" y="0"/>
            <a:ext cx="1797872" cy="78397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67"/>
                </a:moveTo>
                <a:cubicBezTo>
                  <a:pt x="1058" y="34"/>
                  <a:pt x="2116" y="0"/>
                  <a:pt x="3144" y="0"/>
                </a:cubicBezTo>
                <a:cubicBezTo>
                  <a:pt x="4173" y="0"/>
                  <a:pt x="5172" y="34"/>
                  <a:pt x="6039" y="388"/>
                </a:cubicBezTo>
                <a:cubicBezTo>
                  <a:pt x="6906" y="741"/>
                  <a:pt x="7641" y="1415"/>
                  <a:pt x="8508" y="2190"/>
                </a:cubicBezTo>
                <a:cubicBezTo>
                  <a:pt x="9375" y="2965"/>
                  <a:pt x="10374" y="3842"/>
                  <a:pt x="11366" y="4802"/>
                </a:cubicBezTo>
                <a:cubicBezTo>
                  <a:pt x="12358" y="5762"/>
                  <a:pt x="13342" y="6807"/>
                  <a:pt x="14172" y="7767"/>
                </a:cubicBezTo>
                <a:cubicBezTo>
                  <a:pt x="15002" y="8728"/>
                  <a:pt x="15678" y="9604"/>
                  <a:pt x="16384" y="10615"/>
                </a:cubicBezTo>
                <a:cubicBezTo>
                  <a:pt x="17089" y="11626"/>
                  <a:pt x="17824" y="12771"/>
                  <a:pt x="18536" y="14069"/>
                </a:cubicBezTo>
                <a:cubicBezTo>
                  <a:pt x="19249" y="15366"/>
                  <a:pt x="19940" y="16815"/>
                  <a:pt x="20336" y="17860"/>
                </a:cubicBezTo>
                <a:cubicBezTo>
                  <a:pt x="20733" y="18904"/>
                  <a:pt x="20836" y="19544"/>
                  <a:pt x="20998" y="20100"/>
                </a:cubicBezTo>
                <a:cubicBezTo>
                  <a:pt x="21159" y="20656"/>
                  <a:pt x="21380" y="21128"/>
                  <a:pt x="21600" y="2160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09" name="Line"/>
          <xdr:cNvSpPr/>
        </xdr:nvSpPr>
        <xdr:spPr>
          <a:xfrm>
            <a:off x="1482326" y="483102"/>
            <a:ext cx="505626" cy="45730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18" h="21537" fill="norm" stroke="1" extrusionOk="0">
                <a:moveTo>
                  <a:pt x="12960" y="0"/>
                </a:moveTo>
                <a:cubicBezTo>
                  <a:pt x="14157" y="3686"/>
                  <a:pt x="15354" y="7373"/>
                  <a:pt x="16707" y="10800"/>
                </a:cubicBezTo>
                <a:cubicBezTo>
                  <a:pt x="18061" y="14227"/>
                  <a:pt x="19570" y="17395"/>
                  <a:pt x="20455" y="19152"/>
                </a:cubicBezTo>
                <a:cubicBezTo>
                  <a:pt x="21340" y="20909"/>
                  <a:pt x="21600" y="21254"/>
                  <a:pt x="21496" y="21427"/>
                </a:cubicBezTo>
                <a:cubicBezTo>
                  <a:pt x="21392" y="21600"/>
                  <a:pt x="20923" y="21600"/>
                  <a:pt x="18920" y="21197"/>
                </a:cubicBezTo>
                <a:cubicBezTo>
                  <a:pt x="16916" y="20794"/>
                  <a:pt x="13376" y="19987"/>
                  <a:pt x="10175" y="19382"/>
                </a:cubicBezTo>
                <a:cubicBezTo>
                  <a:pt x="6974" y="18778"/>
                  <a:pt x="4112" y="18374"/>
                  <a:pt x="2472" y="17885"/>
                </a:cubicBezTo>
                <a:cubicBezTo>
                  <a:pt x="833" y="17395"/>
                  <a:pt x="416" y="16819"/>
                  <a:pt x="0" y="16243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8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512" name="2 Axis Chart"/>
        <xdr:cNvGraphicFramePr/>
      </xdr:nvGraphicFramePr>
      <xdr:xfrm>
        <a:off x="16773363" y="12661178"/>
        <a:ext cx="348221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23</xdr:col>
      <xdr:colOff>96357</xdr:colOff>
      <xdr:row>66</xdr:row>
      <xdr:rowOff>67761</xdr:rowOff>
    </xdr:from>
    <xdr:to>
      <xdr:col>25</xdr:col>
      <xdr:colOff>47310</xdr:colOff>
      <xdr:row>70</xdr:row>
      <xdr:rowOff>93816</xdr:rowOff>
    </xdr:to>
    <xdr:grpSp>
      <xdr:nvGrpSpPr>
        <xdr:cNvPr id="515" name="Drawing"/>
        <xdr:cNvGrpSpPr/>
      </xdr:nvGrpSpPr>
      <xdr:grpSpPr>
        <a:xfrm>
          <a:off x="17838257" y="14065066"/>
          <a:ext cx="1551154" cy="1044596"/>
          <a:chOff x="0" y="0"/>
          <a:chExt cx="1551153" cy="1044594"/>
        </a:xfrm>
      </xdr:grpSpPr>
      <xdr:sp>
        <xdr:nvSpPr>
          <xdr:cNvPr id="513" name="Line"/>
          <xdr:cNvSpPr/>
        </xdr:nvSpPr>
        <xdr:spPr>
          <a:xfrm>
            <a:off x="0" y="198627"/>
            <a:ext cx="1428290" cy="845968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18136"/>
                </a:moveTo>
                <a:cubicBezTo>
                  <a:pt x="19" y="18463"/>
                  <a:pt x="39" y="18790"/>
                  <a:pt x="223" y="19182"/>
                </a:cubicBezTo>
                <a:cubicBezTo>
                  <a:pt x="406" y="19574"/>
                  <a:pt x="755" y="20031"/>
                  <a:pt x="1190" y="20424"/>
                </a:cubicBezTo>
                <a:cubicBezTo>
                  <a:pt x="1626" y="20816"/>
                  <a:pt x="2148" y="21143"/>
                  <a:pt x="2661" y="21339"/>
                </a:cubicBezTo>
                <a:cubicBezTo>
                  <a:pt x="3174" y="21535"/>
                  <a:pt x="3677" y="21600"/>
                  <a:pt x="4190" y="21600"/>
                </a:cubicBezTo>
                <a:cubicBezTo>
                  <a:pt x="4703" y="21600"/>
                  <a:pt x="5226" y="21535"/>
                  <a:pt x="5768" y="21339"/>
                </a:cubicBezTo>
                <a:cubicBezTo>
                  <a:pt x="6310" y="21143"/>
                  <a:pt x="6871" y="20816"/>
                  <a:pt x="7413" y="20522"/>
                </a:cubicBezTo>
                <a:cubicBezTo>
                  <a:pt x="7955" y="20228"/>
                  <a:pt x="8477" y="19966"/>
                  <a:pt x="9029" y="19607"/>
                </a:cubicBezTo>
                <a:cubicBezTo>
                  <a:pt x="9581" y="19247"/>
                  <a:pt x="10161" y="18790"/>
                  <a:pt x="10732" y="18349"/>
                </a:cubicBezTo>
                <a:cubicBezTo>
                  <a:pt x="11303" y="17907"/>
                  <a:pt x="11865" y="17483"/>
                  <a:pt x="12358" y="17041"/>
                </a:cubicBezTo>
                <a:cubicBezTo>
                  <a:pt x="12852" y="16600"/>
                  <a:pt x="13277" y="16143"/>
                  <a:pt x="13771" y="15538"/>
                </a:cubicBezTo>
                <a:cubicBezTo>
                  <a:pt x="14265" y="14934"/>
                  <a:pt x="14826" y="14182"/>
                  <a:pt x="15348" y="13447"/>
                </a:cubicBezTo>
                <a:cubicBezTo>
                  <a:pt x="15871" y="12712"/>
                  <a:pt x="16355" y="11993"/>
                  <a:pt x="16790" y="11290"/>
                </a:cubicBezTo>
                <a:cubicBezTo>
                  <a:pt x="17226" y="10588"/>
                  <a:pt x="17613" y="9901"/>
                  <a:pt x="17990" y="9052"/>
                </a:cubicBezTo>
                <a:cubicBezTo>
                  <a:pt x="18368" y="8202"/>
                  <a:pt x="18735" y="7189"/>
                  <a:pt x="19065" y="6290"/>
                </a:cubicBezTo>
                <a:cubicBezTo>
                  <a:pt x="19394" y="5392"/>
                  <a:pt x="19684" y="4608"/>
                  <a:pt x="19955" y="3905"/>
                </a:cubicBezTo>
                <a:cubicBezTo>
                  <a:pt x="20226" y="3202"/>
                  <a:pt x="20477" y="2582"/>
                  <a:pt x="20652" y="1993"/>
                </a:cubicBezTo>
                <a:cubicBezTo>
                  <a:pt x="20826" y="1405"/>
                  <a:pt x="20923" y="850"/>
                  <a:pt x="21068" y="523"/>
                </a:cubicBezTo>
                <a:cubicBezTo>
                  <a:pt x="21213" y="196"/>
                  <a:pt x="21406" y="98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14" name="Line"/>
          <xdr:cNvSpPr/>
        </xdr:nvSpPr>
        <xdr:spPr>
          <a:xfrm>
            <a:off x="1366857" y="0"/>
            <a:ext cx="184297" cy="24854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11" fill="norm" stroke="1" extrusionOk="0">
                <a:moveTo>
                  <a:pt x="0" y="12871"/>
                </a:moveTo>
                <a:cubicBezTo>
                  <a:pt x="0" y="12317"/>
                  <a:pt x="0" y="11763"/>
                  <a:pt x="375" y="11376"/>
                </a:cubicBezTo>
                <a:cubicBezTo>
                  <a:pt x="750" y="10988"/>
                  <a:pt x="1500" y="10766"/>
                  <a:pt x="2625" y="9769"/>
                </a:cubicBezTo>
                <a:cubicBezTo>
                  <a:pt x="3750" y="8772"/>
                  <a:pt x="5250" y="7000"/>
                  <a:pt x="7350" y="5394"/>
                </a:cubicBezTo>
                <a:cubicBezTo>
                  <a:pt x="9450" y="3788"/>
                  <a:pt x="12150" y="2348"/>
                  <a:pt x="13875" y="1572"/>
                </a:cubicBezTo>
                <a:cubicBezTo>
                  <a:pt x="15600" y="797"/>
                  <a:pt x="16350" y="686"/>
                  <a:pt x="17400" y="465"/>
                </a:cubicBezTo>
                <a:cubicBezTo>
                  <a:pt x="18450" y="243"/>
                  <a:pt x="19800" y="-89"/>
                  <a:pt x="20400" y="22"/>
                </a:cubicBezTo>
                <a:cubicBezTo>
                  <a:pt x="21000" y="133"/>
                  <a:pt x="20850" y="686"/>
                  <a:pt x="20850" y="2459"/>
                </a:cubicBezTo>
                <a:cubicBezTo>
                  <a:pt x="20850" y="4231"/>
                  <a:pt x="21000" y="7222"/>
                  <a:pt x="21075" y="10323"/>
                </a:cubicBezTo>
                <a:cubicBezTo>
                  <a:pt x="21150" y="13425"/>
                  <a:pt x="21150" y="16637"/>
                  <a:pt x="21225" y="18520"/>
                </a:cubicBezTo>
                <a:cubicBezTo>
                  <a:pt x="21300" y="20403"/>
                  <a:pt x="21450" y="20957"/>
                  <a:pt x="21600" y="21511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8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517" name="2 Axis Chart"/>
        <xdr:cNvGraphicFramePr/>
      </xdr:nvGraphicFramePr>
      <xdr:xfrm>
        <a:off x="16702751" y="12661178"/>
        <a:ext cx="3552826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drawings/drawing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783723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39" name="2 Axis Chart"/>
        <xdr:cNvGraphicFramePr/>
      </xdr:nvGraphicFramePr>
      <xdr:xfrm>
        <a:off x="16925423" y="12661178"/>
        <a:ext cx="337955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773832</xdr:colOff>
      <xdr:row>60</xdr:row>
      <xdr:rowOff>191683</xdr:rowOff>
    </xdr:from>
    <xdr:to>
      <xdr:col>30</xdr:col>
      <xdr:colOff>300058</xdr:colOff>
      <xdr:row>74</xdr:row>
      <xdr:rowOff>137442</xdr:rowOff>
    </xdr:to>
    <xdr:graphicFrame>
      <xdr:nvGraphicFramePr>
        <xdr:cNvPr id="40" name="2D Line Chart"/>
        <xdr:cNvGraphicFramePr/>
      </xdr:nvGraphicFramePr>
      <xdr:xfrm>
        <a:off x="20916032" y="12661178"/>
        <a:ext cx="303142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23</xdr:col>
      <xdr:colOff>678620</xdr:colOff>
      <xdr:row>69</xdr:row>
      <xdr:rowOff>180571</xdr:rowOff>
    </xdr:from>
    <xdr:to>
      <xdr:col>24</xdr:col>
      <xdr:colOff>709494</xdr:colOff>
      <xdr:row>71</xdr:row>
      <xdr:rowOff>167134</xdr:rowOff>
    </xdr:to>
    <xdr:grpSp>
      <xdr:nvGrpSpPr>
        <xdr:cNvPr id="43" name="Drawing"/>
        <xdr:cNvGrpSpPr/>
      </xdr:nvGrpSpPr>
      <xdr:grpSpPr>
        <a:xfrm>
          <a:off x="18420520" y="14941781"/>
          <a:ext cx="830975" cy="495834"/>
          <a:chOff x="0" y="0"/>
          <a:chExt cx="830974" cy="495832"/>
        </a:xfrm>
      </xdr:grpSpPr>
      <xdr:sp>
        <xdr:nvSpPr>
          <xdr:cNvPr id="41" name="Line"/>
          <xdr:cNvSpPr/>
        </xdr:nvSpPr>
        <xdr:spPr>
          <a:xfrm>
            <a:off x="-1" y="150994"/>
            <a:ext cx="673646" cy="344839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74" h="21480" fill="norm" stroke="1" extrusionOk="0">
                <a:moveTo>
                  <a:pt x="585" y="21480"/>
                </a:moveTo>
                <a:cubicBezTo>
                  <a:pt x="307" y="21480"/>
                  <a:pt x="30" y="21480"/>
                  <a:pt x="2" y="21318"/>
                </a:cubicBezTo>
                <a:cubicBezTo>
                  <a:pt x="-26" y="21156"/>
                  <a:pt x="196" y="20832"/>
                  <a:pt x="1140" y="19968"/>
                </a:cubicBezTo>
                <a:cubicBezTo>
                  <a:pt x="2084" y="19104"/>
                  <a:pt x="3750" y="17700"/>
                  <a:pt x="5554" y="16350"/>
                </a:cubicBezTo>
                <a:cubicBezTo>
                  <a:pt x="7359" y="15000"/>
                  <a:pt x="9303" y="13704"/>
                  <a:pt x="11107" y="11922"/>
                </a:cubicBezTo>
                <a:cubicBezTo>
                  <a:pt x="12912" y="10140"/>
                  <a:pt x="14578" y="7872"/>
                  <a:pt x="15910" y="5982"/>
                </a:cubicBezTo>
                <a:cubicBezTo>
                  <a:pt x="17243" y="4092"/>
                  <a:pt x="18242" y="2580"/>
                  <a:pt x="18909" y="1662"/>
                </a:cubicBezTo>
                <a:cubicBezTo>
                  <a:pt x="19575" y="744"/>
                  <a:pt x="19908" y="420"/>
                  <a:pt x="20214" y="204"/>
                </a:cubicBezTo>
                <a:cubicBezTo>
                  <a:pt x="20519" y="-12"/>
                  <a:pt x="20797" y="-120"/>
                  <a:pt x="21019" y="204"/>
                </a:cubicBezTo>
                <a:cubicBezTo>
                  <a:pt x="21241" y="528"/>
                  <a:pt x="21407" y="1284"/>
                  <a:pt x="21574" y="2040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42" name="Line"/>
          <xdr:cNvSpPr/>
        </xdr:nvSpPr>
        <xdr:spPr>
          <a:xfrm>
            <a:off x="580020" y="0"/>
            <a:ext cx="250955" cy="17257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414" h="21287" fill="norm" stroke="1" extrusionOk="0">
                <a:moveTo>
                  <a:pt x="1775" y="5343"/>
                </a:moveTo>
                <a:cubicBezTo>
                  <a:pt x="888" y="5557"/>
                  <a:pt x="0" y="5771"/>
                  <a:pt x="0" y="5878"/>
                </a:cubicBezTo>
                <a:cubicBezTo>
                  <a:pt x="0" y="5985"/>
                  <a:pt x="888" y="5985"/>
                  <a:pt x="3403" y="5343"/>
                </a:cubicBezTo>
                <a:cubicBezTo>
                  <a:pt x="5918" y="4702"/>
                  <a:pt x="10060" y="3419"/>
                  <a:pt x="12945" y="2456"/>
                </a:cubicBezTo>
                <a:cubicBezTo>
                  <a:pt x="15830" y="1494"/>
                  <a:pt x="17457" y="852"/>
                  <a:pt x="18715" y="425"/>
                </a:cubicBezTo>
                <a:cubicBezTo>
                  <a:pt x="19973" y="-3"/>
                  <a:pt x="20860" y="-217"/>
                  <a:pt x="21230" y="318"/>
                </a:cubicBezTo>
                <a:cubicBezTo>
                  <a:pt x="21600" y="852"/>
                  <a:pt x="21452" y="2135"/>
                  <a:pt x="20416" y="4381"/>
                </a:cubicBezTo>
                <a:cubicBezTo>
                  <a:pt x="19381" y="6627"/>
                  <a:pt x="17458" y="9834"/>
                  <a:pt x="15756" y="12508"/>
                </a:cubicBezTo>
                <a:cubicBezTo>
                  <a:pt x="14055" y="15181"/>
                  <a:pt x="12575" y="17320"/>
                  <a:pt x="11614" y="18817"/>
                </a:cubicBezTo>
                <a:cubicBezTo>
                  <a:pt x="10652" y="20314"/>
                  <a:pt x="10208" y="21169"/>
                  <a:pt x="10430" y="21276"/>
                </a:cubicBezTo>
                <a:cubicBezTo>
                  <a:pt x="10652" y="21383"/>
                  <a:pt x="11540" y="20741"/>
                  <a:pt x="12427" y="20100"/>
                </a:cubicBezTo>
              </a:path>
            </a:pathLst>
          </a:custGeom>
          <a:noFill/>
          <a:ln w="63500" cap="rnd">
            <a:solidFill>
              <a:srgbClr val="F93343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90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561051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519" name="2 Axis Chart"/>
        <xdr:cNvGraphicFramePr/>
      </xdr:nvGraphicFramePr>
      <xdr:xfrm>
        <a:off x="16702751" y="12661178"/>
        <a:ext cx="360222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618250</xdr:colOff>
      <xdr:row>68</xdr:row>
      <xdr:rowOff>93040</xdr:rowOff>
    </xdr:from>
    <xdr:to>
      <xdr:col>25</xdr:col>
      <xdr:colOff>294024</xdr:colOff>
      <xdr:row>70</xdr:row>
      <xdr:rowOff>25784</xdr:rowOff>
    </xdr:to>
    <xdr:grpSp>
      <xdr:nvGrpSpPr>
        <xdr:cNvPr id="524" name="Drawing"/>
        <xdr:cNvGrpSpPr/>
      </xdr:nvGrpSpPr>
      <xdr:grpSpPr>
        <a:xfrm>
          <a:off x="17560050" y="14599615"/>
          <a:ext cx="2076075" cy="442015"/>
          <a:chOff x="-19050" y="-19049"/>
          <a:chExt cx="2076074" cy="442013"/>
        </a:xfrm>
      </xdr:grpSpPr>
      <xdr:pic>
        <xdr:nvPicPr>
          <xdr:cNvPr id="520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-19050"/>
            <a:ext cx="1881949" cy="308118"/>
          </a:xfrm>
          <a:prstGeom prst="rect">
            <a:avLst/>
          </a:prstGeom>
          <a:effectLst/>
        </xdr:spPr>
      </xdr:pic>
      <xdr:pic>
        <xdr:nvPicPr>
          <xdr:cNvPr id="522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731804" y="119492"/>
            <a:ext cx="325221" cy="303472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9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113376</xdr:colOff>
      <xdr:row>74</xdr:row>
      <xdr:rowOff>137442</xdr:rowOff>
    </xdr:to>
    <xdr:graphicFrame>
      <xdr:nvGraphicFramePr>
        <xdr:cNvPr id="526" name="2 Axis Chart"/>
        <xdr:cNvGraphicFramePr/>
      </xdr:nvGraphicFramePr>
      <xdr:xfrm>
        <a:off x="16773363" y="12661178"/>
        <a:ext cx="348221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480483</xdr:colOff>
      <xdr:row>67</xdr:row>
      <xdr:rowOff>228377</xdr:rowOff>
    </xdr:from>
    <xdr:to>
      <xdr:col>25</xdr:col>
      <xdr:colOff>72319</xdr:colOff>
      <xdr:row>71</xdr:row>
      <xdr:rowOff>162135</xdr:rowOff>
    </xdr:to>
    <xdr:grpSp>
      <xdr:nvGrpSpPr>
        <xdr:cNvPr id="531" name="Drawing"/>
        <xdr:cNvGrpSpPr/>
      </xdr:nvGrpSpPr>
      <xdr:grpSpPr>
        <a:xfrm>
          <a:off x="17422283" y="14480317"/>
          <a:ext cx="1992137" cy="952299"/>
          <a:chOff x="-31750" y="-31750"/>
          <a:chExt cx="1992136" cy="952297"/>
        </a:xfrm>
      </xdr:grpSpPr>
      <xdr:pic>
        <xdr:nvPicPr>
          <xdr:cNvPr id="527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31750" y="-31751"/>
            <a:ext cx="1714500" cy="952299"/>
          </a:xfrm>
          <a:prstGeom prst="rect">
            <a:avLst/>
          </a:prstGeom>
          <a:effectLst/>
        </xdr:spPr>
      </xdr:pic>
      <xdr:pic>
        <xdr:nvPicPr>
          <xdr:cNvPr id="529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04950" y="467581"/>
            <a:ext cx="455437" cy="415201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92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737581</xdr:colOff>
      <xdr:row>60</xdr:row>
      <xdr:rowOff>191683</xdr:rowOff>
    </xdr:from>
    <xdr:to>
      <xdr:col>26</xdr:col>
      <xdr:colOff>7458</xdr:colOff>
      <xdr:row>74</xdr:row>
      <xdr:rowOff>137442</xdr:rowOff>
    </xdr:to>
    <xdr:graphicFrame>
      <xdr:nvGraphicFramePr>
        <xdr:cNvPr id="533" name="2 Axis Chart"/>
        <xdr:cNvGraphicFramePr/>
      </xdr:nvGraphicFramePr>
      <xdr:xfrm>
        <a:off x="16879281" y="12661178"/>
        <a:ext cx="3270378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784142</xdr:colOff>
      <xdr:row>60</xdr:row>
      <xdr:rowOff>132381</xdr:rowOff>
    </xdr:from>
    <xdr:to>
      <xdr:col>30</xdr:col>
      <xdr:colOff>239757</xdr:colOff>
      <xdr:row>74</xdr:row>
      <xdr:rowOff>78139</xdr:rowOff>
    </xdr:to>
    <xdr:graphicFrame>
      <xdr:nvGraphicFramePr>
        <xdr:cNvPr id="534" name="2D Line Chart"/>
        <xdr:cNvGraphicFramePr/>
      </xdr:nvGraphicFramePr>
      <xdr:xfrm>
        <a:off x="20926342" y="12601876"/>
        <a:ext cx="2960816" cy="3510649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391583</xdr:colOff>
      <xdr:row>69</xdr:row>
      <xdr:rowOff>32173</xdr:rowOff>
    </xdr:from>
    <xdr:to>
      <xdr:col>25</xdr:col>
      <xdr:colOff>202178</xdr:colOff>
      <xdr:row>70</xdr:row>
      <xdr:rowOff>202502</xdr:rowOff>
    </xdr:to>
    <xdr:grpSp>
      <xdr:nvGrpSpPr>
        <xdr:cNvPr id="539" name="Drawing"/>
        <xdr:cNvGrpSpPr/>
      </xdr:nvGrpSpPr>
      <xdr:grpSpPr>
        <a:xfrm>
          <a:off x="17333383" y="14793383"/>
          <a:ext cx="2210896" cy="424965"/>
          <a:chOff x="-31750" y="-31750"/>
          <a:chExt cx="2210894" cy="424963"/>
        </a:xfrm>
      </xdr:grpSpPr>
      <xdr:pic>
        <xdr:nvPicPr>
          <xdr:cNvPr id="535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-31750"/>
            <a:ext cx="2032000" cy="355600"/>
          </a:xfrm>
          <a:prstGeom prst="rect">
            <a:avLst/>
          </a:prstGeom>
          <a:effectLst/>
        </xdr:spPr>
      </xdr:pic>
      <xdr:pic>
        <xdr:nvPicPr>
          <xdr:cNvPr id="537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796229" y="142347"/>
            <a:ext cx="382916" cy="250867"/>
          </a:xfrm>
          <a:prstGeom prst="rect">
            <a:avLst/>
          </a:prstGeom>
          <a:effectLst/>
        </xdr:spPr>
      </xdr:pic>
    </xdr:grpSp>
    <xdr:clientData/>
  </xdr:twoCellAnchor>
</xdr:wsDr>
</file>

<file path=xl/drawings/drawing93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191135</xdr:rowOff>
    </xdr:from>
    <xdr:to>
      <xdr:col>26</xdr:col>
      <xdr:colOff>56861</xdr:colOff>
      <xdr:row>74</xdr:row>
      <xdr:rowOff>136894</xdr:rowOff>
    </xdr:to>
    <xdr:graphicFrame>
      <xdr:nvGraphicFramePr>
        <xdr:cNvPr id="541" name="2 Axis Chart"/>
        <xdr:cNvGraphicFramePr/>
      </xdr:nvGraphicFramePr>
      <xdr:xfrm>
        <a:off x="16773363" y="12660630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680358</xdr:colOff>
      <xdr:row>64</xdr:row>
      <xdr:rowOff>162627</xdr:rowOff>
    </xdr:from>
    <xdr:to>
      <xdr:col>25</xdr:col>
      <xdr:colOff>44712</xdr:colOff>
      <xdr:row>69</xdr:row>
      <xdr:rowOff>172741</xdr:rowOff>
    </xdr:to>
    <xdr:grpSp>
      <xdr:nvGrpSpPr>
        <xdr:cNvPr id="546" name="Drawing"/>
        <xdr:cNvGrpSpPr/>
      </xdr:nvGrpSpPr>
      <xdr:grpSpPr>
        <a:xfrm>
          <a:off x="17622158" y="13650662"/>
          <a:ext cx="1764655" cy="1283290"/>
          <a:chOff x="-19050" y="-19050"/>
          <a:chExt cx="1764653" cy="1283289"/>
        </a:xfrm>
      </xdr:grpSpPr>
      <xdr:pic>
        <xdr:nvPicPr>
          <xdr:cNvPr id="542" name="Line Shape" descr="Line Shape"/>
          <xdr:cNvPicPr>
            <a:picLocks noChangeAspect="0"/>
          </xdr:cNvPicPr>
        </xdr:nvPicPr>
        <xdr:blipFill>
          <a:blip r:embed="rId2">
            <a:extLst/>
          </a:blip>
          <a:stretch>
            <a:fillRect/>
          </a:stretch>
        </xdr:blipFill>
        <xdr:spPr>
          <a:xfrm>
            <a:off x="-19050" y="142589"/>
            <a:ext cx="1699633" cy="1121651"/>
          </a:xfrm>
          <a:prstGeom prst="rect">
            <a:avLst/>
          </a:prstGeom>
          <a:effectLst/>
        </xdr:spPr>
      </xdr:pic>
      <xdr:pic>
        <xdr:nvPicPr>
          <xdr:cNvPr id="544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1522441" y="-19051"/>
            <a:ext cx="223163" cy="272283"/>
          </a:xfrm>
          <a:prstGeom prst="rect">
            <a:avLst/>
          </a:prstGeom>
          <a:effectLst/>
        </xdr:spPr>
      </xdr:pic>
    </xdr:grpSp>
    <xdr:clientData/>
  </xdr:twoCellAnchor>
  <xdr:twoCellAnchor>
    <xdr:from>
      <xdr:col>21</xdr:col>
      <xdr:colOff>703829</xdr:colOff>
      <xdr:row>44</xdr:row>
      <xdr:rowOff>148077</xdr:rowOff>
    </xdr:from>
    <xdr:to>
      <xdr:col>26</xdr:col>
      <xdr:colOff>451682</xdr:colOff>
      <xdr:row>59</xdr:row>
      <xdr:rowOff>38857</xdr:rowOff>
    </xdr:to>
    <xdr:graphicFrame>
      <xdr:nvGraphicFramePr>
        <xdr:cNvPr id="547" name="2 Axis Chart"/>
        <xdr:cNvGraphicFramePr/>
      </xdr:nvGraphicFramePr>
      <xdr:xfrm>
        <a:off x="16845529" y="8443717"/>
        <a:ext cx="3748354" cy="381000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</xdr:wsDr>
</file>

<file path=xl/drawings/drawing94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549" name="2 Axis Chart"/>
        <xdr:cNvGraphicFramePr/>
      </xdr:nvGraphicFramePr>
      <xdr:xfrm>
        <a:off x="16773363" y="12661178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22</xdr:col>
      <xdr:colOff>464480</xdr:colOff>
      <xdr:row>69</xdr:row>
      <xdr:rowOff>166476</xdr:rowOff>
    </xdr:from>
    <xdr:to>
      <xdr:col>25</xdr:col>
      <xdr:colOff>397733</xdr:colOff>
      <xdr:row>72</xdr:row>
      <xdr:rowOff>133379</xdr:rowOff>
    </xdr:to>
    <xdr:grpSp>
      <xdr:nvGrpSpPr>
        <xdr:cNvPr id="552" name="Drawing"/>
        <xdr:cNvGrpSpPr/>
      </xdr:nvGrpSpPr>
      <xdr:grpSpPr>
        <a:xfrm>
          <a:off x="17406280" y="14927686"/>
          <a:ext cx="2333554" cy="730809"/>
          <a:chOff x="0" y="0"/>
          <a:chExt cx="2333552" cy="730808"/>
        </a:xfrm>
      </xdr:grpSpPr>
      <xdr:sp>
        <xdr:nvSpPr>
          <xdr:cNvPr id="550" name="Line"/>
          <xdr:cNvSpPr/>
        </xdr:nvSpPr>
        <xdr:spPr>
          <a:xfrm>
            <a:off x="0" y="180858"/>
            <a:ext cx="2067963" cy="549951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fill="norm" stroke="1" extrusionOk="0">
                <a:moveTo>
                  <a:pt x="0" y="21600"/>
                </a:moveTo>
                <a:cubicBezTo>
                  <a:pt x="236" y="21008"/>
                  <a:pt x="472" y="20416"/>
                  <a:pt x="970" y="20318"/>
                </a:cubicBezTo>
                <a:cubicBezTo>
                  <a:pt x="1469" y="20219"/>
                  <a:pt x="2230" y="20614"/>
                  <a:pt x="3154" y="20811"/>
                </a:cubicBezTo>
                <a:cubicBezTo>
                  <a:pt x="4079" y="21008"/>
                  <a:pt x="5167" y="21008"/>
                  <a:pt x="6144" y="20860"/>
                </a:cubicBezTo>
                <a:cubicBezTo>
                  <a:pt x="7121" y="20712"/>
                  <a:pt x="7987" y="20416"/>
                  <a:pt x="8774" y="20096"/>
                </a:cubicBezTo>
                <a:cubicBezTo>
                  <a:pt x="9561" y="19775"/>
                  <a:pt x="10269" y="19430"/>
                  <a:pt x="11030" y="18912"/>
                </a:cubicBezTo>
                <a:cubicBezTo>
                  <a:pt x="11790" y="18395"/>
                  <a:pt x="12603" y="17704"/>
                  <a:pt x="13436" y="16940"/>
                </a:cubicBezTo>
                <a:cubicBezTo>
                  <a:pt x="14269" y="16175"/>
                  <a:pt x="15121" y="15337"/>
                  <a:pt x="15849" y="14203"/>
                </a:cubicBezTo>
                <a:cubicBezTo>
                  <a:pt x="16577" y="13069"/>
                  <a:pt x="17180" y="11638"/>
                  <a:pt x="17784" y="10110"/>
                </a:cubicBezTo>
                <a:cubicBezTo>
                  <a:pt x="18387" y="8581"/>
                  <a:pt x="18990" y="6953"/>
                  <a:pt x="19626" y="5252"/>
                </a:cubicBezTo>
                <a:cubicBezTo>
                  <a:pt x="20262" y="3551"/>
                  <a:pt x="20931" y="1775"/>
                  <a:pt x="2160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51" name="Line"/>
          <xdr:cNvSpPr/>
        </xdr:nvSpPr>
        <xdr:spPr>
          <a:xfrm>
            <a:off x="2037827" y="0"/>
            <a:ext cx="295726" cy="27879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376" h="21316" fill="norm" stroke="1" extrusionOk="0">
                <a:moveTo>
                  <a:pt x="1634" y="4612"/>
                </a:moveTo>
                <a:cubicBezTo>
                  <a:pt x="817" y="4324"/>
                  <a:pt x="0" y="4036"/>
                  <a:pt x="0" y="3892"/>
                </a:cubicBezTo>
                <a:cubicBezTo>
                  <a:pt x="0" y="3748"/>
                  <a:pt x="817" y="3748"/>
                  <a:pt x="4084" y="3268"/>
                </a:cubicBezTo>
                <a:cubicBezTo>
                  <a:pt x="7351" y="2788"/>
                  <a:pt x="13069" y="1828"/>
                  <a:pt x="16472" y="1060"/>
                </a:cubicBezTo>
                <a:cubicBezTo>
                  <a:pt x="19876" y="292"/>
                  <a:pt x="20965" y="-284"/>
                  <a:pt x="21282" y="148"/>
                </a:cubicBezTo>
                <a:cubicBezTo>
                  <a:pt x="21600" y="580"/>
                  <a:pt x="21146" y="2020"/>
                  <a:pt x="19286" y="5380"/>
                </a:cubicBezTo>
                <a:cubicBezTo>
                  <a:pt x="17425" y="8740"/>
                  <a:pt x="14158" y="14020"/>
                  <a:pt x="12025" y="16996"/>
                </a:cubicBezTo>
                <a:cubicBezTo>
                  <a:pt x="9892" y="19972"/>
                  <a:pt x="8894" y="20644"/>
                  <a:pt x="7896" y="21316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95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19</xdr:col>
      <xdr:colOff>725705</xdr:colOff>
      <xdr:row>38</xdr:row>
      <xdr:rowOff>121336</xdr:rowOff>
    </xdr:from>
    <xdr:to>
      <xdr:col>24</xdr:col>
      <xdr:colOff>208117</xdr:colOff>
      <xdr:row>51</xdr:row>
      <xdr:rowOff>148197</xdr:rowOff>
    </xdr:to>
    <xdr:graphicFrame>
      <xdr:nvGraphicFramePr>
        <xdr:cNvPr id="554" name="2D Line Chart"/>
        <xdr:cNvGraphicFramePr/>
      </xdr:nvGraphicFramePr>
      <xdr:xfrm>
        <a:off x="15267205" y="10044481"/>
        <a:ext cx="348291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779013</xdr:colOff>
      <xdr:row>38</xdr:row>
      <xdr:rowOff>121336</xdr:rowOff>
    </xdr:from>
    <xdr:to>
      <xdr:col>28</xdr:col>
      <xdr:colOff>364295</xdr:colOff>
      <xdr:row>51</xdr:row>
      <xdr:rowOff>148197</xdr:rowOff>
    </xdr:to>
    <xdr:graphicFrame>
      <xdr:nvGraphicFramePr>
        <xdr:cNvPr id="555" name="2D Line Chart"/>
        <xdr:cNvGraphicFramePr/>
      </xdr:nvGraphicFramePr>
      <xdr:xfrm>
        <a:off x="19321013" y="10044481"/>
        <a:ext cx="3433383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19</xdr:col>
      <xdr:colOff>782220</xdr:colOff>
      <xdr:row>52</xdr:row>
      <xdr:rowOff>155048</xdr:rowOff>
    </xdr:from>
    <xdr:to>
      <xdr:col>24</xdr:col>
      <xdr:colOff>208117</xdr:colOff>
      <xdr:row>65</xdr:row>
      <xdr:rowOff>181908</xdr:rowOff>
    </xdr:to>
    <xdr:graphicFrame>
      <xdr:nvGraphicFramePr>
        <xdr:cNvPr id="556" name="2D Line Chart"/>
        <xdr:cNvGraphicFramePr/>
      </xdr:nvGraphicFramePr>
      <xdr:xfrm>
        <a:off x="15323720" y="13643083"/>
        <a:ext cx="3426398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3"/>
        </a:graphicData>
      </a:graphic>
    </xdr:graphicFrame>
    <xdr:clientData/>
  </xdr:twoCellAnchor>
  <xdr:twoCellAnchor>
    <xdr:from>
      <xdr:col>24</xdr:col>
      <xdr:colOff>680080</xdr:colOff>
      <xdr:row>52</xdr:row>
      <xdr:rowOff>155048</xdr:rowOff>
    </xdr:from>
    <xdr:to>
      <xdr:col>28</xdr:col>
      <xdr:colOff>364295</xdr:colOff>
      <xdr:row>65</xdr:row>
      <xdr:rowOff>181908</xdr:rowOff>
    </xdr:to>
    <xdr:graphicFrame>
      <xdr:nvGraphicFramePr>
        <xdr:cNvPr id="557" name="2D Line Chart"/>
        <xdr:cNvGraphicFramePr/>
      </xdr:nvGraphicFramePr>
      <xdr:xfrm>
        <a:off x="19222080" y="13643083"/>
        <a:ext cx="3532316" cy="3337116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4"/>
        </a:graphicData>
      </a:graphic>
    </xdr:graphicFrame>
    <xdr:clientData/>
  </xdr:twoCellAnchor>
  <xdr:twoCellAnchor>
    <xdr:from>
      <xdr:col>19</xdr:col>
      <xdr:colOff>782220</xdr:colOff>
      <xdr:row>66</xdr:row>
      <xdr:rowOff>181724</xdr:rowOff>
    </xdr:from>
    <xdr:to>
      <xdr:col>24</xdr:col>
      <xdr:colOff>208117</xdr:colOff>
      <xdr:row>79</xdr:row>
      <xdr:rowOff>208585</xdr:rowOff>
    </xdr:to>
    <xdr:graphicFrame>
      <xdr:nvGraphicFramePr>
        <xdr:cNvPr id="558" name="2D Line Chart"/>
        <xdr:cNvGraphicFramePr/>
      </xdr:nvGraphicFramePr>
      <xdr:xfrm>
        <a:off x="15323720" y="17234649"/>
        <a:ext cx="3426398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5"/>
        </a:graphicData>
      </a:graphic>
    </xdr:graphicFrame>
    <xdr:clientData/>
  </xdr:twoCellAnchor>
  <xdr:twoCellAnchor>
    <xdr:from>
      <xdr:col>25</xdr:col>
      <xdr:colOff>35301</xdr:colOff>
      <xdr:row>66</xdr:row>
      <xdr:rowOff>188758</xdr:rowOff>
    </xdr:from>
    <xdr:to>
      <xdr:col>28</xdr:col>
      <xdr:colOff>481389</xdr:colOff>
      <xdr:row>79</xdr:row>
      <xdr:rowOff>215619</xdr:rowOff>
    </xdr:to>
    <xdr:graphicFrame>
      <xdr:nvGraphicFramePr>
        <xdr:cNvPr id="559" name="2D Line Chart"/>
        <xdr:cNvGraphicFramePr/>
      </xdr:nvGraphicFramePr>
      <xdr:xfrm>
        <a:off x="19377401" y="17241683"/>
        <a:ext cx="3494089" cy="3337117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6"/>
        </a:graphicData>
      </a:graphic>
    </xdr:graphicFrame>
    <xdr:clientData/>
  </xdr:twoCellAnchor>
</xdr:wsDr>
</file>

<file path=xl/drawings/drawing96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561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666795</xdr:colOff>
      <xdr:row>60</xdr:row>
      <xdr:rowOff>191683</xdr:rowOff>
    </xdr:from>
    <xdr:to>
      <xdr:col>30</xdr:col>
      <xdr:colOff>143618</xdr:colOff>
      <xdr:row>74</xdr:row>
      <xdr:rowOff>137442</xdr:rowOff>
    </xdr:to>
    <xdr:graphicFrame>
      <xdr:nvGraphicFramePr>
        <xdr:cNvPr id="562" name="2D Line Chart"/>
        <xdr:cNvGraphicFramePr/>
      </xdr:nvGraphicFramePr>
      <xdr:xfrm>
        <a:off x="20808995" y="12661178"/>
        <a:ext cx="298202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469726</xdr:colOff>
      <xdr:row>64</xdr:row>
      <xdr:rowOff>39958</xdr:rowOff>
    </xdr:from>
    <xdr:to>
      <xdr:col>25</xdr:col>
      <xdr:colOff>98243</xdr:colOff>
      <xdr:row>69</xdr:row>
      <xdr:rowOff>50308</xdr:rowOff>
    </xdr:to>
    <xdr:grpSp>
      <xdr:nvGrpSpPr>
        <xdr:cNvPr id="565" name="Drawing"/>
        <xdr:cNvGrpSpPr/>
      </xdr:nvGrpSpPr>
      <xdr:grpSpPr>
        <a:xfrm>
          <a:off x="17411526" y="13527993"/>
          <a:ext cx="2028818" cy="1283526"/>
          <a:chOff x="0" y="0"/>
          <a:chExt cx="2028817" cy="1283525"/>
        </a:xfrm>
      </xdr:grpSpPr>
      <xdr:sp>
        <xdr:nvSpPr>
          <xdr:cNvPr id="563" name="Line"/>
          <xdr:cNvSpPr/>
        </xdr:nvSpPr>
        <xdr:spPr>
          <a:xfrm>
            <a:off x="0" y="-1"/>
            <a:ext cx="1944547" cy="12835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535" fill="norm" stroke="1" extrusionOk="0">
                <a:moveTo>
                  <a:pt x="0" y="4632"/>
                </a:moveTo>
                <a:cubicBezTo>
                  <a:pt x="50" y="4732"/>
                  <a:pt x="99" y="4832"/>
                  <a:pt x="166" y="4869"/>
                </a:cubicBezTo>
                <a:cubicBezTo>
                  <a:pt x="232" y="4907"/>
                  <a:pt x="314" y="4882"/>
                  <a:pt x="505" y="4757"/>
                </a:cubicBezTo>
                <a:cubicBezTo>
                  <a:pt x="695" y="4632"/>
                  <a:pt x="993" y="4407"/>
                  <a:pt x="1316" y="4257"/>
                </a:cubicBezTo>
                <a:cubicBezTo>
                  <a:pt x="1639" y="4107"/>
                  <a:pt x="1986" y="4032"/>
                  <a:pt x="2359" y="3907"/>
                </a:cubicBezTo>
                <a:cubicBezTo>
                  <a:pt x="2731" y="3782"/>
                  <a:pt x="3128" y="3607"/>
                  <a:pt x="3559" y="3420"/>
                </a:cubicBezTo>
                <a:cubicBezTo>
                  <a:pt x="3989" y="3232"/>
                  <a:pt x="4452" y="3032"/>
                  <a:pt x="4858" y="2857"/>
                </a:cubicBezTo>
                <a:cubicBezTo>
                  <a:pt x="5263" y="2682"/>
                  <a:pt x="5611" y="2532"/>
                  <a:pt x="6017" y="2269"/>
                </a:cubicBezTo>
                <a:cubicBezTo>
                  <a:pt x="6422" y="2007"/>
                  <a:pt x="6886" y="1632"/>
                  <a:pt x="7299" y="1320"/>
                </a:cubicBezTo>
                <a:cubicBezTo>
                  <a:pt x="7713" y="1007"/>
                  <a:pt x="8077" y="757"/>
                  <a:pt x="8450" y="545"/>
                </a:cubicBezTo>
                <a:cubicBezTo>
                  <a:pt x="8822" y="332"/>
                  <a:pt x="9203" y="157"/>
                  <a:pt x="9559" y="70"/>
                </a:cubicBezTo>
                <a:cubicBezTo>
                  <a:pt x="9914" y="-18"/>
                  <a:pt x="10246" y="-18"/>
                  <a:pt x="10502" y="45"/>
                </a:cubicBezTo>
                <a:cubicBezTo>
                  <a:pt x="10759" y="107"/>
                  <a:pt x="10941" y="232"/>
                  <a:pt x="11098" y="470"/>
                </a:cubicBezTo>
                <a:cubicBezTo>
                  <a:pt x="11255" y="707"/>
                  <a:pt x="11388" y="1057"/>
                  <a:pt x="11520" y="1520"/>
                </a:cubicBezTo>
                <a:cubicBezTo>
                  <a:pt x="11652" y="1982"/>
                  <a:pt x="11785" y="2557"/>
                  <a:pt x="11917" y="3232"/>
                </a:cubicBezTo>
                <a:cubicBezTo>
                  <a:pt x="12050" y="3907"/>
                  <a:pt x="12182" y="4682"/>
                  <a:pt x="12257" y="5482"/>
                </a:cubicBezTo>
                <a:cubicBezTo>
                  <a:pt x="12331" y="6282"/>
                  <a:pt x="12348" y="7107"/>
                  <a:pt x="12356" y="7720"/>
                </a:cubicBezTo>
                <a:cubicBezTo>
                  <a:pt x="12364" y="8332"/>
                  <a:pt x="12364" y="8732"/>
                  <a:pt x="12414" y="9157"/>
                </a:cubicBezTo>
                <a:cubicBezTo>
                  <a:pt x="12463" y="9582"/>
                  <a:pt x="12563" y="10032"/>
                  <a:pt x="12637" y="10607"/>
                </a:cubicBezTo>
                <a:cubicBezTo>
                  <a:pt x="12712" y="11182"/>
                  <a:pt x="12761" y="11882"/>
                  <a:pt x="12828" y="12557"/>
                </a:cubicBezTo>
                <a:cubicBezTo>
                  <a:pt x="12894" y="13232"/>
                  <a:pt x="12977" y="13882"/>
                  <a:pt x="13068" y="14632"/>
                </a:cubicBezTo>
                <a:cubicBezTo>
                  <a:pt x="13159" y="15382"/>
                  <a:pt x="13258" y="16232"/>
                  <a:pt x="13407" y="17082"/>
                </a:cubicBezTo>
                <a:cubicBezTo>
                  <a:pt x="13556" y="17932"/>
                  <a:pt x="13754" y="18782"/>
                  <a:pt x="13945" y="19432"/>
                </a:cubicBezTo>
                <a:cubicBezTo>
                  <a:pt x="14135" y="20082"/>
                  <a:pt x="14317" y="20532"/>
                  <a:pt x="14574" y="20870"/>
                </a:cubicBezTo>
                <a:cubicBezTo>
                  <a:pt x="14830" y="21207"/>
                  <a:pt x="15161" y="21432"/>
                  <a:pt x="15418" y="21507"/>
                </a:cubicBezTo>
                <a:cubicBezTo>
                  <a:pt x="15674" y="21582"/>
                  <a:pt x="15857" y="21507"/>
                  <a:pt x="16105" y="21270"/>
                </a:cubicBezTo>
                <a:cubicBezTo>
                  <a:pt x="16353" y="21032"/>
                  <a:pt x="16668" y="20632"/>
                  <a:pt x="16999" y="20145"/>
                </a:cubicBezTo>
                <a:cubicBezTo>
                  <a:pt x="17330" y="19657"/>
                  <a:pt x="17677" y="19082"/>
                  <a:pt x="18000" y="18570"/>
                </a:cubicBezTo>
                <a:cubicBezTo>
                  <a:pt x="18323" y="18057"/>
                  <a:pt x="18621" y="17607"/>
                  <a:pt x="18894" y="17107"/>
                </a:cubicBezTo>
                <a:cubicBezTo>
                  <a:pt x="19167" y="16607"/>
                  <a:pt x="19415" y="16057"/>
                  <a:pt x="19680" y="15445"/>
                </a:cubicBezTo>
                <a:cubicBezTo>
                  <a:pt x="19945" y="14832"/>
                  <a:pt x="20226" y="14157"/>
                  <a:pt x="20466" y="13595"/>
                </a:cubicBezTo>
                <a:cubicBezTo>
                  <a:pt x="20706" y="13032"/>
                  <a:pt x="20905" y="12582"/>
                  <a:pt x="21029" y="12232"/>
                </a:cubicBezTo>
                <a:cubicBezTo>
                  <a:pt x="21153" y="11882"/>
                  <a:pt x="21203" y="11632"/>
                  <a:pt x="21286" y="11170"/>
                </a:cubicBezTo>
                <a:cubicBezTo>
                  <a:pt x="21368" y="10707"/>
                  <a:pt x="21484" y="10032"/>
                  <a:pt x="21542" y="9632"/>
                </a:cubicBezTo>
                <a:cubicBezTo>
                  <a:pt x="21600" y="9232"/>
                  <a:pt x="21600" y="9107"/>
                  <a:pt x="21600" y="8982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64" name="Line"/>
          <xdr:cNvSpPr/>
        </xdr:nvSpPr>
        <xdr:spPr>
          <a:xfrm>
            <a:off x="1783618" y="451060"/>
            <a:ext cx="245200" cy="285434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42" h="21550" fill="norm" stroke="1" extrusionOk="0">
                <a:moveTo>
                  <a:pt x="0" y="10750"/>
                </a:moveTo>
                <a:cubicBezTo>
                  <a:pt x="3142" y="10075"/>
                  <a:pt x="6284" y="9400"/>
                  <a:pt x="8378" y="8275"/>
                </a:cubicBezTo>
                <a:cubicBezTo>
                  <a:pt x="10473" y="7150"/>
                  <a:pt x="11520" y="5575"/>
                  <a:pt x="12436" y="4281"/>
                </a:cubicBezTo>
                <a:cubicBezTo>
                  <a:pt x="13353" y="2987"/>
                  <a:pt x="14138" y="1975"/>
                  <a:pt x="14858" y="1356"/>
                </a:cubicBezTo>
                <a:cubicBezTo>
                  <a:pt x="15578" y="737"/>
                  <a:pt x="16233" y="512"/>
                  <a:pt x="17149" y="456"/>
                </a:cubicBezTo>
                <a:cubicBezTo>
                  <a:pt x="18065" y="400"/>
                  <a:pt x="19244" y="513"/>
                  <a:pt x="20095" y="400"/>
                </a:cubicBezTo>
                <a:cubicBezTo>
                  <a:pt x="20945" y="288"/>
                  <a:pt x="21469" y="-50"/>
                  <a:pt x="21535" y="6"/>
                </a:cubicBezTo>
                <a:cubicBezTo>
                  <a:pt x="21600" y="62"/>
                  <a:pt x="21207" y="512"/>
                  <a:pt x="20618" y="2481"/>
                </a:cubicBezTo>
                <a:cubicBezTo>
                  <a:pt x="20029" y="4450"/>
                  <a:pt x="19244" y="7938"/>
                  <a:pt x="18982" y="11369"/>
                </a:cubicBezTo>
                <a:cubicBezTo>
                  <a:pt x="18720" y="14800"/>
                  <a:pt x="18982" y="18175"/>
                  <a:pt x="19244" y="2155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97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567" name="2 Axis Chart"/>
        <xdr:cNvGraphicFramePr/>
      </xdr:nvGraphicFramePr>
      <xdr:xfrm>
        <a:off x="16773363" y="12661178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58652</xdr:colOff>
      <xdr:row>65</xdr:row>
      <xdr:rowOff>58171</xdr:rowOff>
    </xdr:from>
    <xdr:to>
      <xdr:col>25</xdr:col>
      <xdr:colOff>120368</xdr:colOff>
      <xdr:row>70</xdr:row>
      <xdr:rowOff>91504</xdr:rowOff>
    </xdr:to>
    <xdr:grpSp>
      <xdr:nvGrpSpPr>
        <xdr:cNvPr id="570" name="Drawing"/>
        <xdr:cNvGrpSpPr/>
      </xdr:nvGrpSpPr>
      <xdr:grpSpPr>
        <a:xfrm>
          <a:off x="18600652" y="13800841"/>
          <a:ext cx="861817" cy="1306509"/>
          <a:chOff x="0" y="0"/>
          <a:chExt cx="861815" cy="1306507"/>
        </a:xfrm>
      </xdr:grpSpPr>
      <xdr:sp>
        <xdr:nvSpPr>
          <xdr:cNvPr id="568" name="Line"/>
          <xdr:cNvSpPr/>
        </xdr:nvSpPr>
        <xdr:spPr>
          <a:xfrm>
            <a:off x="-1" y="232658"/>
            <a:ext cx="722888" cy="1073850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50" h="21585" fill="norm" stroke="1" extrusionOk="0">
                <a:moveTo>
                  <a:pt x="581" y="20618"/>
                </a:moveTo>
                <a:cubicBezTo>
                  <a:pt x="338" y="20618"/>
                  <a:pt x="96" y="20618"/>
                  <a:pt x="23" y="20716"/>
                </a:cubicBezTo>
                <a:cubicBezTo>
                  <a:pt x="-50" y="20815"/>
                  <a:pt x="47" y="21011"/>
                  <a:pt x="338" y="21207"/>
                </a:cubicBezTo>
                <a:cubicBezTo>
                  <a:pt x="630" y="21404"/>
                  <a:pt x="1115" y="21600"/>
                  <a:pt x="1697" y="21584"/>
                </a:cubicBezTo>
                <a:cubicBezTo>
                  <a:pt x="2280" y="21567"/>
                  <a:pt x="2959" y="21338"/>
                  <a:pt x="4027" y="20815"/>
                </a:cubicBezTo>
                <a:cubicBezTo>
                  <a:pt x="5095" y="20291"/>
                  <a:pt x="6551" y="19473"/>
                  <a:pt x="7716" y="18556"/>
                </a:cubicBezTo>
                <a:cubicBezTo>
                  <a:pt x="8881" y="17640"/>
                  <a:pt x="9755" y="16625"/>
                  <a:pt x="10677" y="15529"/>
                </a:cubicBezTo>
                <a:cubicBezTo>
                  <a:pt x="11599" y="14433"/>
                  <a:pt x="12570" y="13255"/>
                  <a:pt x="13517" y="12158"/>
                </a:cubicBezTo>
                <a:cubicBezTo>
                  <a:pt x="14463" y="11062"/>
                  <a:pt x="15385" y="10047"/>
                  <a:pt x="16381" y="8967"/>
                </a:cubicBezTo>
                <a:cubicBezTo>
                  <a:pt x="17376" y="7887"/>
                  <a:pt x="18443" y="6742"/>
                  <a:pt x="19317" y="5629"/>
                </a:cubicBezTo>
                <a:cubicBezTo>
                  <a:pt x="20191" y="4516"/>
                  <a:pt x="20870" y="3436"/>
                  <a:pt x="21210" y="2504"/>
                </a:cubicBezTo>
                <a:cubicBezTo>
                  <a:pt x="21550" y="1571"/>
                  <a:pt x="21550" y="785"/>
                  <a:pt x="21550" y="0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569" name="Line"/>
          <xdr:cNvSpPr/>
        </xdr:nvSpPr>
        <xdr:spPr>
          <a:xfrm>
            <a:off x="600770" y="-1"/>
            <a:ext cx="261046" cy="418276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510" h="21507" fill="norm" stroke="1" extrusionOk="0">
                <a:moveTo>
                  <a:pt x="0" y="12967"/>
                </a:moveTo>
                <a:cubicBezTo>
                  <a:pt x="268" y="12046"/>
                  <a:pt x="537" y="11126"/>
                  <a:pt x="1677" y="10247"/>
                </a:cubicBezTo>
                <a:cubicBezTo>
                  <a:pt x="2817" y="9367"/>
                  <a:pt x="4830" y="8530"/>
                  <a:pt x="7647" y="7107"/>
                </a:cubicBezTo>
                <a:cubicBezTo>
                  <a:pt x="10465" y="5684"/>
                  <a:pt x="14087" y="3674"/>
                  <a:pt x="16301" y="2460"/>
                </a:cubicBezTo>
                <a:cubicBezTo>
                  <a:pt x="18514" y="1247"/>
                  <a:pt x="19319" y="828"/>
                  <a:pt x="19990" y="493"/>
                </a:cubicBezTo>
                <a:cubicBezTo>
                  <a:pt x="20661" y="158"/>
                  <a:pt x="21198" y="-93"/>
                  <a:pt x="21399" y="33"/>
                </a:cubicBezTo>
                <a:cubicBezTo>
                  <a:pt x="21600" y="158"/>
                  <a:pt x="21466" y="660"/>
                  <a:pt x="21466" y="1916"/>
                </a:cubicBezTo>
                <a:cubicBezTo>
                  <a:pt x="21466" y="3172"/>
                  <a:pt x="21600" y="5181"/>
                  <a:pt x="21332" y="7609"/>
                </a:cubicBezTo>
                <a:cubicBezTo>
                  <a:pt x="21063" y="10037"/>
                  <a:pt x="20393" y="12884"/>
                  <a:pt x="19923" y="15270"/>
                </a:cubicBezTo>
                <a:cubicBezTo>
                  <a:pt x="19453" y="17656"/>
                  <a:pt x="19185" y="19581"/>
                  <a:pt x="18917" y="21507"/>
                </a:cubicBezTo>
              </a:path>
            </a:pathLst>
          </a:custGeom>
          <a:noFill/>
          <a:ln w="38100" cap="rnd">
            <a:solidFill>
              <a:srgbClr val="FF3A30"/>
            </a:solidFill>
            <a:prstDash val="solid"/>
            <a:round/>
          </a:ln>
          <a:effectLst/>
        </xdr:spPr>
        <xdr:txBody>
          <a:bodyPr/>
          <a:lstStyle/>
          <a:p>
            <a:pPr/>
          </a:p>
        </xdr:txBody>
      </xdr:sp>
    </xdr:grpSp>
    <xdr:clientData/>
  </xdr:twoCellAnchor>
</xdr:wsDr>
</file>

<file path=xl/drawings/drawing98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56861</xdr:colOff>
      <xdr:row>74</xdr:row>
      <xdr:rowOff>137442</xdr:rowOff>
    </xdr:to>
    <xdr:graphicFrame>
      <xdr:nvGraphicFramePr>
        <xdr:cNvPr id="572" name="2 Axis Chart"/>
        <xdr:cNvGraphicFramePr/>
      </xdr:nvGraphicFramePr>
      <xdr:xfrm>
        <a:off x="16773363" y="12661178"/>
        <a:ext cx="3425699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24</xdr:col>
      <xdr:colOff>497562</xdr:colOff>
      <xdr:row>61</xdr:row>
      <xdr:rowOff>176139</xdr:rowOff>
    </xdr:from>
    <xdr:to>
      <xdr:col>25</xdr:col>
      <xdr:colOff>380314</xdr:colOff>
      <xdr:row>64</xdr:row>
      <xdr:rowOff>71151</xdr:rowOff>
    </xdr:to>
    <xdr:sp>
      <xdr:nvSpPr>
        <xdr:cNvPr id="573" name="Drawing"/>
        <xdr:cNvSpPr/>
      </xdr:nvSpPr>
      <xdr:spPr>
        <a:xfrm>
          <a:off x="19039562" y="12900268"/>
          <a:ext cx="682853" cy="658919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508" h="21459" fill="norm" stroke="1" extrusionOk="0">
              <a:moveTo>
                <a:pt x="15891" y="2178"/>
              </a:moveTo>
              <a:cubicBezTo>
                <a:pt x="16016" y="1747"/>
                <a:pt x="16141" y="1316"/>
                <a:pt x="16204" y="992"/>
              </a:cubicBezTo>
              <a:cubicBezTo>
                <a:pt x="16266" y="669"/>
                <a:pt x="16266" y="453"/>
                <a:pt x="16162" y="302"/>
              </a:cubicBezTo>
              <a:cubicBezTo>
                <a:pt x="16058" y="151"/>
                <a:pt x="15849" y="65"/>
                <a:pt x="15120" y="22"/>
              </a:cubicBezTo>
              <a:cubicBezTo>
                <a:pt x="14390" y="-21"/>
                <a:pt x="13139" y="-21"/>
                <a:pt x="11679" y="195"/>
              </a:cubicBezTo>
              <a:cubicBezTo>
                <a:pt x="10220" y="410"/>
                <a:pt x="8552" y="841"/>
                <a:pt x="7072" y="1488"/>
              </a:cubicBezTo>
              <a:cubicBezTo>
                <a:pt x="5591" y="2135"/>
                <a:pt x="4299" y="2997"/>
                <a:pt x="3256" y="4032"/>
              </a:cubicBezTo>
              <a:cubicBezTo>
                <a:pt x="2214" y="5066"/>
                <a:pt x="1421" y="6274"/>
                <a:pt x="859" y="7632"/>
              </a:cubicBezTo>
              <a:cubicBezTo>
                <a:pt x="296" y="8990"/>
                <a:pt x="-38" y="10499"/>
                <a:pt x="4" y="11965"/>
              </a:cubicBezTo>
              <a:cubicBezTo>
                <a:pt x="45" y="13430"/>
                <a:pt x="462" y="14853"/>
                <a:pt x="1109" y="16168"/>
              </a:cubicBezTo>
              <a:cubicBezTo>
                <a:pt x="1755" y="17483"/>
                <a:pt x="2631" y="18690"/>
                <a:pt x="3673" y="19596"/>
              </a:cubicBezTo>
              <a:cubicBezTo>
                <a:pt x="4716" y="20501"/>
                <a:pt x="5925" y="21105"/>
                <a:pt x="7280" y="21342"/>
              </a:cubicBezTo>
              <a:cubicBezTo>
                <a:pt x="8635" y="21579"/>
                <a:pt x="10136" y="21450"/>
                <a:pt x="11575" y="20997"/>
              </a:cubicBezTo>
              <a:cubicBezTo>
                <a:pt x="13014" y="20544"/>
                <a:pt x="14390" y="19768"/>
                <a:pt x="15724" y="18841"/>
              </a:cubicBezTo>
              <a:cubicBezTo>
                <a:pt x="17059" y="17914"/>
                <a:pt x="18351" y="16836"/>
                <a:pt x="19289" y="15888"/>
              </a:cubicBezTo>
              <a:cubicBezTo>
                <a:pt x="20228" y="14939"/>
                <a:pt x="20811" y="14120"/>
                <a:pt x="21145" y="12935"/>
              </a:cubicBezTo>
              <a:cubicBezTo>
                <a:pt x="21479" y="11749"/>
                <a:pt x="21562" y="10197"/>
                <a:pt x="21479" y="8817"/>
              </a:cubicBezTo>
              <a:cubicBezTo>
                <a:pt x="21395" y="7438"/>
                <a:pt x="21145" y="6230"/>
                <a:pt x="20874" y="5390"/>
              </a:cubicBezTo>
              <a:cubicBezTo>
                <a:pt x="20603" y="4549"/>
                <a:pt x="20311" y="4075"/>
                <a:pt x="20019" y="3601"/>
              </a:cubicBezTo>
            </a:path>
          </a:pathLst>
        </a:custGeom>
        <a:noFill/>
        <a:ln w="38100" cap="rnd">
          <a:solidFill>
            <a:srgbClr val="FF3A30"/>
          </a:solidFill>
          <a:prstDash val="solid"/>
          <a:round/>
        </a:ln>
        <a:effectLst/>
      </xdr:spPr>
      <xdr:txBody>
        <a:bodyPr/>
        <a:lstStyle/>
        <a:p>
          <a:pPr/>
        </a:p>
      </xdr:txBody>
    </xdr:sp>
    <xdr:clientData/>
  </xdr:twoCellAnchor>
</xdr:wsDr>
</file>

<file path=xl/drawings/drawing99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21</xdr:col>
      <xdr:colOff>631663</xdr:colOff>
      <xdr:row>60</xdr:row>
      <xdr:rowOff>191683</xdr:rowOff>
    </xdr:from>
    <xdr:to>
      <xdr:col>26</xdr:col>
      <xdr:colOff>162779</xdr:colOff>
      <xdr:row>74</xdr:row>
      <xdr:rowOff>137442</xdr:rowOff>
    </xdr:to>
    <xdr:graphicFrame>
      <xdr:nvGraphicFramePr>
        <xdr:cNvPr id="575" name="2 Axis Chart"/>
        <xdr:cNvGraphicFramePr/>
      </xdr:nvGraphicFramePr>
      <xdr:xfrm>
        <a:off x="16773363" y="12661178"/>
        <a:ext cx="3531617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  <xdr:twoCellAnchor>
    <xdr:from>
      <xdr:col>26</xdr:col>
      <xdr:colOff>841282</xdr:colOff>
      <xdr:row>60</xdr:row>
      <xdr:rowOff>191683</xdr:rowOff>
    </xdr:from>
    <xdr:to>
      <xdr:col>30</xdr:col>
      <xdr:colOff>318105</xdr:colOff>
      <xdr:row>74</xdr:row>
      <xdr:rowOff>137442</xdr:rowOff>
    </xdr:to>
    <xdr:graphicFrame>
      <xdr:nvGraphicFramePr>
        <xdr:cNvPr id="576" name="2D Line Chart"/>
        <xdr:cNvGraphicFramePr/>
      </xdr:nvGraphicFramePr>
      <xdr:xfrm>
        <a:off x="20983482" y="12661178"/>
        <a:ext cx="2982024" cy="3510650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2"/>
        </a:graphicData>
      </a:graphic>
    </xdr:graphicFrame>
    <xdr:clientData/>
  </xdr:twoCellAnchor>
  <xdr:twoCellAnchor>
    <xdr:from>
      <xdr:col>22</xdr:col>
      <xdr:colOff>551166</xdr:colOff>
      <xdr:row>66</xdr:row>
      <xdr:rowOff>126788</xdr:rowOff>
    </xdr:from>
    <xdr:to>
      <xdr:col>25</xdr:col>
      <xdr:colOff>112243</xdr:colOff>
      <xdr:row>69</xdr:row>
      <xdr:rowOff>170605</xdr:rowOff>
    </xdr:to>
    <xdr:grpSp>
      <xdr:nvGrpSpPr>
        <xdr:cNvPr id="581" name="Drawing"/>
        <xdr:cNvGrpSpPr/>
      </xdr:nvGrpSpPr>
      <xdr:grpSpPr>
        <a:xfrm>
          <a:off x="17492966" y="14124093"/>
          <a:ext cx="1961378" cy="807723"/>
          <a:chOff x="-31750" y="-31750"/>
          <a:chExt cx="1961376" cy="807721"/>
        </a:xfrm>
      </xdr:grpSpPr>
      <xdr:pic>
        <xdr:nvPicPr>
          <xdr:cNvPr id="577" name="Line Shape" descr="Line Shape"/>
          <xdr:cNvPicPr>
            <a:picLocks noChangeAspect="0"/>
          </xdr:cNvPicPr>
        </xdr:nvPicPr>
        <xdr:blipFill>
          <a:blip r:embed="rId3">
            <a:extLst/>
          </a:blip>
          <a:stretch>
            <a:fillRect/>
          </a:stretch>
        </xdr:blipFill>
        <xdr:spPr>
          <a:xfrm>
            <a:off x="-31750" y="-31750"/>
            <a:ext cx="1855842" cy="703623"/>
          </a:xfrm>
          <a:prstGeom prst="rect">
            <a:avLst/>
          </a:prstGeom>
          <a:effectLst/>
        </xdr:spPr>
      </xdr:pic>
      <xdr:pic>
        <xdr:nvPicPr>
          <xdr:cNvPr id="579" name="Line Shape" descr="Line Shape"/>
          <xdr:cNvPicPr>
            <a:picLocks noChangeAspect="0"/>
          </xdr:cNvPicPr>
        </xdr:nvPicPr>
        <xdr:blipFill>
          <a:blip r:embed="rId4">
            <a:extLst/>
          </a:blip>
          <a:stretch>
            <a:fillRect/>
          </a:stretch>
        </xdr:blipFill>
        <xdr:spPr>
          <a:xfrm>
            <a:off x="1544780" y="491321"/>
            <a:ext cx="384847" cy="284651"/>
          </a:xfrm>
          <a:prstGeom prst="rect">
            <a:avLst/>
          </a:prstGeom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5E5E5E"/>
      </a:dk2>
      <a:lt2>
        <a:srgbClr val="D5D5D5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chemeClr val="accent1"/>
        </a:solidFill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6.xml"/></Relationships>

</file>

<file path=xl/worksheets/_rels/sheet101.xml.rels><?xml version="1.0" encoding="UTF-8"?>
<Relationships xmlns="http://schemas.openxmlformats.org/package/2006/relationships"><Relationship Id="rId1" Type="http://schemas.openxmlformats.org/officeDocument/2006/relationships/drawing" Target="../drawings/drawing73.xml"/></Relationships>

</file>

<file path=xl/worksheets/_rels/sheet102.xml.rels><?xml version="1.0" encoding="UTF-8"?>
<Relationships xmlns="http://schemas.openxmlformats.org/package/2006/relationships"><Relationship Id="rId1" Type="http://schemas.openxmlformats.org/officeDocument/2006/relationships/drawing" Target="../drawings/drawing74.xml"/></Relationships>

</file>

<file path=xl/worksheets/_rels/sheet103.xml.rels><?xml version="1.0" encoding="UTF-8"?>
<Relationships xmlns="http://schemas.openxmlformats.org/package/2006/relationships"><Relationship Id="rId1" Type="http://schemas.openxmlformats.org/officeDocument/2006/relationships/drawing" Target="../drawings/drawing75.xml"/></Relationships>

</file>

<file path=xl/worksheets/_rels/sheet104.xml.rels><?xml version="1.0" encoding="UTF-8"?>
<Relationships xmlns="http://schemas.openxmlformats.org/package/2006/relationships"><Relationship Id="rId1" Type="http://schemas.openxmlformats.org/officeDocument/2006/relationships/drawing" Target="../drawings/drawing76.xml"/></Relationships>

</file>

<file path=xl/worksheets/_rels/sheet106.xml.rels><?xml version="1.0" encoding="UTF-8"?>
<Relationships xmlns="http://schemas.openxmlformats.org/package/2006/relationships"><Relationship Id="rId1" Type="http://schemas.openxmlformats.org/officeDocument/2006/relationships/drawing" Target="../drawings/drawing77.xml"/></Relationships>

</file>

<file path=xl/worksheets/_rels/sheet107.xml.rels><?xml version="1.0" encoding="UTF-8"?>
<Relationships xmlns="http://schemas.openxmlformats.org/package/2006/relationships"><Relationship Id="rId1" Type="http://schemas.openxmlformats.org/officeDocument/2006/relationships/drawing" Target="../drawings/drawing78.xml"/></Relationships>

</file>

<file path=xl/worksheets/_rels/sheet108.xml.rels><?xml version="1.0" encoding="UTF-8"?>
<Relationships xmlns="http://schemas.openxmlformats.org/package/2006/relationships"><Relationship Id="rId1" Type="http://schemas.openxmlformats.org/officeDocument/2006/relationships/drawing" Target="../drawings/drawing79.xml"/></Relationships>

</file>

<file path=xl/worksheets/_rels/sheet109.xml.rels><?xml version="1.0" encoding="UTF-8"?>
<Relationships xmlns="http://schemas.openxmlformats.org/package/2006/relationships"><Relationship Id="rId1" Type="http://schemas.openxmlformats.org/officeDocument/2006/relationships/drawing" Target="../drawings/drawing80.xml"/></Relationships>

</file>

<file path=xl/worksheets/_rels/sheet110.xml.rels><?xml version="1.0" encoding="UTF-8"?>
<Relationships xmlns="http://schemas.openxmlformats.org/package/2006/relationships"><Relationship Id="rId1" Type="http://schemas.openxmlformats.org/officeDocument/2006/relationships/drawing" Target="../drawings/drawing81.xml"/></Relationships>

</file>

<file path=xl/worksheets/_rels/sheet111.xml.rels><?xml version="1.0" encoding="UTF-8"?>
<Relationships xmlns="http://schemas.openxmlformats.org/package/2006/relationships"><Relationship Id="rId1" Type="http://schemas.openxmlformats.org/officeDocument/2006/relationships/drawing" Target="../drawings/drawing82.xml"/></Relationships>

</file>

<file path=xl/worksheets/_rels/sheet114.xml.rels><?xml version="1.0" encoding="UTF-8"?>
<Relationships xmlns="http://schemas.openxmlformats.org/package/2006/relationships"><Relationship Id="rId1" Type="http://schemas.openxmlformats.org/officeDocument/2006/relationships/drawing" Target="../drawings/drawing83.xml"/></Relationships>

</file>

<file path=xl/worksheets/_rels/sheet115.xml.rels><?xml version="1.0" encoding="UTF-8"?>
<Relationships xmlns="http://schemas.openxmlformats.org/package/2006/relationships"><Relationship Id="rId1" Type="http://schemas.openxmlformats.org/officeDocument/2006/relationships/drawing" Target="../drawings/drawing84.xml"/></Relationships>

</file>

<file path=xl/worksheets/_rels/sheet116.xml.rels><?xml version="1.0" encoding="UTF-8"?>
<Relationships xmlns="http://schemas.openxmlformats.org/package/2006/relationships"><Relationship Id="rId1" Type="http://schemas.openxmlformats.org/officeDocument/2006/relationships/drawing" Target="../drawings/drawing85.xml"/></Relationships>

</file>

<file path=xl/worksheets/_rels/sheet120.xml.rels><?xml version="1.0" encoding="UTF-8"?>
<Relationships xmlns="http://schemas.openxmlformats.org/package/2006/relationships"><Relationship Id="rId1" Type="http://schemas.openxmlformats.org/officeDocument/2006/relationships/drawing" Target="../drawings/drawing86.xml"/></Relationships>

</file>

<file path=xl/worksheets/_rels/sheet121.xml.rels><?xml version="1.0" encoding="UTF-8"?>
<Relationships xmlns="http://schemas.openxmlformats.org/package/2006/relationships"><Relationship Id="rId1" Type="http://schemas.openxmlformats.org/officeDocument/2006/relationships/drawing" Target="../drawings/drawing87.xml"/></Relationships>

</file>

<file path=xl/worksheets/_rels/sheet123.xml.rels><?xml version="1.0" encoding="UTF-8"?>
<Relationships xmlns="http://schemas.openxmlformats.org/package/2006/relationships"><Relationship Id="rId1" Type="http://schemas.openxmlformats.org/officeDocument/2006/relationships/drawing" Target="../drawings/drawing88.xml"/></Relationships>

</file>

<file path=xl/worksheets/_rels/sheet124.xml.rels><?xml version="1.0" encoding="UTF-8"?>
<Relationships xmlns="http://schemas.openxmlformats.org/package/2006/relationships"><Relationship Id="rId1" Type="http://schemas.openxmlformats.org/officeDocument/2006/relationships/drawing" Target="../drawings/drawing89.xml"/></Relationships>

</file>

<file path=xl/worksheets/_rels/sheet125.xml.rels><?xml version="1.0" encoding="UTF-8"?>
<Relationships xmlns="http://schemas.openxmlformats.org/package/2006/relationships"><Relationship Id="rId1" Type="http://schemas.openxmlformats.org/officeDocument/2006/relationships/drawing" Target="../drawings/drawing90.xml"/></Relationships>

</file>

<file path=xl/worksheets/_rels/sheet126.xml.rels><?xml version="1.0" encoding="UTF-8"?>
<Relationships xmlns="http://schemas.openxmlformats.org/package/2006/relationships"><Relationship Id="rId1" Type="http://schemas.openxmlformats.org/officeDocument/2006/relationships/drawing" Target="../drawings/drawing91.xml"/></Relationships>

</file>

<file path=xl/worksheets/_rels/sheet127.xml.rels><?xml version="1.0" encoding="UTF-8"?>
<Relationships xmlns="http://schemas.openxmlformats.org/package/2006/relationships"><Relationship Id="rId1" Type="http://schemas.openxmlformats.org/officeDocument/2006/relationships/drawing" Target="../drawings/drawing92.xml"/></Relationships>

</file>

<file path=xl/worksheets/_rels/sheet128.xml.rels><?xml version="1.0" encoding="UTF-8"?>
<Relationships xmlns="http://schemas.openxmlformats.org/package/2006/relationships"><Relationship Id="rId1" Type="http://schemas.openxmlformats.org/officeDocument/2006/relationships/drawing" Target="../drawings/drawing93.xml"/></Relationships>

</file>

<file path=xl/worksheets/_rels/sheet129.xml.rels><?xml version="1.0" encoding="UTF-8"?>
<Relationships xmlns="http://schemas.openxmlformats.org/package/2006/relationships"><Relationship Id="rId1" Type="http://schemas.openxmlformats.org/officeDocument/2006/relationships/drawing" Target="../drawings/drawing94.xml"/></Relationships>
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7.xml"/></Relationships>

</file>

<file path=xl/worksheets/_rels/sheet130.xml.rels><?xml version="1.0" encoding="UTF-8"?>
<Relationships xmlns="http://schemas.openxmlformats.org/package/2006/relationships"><Relationship Id="rId1" Type="http://schemas.openxmlformats.org/officeDocument/2006/relationships/drawing" Target="../drawings/drawing95.xml"/></Relationships>

</file>

<file path=xl/worksheets/_rels/sheet131.xml.rels><?xml version="1.0" encoding="UTF-8"?>
<Relationships xmlns="http://schemas.openxmlformats.org/package/2006/relationships"><Relationship Id="rId1" Type="http://schemas.openxmlformats.org/officeDocument/2006/relationships/drawing" Target="../drawings/drawing96.xml"/></Relationships>

</file>

<file path=xl/worksheets/_rels/sheet134.xml.rels><?xml version="1.0" encoding="UTF-8"?>
<Relationships xmlns="http://schemas.openxmlformats.org/package/2006/relationships"><Relationship Id="rId1" Type="http://schemas.openxmlformats.org/officeDocument/2006/relationships/drawing" Target="../drawings/drawing97.xml"/></Relationships>

</file>

<file path=xl/worksheets/_rels/sheet135.xml.rels><?xml version="1.0" encoding="UTF-8"?>
<Relationships xmlns="http://schemas.openxmlformats.org/package/2006/relationships"><Relationship Id="rId1" Type="http://schemas.openxmlformats.org/officeDocument/2006/relationships/drawing" Target="../drawings/drawing98.xml"/></Relationships>

</file>

<file path=xl/worksheets/_rels/sheet136.xml.rels><?xml version="1.0" encoding="UTF-8"?>
<Relationships xmlns="http://schemas.openxmlformats.org/package/2006/relationships"><Relationship Id="rId1" Type="http://schemas.openxmlformats.org/officeDocument/2006/relationships/drawing" Target="../drawings/drawing99.xml"/></Relationships>
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8.xml"/></Relationships>

</file>

<file path=xl/worksheets/_rels/sheet140.xml.rels><?xml version="1.0" encoding="UTF-8"?>
<Relationships xmlns="http://schemas.openxmlformats.org/package/2006/relationships"><Relationship Id="rId1" Type="http://schemas.openxmlformats.org/officeDocument/2006/relationships/drawing" Target="../drawings/drawing100.xml"/></Relationships>

</file>

<file path=xl/worksheets/_rels/sheet141.xml.rels><?xml version="1.0" encoding="UTF-8"?>
<Relationships xmlns="http://schemas.openxmlformats.org/package/2006/relationships"><Relationship Id="rId1" Type="http://schemas.openxmlformats.org/officeDocument/2006/relationships/drawing" Target="../drawings/drawing101.xml"/></Relationships>

</file>

<file path=xl/worksheets/_rels/sheet142.xml.rels><?xml version="1.0" encoding="UTF-8"?>
<Relationships xmlns="http://schemas.openxmlformats.org/package/2006/relationships"><Relationship Id="rId1" Type="http://schemas.openxmlformats.org/officeDocument/2006/relationships/drawing" Target="../drawings/drawing102.xml"/></Relationships>

</file>

<file path=xl/worksheets/_rels/sheet144.xml.rels><?xml version="1.0" encoding="UTF-8"?>
<Relationships xmlns="http://schemas.openxmlformats.org/package/2006/relationships"><Relationship Id="rId1" Type="http://schemas.openxmlformats.org/officeDocument/2006/relationships/drawing" Target="../drawings/drawing103.xml"/></Relationships>

</file>

<file path=xl/worksheets/_rels/sheet145.xml.rels><?xml version="1.0" encoding="UTF-8"?>
<Relationships xmlns="http://schemas.openxmlformats.org/package/2006/relationships"><Relationship Id="rId1" Type="http://schemas.openxmlformats.org/officeDocument/2006/relationships/drawing" Target="../drawings/drawing104.xml"/></Relationships>

</file>

<file path=xl/worksheets/_rels/sheet148.xml.rels><?xml version="1.0" encoding="UTF-8"?>
<Relationships xmlns="http://schemas.openxmlformats.org/package/2006/relationships"><Relationship Id="rId1" Type="http://schemas.openxmlformats.org/officeDocument/2006/relationships/drawing" Target="../drawings/drawing105.xml"/></Relationships>

</file>

<file path=xl/worksheets/_rels/sheet149.xml.rels><?xml version="1.0" encoding="UTF-8"?>
<Relationships xmlns="http://schemas.openxmlformats.org/package/2006/relationships"><Relationship Id="rId1" Type="http://schemas.openxmlformats.org/officeDocument/2006/relationships/drawing" Target="../drawings/drawing106.xml"/></Relationships>
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9.xml"/></Relationships>

</file>

<file path=xl/worksheets/_rels/sheet151.xml.rels><?xml version="1.0" encoding="UTF-8"?>
<Relationships xmlns="http://schemas.openxmlformats.org/package/2006/relationships"><Relationship Id="rId1" Type="http://schemas.openxmlformats.org/officeDocument/2006/relationships/drawing" Target="../drawings/drawing107.xml"/></Relationships>

</file>

<file path=xl/worksheets/_rels/sheet152.xml.rels><?xml version="1.0" encoding="UTF-8"?>
<Relationships xmlns="http://schemas.openxmlformats.org/package/2006/relationships"><Relationship Id="rId1" Type="http://schemas.openxmlformats.org/officeDocument/2006/relationships/drawing" Target="../drawings/drawing108.xml"/></Relationships>
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0.xml"/></Relationships>

</file>

<file path=xl/worksheets/_rels/sheet19.xml.rels><?xml version="1.0" encoding="UTF-8"?>
<Relationships xmlns="http://schemas.openxmlformats.org/package/2006/relationships"><Relationship Id="rId1" Type="http://schemas.openxmlformats.org/officeDocument/2006/relationships/drawing" Target="../drawings/drawing11.xml"/></Relationships>
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2.xml"/></Relationships>
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3.xml"/></Relationships>
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14.xml"/></Relationships>
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15.xml"/></Relationships>

</file>

<file path=xl/worksheets/_rels/sheet27.xml.rels><?xml version="1.0" encoding="UTF-8"?>
<Relationships xmlns="http://schemas.openxmlformats.org/package/2006/relationships"><Relationship Id="rId1" Type="http://schemas.openxmlformats.org/officeDocument/2006/relationships/drawing" Target="../drawings/drawing16.xml"/></Relationships>
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17.xml"/></Relationships>
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</Relationships>
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18.xml"/></Relationships>

</file>

<file path=xl/worksheets/_rels/sheet32.xml.rels><?xml version="1.0" encoding="UTF-8"?>
<Relationships xmlns="http://schemas.openxmlformats.org/package/2006/relationships"><Relationship Id="rId1" Type="http://schemas.openxmlformats.org/officeDocument/2006/relationships/drawing" Target="../drawings/drawing19.xml"/></Relationships>

</file>

<file path=xl/worksheets/_rels/sheet33.xml.rels><?xml version="1.0" encoding="UTF-8"?>
<Relationships xmlns="http://schemas.openxmlformats.org/package/2006/relationships"><Relationship Id="rId1" Type="http://schemas.openxmlformats.org/officeDocument/2006/relationships/drawing" Target="../drawings/drawing20.xml"/></Relationships>

</file>

<file path=xl/worksheets/_rels/sheet35.xml.rels><?xml version="1.0" encoding="UTF-8"?>
<Relationships xmlns="http://schemas.openxmlformats.org/package/2006/relationships"><Relationship Id="rId1" Type="http://schemas.openxmlformats.org/officeDocument/2006/relationships/drawing" Target="../drawings/drawing21.xml"/></Relationships>

</file>

<file path=xl/worksheets/_rels/sheet36.xml.rels><?xml version="1.0" encoding="UTF-8"?>
<Relationships xmlns="http://schemas.openxmlformats.org/package/2006/relationships"><Relationship Id="rId1" Type="http://schemas.openxmlformats.org/officeDocument/2006/relationships/drawing" Target="../drawings/drawing22.xml"/></Relationships>

</file>

<file path=xl/worksheets/_rels/sheet37.xml.rels><?xml version="1.0" encoding="UTF-8"?>
<Relationships xmlns="http://schemas.openxmlformats.org/package/2006/relationships"><Relationship Id="rId1" Type="http://schemas.openxmlformats.org/officeDocument/2006/relationships/drawing" Target="../drawings/drawing23.xml"/></Relationships>

</file>

<file path=xl/worksheets/_rels/sheet38.xml.rels><?xml version="1.0" encoding="UTF-8"?>
<Relationships xmlns="http://schemas.openxmlformats.org/package/2006/relationships"><Relationship Id="rId1" Type="http://schemas.openxmlformats.org/officeDocument/2006/relationships/drawing" Target="../drawings/drawing24.xml"/></Relationships>

</file>

<file path=xl/worksheets/_rels/sheet39.xml.rels><?xml version="1.0" encoding="UTF-8"?>
<Relationships xmlns="http://schemas.openxmlformats.org/package/2006/relationships"><Relationship Id="rId1" Type="http://schemas.openxmlformats.org/officeDocument/2006/relationships/drawing" Target="../drawings/drawing25.xml"/></Relationships>
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</Relationships>

</file>

<file path=xl/worksheets/_rels/sheet40.xml.rels><?xml version="1.0" encoding="UTF-8"?>
<Relationships xmlns="http://schemas.openxmlformats.org/package/2006/relationships"><Relationship Id="rId1" Type="http://schemas.openxmlformats.org/officeDocument/2006/relationships/drawing" Target="../drawings/drawing26.xml"/></Relationships>

</file>

<file path=xl/worksheets/_rels/sheet43.xml.rels><?xml version="1.0" encoding="UTF-8"?>
<Relationships xmlns="http://schemas.openxmlformats.org/package/2006/relationships"><Relationship Id="rId1" Type="http://schemas.openxmlformats.org/officeDocument/2006/relationships/drawing" Target="../drawings/drawing27.xml"/></Relationships>

</file>

<file path=xl/worksheets/_rels/sheet44.xml.rels><?xml version="1.0" encoding="UTF-8"?>
<Relationships xmlns="http://schemas.openxmlformats.org/package/2006/relationships"><Relationship Id="rId1" Type="http://schemas.openxmlformats.org/officeDocument/2006/relationships/drawing" Target="../drawings/drawing28.xml"/></Relationships>

</file>

<file path=xl/worksheets/_rels/sheet46.xml.rels><?xml version="1.0" encoding="UTF-8"?>
<Relationships xmlns="http://schemas.openxmlformats.org/package/2006/relationships"><Relationship Id="rId1" Type="http://schemas.openxmlformats.org/officeDocument/2006/relationships/drawing" Target="../drawings/drawing29.xml"/></Relationships>

</file>

<file path=xl/worksheets/_rels/sheet47.xml.rels><?xml version="1.0" encoding="UTF-8"?>
<Relationships xmlns="http://schemas.openxmlformats.org/package/2006/relationships"><Relationship Id="rId1" Type="http://schemas.openxmlformats.org/officeDocument/2006/relationships/drawing" Target="../drawings/drawing30.xml"/></Relationships>

</file>

<file path=xl/worksheets/_rels/sheet48.xml.rels><?xml version="1.0" encoding="UTF-8"?>
<Relationships xmlns="http://schemas.openxmlformats.org/package/2006/relationships"><Relationship Id="rId1" Type="http://schemas.openxmlformats.org/officeDocument/2006/relationships/drawing" Target="../drawings/drawing31.xml"/></Relationships>

</file>

<file path=xl/worksheets/_rels/sheet49.xml.rels><?xml version="1.0" encoding="UTF-8"?>
<Relationships xmlns="http://schemas.openxmlformats.org/package/2006/relationships"><Relationship Id="rId1" Type="http://schemas.openxmlformats.org/officeDocument/2006/relationships/drawing" Target="../drawings/drawing32.xml"/></Relationships>

</file>

<file path=xl/worksheets/_rels/sheet51.xml.rels><?xml version="1.0" encoding="UTF-8"?>
<Relationships xmlns="http://schemas.openxmlformats.org/package/2006/relationships"><Relationship Id="rId1" Type="http://schemas.openxmlformats.org/officeDocument/2006/relationships/drawing" Target="../drawings/drawing33.xml"/></Relationships>

</file>

<file path=xl/worksheets/_rels/sheet52.xml.rels><?xml version="1.0" encoding="UTF-8"?>
<Relationships xmlns="http://schemas.openxmlformats.org/package/2006/relationships"><Relationship Id="rId1" Type="http://schemas.openxmlformats.org/officeDocument/2006/relationships/drawing" Target="../drawings/drawing34.xml"/></Relationships>

</file>

<file path=xl/worksheets/_rels/sheet53.xml.rels><?xml version="1.0" encoding="UTF-8"?>
<Relationships xmlns="http://schemas.openxmlformats.org/package/2006/relationships"><Relationship Id="rId1" Type="http://schemas.openxmlformats.org/officeDocument/2006/relationships/drawing" Target="../drawings/drawing35.xml"/></Relationships>

</file>

<file path=xl/worksheets/_rels/sheet55.xml.rels><?xml version="1.0" encoding="UTF-8"?>
<Relationships xmlns="http://schemas.openxmlformats.org/package/2006/relationships"><Relationship Id="rId1" Type="http://schemas.openxmlformats.org/officeDocument/2006/relationships/drawing" Target="../drawings/drawing36.xml"/></Relationships>

</file>

<file path=xl/worksheets/_rels/sheet56.xml.rels><?xml version="1.0" encoding="UTF-8"?>
<Relationships xmlns="http://schemas.openxmlformats.org/package/2006/relationships"><Relationship Id="rId1" Type="http://schemas.openxmlformats.org/officeDocument/2006/relationships/drawing" Target="../drawings/drawing37.xml"/></Relationships>

</file>

<file path=xl/worksheets/_rels/sheet57.xml.rels><?xml version="1.0" encoding="UTF-8"?>
<Relationships xmlns="http://schemas.openxmlformats.org/package/2006/relationships"><Relationship Id="rId1" Type="http://schemas.openxmlformats.org/officeDocument/2006/relationships/drawing" Target="../drawings/drawing38.xml"/></Relationships>

</file>

<file path=xl/worksheets/_rels/sheet58.xml.rels><?xml version="1.0" encoding="UTF-8"?>
<Relationships xmlns="http://schemas.openxmlformats.org/package/2006/relationships"><Relationship Id="rId1" Type="http://schemas.openxmlformats.org/officeDocument/2006/relationships/drawing" Target="../drawings/drawing39.xml"/></Relationships>

</file>

<file path=xl/worksheets/_rels/sheet59.xml.rels><?xml version="1.0" encoding="UTF-8"?>
<Relationships xmlns="http://schemas.openxmlformats.org/package/2006/relationships"><Relationship Id="rId1" Type="http://schemas.openxmlformats.org/officeDocument/2006/relationships/drawing" Target="../drawings/drawing40.xml"/></Relationships>
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</Relationships>

</file>

<file path=xl/worksheets/_rels/sheet60.xml.rels><?xml version="1.0" encoding="UTF-8"?>
<Relationships xmlns="http://schemas.openxmlformats.org/package/2006/relationships"><Relationship Id="rId1" Type="http://schemas.openxmlformats.org/officeDocument/2006/relationships/drawing" Target="../drawings/drawing41.xml"/></Relationships>

</file>

<file path=xl/worksheets/_rels/sheet62.xml.rels><?xml version="1.0" encoding="UTF-8"?>
<Relationships xmlns="http://schemas.openxmlformats.org/package/2006/relationships"><Relationship Id="rId1" Type="http://schemas.openxmlformats.org/officeDocument/2006/relationships/drawing" Target="../drawings/drawing42.xml"/></Relationships>

</file>

<file path=xl/worksheets/_rels/sheet63.xml.rels><?xml version="1.0" encoding="UTF-8"?>
<Relationships xmlns="http://schemas.openxmlformats.org/package/2006/relationships"><Relationship Id="rId1" Type="http://schemas.openxmlformats.org/officeDocument/2006/relationships/drawing" Target="../drawings/drawing43.xml"/></Relationships>

</file>

<file path=xl/worksheets/_rels/sheet66.xml.rels><?xml version="1.0" encoding="UTF-8"?>
<Relationships xmlns="http://schemas.openxmlformats.org/package/2006/relationships"><Relationship Id="rId1" Type="http://schemas.openxmlformats.org/officeDocument/2006/relationships/drawing" Target="../drawings/drawing44.xml"/></Relationships>

</file>

<file path=xl/worksheets/_rels/sheet67.xml.rels><?xml version="1.0" encoding="UTF-8"?>
<Relationships xmlns="http://schemas.openxmlformats.org/package/2006/relationships"><Relationship Id="rId1" Type="http://schemas.openxmlformats.org/officeDocument/2006/relationships/drawing" Target="../drawings/drawing45.xml"/></Relationships>

</file>

<file path=xl/worksheets/_rels/sheet68.xml.rels><?xml version="1.0" encoding="UTF-8"?>
<Relationships xmlns="http://schemas.openxmlformats.org/package/2006/relationships"><Relationship Id="rId1" Type="http://schemas.openxmlformats.org/officeDocument/2006/relationships/drawing" Target="../drawings/drawing46.xml"/></Relationships>

</file>

<file path=xl/worksheets/_rels/sheet70.xml.rels><?xml version="1.0" encoding="UTF-8"?>
<Relationships xmlns="http://schemas.openxmlformats.org/package/2006/relationships"><Relationship Id="rId1" Type="http://schemas.openxmlformats.org/officeDocument/2006/relationships/drawing" Target="../drawings/drawing47.xml"/></Relationships>

</file>

<file path=xl/worksheets/_rels/sheet71.xml.rels><?xml version="1.0" encoding="UTF-8"?>
<Relationships xmlns="http://schemas.openxmlformats.org/package/2006/relationships"><Relationship Id="rId1" Type="http://schemas.openxmlformats.org/officeDocument/2006/relationships/drawing" Target="../drawings/drawing48.xml"/></Relationships>

</file>

<file path=xl/worksheets/_rels/sheet72.xml.rels><?xml version="1.0" encoding="UTF-8"?>
<Relationships xmlns="http://schemas.openxmlformats.org/package/2006/relationships"><Relationship Id="rId1" Type="http://schemas.openxmlformats.org/officeDocument/2006/relationships/drawing" Target="../drawings/drawing49.xml"/></Relationships>

</file>

<file path=xl/worksheets/_rels/sheet75.xml.rels><?xml version="1.0" encoding="UTF-8"?>
<Relationships xmlns="http://schemas.openxmlformats.org/package/2006/relationships"><Relationship Id="rId1" Type="http://schemas.openxmlformats.org/officeDocument/2006/relationships/drawing" Target="../drawings/drawing50.xml"/></Relationships>

</file>

<file path=xl/worksheets/_rels/sheet76.xml.rels><?xml version="1.0" encoding="UTF-8"?>
<Relationships xmlns="http://schemas.openxmlformats.org/package/2006/relationships"><Relationship Id="rId1" Type="http://schemas.openxmlformats.org/officeDocument/2006/relationships/drawing" Target="../drawings/drawing51.xml"/></Relationships>

</file>

<file path=xl/worksheets/_rels/sheet77.xml.rels><?xml version="1.0" encoding="UTF-8"?>
<Relationships xmlns="http://schemas.openxmlformats.org/package/2006/relationships"><Relationship Id="rId1" Type="http://schemas.openxmlformats.org/officeDocument/2006/relationships/drawing" Target="../drawings/drawing52.xml"/></Relationships>

</file>

<file path=xl/worksheets/_rels/sheet78.xml.rels><?xml version="1.0" encoding="UTF-8"?>
<Relationships xmlns="http://schemas.openxmlformats.org/package/2006/relationships"><Relationship Id="rId1" Type="http://schemas.openxmlformats.org/officeDocument/2006/relationships/drawing" Target="../drawings/drawing53.xml"/></Relationships>
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5.xml"/></Relationships>

</file>

<file path=xl/worksheets/_rels/sheet80.xml.rels><?xml version="1.0" encoding="UTF-8"?>
<Relationships xmlns="http://schemas.openxmlformats.org/package/2006/relationships"><Relationship Id="rId1" Type="http://schemas.openxmlformats.org/officeDocument/2006/relationships/drawing" Target="../drawings/drawing54.xml"/></Relationships>

</file>

<file path=xl/worksheets/_rels/sheet81.xml.rels><?xml version="1.0" encoding="UTF-8"?>
<Relationships xmlns="http://schemas.openxmlformats.org/package/2006/relationships"><Relationship Id="rId1" Type="http://schemas.openxmlformats.org/officeDocument/2006/relationships/drawing" Target="../drawings/drawing55.xml"/></Relationships>

</file>

<file path=xl/worksheets/_rels/sheet82.xml.rels><?xml version="1.0" encoding="UTF-8"?>
<Relationships xmlns="http://schemas.openxmlformats.org/package/2006/relationships"><Relationship Id="rId1" Type="http://schemas.openxmlformats.org/officeDocument/2006/relationships/drawing" Target="../drawings/drawing56.xml"/></Relationships>

</file>

<file path=xl/worksheets/_rels/sheet83.xml.rels><?xml version="1.0" encoding="UTF-8"?>
<Relationships xmlns="http://schemas.openxmlformats.org/package/2006/relationships"><Relationship Id="rId1" Type="http://schemas.openxmlformats.org/officeDocument/2006/relationships/drawing" Target="../drawings/drawing57.xml"/></Relationships>

</file>

<file path=xl/worksheets/_rels/sheet84.xml.rels><?xml version="1.0" encoding="UTF-8"?>
<Relationships xmlns="http://schemas.openxmlformats.org/package/2006/relationships"><Relationship Id="rId1" Type="http://schemas.openxmlformats.org/officeDocument/2006/relationships/drawing" Target="../drawings/drawing58.xml"/></Relationships>

</file>

<file path=xl/worksheets/_rels/sheet85.xml.rels><?xml version="1.0" encoding="UTF-8"?>
<Relationships xmlns="http://schemas.openxmlformats.org/package/2006/relationships"><Relationship Id="rId1" Type="http://schemas.openxmlformats.org/officeDocument/2006/relationships/drawing" Target="../drawings/drawing59.xml"/></Relationships>

</file>

<file path=xl/worksheets/_rels/sheet86.xml.rels><?xml version="1.0" encoding="UTF-8"?>
<Relationships xmlns="http://schemas.openxmlformats.org/package/2006/relationships"><Relationship Id="rId1" Type="http://schemas.openxmlformats.org/officeDocument/2006/relationships/drawing" Target="../drawings/drawing60.xml"/></Relationships>

</file>

<file path=xl/worksheets/_rels/sheet87.xml.rels><?xml version="1.0" encoding="UTF-8"?>
<Relationships xmlns="http://schemas.openxmlformats.org/package/2006/relationships"><Relationship Id="rId1" Type="http://schemas.openxmlformats.org/officeDocument/2006/relationships/drawing" Target="../drawings/drawing61.xml"/></Relationships>

</file>

<file path=xl/worksheets/_rels/sheet88.xml.rels><?xml version="1.0" encoding="UTF-8"?>
<Relationships xmlns="http://schemas.openxmlformats.org/package/2006/relationships"><Relationship Id="rId1" Type="http://schemas.openxmlformats.org/officeDocument/2006/relationships/drawing" Target="../drawings/drawing62.xml"/></Relationships>

</file>

<file path=xl/worksheets/_rels/sheet89.xml.rels><?xml version="1.0" encoding="UTF-8"?>
<Relationships xmlns="http://schemas.openxmlformats.org/package/2006/relationships"><Relationship Id="rId1" Type="http://schemas.openxmlformats.org/officeDocument/2006/relationships/drawing" Target="../drawings/drawing63.xml"/></Relationships>

</file>

<file path=xl/worksheets/_rels/sheet90.xml.rels><?xml version="1.0" encoding="UTF-8"?>
<Relationships xmlns="http://schemas.openxmlformats.org/package/2006/relationships"><Relationship Id="rId1" Type="http://schemas.openxmlformats.org/officeDocument/2006/relationships/drawing" Target="../drawings/drawing64.xml"/></Relationships>

</file>

<file path=xl/worksheets/_rels/sheet91.xml.rels><?xml version="1.0" encoding="UTF-8"?>
<Relationships xmlns="http://schemas.openxmlformats.org/package/2006/relationships"><Relationship Id="rId1" Type="http://schemas.openxmlformats.org/officeDocument/2006/relationships/drawing" Target="../drawings/drawing65.xml"/></Relationships>

</file>

<file path=xl/worksheets/_rels/sheet92.xml.rels><?xml version="1.0" encoding="UTF-8"?>
<Relationships xmlns="http://schemas.openxmlformats.org/package/2006/relationships"><Relationship Id="rId1" Type="http://schemas.openxmlformats.org/officeDocument/2006/relationships/drawing" Target="../drawings/drawing66.xml"/></Relationships>

</file>

<file path=xl/worksheets/_rels/sheet93.xml.rels><?xml version="1.0" encoding="UTF-8"?>
<Relationships xmlns="http://schemas.openxmlformats.org/package/2006/relationships"><Relationship Id="rId1" Type="http://schemas.openxmlformats.org/officeDocument/2006/relationships/drawing" Target="../drawings/drawing67.xml"/></Relationships>

</file>

<file path=xl/worksheets/_rels/sheet94.xml.rels><?xml version="1.0" encoding="UTF-8"?>
<Relationships xmlns="http://schemas.openxmlformats.org/package/2006/relationships"><Relationship Id="rId1" Type="http://schemas.openxmlformats.org/officeDocument/2006/relationships/drawing" Target="../drawings/drawing68.xml"/></Relationships>

</file>

<file path=xl/worksheets/_rels/sheet95.xml.rels><?xml version="1.0" encoding="UTF-8"?>
<Relationships xmlns="http://schemas.openxmlformats.org/package/2006/relationships"><Relationship Id="rId1" Type="http://schemas.openxmlformats.org/officeDocument/2006/relationships/drawing" Target="../drawings/drawing69.xml"/></Relationships>

</file>

<file path=xl/worksheets/_rels/sheet96.xml.rels><?xml version="1.0" encoding="UTF-8"?>
<Relationships xmlns="http://schemas.openxmlformats.org/package/2006/relationships"><Relationship Id="rId1" Type="http://schemas.openxmlformats.org/officeDocument/2006/relationships/drawing" Target="../drawings/drawing70.xml"/></Relationships>

</file>

<file path=xl/worksheets/_rels/sheet98.xml.rels><?xml version="1.0" encoding="UTF-8"?>
<Relationships xmlns="http://schemas.openxmlformats.org/package/2006/relationships"><Relationship Id="rId1" Type="http://schemas.openxmlformats.org/officeDocument/2006/relationships/drawing" Target="../drawings/drawing71.xml"/></Relationships>

</file>

<file path=xl/worksheets/_rels/sheet99.xml.rels><?xml version="1.0" encoding="UTF-8"?>
<Relationships xmlns="http://schemas.openxmlformats.org/package/2006/relationships"><Relationship Id="rId1" Type="http://schemas.openxmlformats.org/officeDocument/2006/relationships/drawing" Target="../drawings/drawing72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" customWidth="1"/>
    <col min="2" max="26" width="10.4844" style="1" customWidth="1"/>
    <col min="27" max="27" width="18.9766" style="27" customWidth="1"/>
    <col min="28" max="46" width="9" style="27" customWidth="1"/>
    <col min="47" max="16384" width="16.3516" style="27" customWidth="1"/>
  </cols>
  <sheetData>
    <row r="1" ht="11.65" customHeight="1"/>
    <row r="2" ht="27.65" customHeight="1">
      <c r="B2" t="s" s="2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s="4">
        <f>X$3</f>
        <v>0</v>
      </c>
      <c r="W3" t="s" s="3">
        <v>18</v>
      </c>
      <c r="X3" s="5"/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9"/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7">
        <f>V4</f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7">
        <f>V5</f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7">
        <f>V6</f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5">
        <f>SUM(J5:K8)/4</f>
        <v>0</v>
      </c>
      <c r="T8" s="15">
        <f>J8+K8+T7</f>
        <v>0</v>
      </c>
      <c r="U8" s="15">
        <f>-(L8+M8)+U7</f>
        <v>0</v>
      </c>
      <c r="V8" s="17">
        <f>V7</f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5">
        <f>SUM(J6:K9)/4</f>
        <v>0</v>
      </c>
      <c r="T9" s="15">
        <f>J9+K9+T8</f>
        <v>0</v>
      </c>
      <c r="U9" s="15">
        <f>-(L9+M9)+U8</f>
        <v>0</v>
      </c>
      <c r="V9" s="17">
        <f>V8</f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5">
        <f>SUM(J7:K10)/4</f>
        <v>0</v>
      </c>
      <c r="T10" s="15">
        <f>J10+K10+T9</f>
        <v>0</v>
      </c>
      <c r="U10" s="15">
        <f>-(L10+M10)+U9</f>
        <v>0</v>
      </c>
      <c r="V10" s="17">
        <f>V9</f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5">
        <f>SUM(J8:K11)/4</f>
        <v>0</v>
      </c>
      <c r="T11" s="15">
        <f>J11+K11+T10</f>
        <v>0</v>
      </c>
      <c r="U11" s="15">
        <f>-(L11+M11)+U10</f>
        <v>0</v>
      </c>
      <c r="V11" s="17">
        <f>V10</f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>
        <f>(E12+D12)/C12</f>
      </c>
      <c r="R12" s="16">
        <f>AVERAGE(Q9:Q12)</f>
      </c>
      <c r="S12" s="15">
        <f>SUM(J9:K12)/4</f>
        <v>0</v>
      </c>
      <c r="T12" s="15">
        <f>J12+K12+T11</f>
        <v>0</v>
      </c>
      <c r="U12" s="15">
        <f>-(L12+M12)+U11</f>
        <v>0</v>
      </c>
      <c r="V12" s="17">
        <f>V11</f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>
        <f>C13/C12-1</f>
      </c>
      <c r="Q13" s="16">
        <f>(E13+D13)/C13</f>
      </c>
      <c r="R13" s="16">
        <f>AVERAGE(Q10:Q13)</f>
      </c>
      <c r="S13" s="15">
        <f>SUM(J10:K13)/4</f>
        <v>0</v>
      </c>
      <c r="T13" s="15">
        <f>J13+K13+T12</f>
        <v>0</v>
      </c>
      <c r="U13" s="15">
        <f>-(L13+M13)+U12</f>
        <v>0</v>
      </c>
      <c r="V13" s="17">
        <f>V12</f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>
        <f>C14/C13-1</f>
      </c>
      <c r="Q14" s="16">
        <f>(E14+D14)/C14</f>
      </c>
      <c r="R14" s="16">
        <f>AVERAGE(Q11:Q14)</f>
      </c>
      <c r="S14" s="15">
        <f>SUM(J11:K14)/4</f>
        <v>0</v>
      </c>
      <c r="T14" s="15">
        <f>J14+K14+T13</f>
        <v>0</v>
      </c>
      <c r="U14" s="15">
        <f>-(L14+M14)+U13</f>
        <v>0</v>
      </c>
      <c r="V14" s="17">
        <f>V13</f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>
        <f>C15/C14-1</f>
      </c>
      <c r="Q15" s="16">
        <f>(E15+D15)/C15</f>
      </c>
      <c r="R15" s="16">
        <f>AVERAGE(Q12:Q15)</f>
      </c>
      <c r="S15" s="15">
        <f>SUM(J12:K15)/4</f>
        <v>0</v>
      </c>
      <c r="T15" s="15">
        <f>J15+K15+T14</f>
        <v>0</v>
      </c>
      <c r="U15" s="15">
        <f>-(L15+M15)+U14</f>
        <v>0</v>
      </c>
      <c r="V15" s="17">
        <f>V14</f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f>SUM(C13:C16)/4</f>
        <v>0</v>
      </c>
      <c r="O16" s="15"/>
      <c r="P16" s="16">
        <f>C16/C15-1</f>
      </c>
      <c r="Q16" s="16">
        <f>(E16+D16)/C16</f>
      </c>
      <c r="R16" s="16">
        <f>AVERAGE(Q13:Q16)</f>
      </c>
      <c r="S16" s="15">
        <f>SUM(J13:K16)/4</f>
        <v>0</v>
      </c>
      <c r="T16" s="15">
        <f>J16+K16+T15</f>
        <v>0</v>
      </c>
      <c r="U16" s="15">
        <f>-(L16+M16)+U15</f>
        <v>0</v>
      </c>
      <c r="V16" s="17">
        <f>V15</f>
      </c>
      <c r="W16" s="15">
        <f>F16-G16</f>
        <v>0</v>
      </c>
      <c r="X16" s="18"/>
      <c r="Y16" s="24"/>
      <c r="Z16" s="15">
        <v>16.31</v>
      </c>
    </row>
    <row r="17" ht="20.05" customHeight="1">
      <c r="B17" s="13"/>
      <c r="C17" s="1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>
        <f>SUM(C14:C17)/4</f>
        <v>0</v>
      </c>
      <c r="O17" s="15"/>
      <c r="P17" s="16">
        <f>C17/C16-1</f>
      </c>
      <c r="Q17" s="16">
        <f>(E17+D17)/C17</f>
      </c>
      <c r="R17" s="16">
        <f>AVERAGE(Q14:Q17)</f>
      </c>
      <c r="S17" s="25">
        <f>SUM(J14:K17)/4</f>
        <v>0</v>
      </c>
      <c r="T17" s="15">
        <f>J17+K17+T16</f>
        <v>0</v>
      </c>
      <c r="U17" s="15">
        <f>-(L17+M17)+U16</f>
        <v>0</v>
      </c>
      <c r="V17" s="17">
        <f>V16</f>
      </c>
      <c r="W17" s="15">
        <f>F17-G17</f>
        <v>0</v>
      </c>
      <c r="X17" s="18"/>
      <c r="Y17" s="24"/>
      <c r="Z17" s="15">
        <v>14.255</v>
      </c>
    </row>
    <row r="18" ht="20.05" customHeight="1">
      <c r="B18" s="13"/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>
        <f>SUM(C15:C18)/4</f>
        <v>0</v>
      </c>
      <c r="O18" s="15"/>
      <c r="P18" s="16">
        <f>C18/C17-1</f>
      </c>
      <c r="Q18" s="16">
        <f>(E18+D18)/C18</f>
      </c>
      <c r="R18" s="16">
        <f>AVERAGE(Q15:Q18)</f>
      </c>
      <c r="S18" s="25">
        <f>SUM(J15:K18)/4</f>
        <v>0</v>
      </c>
      <c r="T18" s="15">
        <f>J18+K18+T17</f>
        <v>0</v>
      </c>
      <c r="U18" s="15">
        <f>-(L18+M18)+U17</f>
        <v>0</v>
      </c>
      <c r="V18" s="17">
        <f>V17</f>
      </c>
      <c r="W18" s="15">
        <f>F18-G18</f>
        <v>0</v>
      </c>
      <c r="X18" s="18"/>
      <c r="Y18" s="24"/>
      <c r="Z18" s="15">
        <v>14.79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SUM(C16:C19)/4</f>
        <v>0</v>
      </c>
      <c r="O19" s="15"/>
      <c r="P19" s="16">
        <f>C19/C18-1</f>
      </c>
      <c r="Q19" s="16">
        <f>(E19+D19)/C19</f>
      </c>
      <c r="R19" s="16">
        <f>AVERAGE(Q16:Q19)</f>
      </c>
      <c r="S19" s="25">
        <f>SUM(J16:K19)/4</f>
        <v>0</v>
      </c>
      <c r="T19" s="15">
        <f>J19+K19+T18</f>
        <v>0</v>
      </c>
      <c r="U19" s="15">
        <f>-(L19+M19)+U18</f>
        <v>0</v>
      </c>
      <c r="V19" s="17">
        <f>V18</f>
      </c>
      <c r="W19" s="15">
        <f>F19-G19</f>
        <v>0</v>
      </c>
      <c r="X19" s="15"/>
      <c r="Y19" s="24"/>
      <c r="Z19" s="15">
        <v>14.1</v>
      </c>
    </row>
    <row r="20" ht="20.05" customHeight="1">
      <c r="B20" s="21">
        <v>2021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f>SUM(C17:C20)/4</f>
        <v>0</v>
      </c>
      <c r="O20" s="15"/>
      <c r="P20" s="16">
        <f>C20/C19-1</f>
      </c>
      <c r="Q20" s="16">
        <f>(E20+D20)/C20</f>
      </c>
      <c r="R20" s="16">
        <f>AVERAGE(Q17:Q20)</f>
      </c>
      <c r="S20" s="25">
        <f>SUM(J17:K20)/4</f>
        <v>0</v>
      </c>
      <c r="T20" s="15">
        <f>J20+K20+T19</f>
        <v>0</v>
      </c>
      <c r="U20" s="15">
        <f>-(L20+M20)+U19</f>
        <v>0</v>
      </c>
      <c r="V20" s="17">
        <f>V19</f>
      </c>
      <c r="W20" s="15">
        <f>F20-G20</f>
        <v>0</v>
      </c>
      <c r="X20" s="15"/>
      <c r="Y20" s="15"/>
      <c r="Z20" s="15">
        <v>14.606</v>
      </c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>
        <f>SUM(C18:C21)/4</f>
        <v>0</v>
      </c>
      <c r="O21" s="15"/>
      <c r="P21" s="16">
        <f>C21/C20-1</f>
      </c>
      <c r="Q21" s="16">
        <f>(E21+D21)/C21</f>
      </c>
      <c r="R21" s="16">
        <f>AVERAGE(Q18:Q21)</f>
      </c>
      <c r="S21" s="25">
        <f>SUM(J18:K21)/4</f>
        <v>0</v>
      </c>
      <c r="T21" s="15">
        <f>J21+K21+T20</f>
        <v>0</v>
      </c>
      <c r="U21" s="15">
        <f>-(L21+M21)+U20</f>
        <v>0</v>
      </c>
      <c r="V21" s="17">
        <f>V20</f>
      </c>
      <c r="W21" s="15">
        <f>F21-G21</f>
        <v>0</v>
      </c>
      <c r="X21" s="15"/>
      <c r="Y21" s="15"/>
      <c r="Z21" s="15">
        <v>14.45</v>
      </c>
    </row>
    <row r="22" ht="20.05" customHeight="1">
      <c r="B22" s="13"/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>
        <f>SUM(C19:C22)/4</f>
        <v>0</v>
      </c>
      <c r="O22" s="15"/>
      <c r="P22" s="16">
        <f>C22/C21-1</f>
      </c>
      <c r="Q22" s="16">
        <f>(E22+D22)/C22</f>
      </c>
      <c r="R22" s="16">
        <f>AVERAGE(Q19:Q22)</f>
      </c>
      <c r="S22" s="25">
        <f>SUM(J19:K22)/4</f>
        <v>0</v>
      </c>
      <c r="T22" s="15">
        <f>J22+K22+T21</f>
        <v>0</v>
      </c>
      <c r="U22" s="15">
        <f>-(L22+M22)+U21</f>
        <v>0</v>
      </c>
      <c r="V22" s="17">
        <f>V21</f>
      </c>
      <c r="W22" s="15">
        <f>F22-G22</f>
        <v>0</v>
      </c>
      <c r="X22" s="15"/>
      <c r="Y22" s="15"/>
      <c r="Z22" s="15">
        <v>14.328</v>
      </c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>
        <f>SUM(C20:C23)/4</f>
        <v>0</v>
      </c>
      <c r="O23" s="15"/>
      <c r="P23" s="16">
        <f>C23/C22-1</f>
      </c>
      <c r="Q23" s="16">
        <f>(E23+D23)/C23</f>
      </c>
      <c r="R23" s="16">
        <f>AVERAGE(Q20:Q23)</f>
      </c>
      <c r="S23" s="25">
        <f>SUM(J20:K23)/4</f>
        <v>0</v>
      </c>
      <c r="T23" s="15">
        <f>J23+K23+T22</f>
        <v>0</v>
      </c>
      <c r="U23" s="15">
        <f>-(L23+M23)+U22</f>
        <v>0</v>
      </c>
      <c r="V23" s="17">
        <f>V22</f>
      </c>
      <c r="W23" s="15">
        <f>F23-G23</f>
        <v>0</v>
      </c>
      <c r="X23" s="15"/>
      <c r="Y23" s="15"/>
      <c r="Z23" s="15">
        <v>14.275</v>
      </c>
    </row>
    <row r="24" ht="20.05" customHeight="1">
      <c r="B24" s="21">
        <v>2022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>
        <f>SUM(C21:C24)/4</f>
        <v>0</v>
      </c>
      <c r="O24" s="15"/>
      <c r="P24" s="16">
        <f>C24/C23-1</f>
      </c>
      <c r="Q24" s="16">
        <f>(E24+D24)/C24</f>
      </c>
      <c r="R24" s="16">
        <f>AVERAGE(Q21:Q24)</f>
      </c>
      <c r="S24" s="25">
        <f>SUM(J21:K24)/4</f>
        <v>0</v>
      </c>
      <c r="T24" s="15">
        <f>J24+K24+T23</f>
        <v>0</v>
      </c>
      <c r="U24" s="15">
        <f>-(L24+M24)+U23</f>
        <v>0</v>
      </c>
      <c r="V24" s="17">
        <f>V23</f>
      </c>
      <c r="W24" s="15">
        <f>F24-G24</f>
        <v>0</v>
      </c>
      <c r="X24" s="15"/>
      <c r="Y24" s="15"/>
      <c r="Z24" s="15">
        <v>14.327</v>
      </c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>
        <f>SUM(C22:C25)/4</f>
        <v>0</v>
      </c>
      <c r="O25" s="15"/>
      <c r="P25" s="16">
        <f>C25/C24-1</f>
      </c>
      <c r="Q25" s="16">
        <f>(E25+D25)/C25</f>
      </c>
      <c r="R25" s="16">
        <f>AVERAGE(Q22:Q25)</f>
      </c>
      <c r="S25" s="25">
        <f>SUM(J22:K25)/4</f>
        <v>0</v>
      </c>
      <c r="T25" s="15">
        <f>J25+K25+T24</f>
        <v>0</v>
      </c>
      <c r="U25" s="15">
        <f>-(L25+M25)+U24</f>
        <v>0</v>
      </c>
      <c r="V25" s="17">
        <f>V24</f>
      </c>
      <c r="W25" s="15">
        <f>F25-G25</f>
        <v>0</v>
      </c>
      <c r="X25" s="15"/>
      <c r="Y25" s="15"/>
      <c r="Z25" s="15">
        <v>14.66</v>
      </c>
    </row>
    <row r="26" ht="20.05" customHeight="1">
      <c r="B26" s="13"/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>
        <f>SUM(C23:C26)/4</f>
        <v>0</v>
      </c>
      <c r="O26" s="15"/>
      <c r="P26" s="16">
        <f>C26/C25-1</f>
      </c>
      <c r="Q26" s="16">
        <f>(E26+D26)/C26</f>
      </c>
      <c r="R26" s="16">
        <f>AVERAGE(Q23:Q26)</f>
      </c>
      <c r="S26" s="25">
        <f>SUM(J23:K26)/4</f>
        <v>0</v>
      </c>
      <c r="T26" s="15">
        <f>J26+K26+T25</f>
        <v>0</v>
      </c>
      <c r="U26" s="15">
        <f>-(L26+M26)+U25</f>
        <v>0</v>
      </c>
      <c r="V26" s="17">
        <f>V25</f>
      </c>
      <c r="W26" s="15">
        <f>F26-G26</f>
        <v>0</v>
      </c>
      <c r="X26" s="15"/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AVERAGE(AC41:AF41)</f>
        <v>0</v>
      </c>
      <c r="P27" s="17"/>
      <c r="Q27" s="17"/>
      <c r="R27" s="17"/>
      <c r="S27" s="25"/>
      <c r="T27" s="17"/>
      <c r="U27" s="17"/>
      <c r="V27" s="17"/>
      <c r="W27" s="26"/>
      <c r="X27" s="15"/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0</v>
      </c>
      <c r="O28" s="15">
        <f>SUM(O17:O26)</f>
        <v>0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AF76</f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26"/>
      <c r="O31" s="17"/>
      <c r="P31" s="17"/>
      <c r="Q31" s="17"/>
      <c r="R31" s="17"/>
      <c r="S31" s="17"/>
      <c r="T31" s="17"/>
      <c r="U31" s="17"/>
      <c r="V31" s="17"/>
      <c r="W31" s="26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5" ht="27.65" customHeight="1">
      <c r="AA35" t="s" s="2">
        <v>21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ht="20.25" customHeight="1">
      <c r="AA36" t="s" s="28">
        <f>B$3</f>
        <v>22</v>
      </c>
      <c r="AB36" t="s" s="29">
        <v>23</v>
      </c>
      <c r="AC36" t="s" s="29">
        <v>24</v>
      </c>
      <c r="AD36" t="s" s="29">
        <v>25</v>
      </c>
      <c r="AE36" t="s" s="29">
        <v>26</v>
      </c>
      <c r="AF36" t="s" s="29">
        <v>23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</row>
    <row r="37" ht="20.25" customHeight="1">
      <c r="AA37" t="s" s="31">
        <v>15</v>
      </c>
      <c r="AB37" s="32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ht="20.05" customHeight="1">
      <c r="AA38" t="s" s="33">
        <v>27</v>
      </c>
      <c r="AB38" s="34"/>
      <c r="AC38" s="17">
        <f>AVERAGE(P23:P26)</f>
      </c>
      <c r="AD38" s="35"/>
      <c r="AE38" s="35"/>
      <c r="AF38" s="35">
        <f>AVERAGE(AC40:AF40)</f>
        <v>0.0125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A39" s="36"/>
      <c r="AB39" s="37"/>
      <c r="AC39" s="35">
        <f>P23</f>
      </c>
      <c r="AD39" s="35">
        <f>P24</f>
      </c>
      <c r="AE39" s="35">
        <f>P25</f>
      </c>
      <c r="AF39" s="35">
        <f>P26</f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A40" t="s" s="33">
        <v>13</v>
      </c>
      <c r="AB40" s="37">
        <f>C26/C25-1</f>
      </c>
      <c r="AC40" s="35">
        <v>0.01</v>
      </c>
      <c r="AD40" s="35">
        <v>-0.01</v>
      </c>
      <c r="AE40" s="35">
        <v>0.02</v>
      </c>
      <c r="AF40" s="35">
        <v>0.03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A41" t="s" s="33">
        <v>28</v>
      </c>
      <c r="AB41" s="38">
        <f>C26</f>
        <v>0</v>
      </c>
      <c r="AC41" s="23">
        <f>C26*(1+AC40)</f>
        <v>0</v>
      </c>
      <c r="AD41" s="23">
        <f>AC41*(1+AD40)</f>
        <v>0</v>
      </c>
      <c r="AE41" s="23">
        <f>AD41*(1+AE40)</f>
        <v>0</v>
      </c>
      <c r="AF41" s="23">
        <f>AE41*(1+AF40)</f>
        <v>0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A42" t="s" s="33">
        <v>14</v>
      </c>
      <c r="AB42" s="37">
        <f>(E26+D26)/C26</f>
      </c>
      <c r="AC42" s="35">
        <f>AVERAGE(R23:R26)</f>
      </c>
      <c r="AD42" s="35">
        <f>AC42</f>
      </c>
      <c r="AE42" s="35">
        <f>AD42</f>
      </c>
      <c r="AF42" s="35">
        <f>AE42</f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A43" t="s" s="33">
        <v>29</v>
      </c>
      <c r="AB43" s="14">
        <f>AVERAGE(K23:K26)</f>
      </c>
      <c r="AC43" s="15">
        <f>AVERAGE(K23)</f>
      </c>
      <c r="AD43" s="15">
        <f>AC43</f>
      </c>
      <c r="AE43" s="15">
        <f>AD43</f>
      </c>
      <c r="AF43" s="15">
        <f>AE43</f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A44" t="s" s="33">
        <v>30</v>
      </c>
      <c r="AB44" s="14"/>
      <c r="AC44" s="15">
        <f>(AC41*AC42)+AC43</f>
      </c>
      <c r="AD44" s="15">
        <f>(AD41*AD42)+AD43</f>
      </c>
      <c r="AE44" s="15">
        <f>(AE41*AE42)+AE43</f>
      </c>
      <c r="AF44" s="15">
        <f>(AF41*AF42)+AF43</f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A45" t="s" s="33">
        <v>31</v>
      </c>
      <c r="AB45" s="14"/>
      <c r="AC45" s="15">
        <f>-G26/20</f>
        <v>0</v>
      </c>
      <c r="AD45" s="15">
        <f>-AC60/20</f>
        <v>0</v>
      </c>
      <c r="AE45" s="15">
        <f>-AD60/20</f>
        <v>0</v>
      </c>
      <c r="AF45" s="15">
        <f>-AE60/20</f>
        <v>0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A46" t="s" s="33">
        <v>32</v>
      </c>
      <c r="AB46" s="39"/>
      <c r="AC46" s="40">
        <v>0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A47" t="s" s="33">
        <v>33</v>
      </c>
      <c r="AB47" s="14"/>
      <c r="AC47" s="15">
        <f>IF(AC55&gt;0,AC55*$AC$46,0)</f>
      </c>
      <c r="AD47" s="15">
        <f>IF(AD55&gt;0,AD55*$AC$46,0)</f>
      </c>
      <c r="AE47" s="15">
        <f>IF(AE55&gt;0,AE55*$AC$46,0)</f>
      </c>
      <c r="AF47" s="15">
        <f>IF(AF55&gt;0,AF55*$AC$46,0)</f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A48" t="s" s="33">
        <v>34</v>
      </c>
      <c r="AB48" s="14"/>
      <c r="AC48" s="15">
        <f>AC44+AC45+AC47</f>
      </c>
      <c r="AD48" s="15">
        <f>AD44+AD45+AD47</f>
      </c>
      <c r="AE48" s="15">
        <f>AE44+AE45+AE47</f>
      </c>
      <c r="AF48" s="15">
        <f>AF44+AF45+AF47</f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A49" t="s" s="33">
        <v>35</v>
      </c>
      <c r="AB49" s="14"/>
      <c r="AC49" s="15">
        <f>-MIN(0,AC48)</f>
      </c>
      <c r="AD49" s="15">
        <f>-MIN(AC61,AD48)</f>
      </c>
      <c r="AE49" s="15">
        <f>-MIN(AD61,AE48)</f>
      </c>
      <c r="AF49" s="15">
        <f>-MIN(AE61,AF48)</f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A50" t="s" s="33">
        <v>36</v>
      </c>
      <c r="AB50" s="14"/>
      <c r="AC50" s="15">
        <f>F26</f>
        <v>0</v>
      </c>
      <c r="AD50" s="15">
        <f>AC52</f>
      </c>
      <c r="AE50" s="15">
        <f>AD52</f>
      </c>
      <c r="AF50" s="15">
        <f>AE52</f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A51" t="s" s="33">
        <v>37</v>
      </c>
      <c r="AB51" s="14"/>
      <c r="AC51" s="15">
        <f>AC44+AC45+AC47+AC49</f>
      </c>
      <c r="AD51" s="15">
        <f>AD44+AD45+AD47+AD49</f>
      </c>
      <c r="AE51" s="15">
        <f>AE44+AE45+AE47+AE49</f>
      </c>
      <c r="AF51" s="15">
        <f>AF44+AF45+AF47+AF49</f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A52" t="s" s="33">
        <v>38</v>
      </c>
      <c r="AB52" s="14"/>
      <c r="AC52" s="15">
        <f>AC50+AC51</f>
      </c>
      <c r="AD52" s="15">
        <f>AD50+AD51</f>
      </c>
      <c r="AE52" s="15">
        <f>AE50+AE51</f>
      </c>
      <c r="AF52" s="15">
        <f>AF50+AF51</f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A53" t="s" s="41">
        <v>4</v>
      </c>
      <c r="AB53" s="14"/>
      <c r="AC53" s="15"/>
      <c r="AD53" s="15"/>
      <c r="AE53" s="1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ht="20.05" customHeight="1">
      <c r="AA54" t="s" s="33">
        <v>3</v>
      </c>
      <c r="AB54" s="14"/>
      <c r="AC54" s="15">
        <f>-AVERAGE(D24:D26)</f>
      </c>
      <c r="AD54" s="15">
        <f>AC54</f>
      </c>
      <c r="AE54" s="15">
        <f>AD54</f>
      </c>
      <c r="AF54" s="15">
        <f>AE54</f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4</v>
      </c>
      <c r="AB55" s="14"/>
      <c r="AC55" s="15">
        <f>(AC41*AC42)+AC54</f>
      </c>
      <c r="AD55" s="15">
        <f>(AD41*AD42)+AD54</f>
      </c>
      <c r="AE55" s="15">
        <f>(AE41*AE42)+AE54</f>
      </c>
      <c r="AF55" s="15">
        <f>(AF41*AF42)+AF54</f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40</v>
      </c>
      <c r="AB57" s="14"/>
      <c r="AC57" s="15">
        <f>H26-F26-AC43</f>
      </c>
      <c r="AD57" s="15">
        <f>AC57-AD43</f>
      </c>
      <c r="AE57" s="15">
        <f>AD57-AE43</f>
      </c>
      <c r="AF57" s="15">
        <f>AE57-AF43</f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41</v>
      </c>
      <c r="AB58" s="14"/>
      <c r="AC58" s="15">
        <f>0-AC54</f>
      </c>
      <c r="AD58" s="15">
        <f>AC58-AD54</f>
      </c>
      <c r="AE58" s="15">
        <f>AD58-AE54</f>
      </c>
      <c r="AF58" s="15">
        <f>AE58-AF54</f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42</v>
      </c>
      <c r="AB59" s="14"/>
      <c r="AC59" s="15">
        <f>AC57-AC58</f>
      </c>
      <c r="AD59" s="15">
        <f>AD57-AD58</f>
      </c>
      <c r="AE59" s="15">
        <f>AE57-AE58</f>
      </c>
      <c r="AF59" s="15">
        <f>AF57-AF58</f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6</v>
      </c>
      <c r="AB60" s="14"/>
      <c r="AC60" s="15">
        <f>G26+AC45</f>
        <v>0</v>
      </c>
      <c r="AD60" s="15">
        <f>AC60+AD45</f>
        <v>0</v>
      </c>
      <c r="AE60" s="15">
        <f>AD60+AE45</f>
        <v>0</v>
      </c>
      <c r="AF60" s="15">
        <f>AE60+AF45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35</v>
      </c>
      <c r="AB61" s="14"/>
      <c r="AC61" s="15">
        <f>AC49</f>
      </c>
      <c r="AD61" s="15">
        <f>AC61+AD49</f>
      </c>
      <c r="AE61" s="15">
        <f>AD61+AE49</f>
      </c>
      <c r="AF61" s="15">
        <f>AE61+AF49</f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11</v>
      </c>
      <c r="AB62" s="14"/>
      <c r="AC62" s="15">
        <f>(H26-G26)+AC55+AC47</f>
      </c>
      <c r="AD62" s="15">
        <f>AC62+AD55+AD47</f>
      </c>
      <c r="AE62" s="15">
        <f>AD62+AE55+AE47</f>
      </c>
      <c r="AF62" s="15">
        <f>AE62+AF55+AF47</f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43</v>
      </c>
      <c r="AB63" s="14"/>
      <c r="AC63" s="15">
        <f>AC60+AC61+AC62-AC52-AC59</f>
      </c>
      <c r="AD63" s="15">
        <f>AD60+AD61+AD62-AD52-AD59</f>
      </c>
      <c r="AE63" s="15">
        <f>AE60+AE61+AE62-AE52-AE59</f>
      </c>
      <c r="AF63" s="15">
        <f>AF60+AF61+AF62-AF52-AF59</f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18</v>
      </c>
      <c r="AB64" s="14"/>
      <c r="AC64" s="15">
        <f>AC52-AC60-AC61</f>
      </c>
      <c r="AD64" s="15">
        <f>AD52-AD60-AD61</f>
      </c>
      <c r="AE64" s="15">
        <f>AE52-AE60-AE61</f>
      </c>
      <c r="AF64" s="15">
        <f>AF52-AF60-AF61</f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44</v>
      </c>
      <c r="AB65" s="14"/>
      <c r="AC65" s="15">
        <f>AC45+AC47+AC49</f>
      </c>
      <c r="AD65" s="15">
        <f>AD45+AD47+AD49</f>
      </c>
      <c r="AE65" s="15">
        <f>AE45+AE47+AE49</f>
      </c>
      <c r="AF65" s="15">
        <f>AF45+AF47+AF49</f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s="42">
        <f>X$3</f>
        <v>0</v>
      </c>
      <c r="AB67" s="14"/>
      <c r="AC67" s="15"/>
      <c r="AD67" s="15"/>
      <c r="AE67" s="15"/>
      <c r="AF67" s="17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46</v>
      </c>
      <c r="AB68" s="14"/>
      <c r="AC68" s="15"/>
      <c r="AD68" s="15"/>
      <c r="AE68" s="15"/>
      <c r="AF68" s="17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47</v>
      </c>
      <c r="AB69" s="14"/>
      <c r="AC69" s="15"/>
      <c r="AD69" s="15"/>
      <c r="AE69" s="15"/>
      <c r="AF69" s="15">
        <f>AF68/AF67</f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48</v>
      </c>
      <c r="AB70" s="14"/>
      <c r="AC70" s="15"/>
      <c r="AD70" s="15"/>
      <c r="AE70" s="15"/>
      <c r="AF70" s="43">
        <f>AF68/(AF52+AF59)</f>
      </c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</row>
    <row r="71" ht="20.05" customHeight="1">
      <c r="AA71" t="s" s="33">
        <v>49</v>
      </c>
      <c r="AB71" s="14"/>
      <c r="AC71" s="15"/>
      <c r="AD71" s="15"/>
      <c r="AE71" s="15"/>
      <c r="AF71" s="16">
        <f>-(AC47+AD47+AE47+AF47)/AF68</f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ht="20.05" customHeight="1">
      <c r="AA72" t="s" s="33">
        <v>50</v>
      </c>
      <c r="AB72" s="14"/>
      <c r="AC72" s="15"/>
      <c r="AD72" s="15"/>
      <c r="AE72" s="15">
        <f>SUM(J23:K26)</f>
        <v>0</v>
      </c>
      <c r="AF72" s="15">
        <f>SUM(AC44:AF44)</f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51</v>
      </c>
      <c r="AB73" s="14"/>
      <c r="AC73" s="15"/>
      <c r="AD73" s="15"/>
      <c r="AE73" s="15"/>
      <c r="AF73" s="15">
        <f>AF59/AF72</f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52</v>
      </c>
      <c r="AB74" s="14"/>
      <c r="AC74" s="15"/>
      <c r="AD74" s="15"/>
      <c r="AE74" s="15">
        <f>AF68/AF72</f>
      </c>
      <c r="AF74" s="15">
        <v>10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53</v>
      </c>
      <c r="AB75" s="14"/>
      <c r="AC75" s="15"/>
      <c r="AD75" s="15"/>
      <c r="AE75" s="15"/>
      <c r="AF75" s="15">
        <f>AF72*AF74</f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54</v>
      </c>
      <c r="AB76" s="14"/>
      <c r="AC76" s="15"/>
      <c r="AD76" s="15"/>
      <c r="AE76" s="15"/>
      <c r="AF76" s="15">
        <f>(AF75/AF69)</f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55</v>
      </c>
      <c r="AB77" s="38"/>
      <c r="AC77" s="23"/>
      <c r="AD77" s="23"/>
      <c r="AE77" s="23"/>
      <c r="AF77" s="16">
        <f>AF76/AF67-1</f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A78" t="s" s="33">
        <v>56</v>
      </c>
      <c r="AB78" s="38"/>
      <c r="AC78" s="23"/>
      <c r="AD78" s="23"/>
      <c r="AE78" s="23"/>
      <c r="AF78" s="16">
        <f>C26/C22-1</f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A79" t="s" s="33">
        <v>57</v>
      </c>
      <c r="AB79" s="38"/>
      <c r="AC79" s="23"/>
      <c r="AD79" s="23"/>
      <c r="AE79" s="23"/>
      <c r="AF79" s="16">
        <f>O28/N28-1</f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A80" s="36"/>
      <c r="AB80" s="38"/>
      <c r="AC80" s="23"/>
      <c r="AD80" s="23"/>
      <c r="AE80" s="23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A81" s="36"/>
      <c r="AB81" s="38"/>
      <c r="AC81" s="26">
        <f>$AA67</f>
        <v>0</v>
      </c>
      <c r="AD81" t="s" s="44">
        <f>AC103</f>
        <v>15</v>
      </c>
      <c r="AE81" t="s" s="44">
        <f>AD103</f>
        <v>58</v>
      </c>
      <c r="AF81" t="s" s="44">
        <f>AE103</f>
        <v>59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ht="20.05" customHeight="1">
      <c r="AA82" s="36"/>
      <c r="AB82" s="45"/>
      <c r="AC82" t="s" s="44">
        <v>60</v>
      </c>
      <c r="AD82" s="17">
        <f>AF67</f>
      </c>
      <c r="AE82" t="s" s="44">
        <v>61</v>
      </c>
      <c r="AF82" s="17">
        <f>AF76</f>
      </c>
      <c r="AG82" s="17">
        <f>IF(AH82&gt;0,"+","")</f>
      </c>
      <c r="AH82" s="16">
        <f>AF82/AD82-1</f>
      </c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20.05" customHeight="1">
      <c r="AA83" s="36"/>
      <c r="AB83" s="46"/>
      <c r="AC83" s="47">
        <f>TODAY()</f>
        <v>44942</v>
      </c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32.05" customHeight="1">
      <c r="AA84" s="36"/>
      <c r="AB84" s="34"/>
      <c r="AC84" t="s" s="44">
        <v>62</v>
      </c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32.05" customHeight="1">
      <c r="AA85" s="36"/>
      <c r="AB85" s="34"/>
      <c r="AC85" t="s" s="44">
        <v>63</v>
      </c>
      <c r="AD85" t="s" s="44">
        <v>64</v>
      </c>
      <c r="AE85" s="17">
        <f>IF(AF85&gt;0,"+","")</f>
      </c>
      <c r="AF85" s="16">
        <f>AK92/AC92-1</f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32.05" customHeight="1">
      <c r="AA86" s="36"/>
      <c r="AB86" s="34"/>
      <c r="AC86" t="s" s="44">
        <v>63</v>
      </c>
      <c r="AD86" t="s" s="44">
        <v>65</v>
      </c>
      <c r="AE86" s="17">
        <f>IF(AF86&gt;0,"+","")</f>
      </c>
      <c r="AF86" s="16">
        <f>(AE107+AE108+AG107+AG108+AI107+AI108+AK107+AK108)/AD124</f>
      </c>
      <c r="AG86" t="s" s="44">
        <v>66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68.05" customHeight="1">
      <c r="AA87" s="36"/>
      <c r="AB87" s="34"/>
      <c r="AC87" t="s" s="44">
        <v>63</v>
      </c>
      <c r="AD87" t="s" s="44">
        <v>67</v>
      </c>
      <c r="AE87" s="17">
        <f>IF(AF87&gt;0,"+","")</f>
      </c>
      <c r="AF87" s="16">
        <f>(AE121+AE122+AG121+AG122+AI121+AI122+AK121+AK122)/AD124</f>
      </c>
      <c r="AG87" t="s" s="44">
        <f>AG86</f>
        <v>66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44.05" customHeight="1">
      <c r="AA88" s="36"/>
      <c r="AB88" s="34"/>
      <c r="AC88" t="s" s="44">
        <v>68</v>
      </c>
      <c r="AD88" t="s" s="44">
        <v>69</v>
      </c>
      <c r="AE88" s="16">
        <f>AN117/AD124</f>
      </c>
      <c r="AF88" t="s" s="44">
        <f>AG87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A89" s="36"/>
      <c r="AB89" s="34"/>
      <c r="AC89" t="s" s="44">
        <v>28</v>
      </c>
      <c r="AD89" s="17">
        <f>AD93</f>
      </c>
      <c r="AE89" s="17">
        <f>AE93</f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68.05" customHeight="1">
      <c r="AA90" s="36"/>
      <c r="AB90" s="34"/>
      <c r="AC90" t="s" s="44">
        <v>70</v>
      </c>
      <c r="AD90" t="s" s="44">
        <v>71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20.05" customHeight="1">
      <c r="AA91" s="36"/>
      <c r="AB91" s="34"/>
      <c r="AC91" s="16">
        <f>P22</f>
      </c>
      <c r="AD91" s="16">
        <f>P23</f>
      </c>
      <c r="AE91" s="16">
        <f>P24</f>
      </c>
      <c r="AF91" s="16">
        <f>P25</f>
      </c>
      <c r="AG91" s="16">
        <f>P26</f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32.05" customHeight="1">
      <c r="AA92" s="36"/>
      <c r="AB92" s="34"/>
      <c r="AC92" s="15">
        <f>C22</f>
        <v>0</v>
      </c>
      <c r="AD92" t="s" s="44">
        <v>72</v>
      </c>
      <c r="AE92" s="15">
        <f>C23</f>
        <v>0</v>
      </c>
      <c r="AF92" t="s" s="44">
        <v>72</v>
      </c>
      <c r="AG92" s="15">
        <f>C24</f>
        <v>0</v>
      </c>
      <c r="AH92" t="s" s="44">
        <v>72</v>
      </c>
      <c r="AI92" s="15">
        <f>C25</f>
        <v>0</v>
      </c>
      <c r="AJ92" t="s" s="44">
        <v>72</v>
      </c>
      <c r="AK92" s="15">
        <f>C26</f>
        <v>0</v>
      </c>
      <c r="AL92" t="s" s="48">
        <f>AA$36</f>
        <v>22</v>
      </c>
      <c r="AM92" s="17"/>
      <c r="AN92" s="17"/>
      <c r="AO92" s="17"/>
      <c r="AP92" s="17"/>
      <c r="AQ92" s="17"/>
      <c r="AR92" s="17"/>
      <c r="AS92" s="17"/>
      <c r="AT92" s="17"/>
    </row>
    <row r="93" ht="56.05" customHeight="1">
      <c r="AA93" s="36"/>
      <c r="AB93" s="34"/>
      <c r="AC93" t="s" s="44">
        <v>2</v>
      </c>
      <c r="AD93" s="17">
        <f>IF(AE93&lt;0,"declined","grew")</f>
      </c>
      <c r="AE93" s="16">
        <f>AK92/AI92-1</f>
      </c>
      <c r="AF93" t="s" s="44">
        <v>73</v>
      </c>
      <c r="AG93" t="s" s="44">
        <v>74</v>
      </c>
      <c r="AH93" t="s" s="44">
        <v>75</v>
      </c>
      <c r="AI93" t="s" s="44">
        <v>76</v>
      </c>
      <c r="AJ93" s="15">
        <f>AK92</f>
        <v>0</v>
      </c>
      <c r="AK93" t="s" s="48">
        <f>AL92</f>
        <v>22</v>
      </c>
      <c r="AL93" t="s" s="44">
        <v>77</v>
      </c>
      <c r="AM93" s="17">
        <f>IF(AN93&gt;0,"+","")</f>
      </c>
      <c r="AN93" s="17">
        <f>AF79</f>
      </c>
      <c r="AO93" t="s" s="44">
        <v>78</v>
      </c>
      <c r="AP93" s="17"/>
      <c r="AQ93" s="17"/>
      <c r="AR93" s="17"/>
      <c r="AS93" s="17"/>
      <c r="AT93" s="17"/>
    </row>
    <row r="94" ht="56.05" customHeight="1">
      <c r="AA94" s="36"/>
      <c r="AB94" s="34"/>
      <c r="AC94" t="s" s="44">
        <v>79</v>
      </c>
      <c r="AD94" s="17">
        <f>AVERAGE(AD91:AG91)</f>
      </c>
      <c r="AE94" t="s" s="44">
        <v>80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56.05" customHeight="1">
      <c r="AA95" s="36"/>
      <c r="AB95" s="34"/>
      <c r="AC95" t="s" s="44">
        <v>81</v>
      </c>
      <c r="AD95" s="35">
        <f>AF38</f>
        <v>0.0125</v>
      </c>
      <c r="AE95" t="s" s="44">
        <v>82</v>
      </c>
      <c r="AF95" t="s" s="44">
        <v>83</v>
      </c>
      <c r="AG95" s="23">
        <f>AF41</f>
        <v>0</v>
      </c>
      <c r="AH95" t="s" s="48">
        <f>AL92</f>
        <v>22</v>
      </c>
      <c r="AI95" t="s" s="44">
        <v>84</v>
      </c>
      <c r="AJ95" t="s" s="44">
        <f>AG93</f>
        <v>74</v>
      </c>
      <c r="AK95" t="s" s="44">
        <f>AH93</f>
        <v>75</v>
      </c>
      <c r="AL95" t="s" s="44">
        <v>85</v>
      </c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A96" s="36"/>
      <c r="AB96" s="34"/>
      <c r="AC96" t="s" s="44">
        <v>14</v>
      </c>
      <c r="AD96" s="17">
        <f>IF(AF100&lt;AD100,"down","up")</f>
      </c>
      <c r="AE96" t="s" s="44">
        <v>86</v>
      </c>
      <c r="AF96" t="s" s="44">
        <f>IF(AJ100&gt;AH100,"up","down")</f>
        <v>87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44.05" customHeight="1">
      <c r="AA97" s="36"/>
      <c r="AB97" s="34"/>
      <c r="AC97" t="s" s="44">
        <f>AC90</f>
        <v>70</v>
      </c>
      <c r="AD97" t="s" s="44">
        <v>88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20.05" customHeight="1">
      <c r="AA98" s="36"/>
      <c r="AB98" s="34"/>
      <c r="AC98" s="16">
        <f>(D22+E22)/C22</f>
      </c>
      <c r="AD98" s="16">
        <f>(D23+E23)/C23</f>
      </c>
      <c r="AE98" s="16">
        <f>((E24+D24)/C24)</f>
      </c>
      <c r="AF98" s="16">
        <f>(D25+E25)/C25</f>
      </c>
      <c r="AG98" s="16">
        <f>(D26+E26)/C26</f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s="15">
        <f>E22</f>
        <v>0</v>
      </c>
      <c r="AD99" t="s" s="44">
        <v>72</v>
      </c>
      <c r="AE99" s="15">
        <f>E23</f>
        <v>0</v>
      </c>
      <c r="AF99" t="s" s="44">
        <v>72</v>
      </c>
      <c r="AG99" s="15">
        <f>E24</f>
        <v>0</v>
      </c>
      <c r="AH99" t="s" s="44">
        <v>72</v>
      </c>
      <c r="AI99" s="15">
        <f>E25</f>
        <v>0</v>
      </c>
      <c r="AJ99" t="s" s="44">
        <v>72</v>
      </c>
      <c r="AK99" s="15">
        <f>E26</f>
        <v>0</v>
      </c>
      <c r="AL99" t="s" s="48">
        <f>AL92</f>
        <v>22</v>
      </c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89</v>
      </c>
      <c r="AD100" s="16">
        <f>AF98</f>
      </c>
      <c r="AE100" t="s" s="44">
        <v>76</v>
      </c>
      <c r="AF100" s="17">
        <f>AG98</f>
      </c>
      <c r="AG100" t="s" s="44">
        <v>90</v>
      </c>
      <c r="AH100" s="15">
        <f>AI99</f>
        <v>0</v>
      </c>
      <c r="AI100" t="s" s="44">
        <v>76</v>
      </c>
      <c r="AJ100" s="15">
        <f>AK99</f>
        <v>0</v>
      </c>
      <c r="AK100" t="s" s="48">
        <f>AH95</f>
        <v>22</v>
      </c>
      <c r="AL100" t="s" s="44">
        <v>73</v>
      </c>
      <c r="AM100" t="s" s="44">
        <f>AJ95</f>
        <v>74</v>
      </c>
      <c r="AN100" t="s" s="44">
        <v>91</v>
      </c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92</v>
      </c>
      <c r="AD101" s="17">
        <f>AVERAGE(AD98:AG98)</f>
      </c>
      <c r="AE101" t="s" s="44">
        <v>78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44.05" customHeight="1">
      <c r="AA102" s="36"/>
      <c r="AB102" s="34"/>
      <c r="AC102" t="s" s="44">
        <v>93</v>
      </c>
      <c r="AD102" s="17">
        <f>AC42</f>
      </c>
      <c r="AE102" t="s" s="44">
        <v>94</v>
      </c>
      <c r="AF102" s="17">
        <f>AF55</f>
      </c>
      <c r="AG102" t="s" s="48">
        <f>AK100</f>
        <v>22</v>
      </c>
      <c r="AH102" t="s" s="44">
        <v>95</v>
      </c>
      <c r="AI102" t="s" s="44">
        <f>AM100</f>
        <v>74</v>
      </c>
      <c r="AJ102" t="s" s="44">
        <f>AH93</f>
        <v>75</v>
      </c>
      <c r="AK102" t="s" s="44">
        <f>AL95</f>
        <v>85</v>
      </c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t="s" s="44">
        <v>15</v>
      </c>
      <c r="AD103" t="s" s="44">
        <f>IF(AD105&gt;AC105,"more","less")</f>
        <v>58</v>
      </c>
      <c r="AE103" t="s" s="44">
        <f>IF(AF109&lt;0,"negative","positive")</f>
        <v>59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A104" s="36"/>
      <c r="AB104" s="34"/>
      <c r="AC104" s="17"/>
      <c r="AD104" s="15">
        <f>ABS(AD109)</f>
        <v>0</v>
      </c>
      <c r="AE104" s="15">
        <f>ABS(AF109)</f>
        <v>0</v>
      </c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A105" s="36"/>
      <c r="AB105" s="34"/>
      <c r="AC105" s="15">
        <f>ABS(AD109)</f>
        <v>0</v>
      </c>
      <c r="AD105" s="15">
        <f>ABS(AF109)</f>
        <v>0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f>AC97</f>
        <v>70</v>
      </c>
      <c r="AD106" t="s" s="44">
        <v>96</v>
      </c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32.05" customHeight="1">
      <c r="AA107" s="36"/>
      <c r="AB107" s="34"/>
      <c r="AC107" s="15">
        <f>J22</f>
        <v>0</v>
      </c>
      <c r="AD107" t="s" s="44">
        <v>72</v>
      </c>
      <c r="AE107" s="15">
        <f>J23</f>
        <v>0</v>
      </c>
      <c r="AF107" t="s" s="44">
        <v>72</v>
      </c>
      <c r="AG107" s="15">
        <f>J24</f>
        <v>0</v>
      </c>
      <c r="AH107" t="s" s="44">
        <v>72</v>
      </c>
      <c r="AI107" s="15">
        <f>J25</f>
        <v>0</v>
      </c>
      <c r="AJ107" t="s" s="44">
        <v>72</v>
      </c>
      <c r="AK107" s="15">
        <f>J26</f>
        <v>0</v>
      </c>
      <c r="AL107" t="s" s="48">
        <f>AL92</f>
        <v>22</v>
      </c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A108" s="36"/>
      <c r="AB108" s="34"/>
      <c r="AC108" s="15">
        <f>K22</f>
        <v>0</v>
      </c>
      <c r="AD108" t="s" s="44">
        <v>72</v>
      </c>
      <c r="AE108" s="15">
        <f>K23</f>
        <v>0</v>
      </c>
      <c r="AF108" t="s" s="44">
        <v>72</v>
      </c>
      <c r="AG108" s="15">
        <f>K24</f>
        <v>0</v>
      </c>
      <c r="AH108" t="s" s="44">
        <v>72</v>
      </c>
      <c r="AI108" s="15">
        <f>K25</f>
        <v>0</v>
      </c>
      <c r="AJ108" t="s" s="44">
        <v>72</v>
      </c>
      <c r="AK108" s="15">
        <f>K26</f>
        <v>0</v>
      </c>
      <c r="AL108" t="s" s="48">
        <f>AL107</f>
        <v>22</v>
      </c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v>97</v>
      </c>
      <c r="AD109" s="15">
        <f>AI107+AI108</f>
        <v>0</v>
      </c>
      <c r="AE109" t="s" s="44">
        <v>76</v>
      </c>
      <c r="AF109" s="15">
        <f>AK107+AK108</f>
        <v>0</v>
      </c>
      <c r="AG109" t="s" s="48">
        <f>AG102</f>
        <v>22</v>
      </c>
      <c r="AH109" t="s" s="44">
        <v>84</v>
      </c>
      <c r="AI109" t="s" s="44">
        <f>AI102</f>
        <v>74</v>
      </c>
      <c r="AJ109" t="s" s="44">
        <v>98</v>
      </c>
      <c r="AK109" s="15">
        <f>AK108</f>
        <v>0</v>
      </c>
      <c r="AL109" t="s" s="48">
        <f>AL92</f>
        <v>22</v>
      </c>
      <c r="AM109" t="s" s="44">
        <v>99</v>
      </c>
      <c r="AN109" s="17"/>
      <c r="AO109" s="17"/>
      <c r="AP109" s="17"/>
      <c r="AQ109" s="17"/>
      <c r="AR109" s="17"/>
      <c r="AS109" s="17"/>
      <c r="AT109" s="17"/>
    </row>
    <row r="110" ht="56.05" customHeight="1">
      <c r="AA110" s="36"/>
      <c r="AB110" s="34"/>
      <c r="AC110" t="s" s="44">
        <v>100</v>
      </c>
      <c r="AD110" s="15">
        <f>(AE107+AE108+AG107+AG108+AI107+AI108+AK107+AK108)/4</f>
        <v>0</v>
      </c>
      <c r="AE110" t="s" s="48">
        <f>AL92</f>
        <v>22</v>
      </c>
      <c r="AF110" t="s" s="44">
        <v>78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101</v>
      </c>
      <c r="AD111" s="17">
        <f>AC43</f>
      </c>
      <c r="AE111" t="s" s="48">
        <f>AE110</f>
        <v>22</v>
      </c>
      <c r="AF111" t="s" s="44">
        <v>102</v>
      </c>
      <c r="AG111" t="s" s="44">
        <v>103</v>
      </c>
      <c r="AH111" t="s" s="44">
        <f>IF(AG95&gt;AJ93,"higher","lower")</f>
        <v>104</v>
      </c>
      <c r="AI111" t="s" s="44">
        <v>105</v>
      </c>
      <c r="AJ111" s="17">
        <f>SUM(AC44:AF44)/4</f>
      </c>
      <c r="AK111" t="s" s="48">
        <f>AE111</f>
        <v>22</v>
      </c>
      <c r="AL111" t="s" s="44">
        <v>106</v>
      </c>
      <c r="AM111" t="s" s="44">
        <v>107</v>
      </c>
      <c r="AN111" s="17"/>
      <c r="AO111" s="17"/>
      <c r="AP111" s="17"/>
      <c r="AQ111" s="17"/>
      <c r="AR111" s="17"/>
      <c r="AS111" s="17"/>
      <c r="AT111" s="17"/>
    </row>
    <row r="112" ht="20.05" customHeight="1">
      <c r="AA112" s="36"/>
      <c r="AB112" s="34"/>
      <c r="AC112" t="s" s="44">
        <v>18</v>
      </c>
      <c r="AD112" t="s" s="44">
        <f>AK117</f>
        <v>108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32.05" customHeight="1">
      <c r="AA113" s="36"/>
      <c r="AB113" s="34"/>
      <c r="AC113" t="s" s="44">
        <f>AC90</f>
        <v>70</v>
      </c>
      <c r="AD113" t="s" s="44">
        <v>109</v>
      </c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F22</f>
        <v>0</v>
      </c>
      <c r="AD114" t="s" s="44">
        <v>72</v>
      </c>
      <c r="AE114" s="15">
        <f>F23</f>
        <v>0</v>
      </c>
      <c r="AF114" t="s" s="44">
        <v>72</v>
      </c>
      <c r="AG114" s="15">
        <f>F24</f>
        <v>0</v>
      </c>
      <c r="AH114" t="s" s="44">
        <v>72</v>
      </c>
      <c r="AI114" s="15">
        <f>F25</f>
        <v>0</v>
      </c>
      <c r="AJ114" t="s" s="44">
        <v>72</v>
      </c>
      <c r="AK114" s="15">
        <f>F26</f>
        <v>0</v>
      </c>
      <c r="AL114" t="s" s="48">
        <f>AL92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32.05" customHeight="1">
      <c r="AA115" s="36"/>
      <c r="AB115" s="34"/>
      <c r="AC115" s="15">
        <f>G22</f>
        <v>0</v>
      </c>
      <c r="AD115" t="s" s="44">
        <v>72</v>
      </c>
      <c r="AE115" s="15">
        <f>G23</f>
        <v>0</v>
      </c>
      <c r="AF115" t="s" s="44">
        <v>72</v>
      </c>
      <c r="AG115" s="15">
        <f>G24</f>
        <v>0</v>
      </c>
      <c r="AH115" t="s" s="44">
        <v>72</v>
      </c>
      <c r="AI115" s="15">
        <f>G25</f>
        <v>0</v>
      </c>
      <c r="AJ115" t="s" s="44">
        <v>72</v>
      </c>
      <c r="AK115" s="15">
        <f>G26</f>
        <v>0</v>
      </c>
      <c r="AL115" t="s" s="48">
        <f>AL114</f>
        <v>22</v>
      </c>
      <c r="AM115" s="17"/>
      <c r="AN115" s="17"/>
      <c r="AO115" s="17"/>
      <c r="AP115" s="17"/>
      <c r="AQ115" s="17"/>
      <c r="AR115" s="17"/>
      <c r="AS115" s="17"/>
      <c r="AT115" s="17"/>
    </row>
    <row r="116" ht="32.05" customHeight="1">
      <c r="AA116" s="36"/>
      <c r="AB116" s="34"/>
      <c r="AC116" t="s" s="44">
        <v>110</v>
      </c>
      <c r="AD116" t="s" s="44">
        <f>IF(AG116&lt;AE116,"declined","increased")</f>
        <v>111</v>
      </c>
      <c r="AE116" s="15">
        <f>AI114</f>
        <v>0</v>
      </c>
      <c r="AF116" t="s" s="44">
        <v>76</v>
      </c>
      <c r="AG116" s="15">
        <f>AK114</f>
        <v>0</v>
      </c>
      <c r="AH116" t="s" s="48">
        <f>AK111</f>
        <v>22</v>
      </c>
      <c r="AI116" t="s" s="44">
        <v>84</v>
      </c>
      <c r="AJ116" t="s" s="44">
        <f>AG93</f>
        <v>74</v>
      </c>
      <c r="AK116" t="s" s="44">
        <f>AN100</f>
        <v>91</v>
      </c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32.05" customHeight="1">
      <c r="AA117" s="36"/>
      <c r="AB117" s="34"/>
      <c r="AC117" t="s" s="44">
        <v>112</v>
      </c>
      <c r="AD117" t="s" s="44">
        <f>IF(AG117&lt;AE117,"declined","increased")</f>
        <v>111</v>
      </c>
      <c r="AE117" s="15">
        <f>AI115</f>
        <v>0</v>
      </c>
      <c r="AF117" t="s" s="44">
        <v>76</v>
      </c>
      <c r="AG117" s="15">
        <f>AK115</f>
        <v>0</v>
      </c>
      <c r="AH117" t="s" s="48">
        <f>AH116</f>
        <v>22</v>
      </c>
      <c r="AI117" t="s" s="44">
        <v>113</v>
      </c>
      <c r="AJ117" t="s" s="44">
        <v>114</v>
      </c>
      <c r="AK117" t="s" s="44">
        <f>IF(AN117&lt;AL117,"down","up")</f>
        <v>108</v>
      </c>
      <c r="AL117" s="15">
        <f>AE116-AE117</f>
        <v>0</v>
      </c>
      <c r="AM117" t="s" s="44">
        <v>76</v>
      </c>
      <c r="AN117" s="15">
        <f>AG116-AG117</f>
        <v>0</v>
      </c>
      <c r="AO117" t="s" s="48">
        <f>AH117</f>
        <v>22</v>
      </c>
      <c r="AP117" t="s" s="44">
        <v>115</v>
      </c>
      <c r="AQ117" s="17"/>
      <c r="AR117" s="17"/>
      <c r="AS117" s="17"/>
      <c r="AT117" s="17"/>
    </row>
    <row r="118" ht="56.05" customHeight="1">
      <c r="AA118" s="36"/>
      <c r="AB118" s="34"/>
      <c r="AC118" t="s" s="44">
        <v>116</v>
      </c>
      <c r="AD118" s="17">
        <f>SUM(AC47:AF47)</f>
      </c>
      <c r="AE118" t="s" s="48">
        <f>AH117</f>
        <v>22</v>
      </c>
      <c r="AF118" t="s" s="44">
        <v>117</v>
      </c>
      <c r="AG118" s="17">
        <f>IF(AH118&gt;0,"+","")</f>
      </c>
      <c r="AH118" s="17">
        <f>AC45+AD45+AE45+AF45+AC49+AD49+AE49+AF49</f>
      </c>
      <c r="AI118" t="s" s="48">
        <f>AO117</f>
        <v>22</v>
      </c>
      <c r="AJ118" t="s" s="44">
        <v>118</v>
      </c>
      <c r="AK118" t="s" s="44">
        <v>119</v>
      </c>
      <c r="AL118" s="17">
        <f>AF64</f>
      </c>
      <c r="AM118" t="s" s="48">
        <f>AH117</f>
        <v>22</v>
      </c>
      <c r="AN118" t="s" s="44">
        <v>120</v>
      </c>
      <c r="AO118" s="17"/>
      <c r="AP118" s="17"/>
      <c r="AQ118" s="17"/>
      <c r="AR118" s="17"/>
      <c r="AS118" s="17"/>
      <c r="AT118" s="17"/>
    </row>
    <row r="119" ht="20.05" customHeight="1">
      <c r="AA119" s="36"/>
      <c r="AB119" s="34"/>
      <c r="AC119" t="s" s="44">
        <v>17</v>
      </c>
      <c r="AD119" t="s" s="44">
        <f>AD123</f>
        <v>121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68.05" customHeight="1">
      <c r="AA120" s="36"/>
      <c r="AB120" s="34"/>
      <c r="AC120" t="s" s="44">
        <f>AC90</f>
        <v>70</v>
      </c>
      <c r="AD120" t="s" s="44">
        <v>122</v>
      </c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-L22</f>
        <v>0</v>
      </c>
      <c r="AD121" t="s" s="44">
        <v>72</v>
      </c>
      <c r="AE121" s="15">
        <f>-L23</f>
        <v>0</v>
      </c>
      <c r="AF121" t="s" s="44">
        <v>72</v>
      </c>
      <c r="AG121" s="15">
        <f>-L24</f>
        <v>0</v>
      </c>
      <c r="AH121" t="s" s="44">
        <v>72</v>
      </c>
      <c r="AI121" s="15">
        <f>-L25</f>
        <v>0</v>
      </c>
      <c r="AJ121" t="s" s="44">
        <v>72</v>
      </c>
      <c r="AK121" s="15">
        <f>-L26</f>
        <v>0</v>
      </c>
      <c r="AL121" t="s" s="48">
        <f>AL92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s="15">
        <f>-M22</f>
        <v>0</v>
      </c>
      <c r="AD122" t="s" s="44">
        <v>72</v>
      </c>
      <c r="AE122" s="15">
        <f>-M23</f>
        <v>0</v>
      </c>
      <c r="AF122" t="s" s="44">
        <v>72</v>
      </c>
      <c r="AG122" s="15">
        <f>-M24</f>
        <v>0</v>
      </c>
      <c r="AH122" t="s" s="44">
        <v>72</v>
      </c>
      <c r="AI122" s="15">
        <f>-M25</f>
        <v>0</v>
      </c>
      <c r="AJ122" t="s" s="44">
        <v>72</v>
      </c>
      <c r="AK122" s="15">
        <f>-M26</f>
        <v>0</v>
      </c>
      <c r="AL122" t="s" s="48">
        <f>AL121</f>
        <v>22</v>
      </c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s="26">
        <f>AC81</f>
        <v>0</v>
      </c>
      <c r="AD123" t="s" s="44">
        <f>IF(AE123&gt;0,"paid","(raised)")</f>
        <v>121</v>
      </c>
      <c r="AE123" s="15">
        <f>SUM(AK121:AK122)</f>
        <v>0</v>
      </c>
      <c r="AF123" t="s" s="48">
        <f>AL92</f>
        <v>22</v>
      </c>
      <c r="AG123" t="s" s="44">
        <f>AF93</f>
        <v>73</v>
      </c>
      <c r="AH123" t="s" s="44">
        <f>AG93</f>
        <v>74</v>
      </c>
      <c r="AI123" t="s" s="44">
        <f>AH93</f>
        <v>75</v>
      </c>
      <c r="AJ123" s="15">
        <f>AK121</f>
        <v>0</v>
      </c>
      <c r="AK123" t="s" s="48">
        <f>AL92</f>
        <v>22</v>
      </c>
      <c r="AL123" t="s" s="44">
        <v>123</v>
      </c>
      <c r="AM123" s="15">
        <f>AK122</f>
        <v>0</v>
      </c>
      <c r="AN123" t="s" s="48">
        <f>AL92</f>
        <v>22</v>
      </c>
      <c r="AO123" t="s" s="44">
        <v>124</v>
      </c>
      <c r="AP123" t="s" s="44">
        <v>125</v>
      </c>
      <c r="AQ123" s="17">
        <f>IF(AR123&gt;0,"pay","raise")</f>
      </c>
      <c r="AR123" s="17">
        <f>-SUM(AC65:AF65)</f>
      </c>
      <c r="AS123" t="s" s="48">
        <f>AL92</f>
        <v>22</v>
      </c>
      <c r="AT123" t="s" s="44">
        <v>126</v>
      </c>
    </row>
    <row r="124" ht="56.05" customHeight="1">
      <c r="AA124" s="36"/>
      <c r="AB124" s="34"/>
      <c r="AC124" t="s" s="44">
        <v>127</v>
      </c>
      <c r="AD124" s="17">
        <f>AF68</f>
      </c>
      <c r="AE124" t="s" s="48">
        <f>AL92</f>
        <v>22</v>
      </c>
      <c r="AF124" t="s" s="44">
        <v>128</v>
      </c>
      <c r="AG124" t="s" s="44">
        <v>129</v>
      </c>
      <c r="AH124" s="17">
        <f>AF70</f>
      </c>
      <c r="AI124" t="s" s="44">
        <v>130</v>
      </c>
      <c r="AJ124" t="s" s="44">
        <v>131</v>
      </c>
      <c r="AK124" t="s" s="44">
        <v>132</v>
      </c>
      <c r="AL124" s="17">
        <f>AF73</f>
      </c>
      <c r="AM124" t="s" s="44">
        <v>133</v>
      </c>
      <c r="AN124" s="16">
        <f>-AD118/AD124</f>
      </c>
      <c r="AO124" t="s" s="44">
        <v>134</v>
      </c>
      <c r="AP124" s="17"/>
      <c r="AQ124" s="17"/>
      <c r="AR124" s="17"/>
      <c r="AS124" s="17"/>
      <c r="AT124" s="17"/>
    </row>
    <row r="125" ht="56.05" customHeight="1">
      <c r="AA125" s="36"/>
      <c r="AB125" s="34"/>
      <c r="AC125" t="s" s="44">
        <v>135</v>
      </c>
      <c r="AD125" s="17">
        <f>AF72</f>
      </c>
      <c r="AE125" t="s" s="48">
        <f>AE124</f>
        <v>22</v>
      </c>
      <c r="AF125" t="s" s="44">
        <v>136</v>
      </c>
      <c r="AG125" s="15">
        <f>AD124/AD125</f>
      </c>
      <c r="AH125" t="s" s="44">
        <v>130</v>
      </c>
      <c r="AI125" t="s" s="44">
        <v>137</v>
      </c>
      <c r="AJ125" t="s" s="44">
        <v>138</v>
      </c>
      <c r="AK125" s="15">
        <f>AF74</f>
        <v>10</v>
      </c>
      <c r="AL125" t="s" s="44">
        <v>139</v>
      </c>
      <c r="AM125" t="s" s="44">
        <v>140</v>
      </c>
      <c r="AN125" t="s" s="44">
        <v>141</v>
      </c>
      <c r="AO125" s="17">
        <f>AH82</f>
      </c>
      <c r="AP125" s="17">
        <f>IF(AO125&gt;0,"higher","lower")</f>
      </c>
      <c r="AQ125" t="s" s="44">
        <v>142</v>
      </c>
      <c r="AR125" s="17">
        <f>AF82</f>
      </c>
      <c r="AS125" t="s" s="44">
        <v>143</v>
      </c>
      <c r="AT125" s="17"/>
    </row>
    <row r="126" ht="20.05" customHeight="1">
      <c r="AA126" s="36"/>
      <c r="AB126" s="34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A127" t="s" s="33">
        <v>28</v>
      </c>
      <c r="AB127" s="14">
        <f>AC92</f>
        <v>0</v>
      </c>
      <c r="AC127" s="15">
        <f>AE92</f>
        <v>0</v>
      </c>
      <c r="AD127" s="15">
        <f>AG92</f>
        <v>0</v>
      </c>
      <c r="AE127" s="15">
        <f>AI92</f>
        <v>0</v>
      </c>
      <c r="AF127" s="15">
        <f>AK92</f>
        <v>0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20.05" customHeight="1">
      <c r="AA128" t="s" s="33">
        <v>144</v>
      </c>
      <c r="AB128" s="14">
        <f>SUM(AC107:AC108)</f>
        <v>0</v>
      </c>
      <c r="AC128" s="15">
        <f>SUM(AE107:AE108)</f>
        <v>0</v>
      </c>
      <c r="AD128" s="15">
        <f>SUM(AG107:AG108)</f>
        <v>0</v>
      </c>
      <c r="AE128" s="15">
        <f>SUM(AI107:AI108)</f>
        <v>0</v>
      </c>
      <c r="AF128" s="15">
        <f>SUM(AK107:AK108)</f>
        <v>0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20.05" customHeight="1">
      <c r="AA129" t="s" s="33">
        <v>145</v>
      </c>
      <c r="AB129" s="14">
        <f>SUM(AC121:AC122)</f>
        <v>0</v>
      </c>
      <c r="AC129" s="15">
        <f>SUM(AE121:AE122)</f>
        <v>0</v>
      </c>
      <c r="AD129" s="15">
        <f>SUM(AG121:AG122)</f>
        <v>0</v>
      </c>
      <c r="AE129" s="15">
        <f>SUM(AI121:AI122)</f>
        <v>0</v>
      </c>
      <c r="AF129" s="15">
        <f>SUM(AK121:AK122)</f>
        <v>0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20.05" customHeight="1">
      <c r="AA130" t="s" s="33">
        <v>146</v>
      </c>
      <c r="AB130" s="14">
        <f>(AC114-AC115)</f>
        <v>0</v>
      </c>
      <c r="AC130" s="15">
        <f>(AE114-AE115)</f>
        <v>0</v>
      </c>
      <c r="AD130" s="15">
        <f>(AG114-AG115)</f>
        <v>0</v>
      </c>
      <c r="AE130" s="15">
        <f>(AI114-AI115)</f>
        <v>0</v>
      </c>
      <c r="AF130" s="15">
        <f>(AK114-AK115)</f>
        <v>0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s="17"/>
      <c r="AD131" s="17"/>
      <c r="AE131" s="17"/>
      <c r="AF131" s="15">
        <f>AR125</f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20.05" customHeight="1">
      <c r="AA132" s="36"/>
      <c r="AB132" s="34"/>
      <c r="AC132" s="17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A133" s="36"/>
      <c r="AB133" s="34"/>
      <c r="AC133" s="17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20.05" customHeight="1">
      <c r="AA134" s="36"/>
      <c r="AB134" s="34"/>
      <c r="AC134" s="17"/>
      <c r="AD134" s="17"/>
      <c r="AE134" s="17"/>
      <c r="AF134" s="17"/>
      <c r="AG134" s="15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20.05" customHeight="1">
      <c r="AA135" s="36"/>
      <c r="AB135" s="34"/>
      <c r="AC135" s="17"/>
      <c r="AD135" s="17"/>
      <c r="AE135" s="17"/>
      <c r="AF135" s="17"/>
      <c r="AG135" s="15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20.05" customHeight="1">
      <c r="AA136" s="36"/>
      <c r="AB136" s="34"/>
      <c r="AC136" s="17"/>
      <c r="AD136" s="17"/>
      <c r="AE136" s="17"/>
      <c r="AF136" s="17"/>
      <c r="AG136" s="15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20.05" customHeight="1">
      <c r="AA137" s="36"/>
      <c r="AB137" s="34"/>
      <c r="AC137" s="17"/>
      <c r="AD137" s="17"/>
      <c r="AE137" s="17"/>
      <c r="AF137" s="17"/>
      <c r="AG137" s="15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s="36"/>
      <c r="AB138" s="34"/>
      <c r="AC138" s="17"/>
      <c r="AD138" s="17"/>
      <c r="AE138" s="17"/>
      <c r="AF138" s="17"/>
      <c r="AG138" s="15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</sheetData>
  <mergeCells count="2">
    <mergeCell ref="B2:Z2"/>
    <mergeCell ref="AA35:AT3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82" customWidth="1"/>
    <col min="2" max="28" width="10.4844" style="82" customWidth="1"/>
    <col min="29" max="29" width="18.9766" style="83" customWidth="1"/>
    <col min="30" max="48" width="9" style="83" customWidth="1"/>
    <col min="49" max="16384" width="16.3516" style="83" customWidth="1"/>
  </cols>
  <sheetData>
    <row r="1" ht="11.65" customHeight="1"/>
    <row r="2" ht="27.65" customHeight="1">
      <c r="B2" t="s" s="2">
        <v>391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262</v>
      </c>
      <c r="AA3" t="s" s="3">
        <v>19</v>
      </c>
      <c r="AB3" t="s" s="3">
        <v>20</v>
      </c>
    </row>
    <row r="4" ht="20.25" customHeight="1">
      <c r="B4" s="6">
        <v>2017</v>
      </c>
      <c r="C4" s="7">
        <v>1650.819</v>
      </c>
      <c r="D4" s="8">
        <v>180</v>
      </c>
      <c r="E4" s="8">
        <v>6</v>
      </c>
      <c r="F4" s="8">
        <v>7152.245</v>
      </c>
      <c r="G4" s="8">
        <v>11889</v>
      </c>
      <c r="H4" s="8">
        <v>30299.218</v>
      </c>
      <c r="I4" s="8">
        <v>2011</v>
      </c>
      <c r="J4" s="8">
        <v>157.546</v>
      </c>
      <c r="K4" s="8">
        <v>-573.715</v>
      </c>
      <c r="L4" s="8">
        <v>-45.176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45.176</v>
      </c>
      <c r="W4" s="9"/>
      <c r="X4" s="8">
        <f>F4-G4</f>
        <v>-4736.755</v>
      </c>
      <c r="Y4" s="9"/>
      <c r="Z4" s="10"/>
      <c r="AA4" s="11"/>
      <c r="AB4" s="12">
        <v>13.3</v>
      </c>
    </row>
    <row r="5" ht="20.05" customHeight="1">
      <c r="B5" s="13"/>
      <c r="C5" s="14">
        <v>1360.268</v>
      </c>
      <c r="D5" s="15">
        <v>197</v>
      </c>
      <c r="E5" s="15">
        <v>-502</v>
      </c>
      <c r="F5" s="15">
        <v>6381.741</v>
      </c>
      <c r="G5" s="15">
        <v>12373</v>
      </c>
      <c r="H5" s="15">
        <v>30247.148</v>
      </c>
      <c r="I5" s="15">
        <v>1450</v>
      </c>
      <c r="J5" s="15">
        <v>-642.807</v>
      </c>
      <c r="K5" s="15">
        <v>67.20399999999999</v>
      </c>
      <c r="L5" s="15">
        <v>-193.219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238.395</v>
      </c>
      <c r="W5" s="17"/>
      <c r="X5" s="15">
        <f>F5-G5</f>
        <v>-5991.259</v>
      </c>
      <c r="Y5" s="17"/>
      <c r="Z5" s="18"/>
      <c r="AA5" s="19"/>
      <c r="AB5" s="20">
        <v>13.327</v>
      </c>
    </row>
    <row r="6" ht="20.05" customHeight="1">
      <c r="B6" s="13"/>
      <c r="C6" s="14">
        <v>3950.956</v>
      </c>
      <c r="D6" s="15">
        <v>260</v>
      </c>
      <c r="E6" s="15">
        <v>165</v>
      </c>
      <c r="F6" s="15">
        <v>7017.373</v>
      </c>
      <c r="G6" s="15">
        <v>12641</v>
      </c>
      <c r="H6" s="15">
        <v>30672.008</v>
      </c>
      <c r="I6" s="15">
        <v>3737</v>
      </c>
      <c r="J6" s="15">
        <v>965.889</v>
      </c>
      <c r="K6" s="15">
        <v>-962.699</v>
      </c>
      <c r="L6" s="15">
        <v>615.971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-377.576</v>
      </c>
      <c r="W6" s="17"/>
      <c r="X6" s="15">
        <f>F6-G6</f>
        <v>-5623.627</v>
      </c>
      <c r="Y6" s="17"/>
      <c r="Z6" s="18"/>
      <c r="AA6" s="19"/>
      <c r="AB6" s="20">
        <v>13.305</v>
      </c>
    </row>
    <row r="7" ht="20.05" customHeight="1">
      <c r="B7" s="13"/>
      <c r="C7" s="14">
        <v>5691.576</v>
      </c>
      <c r="D7" s="15">
        <v>193</v>
      </c>
      <c r="E7" s="15">
        <v>468</v>
      </c>
      <c r="F7" s="15">
        <v>5550.677</v>
      </c>
      <c r="G7" s="15">
        <v>11635.517</v>
      </c>
      <c r="H7" s="15">
        <v>28798.636</v>
      </c>
      <c r="I7" s="15">
        <v>5041</v>
      </c>
      <c r="J7" s="15">
        <v>898.548</v>
      </c>
      <c r="K7" s="15">
        <v>-1421.351</v>
      </c>
      <c r="L7" s="15">
        <v>-945.934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568.3579999999999</v>
      </c>
      <c r="W7" s="17"/>
      <c r="X7" s="15">
        <f>F7-G7</f>
        <v>-6084.84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5731.416</v>
      </c>
      <c r="D8" s="15">
        <v>227</v>
      </c>
      <c r="E8" s="15">
        <v>245</v>
      </c>
      <c r="F8" s="15">
        <v>6075.429</v>
      </c>
      <c r="G8" s="15">
        <v>12496</v>
      </c>
      <c r="H8" s="15">
        <v>31224.071</v>
      </c>
      <c r="I8" s="15">
        <v>5988</v>
      </c>
      <c r="J8" s="15">
        <v>50.974</v>
      </c>
      <c r="K8" s="15">
        <v>-355.726</v>
      </c>
      <c r="L8" s="15">
        <v>816.59</v>
      </c>
      <c r="M8" s="15">
        <v>-11.95</v>
      </c>
      <c r="N8" s="15">
        <f>SUM(C5:C8)/4</f>
        <v>4183.554</v>
      </c>
      <c r="O8" s="15"/>
      <c r="P8" s="16"/>
      <c r="Q8" s="16"/>
      <c r="R8" s="16"/>
      <c r="S8" s="17"/>
      <c r="T8" s="15">
        <f>SUM(J5:K8)/4</f>
        <v>-349.992</v>
      </c>
      <c r="U8" s="25"/>
      <c r="V8" s="15">
        <f>-(L8+M8)+V7</f>
        <v>-236.282</v>
      </c>
      <c r="W8" s="17"/>
      <c r="X8" s="15">
        <f>F8-G8</f>
        <v>-6420.571</v>
      </c>
      <c r="Y8" s="24"/>
      <c r="Z8" s="15">
        <v>775</v>
      </c>
      <c r="AA8" s="22"/>
      <c r="AB8" s="20">
        <v>13.761</v>
      </c>
    </row>
    <row r="9" ht="20.05" customHeight="1">
      <c r="B9" s="13"/>
      <c r="C9" s="14">
        <v>6084.432</v>
      </c>
      <c r="D9" s="15">
        <v>230</v>
      </c>
      <c r="E9" s="15">
        <v>99</v>
      </c>
      <c r="F9" s="15">
        <v>5080.041</v>
      </c>
      <c r="G9" s="15">
        <v>12487</v>
      </c>
      <c r="H9" s="15">
        <v>31337.233</v>
      </c>
      <c r="I9" s="15">
        <v>5548</v>
      </c>
      <c r="J9" s="15">
        <v>-95.911</v>
      </c>
      <c r="K9" s="15">
        <v>-570.823</v>
      </c>
      <c r="L9" s="15">
        <v>-382.674</v>
      </c>
      <c r="M9" s="15">
        <v>-11.95</v>
      </c>
      <c r="N9" s="15">
        <f>SUM(C6:C9)/4</f>
        <v>5364.595</v>
      </c>
      <c r="O9" s="15"/>
      <c r="P9" s="16"/>
      <c r="Q9" s="16"/>
      <c r="R9" s="16"/>
      <c r="S9" s="17"/>
      <c r="T9" s="15">
        <f>SUM(J6:K9)/4</f>
        <v>-372.77475</v>
      </c>
      <c r="U9" s="25"/>
      <c r="V9" s="15">
        <f>-(L9+M9)+V8</f>
        <v>158.342</v>
      </c>
      <c r="W9" s="17"/>
      <c r="X9" s="15">
        <f>F13-G9</f>
        <v>-8972</v>
      </c>
      <c r="Y9" s="24"/>
      <c r="Z9" s="15">
        <v>890</v>
      </c>
      <c r="AA9" s="22"/>
      <c r="AB9" s="20">
        <v>14</v>
      </c>
    </row>
    <row r="10" ht="20.05" customHeight="1">
      <c r="B10" s="13"/>
      <c r="C10" s="14">
        <v>8135.801</v>
      </c>
      <c r="D10" s="15">
        <v>255</v>
      </c>
      <c r="E10" s="15">
        <v>287</v>
      </c>
      <c r="F10" s="15">
        <v>5806.46</v>
      </c>
      <c r="G10" s="15">
        <v>13703</v>
      </c>
      <c r="H10" s="15">
        <v>32846.365</v>
      </c>
      <c r="I10" s="15">
        <v>8239</v>
      </c>
      <c r="J10" s="15">
        <v>1237.63</v>
      </c>
      <c r="K10" s="15">
        <v>-420.428</v>
      </c>
      <c r="L10" s="15">
        <v>-106.703</v>
      </c>
      <c r="M10" s="15">
        <v>-11.95</v>
      </c>
      <c r="N10" s="15">
        <f>SUM(C7:C10)/4</f>
        <v>6410.80625</v>
      </c>
      <c r="O10" s="15"/>
      <c r="P10" s="16"/>
      <c r="Q10" s="16"/>
      <c r="R10" s="16"/>
      <c r="S10" s="17"/>
      <c r="T10" s="15">
        <f>SUM(J7:K10)/4</f>
        <v>-169.27175</v>
      </c>
      <c r="U10" s="25"/>
      <c r="V10" s="15">
        <f>-(L10+M10)+V9</f>
        <v>276.995</v>
      </c>
      <c r="W10" s="17"/>
      <c r="X10" s="15">
        <f>F10-G10</f>
        <v>-7896.54</v>
      </c>
      <c r="Y10" s="24"/>
      <c r="Z10" s="15">
        <v>845</v>
      </c>
      <c r="AA10" s="22"/>
      <c r="AB10" s="20">
        <v>14.902</v>
      </c>
    </row>
    <row r="11" ht="20.05" customHeight="1">
      <c r="B11" s="13"/>
      <c r="C11" s="14">
        <v>5323.551</v>
      </c>
      <c r="D11" s="15">
        <v>140</v>
      </c>
      <c r="E11" s="15">
        <v>1005</v>
      </c>
      <c r="F11" s="15">
        <v>4299</v>
      </c>
      <c r="G11" s="15">
        <v>13747</v>
      </c>
      <c r="H11" s="15">
        <v>32195</v>
      </c>
      <c r="I11" s="15">
        <v>5772</v>
      </c>
      <c r="J11" s="15">
        <v>682.307</v>
      </c>
      <c r="K11" s="15">
        <v>-1247.023</v>
      </c>
      <c r="L11" s="15">
        <v>-946.213</v>
      </c>
      <c r="M11" s="15">
        <v>-11.95</v>
      </c>
      <c r="N11" s="15">
        <f>SUM(C8:C11)/4</f>
        <v>6318.8</v>
      </c>
      <c r="O11" s="15"/>
      <c r="P11" s="16"/>
      <c r="Q11" s="16"/>
      <c r="R11" s="16"/>
      <c r="S11" s="17"/>
      <c r="T11" s="15">
        <f>SUM(J8:K11)/4</f>
        <v>-179.75</v>
      </c>
      <c r="U11" s="25"/>
      <c r="V11" s="15">
        <f>-(L11+M11)+V10</f>
        <v>1235.158</v>
      </c>
      <c r="W11" s="17"/>
      <c r="X11" s="15">
        <f>F11-G11</f>
        <v>-9448</v>
      </c>
      <c r="Y11" s="24"/>
      <c r="Z11" s="15">
        <v>765</v>
      </c>
      <c r="AA11" s="22"/>
      <c r="AB11" s="20">
        <v>14.38</v>
      </c>
    </row>
    <row r="12" ht="20.05" customHeight="1">
      <c r="B12" s="21">
        <v>2019</v>
      </c>
      <c r="C12" s="14">
        <v>6219</v>
      </c>
      <c r="D12" s="15">
        <v>248.3</v>
      </c>
      <c r="E12" s="15">
        <v>171.7</v>
      </c>
      <c r="F12" s="15">
        <v>3495</v>
      </c>
      <c r="G12" s="15">
        <v>13690</v>
      </c>
      <c r="H12" s="15">
        <v>33600</v>
      </c>
      <c r="I12" s="15">
        <v>5643</v>
      </c>
      <c r="J12" s="15">
        <v>-933</v>
      </c>
      <c r="K12" s="15">
        <v>-428</v>
      </c>
      <c r="L12" s="15">
        <v>579</v>
      </c>
      <c r="M12" s="15">
        <v>-76.5</v>
      </c>
      <c r="N12" s="15">
        <f>SUM(C9:C12)/4</f>
        <v>6440.696</v>
      </c>
      <c r="O12" s="23"/>
      <c r="P12" s="16"/>
      <c r="Q12" s="16">
        <f>(E12+D12)/C12</f>
        <v>0.0675349734684033</v>
      </c>
      <c r="R12" s="16">
        <f>AVERAGE(Q9:Q12)</f>
        <v>0.0675349734684033</v>
      </c>
      <c r="S12" s="17"/>
      <c r="T12" s="15">
        <f>SUM(J9:K12)/4</f>
        <v>-443.812</v>
      </c>
      <c r="U12" s="25"/>
      <c r="V12" s="15">
        <f>-(L12+M12)+V11</f>
        <v>732.658</v>
      </c>
      <c r="W12" s="17"/>
      <c r="X12" s="15">
        <f>F12-G12</f>
        <v>-10195</v>
      </c>
      <c r="Y12" s="24"/>
      <c r="Z12" s="15">
        <v>885</v>
      </c>
      <c r="AA12" s="22"/>
      <c r="AB12" s="20">
        <v>14.24</v>
      </c>
    </row>
    <row r="13" ht="20.05" customHeight="1">
      <c r="B13" s="13"/>
      <c r="C13" s="14">
        <v>8207</v>
      </c>
      <c r="D13" s="15">
        <v>483.3</v>
      </c>
      <c r="E13" s="15">
        <v>194.3</v>
      </c>
      <c r="F13" s="15">
        <v>3515</v>
      </c>
      <c r="G13" s="15">
        <v>13796</v>
      </c>
      <c r="H13" s="15">
        <v>33567</v>
      </c>
      <c r="I13" s="15">
        <v>8368</v>
      </c>
      <c r="J13" s="15">
        <v>51</v>
      </c>
      <c r="K13" s="15">
        <v>-89</v>
      </c>
      <c r="L13" s="15">
        <v>46</v>
      </c>
      <c r="M13" s="15">
        <v>-76.5</v>
      </c>
      <c r="N13" s="15">
        <f>SUM(C10:C13)/4</f>
        <v>6971.338</v>
      </c>
      <c r="O13" s="23"/>
      <c r="P13" s="16">
        <f>C13/C12-1</f>
        <v>0.319665541083776</v>
      </c>
      <c r="Q13" s="16">
        <f>(E13+D13)/C13</f>
        <v>0.0825636651638845</v>
      </c>
      <c r="R13" s="16">
        <f>AVERAGE(Q10:Q13)</f>
        <v>0.07504931931614391</v>
      </c>
      <c r="S13" s="17"/>
      <c r="T13" s="15">
        <f>SUM(J10:K13)/4</f>
        <v>-286.6285</v>
      </c>
      <c r="U13" s="25"/>
      <c r="V13" s="15">
        <f>-(L13+M13)+V12</f>
        <v>763.158</v>
      </c>
      <c r="W13" s="17"/>
      <c r="X13" s="15">
        <f>F13-G13</f>
        <v>-10281</v>
      </c>
      <c r="Y13" s="24"/>
      <c r="Z13" s="15">
        <v>845</v>
      </c>
      <c r="AA13" s="24"/>
      <c r="AB13" s="15">
        <v>14.127</v>
      </c>
    </row>
    <row r="14" ht="20.05" customHeight="1">
      <c r="B14" s="13"/>
      <c r="C14" s="14">
        <v>10111</v>
      </c>
      <c r="D14" s="15">
        <v>185.4</v>
      </c>
      <c r="E14" s="15">
        <v>195</v>
      </c>
      <c r="F14" s="15">
        <v>3463</v>
      </c>
      <c r="G14" s="15">
        <v>12707</v>
      </c>
      <c r="H14" s="15">
        <v>32655</v>
      </c>
      <c r="I14" s="15">
        <v>10296</v>
      </c>
      <c r="J14" s="15">
        <v>630</v>
      </c>
      <c r="K14" s="15">
        <v>139</v>
      </c>
      <c r="L14" s="15">
        <v>-828</v>
      </c>
      <c r="M14" s="15">
        <v>-76.5</v>
      </c>
      <c r="N14" s="15">
        <f>SUM(C11:C14)/4</f>
        <v>7465.13775</v>
      </c>
      <c r="O14" s="23"/>
      <c r="P14" s="16">
        <f>C14/C13-1</f>
        <v>0.231997075667113</v>
      </c>
      <c r="Q14" s="16">
        <f>(E14+D14)/C14</f>
        <v>0.0376223914548512</v>
      </c>
      <c r="R14" s="16">
        <f>AVERAGE(Q11:Q14)</f>
        <v>0.062573676695713</v>
      </c>
      <c r="S14" s="17"/>
      <c r="T14" s="15">
        <f>SUM(J11:K14)/4</f>
        <v>-298.679</v>
      </c>
      <c r="U14" s="25"/>
      <c r="V14" s="15">
        <f>-(L14+M14)+V13</f>
        <v>1667.658</v>
      </c>
      <c r="W14" s="17"/>
      <c r="X14" s="15">
        <f>F14-G14</f>
        <v>-9244</v>
      </c>
      <c r="Y14" s="24"/>
      <c r="Z14" s="15">
        <v>975</v>
      </c>
      <c r="AA14" s="24"/>
      <c r="AB14" s="15">
        <v>14.195</v>
      </c>
    </row>
    <row r="15" ht="20.05" customHeight="1">
      <c r="B15" s="13"/>
      <c r="C15" s="14">
        <v>8181.5</v>
      </c>
      <c r="D15" s="15">
        <v>514</v>
      </c>
      <c r="E15" s="15">
        <v>-367.2</v>
      </c>
      <c r="F15" s="15">
        <v>3636.2</v>
      </c>
      <c r="G15" s="15">
        <v>12061</v>
      </c>
      <c r="H15" s="15">
        <v>30195</v>
      </c>
      <c r="I15" s="15">
        <v>8195</v>
      </c>
      <c r="J15" s="15">
        <v>1885.8</v>
      </c>
      <c r="K15" s="15">
        <v>-507.3</v>
      </c>
      <c r="L15" s="15">
        <v>-1160</v>
      </c>
      <c r="M15" s="15">
        <v>-76.5</v>
      </c>
      <c r="N15" s="15">
        <f>SUM(C12:C15)/4</f>
        <v>8179.625</v>
      </c>
      <c r="O15" s="15"/>
      <c r="P15" s="16">
        <f>C15/C14-1</f>
        <v>-0.190831767382059</v>
      </c>
      <c r="Q15" s="16">
        <f>(E15+D15)/C15</f>
        <v>0.0179429200024445</v>
      </c>
      <c r="R15" s="16">
        <f>AVERAGE(Q12:Q15)</f>
        <v>0.0514159875223959</v>
      </c>
      <c r="S15" s="17"/>
      <c r="T15" s="15">
        <f>SUM(J12:K15)/4</f>
        <v>187.125</v>
      </c>
      <c r="U15" s="25"/>
      <c r="V15" s="15">
        <f>-(L15+M15)+V14</f>
        <v>2904.158</v>
      </c>
      <c r="W15" s="17"/>
      <c r="X15" s="15">
        <f>F15-G15</f>
        <v>-8424.799999999999</v>
      </c>
      <c r="Y15" s="24"/>
      <c r="Z15" s="15">
        <v>840</v>
      </c>
      <c r="AA15" s="24"/>
      <c r="AB15" s="15">
        <v>13.882</v>
      </c>
    </row>
    <row r="16" ht="20.05" customHeight="1">
      <c r="B16" s="21">
        <v>2020</v>
      </c>
      <c r="C16" s="14">
        <v>5203</v>
      </c>
      <c r="D16" s="15">
        <v>-824</v>
      </c>
      <c r="E16" s="15">
        <v>-282</v>
      </c>
      <c r="F16" s="15">
        <v>3161</v>
      </c>
      <c r="G16" s="15">
        <v>12746</v>
      </c>
      <c r="H16" s="15">
        <v>30771</v>
      </c>
      <c r="I16" s="15">
        <v>5633</v>
      </c>
      <c r="J16" s="15">
        <v>13.6</v>
      </c>
      <c r="K16" s="15">
        <v>-126.37</v>
      </c>
      <c r="L16" s="15">
        <v>-438.65</v>
      </c>
      <c r="M16" s="15">
        <v>-16.95</v>
      </c>
      <c r="N16" s="15">
        <f>SUM(C13:C16)/4</f>
        <v>7925.625</v>
      </c>
      <c r="O16" s="15"/>
      <c r="P16" s="16">
        <f>C16/C15-1</f>
        <v>-0.364053046507364</v>
      </c>
      <c r="Q16" s="16">
        <f>(E16+D16)/C16</f>
        <v>-0.212569671343456</v>
      </c>
      <c r="R16" s="16">
        <f>AVERAGE(Q13:Q16)</f>
        <v>-0.018610173680569</v>
      </c>
      <c r="S16" s="17"/>
      <c r="T16" s="15">
        <f>SUM(J13:K16)/4</f>
        <v>499.1825</v>
      </c>
      <c r="U16" s="25"/>
      <c r="V16" s="15">
        <f>-(L16+M16)+V15</f>
        <v>3359.758</v>
      </c>
      <c r="W16" s="17"/>
      <c r="X16" s="15">
        <f>F16-G16</f>
        <v>-9585</v>
      </c>
      <c r="Y16" s="24"/>
      <c r="Z16" s="15">
        <v>450</v>
      </c>
      <c r="AA16" s="24"/>
      <c r="AB16" s="15">
        <v>16.31</v>
      </c>
    </row>
    <row r="17" ht="20.05" customHeight="1">
      <c r="B17" s="13"/>
      <c r="C17" s="14">
        <v>4023</v>
      </c>
      <c r="D17" s="15">
        <v>1154</v>
      </c>
      <c r="E17" s="15">
        <v>367</v>
      </c>
      <c r="F17" s="15">
        <v>3006</v>
      </c>
      <c r="G17" s="15">
        <v>11929</v>
      </c>
      <c r="H17" s="15">
        <v>30033</v>
      </c>
      <c r="I17" s="15">
        <v>4063</v>
      </c>
      <c r="J17" s="15">
        <v>78.3</v>
      </c>
      <c r="K17" s="15">
        <v>-33.63</v>
      </c>
      <c r="L17" s="15">
        <v>-105.35</v>
      </c>
      <c r="M17" s="15">
        <v>-16.95</v>
      </c>
      <c r="N17" s="15">
        <f>SUM(C14:C17)/4</f>
        <v>6879.625</v>
      </c>
      <c r="O17" s="15">
        <v>6105.055</v>
      </c>
      <c r="P17" s="16">
        <f>C17/C16-1</f>
        <v>-0.226792235248895</v>
      </c>
      <c r="Q17" s="16">
        <f>(E17+D17)/C17</f>
        <v>0.378076062639821</v>
      </c>
      <c r="R17" s="16">
        <f>AVERAGE(Q14:Q17)</f>
        <v>0.0552679256884152</v>
      </c>
      <c r="S17" s="17"/>
      <c r="T17" s="25">
        <f>SUM(J14:K17)/4</f>
        <v>519.85</v>
      </c>
      <c r="U17" s="25"/>
      <c r="V17" s="15">
        <f>-(L17+M17)+V16</f>
        <v>3482.058</v>
      </c>
      <c r="W17" s="17"/>
      <c r="X17" s="15">
        <f>F17-G17</f>
        <v>-8923</v>
      </c>
      <c r="Y17" s="24"/>
      <c r="Z17" s="15">
        <v>605</v>
      </c>
      <c r="AA17" s="24"/>
      <c r="AB17" s="15">
        <v>14.255</v>
      </c>
    </row>
    <row r="18" ht="20.05" customHeight="1">
      <c r="B18" s="13"/>
      <c r="C18" s="14">
        <v>8811</v>
      </c>
      <c r="D18" s="15">
        <v>655</v>
      </c>
      <c r="E18" s="15">
        <v>751</v>
      </c>
      <c r="F18" s="15">
        <v>3669</v>
      </c>
      <c r="G18" s="15">
        <v>12045</v>
      </c>
      <c r="H18" s="15">
        <v>30974</v>
      </c>
      <c r="I18" s="15">
        <v>8686</v>
      </c>
      <c r="J18" s="15">
        <v>1002.1</v>
      </c>
      <c r="K18" s="15">
        <v>-215</v>
      </c>
      <c r="L18" s="15">
        <v>-141</v>
      </c>
      <c r="M18" s="15">
        <v>-16.95</v>
      </c>
      <c r="N18" s="15">
        <f>SUM(C15:C18)/4</f>
        <v>6554.625</v>
      </c>
      <c r="O18" s="15">
        <v>6260.753333333330</v>
      </c>
      <c r="P18" s="16">
        <f>C18/C17-1</f>
        <v>1.19015659955257</v>
      </c>
      <c r="Q18" s="16">
        <f>(E18+D18)/C18</f>
        <v>0.159573260696856</v>
      </c>
      <c r="R18" s="16">
        <f>AVERAGE(Q15:Q18)</f>
        <v>0.0857556429989164</v>
      </c>
      <c r="S18" s="17"/>
      <c r="T18" s="25">
        <f>SUM(J15:K18)/4</f>
        <v>524.375</v>
      </c>
      <c r="U18" s="25"/>
      <c r="V18" s="15">
        <f>-(L18+M18)+V17</f>
        <v>3640.008</v>
      </c>
      <c r="W18" s="17"/>
      <c r="X18" s="15">
        <f>F18-G18</f>
        <v>-8376</v>
      </c>
      <c r="Y18" s="24"/>
      <c r="Z18" s="15">
        <v>705</v>
      </c>
      <c r="AA18" s="24"/>
      <c r="AB18" s="15">
        <v>14.79</v>
      </c>
    </row>
    <row r="19" ht="20.05" customHeight="1">
      <c r="B19" s="13"/>
      <c r="C19" s="14">
        <v>9335</v>
      </c>
      <c r="D19" s="15">
        <v>248</v>
      </c>
      <c r="E19" s="15">
        <v>313</v>
      </c>
      <c r="F19" s="15">
        <v>3984</v>
      </c>
      <c r="G19" s="15">
        <v>12690</v>
      </c>
      <c r="H19" s="15">
        <v>31730</v>
      </c>
      <c r="I19" s="15">
        <v>9035</v>
      </c>
      <c r="J19" s="15">
        <v>1061.5</v>
      </c>
      <c r="K19" s="15">
        <v>-192</v>
      </c>
      <c r="L19" s="15">
        <v>-533</v>
      </c>
      <c r="M19" s="15">
        <v>-16.95</v>
      </c>
      <c r="N19" s="15">
        <f>SUM(C16:C19)/4</f>
        <v>6843</v>
      </c>
      <c r="O19" s="15">
        <v>6567.9025</v>
      </c>
      <c r="P19" s="16">
        <f>C19/C18-1</f>
        <v>0.0594711156508909</v>
      </c>
      <c r="Q19" s="16">
        <f>(E19+D19)/C19</f>
        <v>0.0600964113551152</v>
      </c>
      <c r="R19" s="16">
        <f>AVERAGE(Q16:Q19)</f>
        <v>0.09629401583708409</v>
      </c>
      <c r="S19" s="17"/>
      <c r="T19" s="25">
        <f>SUM(J16:K19)/4</f>
        <v>397.125</v>
      </c>
      <c r="U19" s="25"/>
      <c r="V19" s="15">
        <f>-(L19+M19)+V18</f>
        <v>4189.958</v>
      </c>
      <c r="W19" s="17"/>
      <c r="X19" s="15">
        <f>F19-G19</f>
        <v>-8706</v>
      </c>
      <c r="Y19" s="24"/>
      <c r="Z19" s="15">
        <v>1935</v>
      </c>
      <c r="AA19" s="24"/>
      <c r="AB19" s="15">
        <v>14.1</v>
      </c>
    </row>
    <row r="20" ht="20.05" customHeight="1">
      <c r="B20" s="21">
        <v>2021</v>
      </c>
      <c r="C20" s="14">
        <v>9210.5</v>
      </c>
      <c r="D20" s="15">
        <v>378.3</v>
      </c>
      <c r="E20" s="15">
        <v>630.4</v>
      </c>
      <c r="F20" s="15">
        <v>5326</v>
      </c>
      <c r="G20" s="15">
        <v>12891</v>
      </c>
      <c r="H20" s="15">
        <v>32691</v>
      </c>
      <c r="I20" s="15">
        <v>9384.6</v>
      </c>
      <c r="J20" s="15">
        <v>1862.2</v>
      </c>
      <c r="K20" s="15">
        <v>-104.2</v>
      </c>
      <c r="L20" s="15">
        <v>-493.5</v>
      </c>
      <c r="M20" s="15">
        <v>0</v>
      </c>
      <c r="N20" s="15">
        <f>SUM(C17:C20)/4</f>
        <v>7844.875</v>
      </c>
      <c r="O20" s="15">
        <v>7580.2775</v>
      </c>
      <c r="P20" s="16">
        <f>C20/C19-1</f>
        <v>-0.0133369041242635</v>
      </c>
      <c r="Q20" s="16">
        <f>(E20+D20)/C20</f>
        <v>0.109516312903751</v>
      </c>
      <c r="R20" s="16">
        <f>AVERAGE(Q17:Q20)</f>
        <v>0.176815511898886</v>
      </c>
      <c r="S20" s="17"/>
      <c r="T20" s="25">
        <f>SUM(J17:K20)/4</f>
        <v>864.8175</v>
      </c>
      <c r="U20" s="25"/>
      <c r="V20" s="15">
        <f>-(L20+M20)+V19</f>
        <v>4683.458</v>
      </c>
      <c r="W20" s="17"/>
      <c r="X20" s="15">
        <f>F20-G20</f>
        <v>-7565</v>
      </c>
      <c r="Y20" s="15"/>
      <c r="Z20" s="15">
        <v>2233.765137</v>
      </c>
      <c r="AA20" s="15"/>
      <c r="AB20" s="15">
        <v>14.606</v>
      </c>
    </row>
    <row r="21" ht="20.05" customHeight="1">
      <c r="B21" s="13"/>
      <c r="C21" s="14">
        <v>8064.5</v>
      </c>
      <c r="D21" s="15">
        <v>190.7</v>
      </c>
      <c r="E21" s="15">
        <v>529.6</v>
      </c>
      <c r="F21" s="15">
        <v>5122</v>
      </c>
      <c r="G21" s="15">
        <v>12455</v>
      </c>
      <c r="H21" s="15">
        <v>32290</v>
      </c>
      <c r="I21" s="15">
        <v>7979.4</v>
      </c>
      <c r="J21" s="15">
        <v>527.2</v>
      </c>
      <c r="K21" s="15">
        <v>-184.4</v>
      </c>
      <c r="L21" s="15">
        <v>-135.6</v>
      </c>
      <c r="M21" s="15">
        <v>-402.3</v>
      </c>
      <c r="N21" s="15">
        <f>SUM(C18:C21)/4</f>
        <v>8855.25</v>
      </c>
      <c r="O21" s="15">
        <v>8523.282499999999</v>
      </c>
      <c r="P21" s="16">
        <f>C21/C20-1</f>
        <v>-0.12442321263775</v>
      </c>
      <c r="Q21" s="16">
        <f>(E21+D21)/C21</f>
        <v>0.08931737863475731</v>
      </c>
      <c r="R21" s="16">
        <f>AVERAGE(Q18:Q21)</f>
        <v>0.10462584089762</v>
      </c>
      <c r="S21" s="17"/>
      <c r="T21" s="25">
        <f>SUM(J18:K21)/4</f>
        <v>939.35</v>
      </c>
      <c r="U21" s="25"/>
      <c r="V21" s="15">
        <f>-(L21+M21)+V20</f>
        <v>5221.358</v>
      </c>
      <c r="W21" s="17"/>
      <c r="X21" s="15">
        <f>F21-G21</f>
        <v>-7333</v>
      </c>
      <c r="Y21" s="15"/>
      <c r="Z21" s="15">
        <v>2300</v>
      </c>
      <c r="AA21" s="15"/>
      <c r="AB21" s="15">
        <v>14.45</v>
      </c>
    </row>
    <row r="22" ht="20.05" customHeight="1">
      <c r="B22" s="13"/>
      <c r="C22" s="14">
        <v>9201.299999999999</v>
      </c>
      <c r="D22" s="15">
        <v>145.3</v>
      </c>
      <c r="E22" s="15">
        <v>550.5</v>
      </c>
      <c r="F22" s="15">
        <v>6368</v>
      </c>
      <c r="G22" s="15">
        <v>12957</v>
      </c>
      <c r="H22" s="15">
        <v>33301</v>
      </c>
      <c r="I22" s="15">
        <v>9733.200000000001</v>
      </c>
      <c r="J22" s="15">
        <v>2039.3</v>
      </c>
      <c r="K22" s="15">
        <v>-293.3</v>
      </c>
      <c r="L22" s="15">
        <v>-453.9</v>
      </c>
      <c r="M22" s="15">
        <v>0</v>
      </c>
      <c r="N22" s="15">
        <f>SUM(C19:C22)/4</f>
        <v>8952.825000000001</v>
      </c>
      <c r="O22" s="15">
        <v>8997.17625</v>
      </c>
      <c r="P22" s="16">
        <f>C22/C21-1</f>
        <v>0.140963481926964</v>
      </c>
      <c r="Q22" s="16">
        <f>(E22+D22)/C22</f>
        <v>0.0756197493832393</v>
      </c>
      <c r="R22" s="16">
        <f>AVERAGE(Q19:Q22)</f>
        <v>0.0836374630692157</v>
      </c>
      <c r="S22" s="17"/>
      <c r="T22" s="25">
        <f>SUM(J19:K22)/4</f>
        <v>1179.075</v>
      </c>
      <c r="U22" s="25"/>
      <c r="V22" s="15">
        <f>-(L22+M22)+V21</f>
        <v>5675.258</v>
      </c>
      <c r="W22" s="17"/>
      <c r="X22" s="15">
        <f>F22-G22</f>
        <v>-6589</v>
      </c>
      <c r="Y22" s="15"/>
      <c r="Z22" s="15">
        <v>2290</v>
      </c>
      <c r="AA22" s="15"/>
      <c r="AB22" s="15">
        <v>14.328</v>
      </c>
    </row>
    <row r="23" ht="20.05" customHeight="1">
      <c r="B23" s="13"/>
      <c r="C23" s="14">
        <v>11969.3</v>
      </c>
      <c r="D23" s="15">
        <v>247.5</v>
      </c>
      <c r="E23" s="15">
        <v>151.2</v>
      </c>
      <c r="F23" s="15">
        <v>5089</v>
      </c>
      <c r="G23" s="15">
        <v>12079</v>
      </c>
      <c r="H23" s="15">
        <v>32916</v>
      </c>
      <c r="I23" s="15">
        <v>11683.1</v>
      </c>
      <c r="J23" s="15">
        <v>509.5</v>
      </c>
      <c r="K23" s="15">
        <v>-1147.9</v>
      </c>
      <c r="L23" s="15">
        <v>-639.7</v>
      </c>
      <c r="M23" s="15">
        <v>0</v>
      </c>
      <c r="N23" s="15">
        <f>SUM(C20:C23)/4</f>
        <v>9611.4</v>
      </c>
      <c r="O23" s="15">
        <v>9770.2125</v>
      </c>
      <c r="P23" s="16">
        <f>C23/C22-1</f>
        <v>0.300827057046287</v>
      </c>
      <c r="Q23" s="16">
        <f>(E23+D23)/C23</f>
        <v>0.0333102186426942</v>
      </c>
      <c r="R23" s="16">
        <f>AVERAGE(Q20:Q23)</f>
        <v>0.0769409148911105</v>
      </c>
      <c r="S23" s="17"/>
      <c r="T23" s="25">
        <f>SUM(J20:K23)/4</f>
        <v>802.1</v>
      </c>
      <c r="U23" s="25"/>
      <c r="V23" s="15">
        <f>-(L23+M23)+V22</f>
        <v>6314.958</v>
      </c>
      <c r="W23" s="17"/>
      <c r="X23" s="15">
        <f>F23-G23</f>
        <v>-6990</v>
      </c>
      <c r="Y23" s="15"/>
      <c r="Z23" s="15">
        <v>2250</v>
      </c>
      <c r="AA23" s="15">
        <v>2926.8413970473</v>
      </c>
      <c r="AB23" s="15">
        <v>14.275</v>
      </c>
    </row>
    <row r="24" ht="20.05" customHeight="1">
      <c r="B24" s="21">
        <v>2022</v>
      </c>
      <c r="C24" s="14">
        <v>9746.9</v>
      </c>
      <c r="D24" s="15">
        <v>224.3</v>
      </c>
      <c r="E24" s="15">
        <v>1465.4</v>
      </c>
      <c r="F24" s="15">
        <v>4159.4</v>
      </c>
      <c r="G24" s="15">
        <v>9236</v>
      </c>
      <c r="H24" s="15">
        <v>31541</v>
      </c>
      <c r="I24" s="15">
        <v>8023.5</v>
      </c>
      <c r="J24" s="15">
        <v>461.8</v>
      </c>
      <c r="K24" s="15">
        <v>458</v>
      </c>
      <c r="L24" s="15">
        <v>-1864</v>
      </c>
      <c r="M24" s="15">
        <v>0</v>
      </c>
      <c r="N24" s="15">
        <f>SUM(C21:C24)/4</f>
        <v>9745.5</v>
      </c>
      <c r="O24" s="15">
        <v>10404.87525</v>
      </c>
      <c r="P24" s="16">
        <f>C24/C23-1</f>
        <v>-0.185675018589224</v>
      </c>
      <c r="Q24" s="16">
        <f>(E24+D24)/C24</f>
        <v>0.173357682955606</v>
      </c>
      <c r="R24" s="16">
        <f>AVERAGE(Q21:Q24)</f>
        <v>0.09290125740407421</v>
      </c>
      <c r="S24" s="35"/>
      <c r="T24" s="25">
        <f>SUM(J21:K24)/4</f>
        <v>592.55</v>
      </c>
      <c r="U24" s="15">
        <v>855.1435727264</v>
      </c>
      <c r="V24" s="15">
        <f>-(L24+M24)+V23</f>
        <v>8178.958</v>
      </c>
      <c r="W24" s="15"/>
      <c r="X24" s="15">
        <f>F24-G24</f>
        <v>-5076.6</v>
      </c>
      <c r="Y24" s="15">
        <v>-5380.8185623282</v>
      </c>
      <c r="Z24" s="15">
        <v>2440</v>
      </c>
      <c r="AA24" s="15">
        <v>3086.041975129380</v>
      </c>
      <c r="AB24" s="15">
        <v>14.327</v>
      </c>
    </row>
    <row r="25" ht="20.05" customHeight="1">
      <c r="B25" s="13"/>
      <c r="C25" s="14">
        <v>9026</v>
      </c>
      <c r="D25" s="15">
        <v>469.2</v>
      </c>
      <c r="E25" s="15">
        <v>60.5</v>
      </c>
      <c r="F25" s="15">
        <v>3234</v>
      </c>
      <c r="G25" s="15">
        <v>10784</v>
      </c>
      <c r="H25" s="15">
        <v>32256</v>
      </c>
      <c r="I25" s="15">
        <v>9981.1</v>
      </c>
      <c r="J25" s="15">
        <v>366.1</v>
      </c>
      <c r="K25" s="15">
        <v>-684.4</v>
      </c>
      <c r="L25" s="15">
        <v>292.9</v>
      </c>
      <c r="M25" s="15">
        <v>-930.9</v>
      </c>
      <c r="N25" s="15">
        <f>SUM(C22:C25)/4</f>
        <v>9985.875</v>
      </c>
      <c r="O25" s="15">
        <v>10571.3885</v>
      </c>
      <c r="P25" s="16">
        <f>C25/C24-1</f>
        <v>-0.0739619776544337</v>
      </c>
      <c r="Q25" s="16">
        <f>(E25+D25)/C25</f>
        <v>0.0586860181697319</v>
      </c>
      <c r="R25" s="16">
        <f>AVERAGE(Q22:Q25)</f>
        <v>0.0852434172878179</v>
      </c>
      <c r="S25" s="35"/>
      <c r="T25" s="25">
        <f>SUM(J22:K25)/4</f>
        <v>427.275</v>
      </c>
      <c r="U25" s="15">
        <v>910.7564101587</v>
      </c>
      <c r="V25" s="15">
        <f>-(L25+M25)+V24</f>
        <v>8816.958000000001</v>
      </c>
      <c r="W25" s="15"/>
      <c r="X25" s="15">
        <f>F25-G25</f>
        <v>-7550</v>
      </c>
      <c r="Y25" s="15">
        <v>-2885.854816209170</v>
      </c>
      <c r="Z25" s="15">
        <v>1800</v>
      </c>
      <c r="AA25" s="15">
        <v>2930.521932955150</v>
      </c>
      <c r="AB25" s="15">
        <v>14.66</v>
      </c>
    </row>
    <row r="26" ht="20.05" customHeight="1">
      <c r="B26" s="13"/>
      <c r="C26" s="14">
        <v>14910.2</v>
      </c>
      <c r="D26" s="15">
        <v>238</v>
      </c>
      <c r="E26" s="15">
        <v>1100.9</v>
      </c>
      <c r="F26" s="15">
        <v>4615</v>
      </c>
      <c r="G26" s="15">
        <v>11223</v>
      </c>
      <c r="H26" s="15">
        <v>33790</v>
      </c>
      <c r="I26" s="15">
        <v>15307.3</v>
      </c>
      <c r="J26" s="15">
        <v>1172.4</v>
      </c>
      <c r="K26" s="15">
        <v>317.1</v>
      </c>
      <c r="L26" s="15">
        <v>-164.2</v>
      </c>
      <c r="M26" s="15">
        <v>0</v>
      </c>
      <c r="N26" s="15">
        <f>SUM(C23:C26)/4</f>
        <v>11413.1</v>
      </c>
      <c r="O26" s="15">
        <v>10733.52225</v>
      </c>
      <c r="P26" s="16">
        <f>C26/C25-1</f>
        <v>0.651916685131841</v>
      </c>
      <c r="Q26" s="16">
        <f>(E26+D26)/C26</f>
        <v>0.0897975882281928</v>
      </c>
      <c r="R26" s="16">
        <f>AVERAGE(Q23:Q26)</f>
        <v>0.0887878769990562</v>
      </c>
      <c r="S26" s="35">
        <f>S27</f>
        <v>0.0887878769990562</v>
      </c>
      <c r="T26" s="25">
        <f>SUM(J23:K26)/4</f>
        <v>363.15</v>
      </c>
      <c r="U26" s="15">
        <v>398.580679217272</v>
      </c>
      <c r="V26" s="15">
        <f>-(L26+M26)+V25</f>
        <v>8981.157999999999</v>
      </c>
      <c r="W26" s="15">
        <f>W27</f>
        <v>13527.2662234085</v>
      </c>
      <c r="X26" s="15">
        <f>F26-G26</f>
        <v>-6608</v>
      </c>
      <c r="Y26" s="15">
        <v>-6758.419703211880</v>
      </c>
      <c r="Z26" s="15">
        <v>1940</v>
      </c>
      <c r="AA26" s="15">
        <v>1592.279329559720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16113.030361279</v>
      </c>
      <c r="P27" s="17"/>
      <c r="Q27" s="17"/>
      <c r="R27" s="17"/>
      <c r="S27" s="35">
        <f>AE53</f>
        <v>0.0887878769990562</v>
      </c>
      <c r="T27" s="25"/>
      <c r="U27" s="15">
        <f>SUM(AE55:AH55)/4</f>
        <v>1166.3417577993</v>
      </c>
      <c r="V27" s="17"/>
      <c r="W27" s="15">
        <f>-SUM(AE76:AH76)+V26</f>
        <v>13527.2662234085</v>
      </c>
      <c r="X27" s="26"/>
      <c r="Y27" s="15">
        <f>AH75</f>
        <v>-4406.944835961260</v>
      </c>
      <c r="Z27" s="15">
        <v>2150</v>
      </c>
      <c r="AA27" s="15">
        <v>2930.521932955150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86686.075</v>
      </c>
      <c r="O28" s="15">
        <f>SUM(O17:O26)</f>
        <v>85514.4455833333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2329.693754372190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262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0.173276686483618</v>
      </c>
      <c r="AF49" s="35"/>
      <c r="AG49" s="35"/>
      <c r="AH49" s="35">
        <f>AVERAGE(AE51:AH51)</f>
        <v>0.0275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0.300827057046287</v>
      </c>
      <c r="AF50" s="35">
        <f>P24</f>
        <v>-0.185675018589224</v>
      </c>
      <c r="AG50" s="35">
        <f>P25</f>
        <v>-0.0739619776544337</v>
      </c>
      <c r="AH50" s="35">
        <f>P26</f>
        <v>0.651916685131841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14910.2</v>
      </c>
      <c r="AE52" s="23">
        <f>C26*(1+AE51)</f>
        <v>15953.914</v>
      </c>
      <c r="AF52" s="23">
        <f>AE52*(1+AF51)</f>
        <v>15794.37486</v>
      </c>
      <c r="AG52" s="23">
        <f>AF52*(1+AG51)</f>
        <v>16110.2623572</v>
      </c>
      <c r="AH52" s="23">
        <f>AG52*(1+AH51)</f>
        <v>16593.570227916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0.0887878769990562</v>
      </c>
      <c r="AF53" s="35">
        <f>AE53</f>
        <v>0.0887878769990562</v>
      </c>
      <c r="AG53" s="35">
        <f>AF53</f>
        <v>0.0887878769990562</v>
      </c>
      <c r="AH53" s="35">
        <f>AG53</f>
        <v>0.0887878769990562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AVERAGE(K23:K26)</f>
        <v>-264.3</v>
      </c>
      <c r="AF54" s="15">
        <f>AE54</f>
        <v>-264.3</v>
      </c>
      <c r="AG54" s="15">
        <f>AF54</f>
        <v>-264.3</v>
      </c>
      <c r="AH54" s="15">
        <f>AG54</f>
        <v>-264.3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1152.214153885520</v>
      </c>
      <c r="AF55" s="15">
        <f>(AF52*AF53)+AF54</f>
        <v>1138.049012346670</v>
      </c>
      <c r="AG55" s="15">
        <f>(AG52*AG53)+AG54</f>
        <v>1166.0959925936</v>
      </c>
      <c r="AH55" s="15">
        <f>(AH52*AH53)+AH54</f>
        <v>1209.007872371410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-561.15</v>
      </c>
      <c r="AF56" s="15">
        <f>-AE71/20</f>
        <v>-533.0925</v>
      </c>
      <c r="AG56" s="15">
        <f>-AF71/20</f>
        <v>-506.437875</v>
      </c>
      <c r="AH56" s="15">
        <f>-AG71/20</f>
        <v>-481.11598125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-608.307784637036</v>
      </c>
      <c r="AF58" s="15">
        <f>IF(AF66&gt;0,AF66*$AE$57,0)</f>
        <v>-600.516956790669</v>
      </c>
      <c r="AG58" s="15">
        <f>IF(AG66&gt;0,AG66*$AE$57,0)</f>
        <v>-615.942795926480</v>
      </c>
      <c r="AH58" s="15">
        <f>IF(AH66&gt;0,AH66*$AE$57,0)</f>
        <v>-639.544329804276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-17.243630751516</v>
      </c>
      <c r="AF59" s="15">
        <f>AF55+AF56+AF58</f>
        <v>4.439555556001</v>
      </c>
      <c r="AG59" s="15">
        <f>AG55+AG56+AG58</f>
        <v>43.715321667120</v>
      </c>
      <c r="AH59" s="15">
        <f>AH55+AH56+AH58</f>
        <v>88.34756131713399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17.243630751516</v>
      </c>
      <c r="AF60" s="15">
        <f>-MIN(AE72,AF59)</f>
        <v>-4.439555556001</v>
      </c>
      <c r="AG60" s="15">
        <f>-MIN(AF72,AG59)</f>
        <v>-12.804075195515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4615</v>
      </c>
      <c r="AF61" s="15">
        <f>AE63</f>
        <v>4615</v>
      </c>
      <c r="AG61" s="15">
        <f>AF63</f>
        <v>4615</v>
      </c>
      <c r="AH61" s="15">
        <f>AG63</f>
        <v>4645.911246471610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30.911246471605</v>
      </c>
      <c r="AH62" s="15">
        <f>AH55+AH56+AH58+AH60</f>
        <v>88.34756131713399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4615</v>
      </c>
      <c r="AF63" s="15">
        <f>AF61+AF62</f>
        <v>4615</v>
      </c>
      <c r="AG63" s="15">
        <f>AG61+AG62</f>
        <v>4645.911246471610</v>
      </c>
      <c r="AH63" s="15">
        <f>AH61+AH62</f>
        <v>4734.258807788740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-310.5</v>
      </c>
      <c r="AF65" s="15">
        <f>AE65</f>
        <v>-310.5</v>
      </c>
      <c r="AG65" s="15">
        <f>AF65</f>
        <v>-310.5</v>
      </c>
      <c r="AH65" s="15">
        <f>AG65</f>
        <v>-310.5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1106.014153885520</v>
      </c>
      <c r="AF66" s="15">
        <f>(AF52*AF53)+AF65</f>
        <v>1091.849012346670</v>
      </c>
      <c r="AG66" s="15">
        <f>(AG52*AG53)+AG65</f>
        <v>1119.8959925936</v>
      </c>
      <c r="AH66" s="15">
        <f>(AH52*AH53)+AH65</f>
        <v>1162.807872371410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29439.3</v>
      </c>
      <c r="AF68" s="15">
        <f>AE68-AF54</f>
        <v>29703.6</v>
      </c>
      <c r="AG68" s="15">
        <f>AF68-AG54</f>
        <v>29967.9</v>
      </c>
      <c r="AH68" s="15">
        <f>AG68-AH54</f>
        <v>30232.2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310.5</v>
      </c>
      <c r="AF69" s="15">
        <f>AE69-AF65</f>
        <v>621</v>
      </c>
      <c r="AG69" s="15">
        <f>AF69-AG65</f>
        <v>931.5</v>
      </c>
      <c r="AH69" s="15">
        <f>AG69-AH65</f>
        <v>1242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29128.8</v>
      </c>
      <c r="AF70" s="15">
        <f>AF68-AF69</f>
        <v>29082.6</v>
      </c>
      <c r="AG70" s="15">
        <f>AG68-AG69</f>
        <v>29036.4</v>
      </c>
      <c r="AH70" s="15">
        <f>AH68-AH69</f>
        <v>28990.2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10661.85</v>
      </c>
      <c r="AF71" s="15">
        <f>AE71+AF56</f>
        <v>10128.7575</v>
      </c>
      <c r="AG71" s="15">
        <f>AF71+AG56</f>
        <v>9622.319625</v>
      </c>
      <c r="AH71" s="15">
        <f>AG71+AH56</f>
        <v>9141.203643749999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17.243630751516</v>
      </c>
      <c r="AF72" s="15">
        <f>AE72+AF60</f>
        <v>12.804075195515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23064.7063692485</v>
      </c>
      <c r="AF73" s="15">
        <f>AE73+AF66+AF58</f>
        <v>23556.0384248045</v>
      </c>
      <c r="AG73" s="15">
        <f>AF73+AG66+AG58</f>
        <v>24059.9916214716</v>
      </c>
      <c r="AH73" s="15">
        <f>AG73+AH66+AH58</f>
        <v>24583.2551640387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1.6e-11</v>
      </c>
      <c r="AF74" s="15">
        <f>AF71+AF72+AF73-AF63-AF70</f>
        <v>1.5e-11</v>
      </c>
      <c r="AG74" s="15">
        <f>AG71+AG72+AG73-AG63-AG70</f>
        <v>-9.999999999999999e-12</v>
      </c>
      <c r="AH74" s="15">
        <f>AH71+AH72+AH73-AH63-AH70</f>
        <v>-4e-11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-6064.093630751520</v>
      </c>
      <c r="AF75" s="15">
        <f>AF63-AF71-AF72</f>
        <v>-5526.561575195520</v>
      </c>
      <c r="AG75" s="15">
        <f>AG63-AG71-AG72</f>
        <v>-4976.408378528390</v>
      </c>
      <c r="AH75" s="15">
        <f>AH63-AH71-AH72</f>
        <v>-4406.944835961260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-1152.214153885520</v>
      </c>
      <c r="AF76" s="15">
        <f>AF56+AF58+AF60</f>
        <v>-1138.049012346670</v>
      </c>
      <c r="AG76" s="15">
        <f>AG56+AG58+AG60</f>
        <v>-1135.184746122</v>
      </c>
      <c r="AH76" s="15">
        <f>AH56+AH58+AH60</f>
        <v>-1120.660311054280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392</v>
      </c>
      <c r="AD78" s="14"/>
      <c r="AE78" s="15"/>
      <c r="AF78" s="15"/>
      <c r="AG78" s="15"/>
      <c r="AH78" s="15">
        <v>2150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392</v>
      </c>
      <c r="AD79" s="14"/>
      <c r="AE79" s="15"/>
      <c r="AF79" s="15"/>
      <c r="AG79" s="15"/>
      <c r="AH79" s="15">
        <v>51666219724800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51666.2197248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24.030799872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1.53201034356903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0.0476967713195316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1452.6</v>
      </c>
      <c r="AH84" s="15">
        <f>SUM(AE55:AH55)</f>
        <v>4665.3670311972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6.21391624842016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11.0744169492581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55984.4043743664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2329.693754372190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0.08357849040566979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0.6204449371284489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-0.0135157742078725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392</v>
      </c>
      <c r="AF93" t="s" s="44">
        <f>AF101</f>
        <v>362</v>
      </c>
      <c r="AG93" s="84">
        <f>AG101</f>
        <v>0.651916685131841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2150</v>
      </c>
      <c r="AG94" t="s" s="44">
        <v>61</v>
      </c>
      <c r="AH94" s="15">
        <f>AH88</f>
        <v>2329.693754372190</v>
      </c>
      <c r="AI94" t="s" s="44">
        <f>IF(AJ94&gt;0,"+","")</f>
        <v>361</v>
      </c>
      <c r="AJ94" s="16">
        <f>AH94/AF94-1</f>
        <v>0.08357849040566979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0.6204449371284489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0.0281150819188489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0.0639857147979641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AP128/AF135</f>
        <v>-0.127897880572596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0.651916685131841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0.140963481926964</v>
      </c>
      <c r="AF103" s="16">
        <f>P23</f>
        <v>0.300827057046287</v>
      </c>
      <c r="AG103" s="16">
        <f>P24</f>
        <v>-0.185675018589224</v>
      </c>
      <c r="AH103" s="16">
        <f>P25</f>
        <v>-0.0739619776544337</v>
      </c>
      <c r="AI103" s="16">
        <f>P26</f>
        <v>0.651916685131841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9201.299999999999</v>
      </c>
      <c r="AF104" t="s" s="44">
        <v>72</v>
      </c>
      <c r="AG104" s="15">
        <f>C23</f>
        <v>11969.3</v>
      </c>
      <c r="AH104" t="s" s="44">
        <v>72</v>
      </c>
      <c r="AI104" s="15">
        <f>C24</f>
        <v>9746.9</v>
      </c>
      <c r="AJ104" t="s" s="44">
        <v>72</v>
      </c>
      <c r="AK104" s="15">
        <f>C25</f>
        <v>9026</v>
      </c>
      <c r="AL104" t="s" s="44">
        <v>72</v>
      </c>
      <c r="AM104" s="15">
        <f>C26</f>
        <v>14910.2</v>
      </c>
      <c r="AN104" t="s" s="44">
        <v>372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0.651916685131841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14910.2</v>
      </c>
      <c r="AM105" t="s" s="44">
        <f>AN104</f>
        <v>372</v>
      </c>
      <c r="AN105" t="s" s="44">
        <v>77</v>
      </c>
      <c r="AO105" t="s" s="44">
        <f>IF(AP105&gt;0,"+","")</f>
      </c>
      <c r="AP105" s="16">
        <f>AH91</f>
        <v>-0.0135157742078725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0.173276686483618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0.0275</v>
      </c>
      <c r="AG107" t="s" s="44">
        <v>82</v>
      </c>
      <c r="AH107" t="s" s="44">
        <v>83</v>
      </c>
      <c r="AI107" s="23">
        <f>AH52</f>
        <v>16593.570227916</v>
      </c>
      <c r="AJ107" t="s" s="44">
        <f>AN104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0.0756197493832393</v>
      </c>
      <c r="AF110" s="16">
        <f>(D23+E23)/C23</f>
        <v>0.0333102186426942</v>
      </c>
      <c r="AG110" s="16">
        <f>((E24+D24)/C24)</f>
        <v>0.173357682955606</v>
      </c>
      <c r="AH110" s="16">
        <f>(D25+E25)/C25</f>
        <v>0.0586860181697319</v>
      </c>
      <c r="AI110" s="16">
        <f>(D26+E26)/C26</f>
        <v>0.0897975882281928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550.5</v>
      </c>
      <c r="AF111" t="s" s="44">
        <v>72</v>
      </c>
      <c r="AG111" s="15">
        <f>E23</f>
        <v>151.2</v>
      </c>
      <c r="AH111" t="s" s="44">
        <v>72</v>
      </c>
      <c r="AI111" s="15">
        <f>E24</f>
        <v>1465.4</v>
      </c>
      <c r="AJ111" t="s" s="44">
        <v>72</v>
      </c>
      <c r="AK111" s="15">
        <f>E25</f>
        <v>60.5</v>
      </c>
      <c r="AL111" t="s" s="44">
        <v>72</v>
      </c>
      <c r="AM111" s="15">
        <f>E26</f>
        <v>1100.9</v>
      </c>
      <c r="AN111" t="s" s="44">
        <f>AN104</f>
        <v>372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0.0586860181697319</v>
      </c>
      <c r="AG112" t="s" s="44">
        <v>76</v>
      </c>
      <c r="AH112" s="16">
        <f>AI110</f>
        <v>0.0897975882281928</v>
      </c>
      <c r="AI112" t="s" s="44">
        <v>90</v>
      </c>
      <c r="AJ112" s="15">
        <f>AK111</f>
        <v>60.5</v>
      </c>
      <c r="AK112" t="s" s="44">
        <v>76</v>
      </c>
      <c r="AL112" s="15">
        <f>AM111</f>
        <v>1100.9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0.0887878769990562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0.0887878769990562</v>
      </c>
      <c r="AG114" t="s" s="44">
        <v>94</v>
      </c>
      <c r="AH114" s="15">
        <f>AH66</f>
        <v>1162.807872371410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318.3</v>
      </c>
      <c r="AG116" s="15">
        <f>ABS(AH120)</f>
        <v>1489.5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2039.3</v>
      </c>
      <c r="AF118" t="s" s="44">
        <v>72</v>
      </c>
      <c r="AG118" s="15">
        <f>J23</f>
        <v>509.5</v>
      </c>
      <c r="AH118" t="s" s="44">
        <v>72</v>
      </c>
      <c r="AI118" s="15">
        <f>J24</f>
        <v>461.8</v>
      </c>
      <c r="AJ118" t="s" s="44">
        <v>72</v>
      </c>
      <c r="AK118" s="15">
        <f>J25</f>
        <v>366.1</v>
      </c>
      <c r="AL118" t="s" s="44">
        <v>72</v>
      </c>
      <c r="AM118" s="15">
        <f>J26</f>
        <v>1172.4</v>
      </c>
      <c r="AN118" t="s" s="44">
        <f>AN104</f>
        <v>372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-293.3</v>
      </c>
      <c r="AF119" t="s" s="44">
        <v>72</v>
      </c>
      <c r="AG119" s="15">
        <f>K23</f>
        <v>-1147.9</v>
      </c>
      <c r="AH119" t="s" s="44">
        <v>72</v>
      </c>
      <c r="AI119" s="15">
        <f>K24</f>
        <v>458</v>
      </c>
      <c r="AJ119" t="s" s="44">
        <v>72</v>
      </c>
      <c r="AK119" s="15">
        <f>K25</f>
        <v>-684.4</v>
      </c>
      <c r="AL119" t="s" s="44">
        <v>72</v>
      </c>
      <c r="AM119" s="15">
        <f>K26</f>
        <v>317.1</v>
      </c>
      <c r="AN119" t="s" s="44">
        <f>AN118</f>
        <v>372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-318.3</v>
      </c>
      <c r="AG120" t="s" s="44">
        <v>76</v>
      </c>
      <c r="AH120" s="15">
        <f>AM118+AM119</f>
        <v>1489.5</v>
      </c>
      <c r="AI120" t="s" s="44">
        <f>AI114</f>
        <v>372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317.1</v>
      </c>
      <c r="AN120" t="s" s="44">
        <f>AN104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363.15</v>
      </c>
      <c r="AG121" t="s" s="44">
        <f>AN104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-264.3</v>
      </c>
      <c r="AG122" t="s" s="44">
        <f>AG121</f>
        <v>372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1166.3417577993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108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6368</v>
      </c>
      <c r="AF125" t="s" s="44">
        <v>72</v>
      </c>
      <c r="AG125" s="15">
        <f>F23</f>
        <v>5089</v>
      </c>
      <c r="AH125" t="s" s="44">
        <v>72</v>
      </c>
      <c r="AI125" s="15">
        <f>F24</f>
        <v>4159.4</v>
      </c>
      <c r="AJ125" t="s" s="44">
        <v>72</v>
      </c>
      <c r="AK125" s="15">
        <f>F25</f>
        <v>3234</v>
      </c>
      <c r="AL125" t="s" s="44">
        <v>72</v>
      </c>
      <c r="AM125" s="15">
        <f>F26</f>
        <v>4615</v>
      </c>
      <c r="AN125" t="s" s="44">
        <f>AN104</f>
        <v>372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12957</v>
      </c>
      <c r="AF126" t="s" s="44">
        <v>72</v>
      </c>
      <c r="AG126" s="15">
        <f>G23</f>
        <v>12079</v>
      </c>
      <c r="AH126" t="s" s="44">
        <v>72</v>
      </c>
      <c r="AI126" s="15">
        <f>G24</f>
        <v>9236</v>
      </c>
      <c r="AJ126" t="s" s="44">
        <v>72</v>
      </c>
      <c r="AK126" s="15">
        <f>G25</f>
        <v>10784</v>
      </c>
      <c r="AL126" t="s" s="44">
        <v>72</v>
      </c>
      <c r="AM126" s="15">
        <f>G26</f>
        <v>11223</v>
      </c>
      <c r="AN126" t="s" s="44">
        <f>AN125</f>
        <v>372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3234</v>
      </c>
      <c r="AH127" t="s" s="44">
        <v>76</v>
      </c>
      <c r="AI127" s="15">
        <f>AM125</f>
        <v>4615</v>
      </c>
      <c r="AJ127" t="s" s="44">
        <f>AM122</f>
        <v>372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10784</v>
      </c>
      <c r="AH128" t="s" s="44">
        <v>76</v>
      </c>
      <c r="AI128" s="15">
        <f>AM126</f>
        <v>11223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108</v>
      </c>
      <c r="AN128" s="15">
        <f>AG127-AG128</f>
        <v>-7550</v>
      </c>
      <c r="AO128" t="s" s="44">
        <v>76</v>
      </c>
      <c r="AP128" s="15">
        <f>AI127-AI128</f>
        <v>-6608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-2464.311867158460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AE56+AF56+AG56+AH56+AE60+AF60+AG60+AH60</f>
        <v>-2081.79635625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-4406.944835961260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453.9</v>
      </c>
      <c r="AF132" t="s" s="44">
        <v>72</v>
      </c>
      <c r="AG132" s="15">
        <f>-L23</f>
        <v>639.7</v>
      </c>
      <c r="AH132" t="s" s="44">
        <v>72</v>
      </c>
      <c r="AI132" s="15">
        <f>-L24</f>
        <v>1864</v>
      </c>
      <c r="AJ132" t="s" s="44">
        <v>72</v>
      </c>
      <c r="AK132" s="15">
        <f>-L25</f>
        <v>-292.9</v>
      </c>
      <c r="AL132" t="s" s="44">
        <v>72</v>
      </c>
      <c r="AM132" s="15">
        <f>-L26</f>
        <v>164.2</v>
      </c>
      <c r="AN132" t="s" s="44">
        <f>AN104</f>
        <v>372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0</v>
      </c>
      <c r="AF133" t="s" s="44">
        <v>72</v>
      </c>
      <c r="AG133" s="15">
        <f>-M23</f>
        <v>0</v>
      </c>
      <c r="AH133" t="s" s="44">
        <v>72</v>
      </c>
      <c r="AI133" s="15">
        <f>-M24</f>
        <v>0</v>
      </c>
      <c r="AJ133" t="s" s="44">
        <v>72</v>
      </c>
      <c r="AK133" s="15">
        <f>-M25</f>
        <v>930.9</v>
      </c>
      <c r="AL133" t="s" s="44">
        <v>72</v>
      </c>
      <c r="AM133" s="15">
        <f>-M26</f>
        <v>0</v>
      </c>
      <c r="AN133" t="s" s="44">
        <f>AN132</f>
        <v>372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392</v>
      </c>
      <c r="AF134" t="s" s="44">
        <f>IF(AG134&gt;0,"paid","(raised)")</f>
        <v>374</v>
      </c>
      <c r="AG134" s="15">
        <f>SUM(AM132:AM133)</f>
        <v>164.2</v>
      </c>
      <c r="AH134" t="s" s="44">
        <f>AN104</f>
        <v>372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164.2</v>
      </c>
      <c r="AM134" t="s" s="44">
        <f>AN104</f>
        <v>372</v>
      </c>
      <c r="AN134" t="s" s="44">
        <v>123</v>
      </c>
      <c r="AO134" s="15">
        <f>AM133</f>
        <v>0</v>
      </c>
      <c r="AP134" t="s" s="44">
        <f>AN104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4546.108223408470</v>
      </c>
      <c r="AU134" t="s" s="44">
        <f>AN104</f>
        <v>372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51666.2197248</v>
      </c>
      <c r="AG135" t="s" s="44">
        <f>AN104</f>
        <v>372</v>
      </c>
      <c r="AH135" t="s" s="44">
        <v>128</v>
      </c>
      <c r="AI135" t="s" s="44">
        <v>129</v>
      </c>
      <c r="AJ135" s="43">
        <f>AH82</f>
        <v>1.53201034356903</v>
      </c>
      <c r="AK135" t="s" s="44">
        <v>130</v>
      </c>
      <c r="AL135" t="s" s="44">
        <v>131</v>
      </c>
      <c r="AM135" t="s" s="44">
        <v>132</v>
      </c>
      <c r="AN135" s="15">
        <f>AH85</f>
        <v>6.21391624842016</v>
      </c>
      <c r="AO135" t="s" s="44">
        <v>133</v>
      </c>
      <c r="AP135" s="16">
        <f>-AF129/AF135</f>
        <v>0.0476967713195316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4665.3670311972</v>
      </c>
      <c r="AG136" t="s" s="44">
        <f>AG135</f>
        <v>372</v>
      </c>
      <c r="AH136" t="s" s="44">
        <v>136</v>
      </c>
      <c r="AI136" s="15">
        <f>AF135/AF136</f>
        <v>11.0744169492581</v>
      </c>
      <c r="AJ136" t="s" s="44">
        <v>130</v>
      </c>
      <c r="AK136" t="s" s="44">
        <v>137</v>
      </c>
      <c r="AL136" t="s" s="44">
        <v>138</v>
      </c>
      <c r="AM136" s="15">
        <f>AH86</f>
        <v>12</v>
      </c>
      <c r="AN136" t="s" s="44">
        <v>139</v>
      </c>
      <c r="AO136" t="s" s="44">
        <v>140</v>
      </c>
      <c r="AP136" t="s" s="44">
        <v>141</v>
      </c>
      <c r="AQ136" s="16">
        <f>AJ94</f>
        <v>0.08357849040566979</v>
      </c>
      <c r="AR136" t="s" s="44">
        <f>IF(AQ136&gt;0,"higher","lower")</f>
        <v>363</v>
      </c>
      <c r="AS136" t="s" s="44">
        <v>142</v>
      </c>
      <c r="AT136" s="15">
        <f>AH94</f>
        <v>2329.693754372190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392</v>
      </c>
      <c r="AF138" t="s" s="44">
        <f>AE146</f>
        <v>394</v>
      </c>
      <c r="AG138" t="s" s="44">
        <f>AF146</f>
        <v>395</v>
      </c>
      <c r="AH138" s="16">
        <f>AG146</f>
        <v>0.651916685131841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2150</v>
      </c>
      <c r="AG139" t="s" s="44">
        <f>AG94</f>
        <v>61</v>
      </c>
      <c r="AH139" s="15">
        <f>AH94</f>
        <v>2329.693754372190</v>
      </c>
      <c r="AI139" t="s" s="44">
        <f>AI94</f>
        <v>361</v>
      </c>
      <c r="AJ139" s="16">
        <f>AJ94</f>
        <v>0.08357849040566979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0.6204449371284489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0.0281150819188489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  <v>361</v>
      </c>
      <c r="AH144" s="16">
        <f>AH99</f>
        <v>0.0639857147979641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-0.127897880572596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0.651916685131841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0.140963481926964</v>
      </c>
      <c r="AF148" s="16">
        <f>AF103</f>
        <v>0.300827057046287</v>
      </c>
      <c r="AG148" s="16">
        <f>AG103</f>
        <v>-0.185675018589224</v>
      </c>
      <c r="AH148" s="16">
        <f>AH103</f>
        <v>-0.0739619776544337</v>
      </c>
      <c r="AI148" s="16">
        <f>AI103</f>
        <v>0.651916685131841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9201.299999999999</v>
      </c>
      <c r="AF149" t="s" s="44">
        <f>AF104</f>
        <v>72</v>
      </c>
      <c r="AG149" s="15">
        <f>AG104</f>
        <v>11969.3</v>
      </c>
      <c r="AH149" t="s" s="44">
        <f>AH104</f>
        <v>72</v>
      </c>
      <c r="AI149" s="15">
        <f>AI104</f>
        <v>9746.9</v>
      </c>
      <c r="AJ149" t="s" s="44">
        <f>AJ104</f>
        <v>72</v>
      </c>
      <c r="AK149" s="15">
        <f>AK104</f>
        <v>9026</v>
      </c>
      <c r="AL149" t="s" s="44">
        <f>AL104</f>
        <v>72</v>
      </c>
      <c r="AM149" s="15">
        <f>AM104</f>
        <v>14910.2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0.651916685131841</v>
      </c>
      <c r="AH150" t="s" s="44">
        <v>408</v>
      </c>
      <c r="AI150" t="s" s="44">
        <v>409</v>
      </c>
      <c r="AJ150" t="s" s="44">
        <v>410</v>
      </c>
      <c r="AK150" s="15">
        <f>AL105</f>
        <v>14910.2</v>
      </c>
      <c r="AL150" t="s" s="44">
        <f>AN149</f>
        <v>407</v>
      </c>
      <c r="AM150" t="s" s="44">
        <v>411</v>
      </c>
      <c r="AN150" t="s" s="44">
        <f>AO105</f>
      </c>
      <c r="AO150" s="16">
        <f>AP105</f>
        <v>-0.0135157742078725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0.173276686483618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0.0275</v>
      </c>
      <c r="AG152" t="s" s="44">
        <v>415</v>
      </c>
      <c r="AH152" t="s" s="44">
        <v>416</v>
      </c>
      <c r="AI152" s="23">
        <f>AI107</f>
        <v>16593.570227916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419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0.0756197493832393</v>
      </c>
      <c r="AF155" s="16">
        <f>AF110</f>
        <v>0.0333102186426942</v>
      </c>
      <c r="AG155" s="16">
        <f>AG110</f>
        <v>0.173357682955606</v>
      </c>
      <c r="AH155" s="16">
        <f>AH110</f>
        <v>0.0586860181697319</v>
      </c>
      <c r="AI155" s="16">
        <f>AI110</f>
        <v>0.0897975882281928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550.5</v>
      </c>
      <c r="AF156" t="s" s="44">
        <f>AF111</f>
        <v>72</v>
      </c>
      <c r="AG156" s="15">
        <f>AG111</f>
        <v>151.2</v>
      </c>
      <c r="AH156" t="s" s="44">
        <f>AH111</f>
        <v>72</v>
      </c>
      <c r="AI156" s="15">
        <f>AI111</f>
        <v>1465.4</v>
      </c>
      <c r="AJ156" t="s" s="44">
        <f>AJ111</f>
        <v>72</v>
      </c>
      <c r="AK156" s="15">
        <f>AK111</f>
        <v>60.5</v>
      </c>
      <c r="AL156" t="s" s="44">
        <f>AL111</f>
        <v>72</v>
      </c>
      <c r="AM156" s="15">
        <f>AM111</f>
        <v>1100.9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0.0586860181697319</v>
      </c>
      <c r="AG157" t="s" s="85">
        <v>422</v>
      </c>
      <c r="AH157" s="16">
        <f>AH112</f>
        <v>0.0897975882281928</v>
      </c>
      <c r="AI157" t="s" s="85">
        <v>423</v>
      </c>
      <c r="AJ157" s="15">
        <f>AJ112</f>
        <v>60.5</v>
      </c>
      <c r="AK157" t="s" s="44">
        <v>410</v>
      </c>
      <c r="AL157" s="15">
        <f>AL112</f>
        <v>1100.9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0.0887878769990562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0.0887878769990562</v>
      </c>
      <c r="AG159" t="s" s="85">
        <v>427</v>
      </c>
      <c r="AH159" s="15">
        <f>AH114</f>
        <v>1162.807872371410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318.3</v>
      </c>
      <c r="AG161" s="15">
        <f>ABS(AH165)</f>
        <v>1489.5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2039.3</v>
      </c>
      <c r="AF163" t="s" s="44">
        <f>AF118</f>
        <v>72</v>
      </c>
      <c r="AG163" s="15">
        <f>AG118</f>
        <v>509.5</v>
      </c>
      <c r="AH163" t="s" s="44">
        <f>AH118</f>
        <v>72</v>
      </c>
      <c r="AI163" s="15">
        <f>AI118</f>
        <v>461.8</v>
      </c>
      <c r="AJ163" t="s" s="44">
        <f>AJ118</f>
        <v>72</v>
      </c>
      <c r="AK163" s="15">
        <f>AK118</f>
        <v>366.1</v>
      </c>
      <c r="AL163" t="s" s="44">
        <f>AL118</f>
        <v>72</v>
      </c>
      <c r="AM163" s="15">
        <f>AM118</f>
        <v>1172.4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-293.3</v>
      </c>
      <c r="AF164" t="s" s="44">
        <f>AF119</f>
        <v>72</v>
      </c>
      <c r="AG164" s="15">
        <f>AG119</f>
        <v>-1147.9</v>
      </c>
      <c r="AH164" t="s" s="44">
        <f>AH119</f>
        <v>72</v>
      </c>
      <c r="AI164" s="15">
        <f>AI119</f>
        <v>458</v>
      </c>
      <c r="AJ164" t="s" s="44">
        <f>AJ119</f>
        <v>72</v>
      </c>
      <c r="AK164" s="15">
        <f>AK119</f>
        <v>-684.4</v>
      </c>
      <c r="AL164" t="s" s="44">
        <f>AL119</f>
        <v>72</v>
      </c>
      <c r="AM164" s="15">
        <f>AM119</f>
        <v>317.1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-318.3</v>
      </c>
      <c r="AG165" t="s" s="44">
        <v>410</v>
      </c>
      <c r="AH165" s="15">
        <f>AH120</f>
        <v>1489.5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317.1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363.15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-264.3</v>
      </c>
      <c r="AG167" t="s" s="44">
        <f>AN149</f>
        <v>407</v>
      </c>
      <c r="AH167" t="s" s="85">
        <v>435</v>
      </c>
      <c r="AI167" s="15">
        <f>AL122</f>
        <v>1166.3417577993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437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6368</v>
      </c>
      <c r="AF170" t="s" s="44">
        <f>AF125</f>
        <v>72</v>
      </c>
      <c r="AG170" s="15">
        <f>AG125</f>
        <v>5089</v>
      </c>
      <c r="AH170" t="s" s="44">
        <f>AH125</f>
        <v>72</v>
      </c>
      <c r="AI170" s="15">
        <f>AI125</f>
        <v>4159.4</v>
      </c>
      <c r="AJ170" t="s" s="44">
        <f>AJ125</f>
        <v>72</v>
      </c>
      <c r="AK170" s="15">
        <f>AK125</f>
        <v>3234</v>
      </c>
      <c r="AL170" t="s" s="44">
        <f>AL125</f>
        <v>72</v>
      </c>
      <c r="AM170" s="15">
        <f>AM125</f>
        <v>4615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12957</v>
      </c>
      <c r="AF171" t="s" s="44">
        <f>AF126</f>
        <v>72</v>
      </c>
      <c r="AG171" s="15">
        <f>AG126</f>
        <v>12079</v>
      </c>
      <c r="AH171" t="s" s="44">
        <f>AH126</f>
        <v>72</v>
      </c>
      <c r="AI171" s="15">
        <f>AI126</f>
        <v>9236</v>
      </c>
      <c r="AJ171" t="s" s="44">
        <f>AJ126</f>
        <v>72</v>
      </c>
      <c r="AK171" s="15">
        <f>AK126</f>
        <v>10784</v>
      </c>
      <c r="AL171" t="s" s="44">
        <f>AL126</f>
        <v>72</v>
      </c>
      <c r="AM171" s="15">
        <f>AM126</f>
        <v>11223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440</v>
      </c>
      <c r="AG172" s="15">
        <f>AG127</f>
        <v>3234</v>
      </c>
      <c r="AH172" t="s" s="44">
        <f>AG165</f>
        <v>410</v>
      </c>
      <c r="AI172" s="15">
        <f>AI127</f>
        <v>4615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440</v>
      </c>
      <c r="AG173" s="15">
        <f>AG128</f>
        <v>10784</v>
      </c>
      <c r="AH173" t="s" s="44">
        <f>AG165</f>
        <v>410</v>
      </c>
      <c r="AI173" s="15">
        <f>AI128</f>
        <v>11223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440</v>
      </c>
      <c r="AN173" s="15">
        <f>AN128</f>
        <v>-7550</v>
      </c>
      <c r="AO173" t="s" s="44">
        <f>AH173</f>
        <v>410</v>
      </c>
      <c r="AP173" s="15">
        <f>AP128</f>
        <v>-6608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-2464.311867158460</v>
      </c>
      <c r="AG174" t="s" s="44">
        <f>AN149</f>
        <v>407</v>
      </c>
      <c r="AH174" t="s" s="85">
        <v>445</v>
      </c>
      <c r="AI174" s="15">
        <f>AJ129</f>
        <v>-2081.79635625</v>
      </c>
      <c r="AJ174" t="s" s="44">
        <f>AG174</f>
        <v>407</v>
      </c>
      <c r="AK174" t="s" s="85">
        <v>446</v>
      </c>
      <c r="AL174" s="15">
        <f>AN129</f>
        <v>-4406.944835961260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44.05" customHeight="1">
      <c r="AC175" s="36"/>
      <c r="AD175" s="38"/>
      <c r="AE175" t="s" s="44">
        <v>448</v>
      </c>
      <c r="AF175" t="s" s="44">
        <f>IF(AF130="(raised)","(yang dihimpun)","(yang dibayarkan)")</f>
        <v>449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453.9</v>
      </c>
      <c r="AF177" t="s" s="44">
        <f>AF132</f>
        <v>72</v>
      </c>
      <c r="AG177" s="15">
        <f>AG132</f>
        <v>639.7</v>
      </c>
      <c r="AH177" t="s" s="44">
        <f>AH132</f>
        <v>72</v>
      </c>
      <c r="AI177" s="15">
        <f>AI132</f>
        <v>1864</v>
      </c>
      <c r="AJ177" t="s" s="44">
        <f>AJ132</f>
        <v>72</v>
      </c>
      <c r="AK177" s="15">
        <f>AK132</f>
        <v>-292.9</v>
      </c>
      <c r="AL177" t="s" s="44">
        <f>AL132</f>
        <v>72</v>
      </c>
      <c r="AM177" s="15">
        <f>AM132</f>
        <v>164.2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0</v>
      </c>
      <c r="AF178" t="s" s="44">
        <f>AF133</f>
        <v>72</v>
      </c>
      <c r="AG178" s="15">
        <f>AG133</f>
        <v>0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930.9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392</v>
      </c>
      <c r="AF179" t="s" s="44">
        <f>IF(AF175="(yang dihimpun)","(menghimpun)","(membayarkan)")</f>
        <v>451</v>
      </c>
      <c r="AG179" s="15">
        <f>AG134</f>
        <v>164.2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164.2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4546.108223408470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51666.2197248</v>
      </c>
      <c r="AG180" t="s" s="44">
        <f>AN149</f>
        <v>407</v>
      </c>
      <c r="AH180" t="s" s="85">
        <v>458</v>
      </c>
      <c r="AI180" s="40">
        <f>AJ135</f>
        <v>1.53201034356903</v>
      </c>
      <c r="AJ180" t="s" s="44">
        <v>459</v>
      </c>
      <c r="AK180" t="s" s="85">
        <v>460</v>
      </c>
      <c r="AL180" s="15">
        <f>AN135</f>
        <v>6.21391624842016</v>
      </c>
      <c r="AM180" t="s" s="85">
        <v>461</v>
      </c>
      <c r="AN180" s="16">
        <f>AP135</f>
        <v>0.0476967713195316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4665.3670311972</v>
      </c>
      <c r="AG181" t="s" s="44">
        <f>AN149</f>
        <v>407</v>
      </c>
      <c r="AH181" t="s" s="85">
        <v>463</v>
      </c>
      <c r="AI181" s="15">
        <f>AI136</f>
        <v>11.0744169492581</v>
      </c>
      <c r="AJ181" t="s" s="44">
        <v>464</v>
      </c>
      <c r="AK181" t="s" s="85">
        <v>465</v>
      </c>
      <c r="AL181" s="15">
        <f>AM136</f>
        <v>12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0.08357849040566979</v>
      </c>
      <c r="AQ181" t="s" s="85">
        <v>468</v>
      </c>
      <c r="AR181" s="15">
        <f>AT136</f>
        <v>2329.693754372190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9201.299999999999</v>
      </c>
      <c r="AE183" s="15">
        <f>AG104</f>
        <v>11969.3</v>
      </c>
      <c r="AF183" s="15">
        <f>AI104</f>
        <v>9746.9</v>
      </c>
      <c r="AG183" s="15">
        <f>AK104</f>
        <v>9026</v>
      </c>
      <c r="AH183" s="15">
        <f>AM104</f>
        <v>14910.2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1746</v>
      </c>
      <c r="AE184" s="15">
        <f>SUM(AG118:AG119)</f>
        <v>-638.4</v>
      </c>
      <c r="AF184" s="15">
        <f>SUM(AI118:AI119)</f>
        <v>919.8</v>
      </c>
      <c r="AG184" s="15">
        <f>SUM(AK118:AK119)</f>
        <v>-318.3</v>
      </c>
      <c r="AH184" s="15">
        <f>SUM(AM118:AM119)</f>
        <v>1489.5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453.9</v>
      </c>
      <c r="AE185" s="15">
        <f>SUM(AG132:AG133)</f>
        <v>639.7</v>
      </c>
      <c r="AF185" s="15">
        <f>SUM(AI132:AI133)</f>
        <v>1864</v>
      </c>
      <c r="AG185" s="15">
        <f>SUM(AK132:AK133)</f>
        <v>638</v>
      </c>
      <c r="AH185" s="15">
        <f>SUM(AM132:AM133)</f>
        <v>164.2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-6589</v>
      </c>
      <c r="AE186" s="15">
        <f>(AG125-AG126)</f>
        <v>-6990</v>
      </c>
      <c r="AF186" s="15">
        <f>(AI125-AI126)</f>
        <v>-5076.6</v>
      </c>
      <c r="AG186" s="15">
        <f>(AK125-AK126)</f>
        <v>-7550</v>
      </c>
      <c r="AH186" s="15">
        <f>(AM125-AM126)</f>
        <v>-6608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2329.693754372190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29" customWidth="1"/>
    <col min="2" max="28" width="10.4844" style="329" customWidth="1"/>
    <col min="29" max="29" width="18.9766" style="330" customWidth="1"/>
    <col min="30" max="48" width="9" style="330" customWidth="1"/>
    <col min="49" max="16384" width="16.3516" style="330" customWidth="1"/>
  </cols>
  <sheetData>
    <row r="1" ht="11.65" customHeight="1"/>
    <row r="2" ht="27.65" customHeight="1">
      <c r="B2" t="s" s="2">
        <v>690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189</v>
      </c>
      <c r="AA3" t="s" s="3">
        <v>19</v>
      </c>
      <c r="AB3" t="s" s="3">
        <v>20</v>
      </c>
    </row>
    <row r="4" ht="20.25" customHeight="1">
      <c r="B4" s="6">
        <v>2017</v>
      </c>
      <c r="C4" s="87">
        <v>1609.585</v>
      </c>
      <c r="D4" s="59">
        <v>97</v>
      </c>
      <c r="E4" s="59">
        <v>444.914</v>
      </c>
      <c r="F4" s="59">
        <v>549</v>
      </c>
      <c r="G4" s="59">
        <v>4890</v>
      </c>
      <c r="H4" s="59">
        <v>14686</v>
      </c>
      <c r="I4" s="59">
        <v>1541</v>
      </c>
      <c r="J4" s="59">
        <v>537.27075</v>
      </c>
      <c r="K4" s="59">
        <v>-212.117</v>
      </c>
      <c r="L4" s="59">
        <v>183.5</v>
      </c>
      <c r="M4" s="59">
        <v>-148.25</v>
      </c>
      <c r="N4" s="59"/>
      <c r="O4" s="59"/>
      <c r="P4" s="9"/>
      <c r="Q4" s="9"/>
      <c r="R4" s="9"/>
      <c r="S4" s="9"/>
      <c r="T4" s="9"/>
      <c r="U4" s="9"/>
      <c r="V4" s="59">
        <f>-(L4+M4)</f>
        <v>-35.25</v>
      </c>
      <c r="W4" s="9"/>
      <c r="X4" s="59">
        <f>F4-G4</f>
        <v>-4341</v>
      </c>
      <c r="Y4" s="9"/>
      <c r="Z4" s="8">
        <v>1850</v>
      </c>
      <c r="AA4" s="11"/>
      <c r="AB4" s="12">
        <v>13.3</v>
      </c>
    </row>
    <row r="5" ht="20.05" customHeight="1">
      <c r="B5" s="13"/>
      <c r="C5" s="38">
        <v>2015.907</v>
      </c>
      <c r="D5" s="26">
        <v>127</v>
      </c>
      <c r="E5" s="26">
        <v>389.497</v>
      </c>
      <c r="F5" s="26">
        <v>368</v>
      </c>
      <c r="G5" s="26">
        <v>5384</v>
      </c>
      <c r="H5" s="26">
        <v>14729</v>
      </c>
      <c r="I5" s="26">
        <v>2081</v>
      </c>
      <c r="J5" s="26">
        <v>298.54875</v>
      </c>
      <c r="K5" s="26">
        <v>-277.94</v>
      </c>
      <c r="L5" s="26">
        <v>183.5</v>
      </c>
      <c r="M5" s="26">
        <v>-148.25</v>
      </c>
      <c r="N5" s="26"/>
      <c r="O5" s="26"/>
      <c r="P5" s="16"/>
      <c r="Q5" s="17"/>
      <c r="R5" s="17"/>
      <c r="S5" s="17"/>
      <c r="T5" s="17"/>
      <c r="U5" s="17"/>
      <c r="V5" s="26">
        <f>-(L5+M5)+V4</f>
        <v>-70.5</v>
      </c>
      <c r="W5" s="17"/>
      <c r="X5" s="26">
        <f>F5-G5</f>
        <v>-5016</v>
      </c>
      <c r="Y5" s="17"/>
      <c r="Z5" s="15">
        <v>1840</v>
      </c>
      <c r="AA5" s="19"/>
      <c r="AB5" s="20">
        <v>13.327</v>
      </c>
    </row>
    <row r="6" ht="20.05" customHeight="1">
      <c r="B6" s="13"/>
      <c r="C6" s="38">
        <v>1756.314</v>
      </c>
      <c r="D6" s="26">
        <v>112</v>
      </c>
      <c r="E6" s="26">
        <v>366.46</v>
      </c>
      <c r="F6" s="26">
        <v>344</v>
      </c>
      <c r="G6" s="26">
        <v>4855</v>
      </c>
      <c r="H6" s="26">
        <v>14510</v>
      </c>
      <c r="I6" s="26">
        <v>1761</v>
      </c>
      <c r="J6" s="26">
        <v>585.39175</v>
      </c>
      <c r="K6" s="26">
        <v>152.257</v>
      </c>
      <c r="L6" s="26">
        <v>183.5</v>
      </c>
      <c r="M6" s="26">
        <v>-148.25</v>
      </c>
      <c r="N6" s="26"/>
      <c r="O6" s="26"/>
      <c r="P6" s="16"/>
      <c r="Q6" s="17"/>
      <c r="R6" s="17"/>
      <c r="S6" s="17"/>
      <c r="T6" s="17"/>
      <c r="U6" s="17"/>
      <c r="V6" s="26">
        <f>-(L6+M6)+V5</f>
        <v>-105.75</v>
      </c>
      <c r="W6" s="17"/>
      <c r="X6" s="26">
        <f>F6-G6</f>
        <v>-4511</v>
      </c>
      <c r="Y6" s="17"/>
      <c r="Z6" s="15">
        <v>1320</v>
      </c>
      <c r="AA6" s="19"/>
      <c r="AB6" s="20">
        <v>13.305</v>
      </c>
    </row>
    <row r="7" ht="20.05" customHeight="1">
      <c r="B7" s="13"/>
      <c r="C7" s="38">
        <v>1670.194</v>
      </c>
      <c r="D7" s="26">
        <v>96</v>
      </c>
      <c r="E7" s="26">
        <v>366.675</v>
      </c>
      <c r="F7" s="26">
        <v>468.985</v>
      </c>
      <c r="G7" s="26">
        <v>5256.208</v>
      </c>
      <c r="H7" s="26">
        <v>15057.291</v>
      </c>
      <c r="I7" s="26">
        <v>1668</v>
      </c>
      <c r="J7" s="26">
        <v>701.4037499999999</v>
      </c>
      <c r="K7" s="26">
        <v>-388.8</v>
      </c>
      <c r="L7" s="26">
        <v>183.5</v>
      </c>
      <c r="M7" s="26">
        <v>-148.25</v>
      </c>
      <c r="N7" s="26"/>
      <c r="O7" s="26"/>
      <c r="P7" s="16"/>
      <c r="Q7" s="17"/>
      <c r="R7" s="17"/>
      <c r="S7" s="17"/>
      <c r="T7" s="17"/>
      <c r="U7" s="17"/>
      <c r="V7" s="26">
        <f>-(L7+M7)+V6</f>
        <v>-141</v>
      </c>
      <c r="W7" s="17"/>
      <c r="X7" s="26">
        <f>F7-G7</f>
        <v>-4787.223</v>
      </c>
      <c r="Y7" s="17"/>
      <c r="Z7" s="15">
        <v>1285</v>
      </c>
      <c r="AA7" s="19"/>
      <c r="AB7" s="20">
        <v>13.557</v>
      </c>
    </row>
    <row r="8" ht="20.05" customHeight="1">
      <c r="B8" s="21">
        <v>2018</v>
      </c>
      <c r="C8" s="38">
        <v>1602.361</v>
      </c>
      <c r="D8" s="26">
        <v>110</v>
      </c>
      <c r="E8" s="26">
        <v>295.874</v>
      </c>
      <c r="F8" s="26">
        <v>962.955</v>
      </c>
      <c r="G8" s="26">
        <v>5628.467</v>
      </c>
      <c r="H8" s="26">
        <v>15653.572</v>
      </c>
      <c r="I8" s="26">
        <v>1539</v>
      </c>
      <c r="J8" s="26">
        <v>248.43825</v>
      </c>
      <c r="K8" s="26">
        <v>-124.071</v>
      </c>
      <c r="L8" s="26">
        <v>205.65</v>
      </c>
      <c r="M8" s="26">
        <v>-143.4</v>
      </c>
      <c r="N8" s="26">
        <f>SUM(C5:C8)/4</f>
        <v>1761.194</v>
      </c>
      <c r="O8" s="26"/>
      <c r="P8" s="16"/>
      <c r="Q8" s="16"/>
      <c r="R8" s="16"/>
      <c r="S8" s="17"/>
      <c r="T8" s="26">
        <f>SUM(J5:K8)/4</f>
        <v>298.807125</v>
      </c>
      <c r="U8" s="17"/>
      <c r="V8" s="26">
        <f>-(L8+M8)+V7</f>
        <v>-203.25</v>
      </c>
      <c r="W8" s="17"/>
      <c r="X8" s="26">
        <f>F8-G8</f>
        <v>-4665.512</v>
      </c>
      <c r="Y8" s="24"/>
      <c r="Z8" s="15">
        <v>1415</v>
      </c>
      <c r="AA8" s="22"/>
      <c r="AB8" s="20">
        <v>13.761</v>
      </c>
    </row>
    <row r="9" ht="20.05" customHeight="1">
      <c r="B9" s="13"/>
      <c r="C9" s="38">
        <v>2087.183</v>
      </c>
      <c r="D9" s="26">
        <v>121</v>
      </c>
      <c r="E9" s="26">
        <v>407.746</v>
      </c>
      <c r="F9" s="26">
        <v>1112.201</v>
      </c>
      <c r="G9" s="26">
        <v>5499.849</v>
      </c>
      <c r="H9" s="26">
        <v>16088.788</v>
      </c>
      <c r="I9" s="26">
        <v>2039</v>
      </c>
      <c r="J9" s="26">
        <v>-29.93775</v>
      </c>
      <c r="K9" s="26">
        <v>-178.748</v>
      </c>
      <c r="L9" s="26">
        <v>205.65</v>
      </c>
      <c r="M9" s="26">
        <v>-143.4</v>
      </c>
      <c r="N9" s="26">
        <f>SUM(C6:C9)/4</f>
        <v>1779.013</v>
      </c>
      <c r="O9" s="26"/>
      <c r="P9" s="16"/>
      <c r="Q9" s="16">
        <f>(E9+D9)/C9</f>
        <v>0.253329966754233</v>
      </c>
      <c r="R9" s="16"/>
      <c r="S9" s="17"/>
      <c r="T9" s="26">
        <f>SUM(J6:K9)/4</f>
        <v>241.4835</v>
      </c>
      <c r="U9" s="17"/>
      <c r="V9" s="26">
        <f>-(L9+M9)+V8</f>
        <v>-265.5</v>
      </c>
      <c r="W9" s="17"/>
      <c r="X9" s="26">
        <f>F9-G9</f>
        <v>-4387.648</v>
      </c>
      <c r="Y9" s="24"/>
      <c r="Z9" s="15">
        <v>920</v>
      </c>
      <c r="AA9" s="22"/>
      <c r="AB9" s="20">
        <v>14</v>
      </c>
    </row>
    <row r="10" ht="20.05" customHeight="1">
      <c r="B10" s="13"/>
      <c r="C10" s="38">
        <v>1840.492</v>
      </c>
      <c r="D10" s="26">
        <v>108</v>
      </c>
      <c r="E10" s="26">
        <v>393.641</v>
      </c>
      <c r="F10" s="26">
        <v>997.1609999999999</v>
      </c>
      <c r="G10" s="26">
        <v>5484.08</v>
      </c>
      <c r="H10" s="26">
        <v>16007.237</v>
      </c>
      <c r="I10" s="26">
        <v>1406</v>
      </c>
      <c r="J10" s="26">
        <v>127.20025</v>
      </c>
      <c r="K10" s="26">
        <v>-7.881</v>
      </c>
      <c r="L10" s="26">
        <v>205.65</v>
      </c>
      <c r="M10" s="26">
        <v>-143.4</v>
      </c>
      <c r="N10" s="26">
        <f>SUM(C7:C10)/4</f>
        <v>1800.0575</v>
      </c>
      <c r="O10" s="26"/>
      <c r="P10" s="16">
        <f>C10/C9-1</f>
        <v>-0.118193277733673</v>
      </c>
      <c r="Q10" s="16">
        <f>(E10+D10)/C10</f>
        <v>0.272558098595376</v>
      </c>
      <c r="R10" s="16"/>
      <c r="S10" s="17"/>
      <c r="T10" s="26">
        <f>SUM(J7:K10)/4</f>
        <v>86.90112499999999</v>
      </c>
      <c r="U10" s="17"/>
      <c r="V10" s="26">
        <f>-(L10+M10)+V9</f>
        <v>-327.75</v>
      </c>
      <c r="W10" s="17"/>
      <c r="X10" s="26">
        <f>F10-G10</f>
        <v>-4486.919</v>
      </c>
      <c r="Y10" s="24"/>
      <c r="Z10" s="15">
        <v>805</v>
      </c>
      <c r="AA10" s="22"/>
      <c r="AB10" s="20">
        <v>14.902</v>
      </c>
    </row>
    <row r="11" ht="20.05" customHeight="1">
      <c r="B11" s="13"/>
      <c r="C11" s="38">
        <v>1913.869</v>
      </c>
      <c r="D11" s="26">
        <v>98</v>
      </c>
      <c r="E11" s="26">
        <v>508.36</v>
      </c>
      <c r="F11" s="26">
        <v>720.247</v>
      </c>
      <c r="G11" s="26">
        <v>5697.247</v>
      </c>
      <c r="H11" s="26">
        <v>16339.552</v>
      </c>
      <c r="I11" s="26">
        <v>2144</v>
      </c>
      <c r="J11" s="26">
        <v>1594.10025</v>
      </c>
      <c r="K11" s="26">
        <v>-1314.3</v>
      </c>
      <c r="L11" s="26">
        <v>205.65</v>
      </c>
      <c r="M11" s="26">
        <v>-143.4</v>
      </c>
      <c r="N11" s="26">
        <f>SUM(C8:C11)/4</f>
        <v>1860.97625</v>
      </c>
      <c r="O11" s="26"/>
      <c r="P11" s="16">
        <f>C11/C10-1</f>
        <v>0.0398681439528126</v>
      </c>
      <c r="Q11" s="16">
        <f>(E11+D11)/C11</f>
        <v>0.316824192251403</v>
      </c>
      <c r="R11" s="16"/>
      <c r="S11" s="17"/>
      <c r="T11" s="26">
        <f>SUM(J8:K11)/4</f>
        <v>78.70025</v>
      </c>
      <c r="U11" s="17"/>
      <c r="V11" s="26">
        <f>-(L11+M11)+V10</f>
        <v>-390</v>
      </c>
      <c r="W11" s="17"/>
      <c r="X11" s="26">
        <f>F11-G11</f>
        <v>-4977</v>
      </c>
      <c r="Y11" s="24"/>
      <c r="Z11" s="15">
        <v>690</v>
      </c>
      <c r="AA11" s="22"/>
      <c r="AB11" s="20">
        <v>14.38</v>
      </c>
    </row>
    <row r="12" ht="20.05" customHeight="1">
      <c r="B12" s="21">
        <v>2019</v>
      </c>
      <c r="C12" s="38">
        <v>1886.355</v>
      </c>
      <c r="D12" s="26">
        <v>93.79900000000001</v>
      </c>
      <c r="E12" s="26">
        <v>584.9690000000001</v>
      </c>
      <c r="F12" s="26">
        <v>523</v>
      </c>
      <c r="G12" s="26">
        <v>5466</v>
      </c>
      <c r="H12" s="26">
        <v>16451.6</v>
      </c>
      <c r="I12" s="26">
        <v>1836</v>
      </c>
      <c r="J12" s="26">
        <v>593.023</v>
      </c>
      <c r="K12" s="26">
        <v>-389.281</v>
      </c>
      <c r="L12" s="26">
        <v>-422.25</v>
      </c>
      <c r="M12" s="26">
        <v>296.25</v>
      </c>
      <c r="N12" s="26">
        <f>SUM(C9:C12)/4</f>
        <v>1931.97475</v>
      </c>
      <c r="O12" s="26"/>
      <c r="P12" s="16">
        <f>C12/C11-1</f>
        <v>-0.014376114561655</v>
      </c>
      <c r="Q12" s="16">
        <f>(E12+D12)/C12</f>
        <v>0.359830466693703</v>
      </c>
      <c r="R12" s="16">
        <f>AVERAGE(Q9:Q12)</f>
        <v>0.300635681073679</v>
      </c>
      <c r="S12" s="17"/>
      <c r="T12" s="26">
        <f>SUM(J9:K12)/4</f>
        <v>98.5439375</v>
      </c>
      <c r="U12" s="17"/>
      <c r="V12" s="26">
        <f>-(L12+M12)+V11</f>
        <v>-264</v>
      </c>
      <c r="W12" s="17"/>
      <c r="X12" s="26">
        <f>F12-G12</f>
        <v>-4943</v>
      </c>
      <c r="Y12" s="24"/>
      <c r="Z12" s="15">
        <v>750</v>
      </c>
      <c r="AA12" s="22"/>
      <c r="AB12" s="20">
        <v>14.24</v>
      </c>
    </row>
    <row r="13" ht="20.05" customHeight="1">
      <c r="B13" s="13"/>
      <c r="C13" s="38">
        <v>2365.645</v>
      </c>
      <c r="D13" s="26">
        <v>124.601</v>
      </c>
      <c r="E13" s="26">
        <v>635.0309999999999</v>
      </c>
      <c r="F13" s="26">
        <v>502</v>
      </c>
      <c r="G13" s="26">
        <v>5745</v>
      </c>
      <c r="H13" s="26">
        <v>17152</v>
      </c>
      <c r="I13" s="26">
        <v>2354</v>
      </c>
      <c r="J13" s="26">
        <v>73.377</v>
      </c>
      <c r="K13" s="26">
        <v>-309.719</v>
      </c>
      <c r="L13" s="26">
        <v>-422.25</v>
      </c>
      <c r="M13" s="26">
        <v>296.25</v>
      </c>
      <c r="N13" s="26">
        <f>SUM(C10:C13)/4</f>
        <v>2001.59025</v>
      </c>
      <c r="O13" s="26"/>
      <c r="P13" s="16">
        <f>C13/C12-1</f>
        <v>0.254082609052909</v>
      </c>
      <c r="Q13" s="16">
        <f>(E13+D13)/C13</f>
        <v>0.321109887578229</v>
      </c>
      <c r="R13" s="16">
        <f>AVERAGE(Q10:Q13)</f>
        <v>0.317580661279678</v>
      </c>
      <c r="S13" s="17"/>
      <c r="T13" s="26">
        <f>SUM(J10:K13)/4</f>
        <v>91.629875</v>
      </c>
      <c r="U13" s="17"/>
      <c r="V13" s="26">
        <f>-(L13+M13)+V12</f>
        <v>-138</v>
      </c>
      <c r="W13" s="17"/>
      <c r="X13" s="26">
        <f>F13-G13</f>
        <v>-5243</v>
      </c>
      <c r="Y13" s="24"/>
      <c r="Z13" s="15">
        <v>1040</v>
      </c>
      <c r="AA13" s="24"/>
      <c r="AB13" s="15">
        <v>14.127</v>
      </c>
    </row>
    <row r="14" ht="20.05" customHeight="1">
      <c r="B14" s="13"/>
      <c r="C14" s="38">
        <v>2019</v>
      </c>
      <c r="D14" s="26">
        <v>120.6</v>
      </c>
      <c r="E14" s="26">
        <v>556</v>
      </c>
      <c r="F14" s="26">
        <v>732</v>
      </c>
      <c r="G14" s="26">
        <v>5454</v>
      </c>
      <c r="H14" s="26">
        <v>17391</v>
      </c>
      <c r="I14" s="26">
        <v>2045</v>
      </c>
      <c r="J14" s="26">
        <v>477.4</v>
      </c>
      <c r="K14" s="26">
        <v>-137</v>
      </c>
      <c r="L14" s="26">
        <v>-422.25</v>
      </c>
      <c r="M14" s="26">
        <v>296.25</v>
      </c>
      <c r="N14" s="26">
        <f>SUM(C11:C14)/4</f>
        <v>2046.21725</v>
      </c>
      <c r="O14" s="26"/>
      <c r="P14" s="16">
        <f>C14/C13-1</f>
        <v>-0.14653297515054</v>
      </c>
      <c r="Q14" s="16">
        <f>(E14+D14)/C14</f>
        <v>0.335116394254581</v>
      </c>
      <c r="R14" s="16">
        <f>AVERAGE(Q11:Q14)</f>
        <v>0.333220235194479</v>
      </c>
      <c r="S14" s="17"/>
      <c r="T14" s="26">
        <f>SUM(J11:K14)/4</f>
        <v>146.9000625</v>
      </c>
      <c r="U14" s="17"/>
      <c r="V14" s="26">
        <f>-(L14+M14)+V13</f>
        <v>-12</v>
      </c>
      <c r="W14" s="17"/>
      <c r="X14" s="26">
        <f>F14-G14</f>
        <v>-4722</v>
      </c>
      <c r="Y14" s="24"/>
      <c r="Z14" s="15">
        <v>1235</v>
      </c>
      <c r="AA14" s="24"/>
      <c r="AB14" s="15">
        <v>14.195</v>
      </c>
    </row>
    <row r="15" ht="20.05" customHeight="1">
      <c r="B15" s="13"/>
      <c r="C15" s="38">
        <v>2082.36</v>
      </c>
      <c r="D15" s="26">
        <v>115</v>
      </c>
      <c r="E15" s="26">
        <v>576.5</v>
      </c>
      <c r="F15" s="26">
        <v>630.869</v>
      </c>
      <c r="G15" s="26">
        <v>5310.92</v>
      </c>
      <c r="H15" s="26">
        <v>17836.3</v>
      </c>
      <c r="I15" s="26">
        <v>1899</v>
      </c>
      <c r="J15" s="26">
        <v>487.2</v>
      </c>
      <c r="K15" s="26">
        <v>-496</v>
      </c>
      <c r="L15" s="26">
        <v>-422.25</v>
      </c>
      <c r="M15" s="26">
        <v>296.25</v>
      </c>
      <c r="N15" s="26">
        <f>SUM(C12:C15)/4</f>
        <v>2088.34</v>
      </c>
      <c r="O15" s="26">
        <v>2149.18823</v>
      </c>
      <c r="P15" s="16">
        <f>C15/C14-1</f>
        <v>0.0313818722139673</v>
      </c>
      <c r="Q15" s="16">
        <f>(E15+D15)/C15</f>
        <v>0.332075145507981</v>
      </c>
      <c r="R15" s="16">
        <f>AVERAGE(Q12:Q15)</f>
        <v>0.337032973508624</v>
      </c>
      <c r="S15" s="17"/>
      <c r="T15" s="26">
        <f>SUM(J12:K15)/4</f>
        <v>74.75</v>
      </c>
      <c r="U15" s="17"/>
      <c r="V15" s="26">
        <f>-(L15+M15)+V14</f>
        <v>114</v>
      </c>
      <c r="W15" s="17"/>
      <c r="X15" s="26">
        <f>F15-G15</f>
        <v>-4680.051</v>
      </c>
      <c r="Y15" s="24"/>
      <c r="Z15" s="15">
        <v>1630</v>
      </c>
      <c r="AA15" s="24"/>
      <c r="AB15" s="15">
        <v>13.882</v>
      </c>
    </row>
    <row r="16" ht="20.05" customHeight="1">
      <c r="B16" s="21">
        <v>2020</v>
      </c>
      <c r="C16" s="38">
        <v>2016</v>
      </c>
      <c r="D16" s="26">
        <v>116.081</v>
      </c>
      <c r="E16" s="26">
        <v>332.748</v>
      </c>
      <c r="F16" s="26">
        <v>482</v>
      </c>
      <c r="G16" s="26">
        <v>5714</v>
      </c>
      <c r="H16" s="26">
        <v>18330</v>
      </c>
      <c r="I16" s="26">
        <v>1834</v>
      </c>
      <c r="J16" s="26">
        <v>343.303</v>
      </c>
      <c r="K16" s="26">
        <v>-332.388</v>
      </c>
      <c r="L16" s="26">
        <v>-210.5</v>
      </c>
      <c r="M16" s="26">
        <v>202</v>
      </c>
      <c r="N16" s="26">
        <f>SUM(C13:C16)/4</f>
        <v>2120.75125</v>
      </c>
      <c r="O16" s="26">
        <v>2149.607053333330</v>
      </c>
      <c r="P16" s="16">
        <f>C16/C15-1</f>
        <v>-0.0318676885841065</v>
      </c>
      <c r="Q16" s="16">
        <f>(E16+D16)/C16</f>
        <v>0.222633432539683</v>
      </c>
      <c r="R16" s="16">
        <f>AVERAGE(Q13:Q16)</f>
        <v>0.302733714970119</v>
      </c>
      <c r="S16" s="17"/>
      <c r="T16" s="26">
        <f>SUM(J13:K16)/4</f>
        <v>26.54325</v>
      </c>
      <c r="U16" s="17"/>
      <c r="V16" s="26">
        <f>-(L16+M16)+V15</f>
        <v>122.5</v>
      </c>
      <c r="W16" s="17"/>
      <c r="X16" s="26">
        <f>F16-G16</f>
        <v>-5232</v>
      </c>
      <c r="Y16" s="24"/>
      <c r="Z16" s="15">
        <v>905</v>
      </c>
      <c r="AA16" s="24"/>
      <c r="AB16" s="15">
        <v>16.31</v>
      </c>
    </row>
    <row r="17" ht="20.05" customHeight="1">
      <c r="B17" s="13"/>
      <c r="C17" s="38">
        <v>1951</v>
      </c>
      <c r="D17" s="26">
        <v>137</v>
      </c>
      <c r="E17" s="26">
        <v>675.252</v>
      </c>
      <c r="F17" s="26">
        <v>578</v>
      </c>
      <c r="G17" s="26">
        <v>4886</v>
      </c>
      <c r="H17" s="26">
        <v>18394</v>
      </c>
      <c r="I17" s="26">
        <v>1859</v>
      </c>
      <c r="J17" s="26">
        <v>375.397</v>
      </c>
      <c r="K17" s="26">
        <v>-60.612</v>
      </c>
      <c r="L17" s="26">
        <v>-210.5</v>
      </c>
      <c r="M17" s="26">
        <v>202</v>
      </c>
      <c r="N17" s="26">
        <f>SUM(C14:C17)/4</f>
        <v>2017.09</v>
      </c>
      <c r="O17" s="26">
        <v>2162.2177525</v>
      </c>
      <c r="P17" s="16">
        <f>C17/C16-1</f>
        <v>-0.0322420634920635</v>
      </c>
      <c r="Q17" s="16">
        <f>(E17+D17)/C17</f>
        <v>0.416325986673501</v>
      </c>
      <c r="R17" s="16">
        <f>AVERAGE(Q14:Q17)</f>
        <v>0.326537739743937</v>
      </c>
      <c r="S17" s="17"/>
      <c r="T17" s="26">
        <f>SUM(J14:K17)/4</f>
        <v>164.325</v>
      </c>
      <c r="U17" s="17"/>
      <c r="V17" s="26">
        <f>-(L17+M17)+V16</f>
        <v>131</v>
      </c>
      <c r="W17" s="17"/>
      <c r="X17" s="26">
        <f>F17-G17</f>
        <v>-4308</v>
      </c>
      <c r="Y17" s="24"/>
      <c r="Z17" s="15">
        <v>905</v>
      </c>
      <c r="AA17" s="24"/>
      <c r="AB17" s="15">
        <v>14.255</v>
      </c>
    </row>
    <row r="18" ht="20.05" customHeight="1">
      <c r="B18" s="13"/>
      <c r="C18" s="38">
        <v>1995</v>
      </c>
      <c r="D18" s="26">
        <v>124.919</v>
      </c>
      <c r="E18" s="26">
        <v>441</v>
      </c>
      <c r="F18" s="26">
        <v>816</v>
      </c>
      <c r="G18" s="26">
        <v>4463</v>
      </c>
      <c r="H18" s="26">
        <v>18435</v>
      </c>
      <c r="I18" s="26">
        <v>2393</v>
      </c>
      <c r="J18" s="26">
        <v>387.4</v>
      </c>
      <c r="K18" s="26">
        <v>-492</v>
      </c>
      <c r="L18" s="26">
        <v>-210.5</v>
      </c>
      <c r="M18" s="26">
        <v>202</v>
      </c>
      <c r="N18" s="26">
        <f>SUM(C15:C18)/4</f>
        <v>2011.09</v>
      </c>
      <c r="O18" s="26">
        <v>2152.9688025</v>
      </c>
      <c r="P18" s="16">
        <f>C18/C17-1</f>
        <v>0.0225525371604305</v>
      </c>
      <c r="Q18" s="16">
        <f>(E18+D18)/C18</f>
        <v>0.283668671679198</v>
      </c>
      <c r="R18" s="16">
        <f>AVERAGE(Q15:Q18)</f>
        <v>0.313675809100091</v>
      </c>
      <c r="S18" s="17"/>
      <c r="T18" s="26">
        <f>SUM(J15:K18)/4</f>
        <v>53.075</v>
      </c>
      <c r="U18" s="17"/>
      <c r="V18" s="26">
        <f>-(L18+M18)+V17</f>
        <v>139.5</v>
      </c>
      <c r="W18" s="17"/>
      <c r="X18" s="26">
        <f>F18-G18</f>
        <v>-3647</v>
      </c>
      <c r="Y18" s="24"/>
      <c r="Z18" s="26">
        <v>720</v>
      </c>
      <c r="AA18" s="24"/>
      <c r="AB18" s="15">
        <v>14.79</v>
      </c>
    </row>
    <row r="19" ht="20.05" customHeight="1">
      <c r="B19" s="13"/>
      <c r="C19" s="38">
        <v>1994.2</v>
      </c>
      <c r="D19" s="26">
        <v>129.1</v>
      </c>
      <c r="E19" s="26">
        <v>422</v>
      </c>
      <c r="F19" s="26">
        <v>838</v>
      </c>
      <c r="G19" s="26">
        <v>4461</v>
      </c>
      <c r="H19" s="26">
        <v>18923</v>
      </c>
      <c r="I19" s="26">
        <v>1798.1</v>
      </c>
      <c r="J19" s="26">
        <v>187.5</v>
      </c>
      <c r="K19" s="26">
        <v>-286.7</v>
      </c>
      <c r="L19" s="26">
        <v>-210.5</v>
      </c>
      <c r="M19" s="26">
        <v>202</v>
      </c>
      <c r="N19" s="26">
        <f>SUM(C16:C19)/4</f>
        <v>1989.05</v>
      </c>
      <c r="O19" s="26">
        <v>2131.2036375</v>
      </c>
      <c r="P19" s="16">
        <f>C19/C18-1</f>
        <v>-0.000401002506265664</v>
      </c>
      <c r="Q19" s="16">
        <f>(E19+D19)/C19</f>
        <v>0.276351419115435</v>
      </c>
      <c r="R19" s="16">
        <f>AVERAGE(Q16:Q19)</f>
        <v>0.299744877501954</v>
      </c>
      <c r="S19" s="17"/>
      <c r="T19" s="26">
        <f>SUM(J16:K19)/4</f>
        <v>30.475</v>
      </c>
      <c r="U19" s="17"/>
      <c r="V19" s="26">
        <f>-(L19+M19)+V18</f>
        <v>148</v>
      </c>
      <c r="W19" s="17"/>
      <c r="X19" s="26">
        <f>F19-G19</f>
        <v>-3623</v>
      </c>
      <c r="Y19" s="24"/>
      <c r="Z19" s="26">
        <v>1140</v>
      </c>
      <c r="AA19" s="24"/>
      <c r="AB19" s="15">
        <v>14.1</v>
      </c>
    </row>
    <row r="20" ht="20.05" customHeight="1">
      <c r="B20" s="21">
        <v>2021</v>
      </c>
      <c r="C20" s="14">
        <v>2140.3</v>
      </c>
      <c r="D20" s="26">
        <v>148</v>
      </c>
      <c r="E20" s="26">
        <v>421.5</v>
      </c>
      <c r="F20" s="26">
        <v>713</v>
      </c>
      <c r="G20" s="26">
        <v>4073</v>
      </c>
      <c r="H20" s="26">
        <v>19630</v>
      </c>
      <c r="I20" s="26">
        <v>1955.1</v>
      </c>
      <c r="J20" s="26">
        <v>346.711</v>
      </c>
      <c r="K20" s="26">
        <v>-101.6</v>
      </c>
      <c r="L20" s="26">
        <v>-373.376</v>
      </c>
      <c r="M20" s="26">
        <v>0</v>
      </c>
      <c r="N20" s="26">
        <f>SUM(C17:C20)/4</f>
        <v>2020.125</v>
      </c>
      <c r="O20" s="26">
        <v>2112.0430875</v>
      </c>
      <c r="P20" s="16">
        <f>C20/C19-1</f>
        <v>0.0732624611372982</v>
      </c>
      <c r="Q20" s="16">
        <f>(E20+D20)/C20</f>
        <v>0.266084193804607</v>
      </c>
      <c r="R20" s="16">
        <f>AVERAGE(Q17:Q20)</f>
        <v>0.310607567818185</v>
      </c>
      <c r="S20" s="17"/>
      <c r="T20" s="26">
        <f>SUM(J17:K20)/4</f>
        <v>89.024</v>
      </c>
      <c r="U20" s="17"/>
      <c r="V20" s="26">
        <f>-(L20+M20)+V19</f>
        <v>521.376</v>
      </c>
      <c r="W20" s="17"/>
      <c r="X20" s="26">
        <f>F20-G20</f>
        <v>-3360</v>
      </c>
      <c r="Y20" s="26"/>
      <c r="Z20" s="26">
        <v>955</v>
      </c>
      <c r="AA20" s="17"/>
      <c r="AB20" s="15">
        <v>14.606</v>
      </c>
    </row>
    <row r="21" ht="20.05" customHeight="1">
      <c r="B21" s="13"/>
      <c r="C21" s="14">
        <v>2722.8</v>
      </c>
      <c r="D21" s="26">
        <v>152.1</v>
      </c>
      <c r="E21" s="26">
        <v>843.1</v>
      </c>
      <c r="F21" s="26">
        <v>870</v>
      </c>
      <c r="G21" s="26">
        <v>3659</v>
      </c>
      <c r="H21" s="26">
        <v>19997</v>
      </c>
      <c r="I21" s="26">
        <v>2705.7</v>
      </c>
      <c r="J21" s="26">
        <v>868.5309999999999</v>
      </c>
      <c r="K21" s="26">
        <v>-231.7</v>
      </c>
      <c r="L21" s="26">
        <v>-434.242</v>
      </c>
      <c r="M21" s="26">
        <v>-1.99</v>
      </c>
      <c r="N21" s="26">
        <f>SUM(C18:C21)/4</f>
        <v>2213.075</v>
      </c>
      <c r="O21" s="26">
        <v>2150.613125</v>
      </c>
      <c r="P21" s="16">
        <f>C21/C20-1</f>
        <v>0.272158108676354</v>
      </c>
      <c r="Q21" s="16">
        <f>(E21+D21)/C21</f>
        <v>0.365506096665198</v>
      </c>
      <c r="R21" s="16">
        <f>AVERAGE(Q18:Q21)</f>
        <v>0.29790259531611</v>
      </c>
      <c r="S21" s="17"/>
      <c r="T21" s="26">
        <f>SUM(J18:K21)/4</f>
        <v>169.5355</v>
      </c>
      <c r="U21" s="17"/>
      <c r="V21" s="26">
        <f>-(L21+M21)+V20</f>
        <v>957.6079999999999</v>
      </c>
      <c r="W21" s="17"/>
      <c r="X21" s="26">
        <f>F21-G21</f>
        <v>-2789</v>
      </c>
      <c r="Y21" s="26"/>
      <c r="Z21" s="26">
        <v>930</v>
      </c>
      <c r="AA21" s="17"/>
      <c r="AB21" s="15">
        <v>14.45</v>
      </c>
    </row>
    <row r="22" ht="20.05" customHeight="1">
      <c r="B22" s="13"/>
      <c r="C22" s="14">
        <v>2209.7</v>
      </c>
      <c r="D22" s="26">
        <v>149</v>
      </c>
      <c r="E22" s="26">
        <v>545.8</v>
      </c>
      <c r="F22" s="26">
        <v>1080</v>
      </c>
      <c r="G22" s="26">
        <v>3377</v>
      </c>
      <c r="H22" s="26">
        <v>20138</v>
      </c>
      <c r="I22" s="26">
        <v>2535.2</v>
      </c>
      <c r="J22" s="26">
        <v>956.158</v>
      </c>
      <c r="K22" s="26">
        <v>-186.6</v>
      </c>
      <c r="L22" s="26">
        <v>-173.574</v>
      </c>
      <c r="M22" s="26">
        <v>-120.398</v>
      </c>
      <c r="N22" s="26">
        <f>SUM(C19:C22)/4</f>
        <v>2266.75</v>
      </c>
      <c r="O22" s="26">
        <v>2263.771625</v>
      </c>
      <c r="P22" s="16">
        <f>C22/C21-1</f>
        <v>-0.188445717643602</v>
      </c>
      <c r="Q22" s="16">
        <f>(E22+D22)/C22</f>
        <v>0.314431823324433</v>
      </c>
      <c r="R22" s="16">
        <f>AVERAGE(Q19:Q22)</f>
        <v>0.305593383227418</v>
      </c>
      <c r="S22" s="17"/>
      <c r="T22" s="26">
        <f>SUM(J19:K22)/4</f>
        <v>388.075</v>
      </c>
      <c r="U22" s="17"/>
      <c r="V22" s="26">
        <f>-(L22+M22)+V21</f>
        <v>1251.58</v>
      </c>
      <c r="W22" s="17"/>
      <c r="X22" s="26">
        <f>F22-G22</f>
        <v>-2297</v>
      </c>
      <c r="Y22" s="26"/>
      <c r="Z22" s="26">
        <v>835</v>
      </c>
      <c r="AA22" s="17"/>
      <c r="AB22" s="15">
        <v>14.328</v>
      </c>
    </row>
    <row r="23" ht="20.05" customHeight="1">
      <c r="B23" s="13"/>
      <c r="C23" s="14">
        <v>2549</v>
      </c>
      <c r="D23" s="26">
        <v>187.3</v>
      </c>
      <c r="E23" s="26">
        <v>766.3</v>
      </c>
      <c r="F23" s="26">
        <v>1286</v>
      </c>
      <c r="G23" s="26">
        <v>3850</v>
      </c>
      <c r="H23" s="26">
        <v>21369</v>
      </c>
      <c r="I23" s="26">
        <v>2195.7</v>
      </c>
      <c r="J23" s="26">
        <v>479.1</v>
      </c>
      <c r="K23" s="26">
        <v>-89.7</v>
      </c>
      <c r="L23" s="26">
        <v>-591.188</v>
      </c>
      <c r="M23" s="26">
        <v>-0.012</v>
      </c>
      <c r="N23" s="26">
        <f>SUM(C20:C23)/4</f>
        <v>2405.45</v>
      </c>
      <c r="O23" s="26">
        <v>2320.130375</v>
      </c>
      <c r="P23" s="16">
        <f>C23/C22-1</f>
        <v>0.153550255690818</v>
      </c>
      <c r="Q23" s="16">
        <f>(E23+D23)/C23</f>
        <v>0.374107493134563</v>
      </c>
      <c r="R23" s="16">
        <f>AVERAGE(Q20:Q23)</f>
        <v>0.3300324017322</v>
      </c>
      <c r="S23" s="17"/>
      <c r="T23" s="26">
        <f>SUM(J20:K23)/4</f>
        <v>510.225</v>
      </c>
      <c r="U23" s="17"/>
      <c r="V23" s="26">
        <f>-(L23+M23)+V22</f>
        <v>1842.78</v>
      </c>
      <c r="W23" s="17"/>
      <c r="X23" s="26">
        <f>F23-G23</f>
        <v>-2564</v>
      </c>
      <c r="Y23" s="26"/>
      <c r="Z23" s="26">
        <v>900</v>
      </c>
      <c r="AA23" s="15">
        <v>2491.411736992550</v>
      </c>
      <c r="AB23" s="15">
        <v>14.275</v>
      </c>
    </row>
    <row r="24" ht="20.05" customHeight="1">
      <c r="B24" s="21">
        <v>2022</v>
      </c>
      <c r="C24" s="14">
        <v>2604.6</v>
      </c>
      <c r="D24" s="26">
        <v>240</v>
      </c>
      <c r="E24" s="26">
        <v>697</v>
      </c>
      <c r="F24" s="26">
        <v>1409</v>
      </c>
      <c r="G24" s="26">
        <v>3490</v>
      </c>
      <c r="H24" s="26">
        <v>21610</v>
      </c>
      <c r="I24" s="26">
        <v>2718</v>
      </c>
      <c r="J24" s="26">
        <v>657.5</v>
      </c>
      <c r="K24" s="26">
        <v>-191.3</v>
      </c>
      <c r="L24" s="26">
        <v>-343.7</v>
      </c>
      <c r="M24" s="26">
        <v>0</v>
      </c>
      <c r="N24" s="26">
        <f>SUM(C21:C24)/4</f>
        <v>2521.525</v>
      </c>
      <c r="O24" s="26">
        <v>2426.18475</v>
      </c>
      <c r="P24" s="16">
        <f>C24/C23-1</f>
        <v>0.0218124754805806</v>
      </c>
      <c r="Q24" s="16">
        <f>(E24+D24)/C24</f>
        <v>0.359748137909852</v>
      </c>
      <c r="R24" s="16">
        <f>AVERAGE(Q21:Q24)</f>
        <v>0.353448387758512</v>
      </c>
      <c r="S24" s="35"/>
      <c r="T24" s="26">
        <f>SUM(J21:K24)/4</f>
        <v>565.49725</v>
      </c>
      <c r="U24" s="26">
        <v>793.686720413830</v>
      </c>
      <c r="V24" s="26">
        <f>-(L24+M24)+V23</f>
        <v>2186.48</v>
      </c>
      <c r="W24" s="26"/>
      <c r="X24" s="26">
        <f>F24-G24</f>
        <v>-2081</v>
      </c>
      <c r="Y24" s="26">
        <v>-1130.639914504340</v>
      </c>
      <c r="Z24" s="26">
        <v>995</v>
      </c>
      <c r="AA24" s="26">
        <v>2680.155050401080</v>
      </c>
      <c r="AB24" s="15">
        <v>14.327</v>
      </c>
    </row>
    <row r="25" ht="20.05" customHeight="1">
      <c r="B25" s="13"/>
      <c r="C25" s="14">
        <v>2669.4</v>
      </c>
      <c r="D25" s="26">
        <v>240</v>
      </c>
      <c r="E25" s="26">
        <v>646</v>
      </c>
      <c r="F25" s="26">
        <v>1401</v>
      </c>
      <c r="G25" s="26">
        <v>3190</v>
      </c>
      <c r="H25" s="26">
        <v>21947</v>
      </c>
      <c r="I25" s="26">
        <v>2666</v>
      </c>
      <c r="J25" s="26">
        <v>724.5</v>
      </c>
      <c r="K25" s="26">
        <v>-370.7</v>
      </c>
      <c r="L25" s="26">
        <v>-361.3</v>
      </c>
      <c r="M25" s="26">
        <v>0</v>
      </c>
      <c r="N25" s="26">
        <f>SUM(C22:C25)/4</f>
        <v>2508.175</v>
      </c>
      <c r="O25" s="26">
        <v>2501.77525</v>
      </c>
      <c r="P25" s="16">
        <f>C25/C24-1</f>
        <v>0.0248790601243953</v>
      </c>
      <c r="Q25" s="16">
        <f>(E25+D25)/C25</f>
        <v>0.331909792462726</v>
      </c>
      <c r="R25" s="16">
        <f>AVERAGE(Q22:Q25)</f>
        <v>0.345049311707894</v>
      </c>
      <c r="S25" s="35"/>
      <c r="T25" s="26">
        <f>SUM(J22:K25)/4</f>
        <v>494.7395</v>
      </c>
      <c r="U25" s="26">
        <v>879.664776818790</v>
      </c>
      <c r="V25" s="26">
        <f>-(L25+M25)+V24</f>
        <v>2547.78</v>
      </c>
      <c r="W25" s="26"/>
      <c r="X25" s="26">
        <f>F25-G25</f>
        <v>-1789</v>
      </c>
      <c r="Y25" s="26">
        <v>-368.458923688440</v>
      </c>
      <c r="Z25" s="26">
        <v>935</v>
      </c>
      <c r="AA25" s="26">
        <v>2567.273552789070</v>
      </c>
      <c r="AB25" s="15">
        <v>14.66</v>
      </c>
    </row>
    <row r="26" ht="20.05" customHeight="1">
      <c r="B26" s="13"/>
      <c r="C26" s="14">
        <v>2061</v>
      </c>
      <c r="D26" s="26">
        <v>240</v>
      </c>
      <c r="E26" s="26">
        <v>548.3</v>
      </c>
      <c r="F26" s="26">
        <v>1452</v>
      </c>
      <c r="G26" s="26">
        <v>2527</v>
      </c>
      <c r="H26" s="26">
        <v>21917</v>
      </c>
      <c r="I26" s="26">
        <v>2253.4</v>
      </c>
      <c r="J26" s="26">
        <v>1001.4</v>
      </c>
      <c r="K26" s="26">
        <v>-269.2</v>
      </c>
      <c r="L26" s="26">
        <v>-681.1</v>
      </c>
      <c r="M26" s="26">
        <v>0</v>
      </c>
      <c r="N26" s="26">
        <f>SUM(C23:C26)/4</f>
        <v>2471</v>
      </c>
      <c r="O26" s="26">
        <v>2482.68625</v>
      </c>
      <c r="P26" s="16">
        <f>C26/C25-1</f>
        <v>-0.227916385704653</v>
      </c>
      <c r="Q26" s="16">
        <f>(E26+D26)/C26</f>
        <v>0.382484230955847</v>
      </c>
      <c r="R26" s="16">
        <f>AVERAGE(Q23:Q26)</f>
        <v>0.362062413615747</v>
      </c>
      <c r="S26" s="35">
        <f>S27</f>
        <v>0.372273322285797</v>
      </c>
      <c r="T26" s="26">
        <f>SUM(J23:K26)/4</f>
        <v>485.4</v>
      </c>
      <c r="U26" s="26">
        <v>664.501439824078</v>
      </c>
      <c r="V26" s="26">
        <f>-(L26+M26)+V25</f>
        <v>3228.88</v>
      </c>
      <c r="W26" s="26">
        <f>W27</f>
        <v>5222.617675230480</v>
      </c>
      <c r="X26" s="26">
        <f>F26-G26</f>
        <v>-1075</v>
      </c>
      <c r="Y26" s="26">
        <v>-750.796544422210</v>
      </c>
      <c r="Z26" s="26">
        <v>830</v>
      </c>
      <c r="AA26" s="26">
        <v>1808.549830416240</v>
      </c>
      <c r="AB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>
        <f>AVERAGE(AE52:AH52)</f>
        <v>2351.53721205</v>
      </c>
      <c r="P27" s="17"/>
      <c r="Q27" s="17"/>
      <c r="R27" s="17"/>
      <c r="S27" s="35">
        <f>AE53</f>
        <v>0.372273322285797</v>
      </c>
      <c r="T27" s="17"/>
      <c r="U27" s="26">
        <f>SUM(AE55:AH55)/4</f>
        <v>669.5859989799631</v>
      </c>
      <c r="V27" s="17"/>
      <c r="W27" s="26">
        <f>-SUM(AE76:AH76)+V26</f>
        <v>5222.617675230480</v>
      </c>
      <c r="X27" s="17"/>
      <c r="Y27" s="26">
        <f>AH75</f>
        <v>78.349026939360</v>
      </c>
      <c r="Z27" s="26">
        <v>675</v>
      </c>
      <c r="AA27" s="26">
        <v>1808.549830416240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SUM(N15:N26)</f>
        <v>26632.42125</v>
      </c>
      <c r="O28" s="26">
        <f>SUM(O15:O26)</f>
        <v>27002.3899383333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1619.900745280150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189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-0.00691864860221478</v>
      </c>
      <c r="AF49" s="35"/>
      <c r="AG49" s="35"/>
      <c r="AH49" s="35">
        <f>AVERAGE(AE51:AH51)</f>
        <v>0.04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0.153550255690818</v>
      </c>
      <c r="AF50" s="35">
        <f>P24</f>
        <v>0.0218124754805806</v>
      </c>
      <c r="AG50" s="35">
        <f>P25</f>
        <v>0.0248790601243953</v>
      </c>
      <c r="AH50" s="35">
        <f>P26</f>
        <v>-0.227916385704653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-0.03</v>
      </c>
      <c r="AG51" s="35">
        <v>0.02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2061</v>
      </c>
      <c r="AE52" s="23">
        <f>C26*(1+AE51)</f>
        <v>2370.15</v>
      </c>
      <c r="AF52" s="23">
        <f>AE52*(1+AF51)</f>
        <v>2299.0455</v>
      </c>
      <c r="AG52" s="23">
        <f>AF52*(1+AG51)</f>
        <v>2345.02641</v>
      </c>
      <c r="AH52" s="23">
        <f>AG52*(1+AH51)</f>
        <v>2391.9269382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AVERAGE(Q26:R26)</f>
        <v>0.372273322285797</v>
      </c>
      <c r="AF53" s="35">
        <f>AE53</f>
        <v>0.372273322285797</v>
      </c>
      <c r="AG53" s="35">
        <f>AF53</f>
        <v>0.372273322285797</v>
      </c>
      <c r="AH53" s="35">
        <f>AG53</f>
        <v>0.372273322285797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AVERAGE(K20:K26)</f>
        <v>-205.828571428571</v>
      </c>
      <c r="AF54" s="15">
        <f>AE54</f>
        <v>-205.828571428571</v>
      </c>
      <c r="AG54" s="15">
        <f>AF54</f>
        <v>-205.828571428571</v>
      </c>
      <c r="AH54" s="15">
        <f>AG54</f>
        <v>-205.828571428571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676.5150433871109</v>
      </c>
      <c r="AF55" s="15">
        <f>(AF52*AF53)+AF54</f>
        <v>650.044734942640</v>
      </c>
      <c r="AG55" s="15">
        <f>(AG52*AG53)+AG54</f>
        <v>667.162201070065</v>
      </c>
      <c r="AH55" s="15">
        <f>(AH52*AH53)+AH54</f>
        <v>684.6220165200371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-126.35</v>
      </c>
      <c r="AF56" s="15">
        <f>-AE71/20</f>
        <v>-120.0325</v>
      </c>
      <c r="AG56" s="15">
        <f>-AF71/20</f>
        <v>-114.030875</v>
      </c>
      <c r="AH56" s="15">
        <f>-AG71/20</f>
        <v>-108.32933125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-0.6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-385.406168889409</v>
      </c>
      <c r="AF58" s="15">
        <f>IF(AF66&gt;0,AF66*$AE$57,0)</f>
        <v>-369.523983822727</v>
      </c>
      <c r="AG58" s="15">
        <f>IF(AG66&gt;0,AG66*$AE$57,0)</f>
        <v>-379.794463499182</v>
      </c>
      <c r="AH58" s="15">
        <f>IF(AH66&gt;0,AH66*$AE$57,0)</f>
        <v>-390.270352769165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164.758874497702</v>
      </c>
      <c r="AF59" s="15">
        <f>AF55+AF56+AF58</f>
        <v>160.488251119913</v>
      </c>
      <c r="AG59" s="15">
        <f>AG55+AG56+AG58</f>
        <v>173.336862570883</v>
      </c>
      <c r="AH59" s="15">
        <f>AH55+AH56+AH58</f>
        <v>186.022332500872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1452</v>
      </c>
      <c r="AF61" s="15">
        <f>AE63</f>
        <v>1616.7588744977</v>
      </c>
      <c r="AG61" s="15">
        <f>AF63</f>
        <v>1777.247125617610</v>
      </c>
      <c r="AH61" s="15">
        <f>AG63</f>
        <v>1950.583988188490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164.758874497702</v>
      </c>
      <c r="AF62" s="15">
        <f>AF55+AF56+AF58+AF60</f>
        <v>160.488251119913</v>
      </c>
      <c r="AG62" s="15">
        <f>AG55+AG56+AG58+AG60</f>
        <v>173.336862570883</v>
      </c>
      <c r="AH62" s="15">
        <f>AH55+AH56+AH58+AH60</f>
        <v>186.022332500872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1616.7588744977</v>
      </c>
      <c r="AF63" s="15">
        <f>AF61+AF62</f>
        <v>1777.247125617610</v>
      </c>
      <c r="AG63" s="15">
        <f>AG61+AG62</f>
        <v>1950.583988188490</v>
      </c>
      <c r="AH63" s="15">
        <f>AH61+AH62</f>
        <v>2136.606320689360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-240</v>
      </c>
      <c r="AF65" s="15">
        <f>AE65</f>
        <v>-240</v>
      </c>
      <c r="AG65" s="15">
        <f>AF65</f>
        <v>-240</v>
      </c>
      <c r="AH65" s="15">
        <f>AG65</f>
        <v>-240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642.343614815682</v>
      </c>
      <c r="AF66" s="15">
        <f>(AF52*AF53)+AF65</f>
        <v>615.873306371211</v>
      </c>
      <c r="AG66" s="15">
        <f>(AG52*AG53)+AG65</f>
        <v>632.990772498636</v>
      </c>
      <c r="AH66" s="15">
        <f>(AH52*AH53)+AH65</f>
        <v>650.450587948608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20670.8285714286</v>
      </c>
      <c r="AF68" s="15">
        <f>AE68-AF54</f>
        <v>20876.6571428572</v>
      </c>
      <c r="AG68" s="15">
        <f>AF68-AG54</f>
        <v>21082.4857142858</v>
      </c>
      <c r="AH68" s="15">
        <f>AG68-AH54</f>
        <v>21288.3142857144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240</v>
      </c>
      <c r="AF69" s="15">
        <f>AE69-AF65</f>
        <v>480</v>
      </c>
      <c r="AG69" s="15">
        <f>AF69-AG65</f>
        <v>720</v>
      </c>
      <c r="AH69" s="15">
        <f>AG69-AH65</f>
        <v>960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20430.8285714286</v>
      </c>
      <c r="AF70" s="15">
        <f>AF68-AF69</f>
        <v>20396.6571428572</v>
      </c>
      <c r="AG70" s="15">
        <f>AG68-AG69</f>
        <v>20362.4857142858</v>
      </c>
      <c r="AH70" s="15">
        <f>AH68-AH69</f>
        <v>20328.3142857144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2400.65</v>
      </c>
      <c r="AF71" s="15">
        <f>AE71+AF56</f>
        <v>2280.6175</v>
      </c>
      <c r="AG71" s="15">
        <f>AF71+AG56</f>
        <v>2166.586625</v>
      </c>
      <c r="AH71" s="15">
        <f>AG71+AH56</f>
        <v>2058.25729375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19646.9374459263</v>
      </c>
      <c r="AF73" s="15">
        <f>AE73+AF66+AF58</f>
        <v>19893.2867684748</v>
      </c>
      <c r="AG73" s="15">
        <f>AF73+AG66+AG58</f>
        <v>20146.4830774743</v>
      </c>
      <c r="AH73" s="15">
        <f>AG73+AH66+AH58</f>
        <v>20406.6633126537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-9.999999999999999e-12</v>
      </c>
      <c r="AG74" s="15">
        <f>AG71+AG72+AG73-AG63-AG70</f>
        <v>9.999999999999999e-12</v>
      </c>
      <c r="AH74" s="15">
        <f>AH71+AH72+AH73-AH63-AH70</f>
        <v>-6e-11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-783.8911255023</v>
      </c>
      <c r="AF75" s="15">
        <f>AF63-AF71-AF72</f>
        <v>-503.370374382390</v>
      </c>
      <c r="AG75" s="15">
        <f>AG63-AG71-AG72</f>
        <v>-216.002636811510</v>
      </c>
      <c r="AH75" s="15">
        <f>AH63-AH71-AH72</f>
        <v>78.349026939360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-511.756168889409</v>
      </c>
      <c r="AF76" s="15">
        <f>AF56+AF58+AF60</f>
        <v>-489.556483822727</v>
      </c>
      <c r="AG76" s="15">
        <f>AG56+AG58+AG60</f>
        <v>-493.825338499182</v>
      </c>
      <c r="AH76" s="15">
        <f>AH56+AH58+AH60</f>
        <v>-498.599684019165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691</v>
      </c>
      <c r="AD78" s="14"/>
      <c r="AE78" s="15"/>
      <c r="AF78" s="15"/>
      <c r="AG78" s="15"/>
      <c r="AH78" s="15">
        <v>675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691</v>
      </c>
      <c r="AD79" s="14"/>
      <c r="AE79" s="15"/>
      <c r="AF79" s="15"/>
      <c r="AG79" s="15"/>
      <c r="AH79" s="15">
        <v>8928360345600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8928.3603456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13.227200512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0.397435650988008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0.170803474540767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2678.343995919850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7.58988177645674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3.33353757366542</v>
      </c>
      <c r="AH86" s="15">
        <v>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21426.7519673588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1619.900745280150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1.39985295597059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-0.06729420283296381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0.0138916655327874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691</v>
      </c>
      <c r="AF94" t="s" s="44">
        <v>60</v>
      </c>
      <c r="AG94" s="15">
        <f>AH78</f>
        <v>675</v>
      </c>
      <c r="AH94" t="s" s="44">
        <v>61</v>
      </c>
      <c r="AI94" s="15">
        <f>AH88</f>
        <v>1619.900745280150</v>
      </c>
      <c r="AJ94" t="s" s="44">
        <f>IF(AK94&gt;0,"+","")</f>
        <v>361</v>
      </c>
      <c r="AK94" s="16">
        <f>AI94/AG94-1</f>
        <v>1.39985295597059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AI104/AE104-1</f>
        <v>-0.06729420283296381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0.217464341138162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0.221462835667742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-0.120402846478948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-0.227916385704653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-0.188445717643602</v>
      </c>
      <c r="AF103" s="16">
        <f>P23</f>
        <v>0.153550255690818</v>
      </c>
      <c r="AG103" s="16">
        <f>P24</f>
        <v>0.0218124754805806</v>
      </c>
      <c r="AH103" s="16">
        <f>P25</f>
        <v>0.0248790601243953</v>
      </c>
      <c r="AI103" s="16">
        <f>P26</f>
        <v>-0.227916385704653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2209.7</v>
      </c>
      <c r="AF104" s="15">
        <f>C23</f>
        <v>2549</v>
      </c>
      <c r="AG104" s="15">
        <f>C24</f>
        <v>2604.6</v>
      </c>
      <c r="AH104" s="15">
        <f>C25</f>
        <v>2669.4</v>
      </c>
      <c r="AI104" s="15">
        <f>C26</f>
        <v>2061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-0.227916385704653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2061</v>
      </c>
      <c r="AM105" t="s" s="44">
        <v>372</v>
      </c>
      <c r="AN105" t="s" s="44">
        <v>378</v>
      </c>
      <c r="AO105" s="16">
        <f>AH91</f>
        <v>0.0138916655327874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-0.00691864860221478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</v>
      </c>
      <c r="AG107" t="s" s="44">
        <v>82</v>
      </c>
      <c r="AH107" t="s" s="44">
        <v>83</v>
      </c>
      <c r="AI107" s="23">
        <f>AH52</f>
        <v>2391.9269382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0.314431823324433</v>
      </c>
      <c r="AF110" s="16">
        <f>(D23+E23)/C23</f>
        <v>0.374107493134563</v>
      </c>
      <c r="AG110" s="16">
        <f>((E24+D24)/C24)</f>
        <v>0.359748137909852</v>
      </c>
      <c r="AH110" s="16">
        <f>(D25+E25)/C25</f>
        <v>0.331909792462726</v>
      </c>
      <c r="AI110" s="16">
        <f>(D26+E26)/C26</f>
        <v>0.382484230955847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545.8</v>
      </c>
      <c r="AF111" s="15">
        <f>E23</f>
        <v>766.3</v>
      </c>
      <c r="AG111" s="26">
        <f>E24</f>
        <v>697</v>
      </c>
      <c r="AH111" s="26">
        <f>E25</f>
        <v>646</v>
      </c>
      <c r="AI111" s="15">
        <f>E26</f>
        <v>548.3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0.331909792462726</v>
      </c>
      <c r="AG112" t="s" s="44">
        <v>76</v>
      </c>
      <c r="AH112" s="16">
        <f>AI110</f>
        <v>0.382484230955847</v>
      </c>
      <c r="AI112" t="s" s="44">
        <v>90</v>
      </c>
      <c r="AJ112" s="26">
        <f>AH111</f>
        <v>646</v>
      </c>
      <c r="AK112" t="s" s="44">
        <v>76</v>
      </c>
      <c r="AL112" s="15">
        <f>AI111</f>
        <v>548.3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0.362062413615747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0.372273322285797</v>
      </c>
      <c r="AG114" t="s" s="44">
        <v>94</v>
      </c>
      <c r="AH114" s="15">
        <f>AH66</f>
        <v>650.450587948608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956.158</v>
      </c>
      <c r="AF117" s="15">
        <f>J23</f>
        <v>479.1</v>
      </c>
      <c r="AG117" s="15">
        <f>J24</f>
        <v>657.5</v>
      </c>
      <c r="AH117" s="15">
        <f>J25</f>
        <v>724.5</v>
      </c>
      <c r="AI117" s="15">
        <f>J26</f>
        <v>1001.4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-186.6</v>
      </c>
      <c r="AF118" s="15">
        <f>K23</f>
        <v>-89.7</v>
      </c>
      <c r="AG118" s="15">
        <f>K24</f>
        <v>-191.3</v>
      </c>
      <c r="AH118" s="15">
        <f>K25</f>
        <v>-370.7</v>
      </c>
      <c r="AI118" s="15">
        <f>K26</f>
        <v>-269.2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353.8</v>
      </c>
      <c r="AG119" t="s" s="44">
        <v>76</v>
      </c>
      <c r="AH119" s="15">
        <f>AI117+AI118</f>
        <v>732.2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-269.2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485.4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-205.828571428571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669.5859989799631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1080</v>
      </c>
      <c r="AF124" s="15">
        <f>F23</f>
        <v>1286</v>
      </c>
      <c r="AG124" s="15">
        <f>F24</f>
        <v>1409</v>
      </c>
      <c r="AH124" s="15">
        <f>F25</f>
        <v>1401</v>
      </c>
      <c r="AI124" s="15">
        <f>F26</f>
        <v>1452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3377</v>
      </c>
      <c r="AF125" s="15">
        <f>G23</f>
        <v>3850</v>
      </c>
      <c r="AG125" s="15">
        <f>G24</f>
        <v>3490</v>
      </c>
      <c r="AH125" s="15">
        <f>G25</f>
        <v>3190</v>
      </c>
      <c r="AI125" s="15">
        <f>G26</f>
        <v>2527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1401</v>
      </c>
      <c r="AH126" t="s" s="44">
        <v>76</v>
      </c>
      <c r="AI126" s="15">
        <f>AI124</f>
        <v>1452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AH125</f>
        <v>3190</v>
      </c>
      <c r="AH127" t="s" s="44">
        <v>76</v>
      </c>
      <c r="AI127" s="15">
        <f>AI125</f>
        <v>2527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-1789</v>
      </c>
      <c r="AO127" t="s" s="44">
        <v>76</v>
      </c>
      <c r="AP127" s="15">
        <f>AI126-AI127</f>
        <v>-1075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-1524.994968980480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-468.74270625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78.349026939360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173.574</v>
      </c>
      <c r="AF131" s="15">
        <f>-L23</f>
        <v>591.188</v>
      </c>
      <c r="AG131" s="15">
        <f>-L24</f>
        <v>343.7</v>
      </c>
      <c r="AH131" s="15">
        <f>-L25</f>
        <v>361.3</v>
      </c>
      <c r="AI131" s="15">
        <f>-L26</f>
        <v>681.1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120.398</v>
      </c>
      <c r="AF132" s="15">
        <f>-M23</f>
        <v>0.012</v>
      </c>
      <c r="AG132" s="15">
        <f>-M24</f>
        <v>0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691</v>
      </c>
      <c r="AF133" t="s" s="44">
        <f>IF(AG133&gt;0,"paid","(raised)")</f>
        <v>374</v>
      </c>
      <c r="AG133" s="15">
        <f>SUM(AI131:AI132)</f>
        <v>681.1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681.1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1993.737675230480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8928.3603456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0.397435650988008</v>
      </c>
      <c r="AK134" t="s" s="44">
        <v>130</v>
      </c>
      <c r="AL134" t="s" s="44">
        <v>131</v>
      </c>
      <c r="AM134" t="s" s="44">
        <v>132</v>
      </c>
      <c r="AN134" s="15">
        <f>AH85</f>
        <v>7.58988177645674</v>
      </c>
      <c r="AO134" t="s" s="44">
        <v>133</v>
      </c>
      <c r="AP134" s="16">
        <f>-AF128/AF134</f>
        <v>0.170803474540767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2678.343995919850</v>
      </c>
      <c r="AG135" t="s" s="44">
        <f>AG134</f>
        <v>372</v>
      </c>
      <c r="AH135" t="s" s="44">
        <v>136</v>
      </c>
      <c r="AI135" s="15">
        <f>AF134/AF135</f>
        <v>3.33353757366542</v>
      </c>
      <c r="AJ135" t="s" s="44">
        <v>130</v>
      </c>
      <c r="AK135" t="s" s="44">
        <v>137</v>
      </c>
      <c r="AL135" t="s" s="44">
        <v>138</v>
      </c>
      <c r="AM135" s="15">
        <f>AH86</f>
        <v>8</v>
      </c>
      <c r="AN135" t="s" s="44">
        <v>139</v>
      </c>
      <c r="AO135" t="s" s="44">
        <v>140</v>
      </c>
      <c r="AP135" t="s" s="44">
        <v>141</v>
      </c>
      <c r="AQ135" s="16">
        <f>AK94</f>
        <v>1.39985295597059</v>
      </c>
      <c r="AR135" t="s" s="44">
        <f>IF(AQ135&gt;0,"higher","lower")</f>
        <v>363</v>
      </c>
      <c r="AS135" t="s" s="44">
        <v>142</v>
      </c>
      <c r="AT135" s="15">
        <f>AI94</f>
        <v>1619.900745280150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2209.7</v>
      </c>
      <c r="AE137" s="15">
        <f>AF104</f>
        <v>2549</v>
      </c>
      <c r="AF137" s="15">
        <f>AG104</f>
        <v>2604.6</v>
      </c>
      <c r="AG137" s="15">
        <f>AH104</f>
        <v>2669.4</v>
      </c>
      <c r="AH137" s="15">
        <f>AI104</f>
        <v>2061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769.558</v>
      </c>
      <c r="AE138" s="15">
        <f>SUM(AF117:AF118)</f>
        <v>389.4</v>
      </c>
      <c r="AF138" s="15">
        <f>SUM(AG117:AG118)</f>
        <v>466.2</v>
      </c>
      <c r="AG138" s="15">
        <f>SUM(AH117:AH118)</f>
        <v>353.8</v>
      </c>
      <c r="AH138" s="15">
        <f>SUM(AI117:AI118)</f>
        <v>732.2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293.972</v>
      </c>
      <c r="AE139" s="15">
        <f>SUM(AF131:AF132)</f>
        <v>591.2</v>
      </c>
      <c r="AF139" s="15">
        <f>SUM(AG131:AG132)</f>
        <v>343.7</v>
      </c>
      <c r="AG139" s="15">
        <f>SUM(AH131:AH132)</f>
        <v>361.3</v>
      </c>
      <c r="AH139" s="15">
        <f>SUM(AI131:AI132)</f>
        <v>681.1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-2297</v>
      </c>
      <c r="AE140" s="15">
        <f>(AF124-AF125)</f>
        <v>-2564</v>
      </c>
      <c r="AF140" s="15">
        <f>(AG124-AG125)</f>
        <v>-2081</v>
      </c>
      <c r="AG140" s="15">
        <f>(AH124-AH125)</f>
        <v>-1789</v>
      </c>
      <c r="AH140" s="15">
        <f>(AI124-AI125)</f>
        <v>-1075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1619.900745280150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0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31" customWidth="1"/>
    <col min="2" max="28" width="10.4844" style="331" customWidth="1"/>
    <col min="29" max="29" width="18.9766" style="332" customWidth="1"/>
    <col min="30" max="48" width="9" style="332" customWidth="1"/>
    <col min="49" max="16384" width="16.3516" style="332" customWidth="1"/>
  </cols>
  <sheetData>
    <row r="1" ht="11.65" customHeight="1"/>
    <row r="2" ht="27.65" customHeight="1">
      <c r="B2" t="s" s="2">
        <v>692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348</v>
      </c>
      <c r="AA3" t="s" s="3">
        <v>19</v>
      </c>
      <c r="AB3" t="s" s="3">
        <v>20</v>
      </c>
    </row>
    <row r="4" ht="20.25" customHeight="1">
      <c r="B4" s="6">
        <v>2017</v>
      </c>
      <c r="C4" s="7">
        <v>3101</v>
      </c>
      <c r="D4" s="8">
        <v>89.5</v>
      </c>
      <c r="E4" s="8">
        <v>-177</v>
      </c>
      <c r="F4" s="8">
        <v>206</v>
      </c>
      <c r="G4" s="8">
        <v>3938</v>
      </c>
      <c r="H4" s="8">
        <v>6191</v>
      </c>
      <c r="I4" s="8">
        <v>3127</v>
      </c>
      <c r="J4" s="8">
        <v>26.5</v>
      </c>
      <c r="K4" s="8">
        <v>-70</v>
      </c>
      <c r="L4" s="8">
        <v>185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-185</v>
      </c>
      <c r="W4" s="9"/>
      <c r="X4" s="8">
        <f>F4-G4</f>
        <v>-3732</v>
      </c>
      <c r="Y4" s="9"/>
      <c r="Z4" s="10"/>
      <c r="AA4" s="11"/>
      <c r="AB4" s="12">
        <v>13.3</v>
      </c>
    </row>
    <row r="5" ht="20.05" customHeight="1">
      <c r="B5" s="13"/>
      <c r="C5" s="14">
        <v>3615</v>
      </c>
      <c r="D5" s="15">
        <v>89.5</v>
      </c>
      <c r="E5" s="15">
        <v>7</v>
      </c>
      <c r="F5" s="15">
        <v>552</v>
      </c>
      <c r="G5" s="15">
        <v>4526</v>
      </c>
      <c r="H5" s="15">
        <v>6785</v>
      </c>
      <c r="I5" s="15">
        <v>3607</v>
      </c>
      <c r="J5" s="15">
        <v>415.8</v>
      </c>
      <c r="K5" s="15">
        <v>-193</v>
      </c>
      <c r="L5" s="15">
        <v>185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-370</v>
      </c>
      <c r="W5" s="17"/>
      <c r="X5" s="15">
        <f>F5-G5</f>
        <v>-3974</v>
      </c>
      <c r="Y5" s="17"/>
      <c r="Z5" s="18"/>
      <c r="AA5" s="19"/>
      <c r="AB5" s="20">
        <v>13.327</v>
      </c>
    </row>
    <row r="6" ht="20.05" customHeight="1">
      <c r="B6" s="13"/>
      <c r="C6" s="14">
        <v>2895</v>
      </c>
      <c r="D6" s="15">
        <v>89.5</v>
      </c>
      <c r="E6" s="15">
        <v>-216</v>
      </c>
      <c r="F6" s="15">
        <v>156</v>
      </c>
      <c r="G6" s="15">
        <v>3993</v>
      </c>
      <c r="H6" s="15">
        <v>6019</v>
      </c>
      <c r="I6" s="15">
        <v>2886</v>
      </c>
      <c r="J6" s="15">
        <v>-756.2</v>
      </c>
      <c r="K6" s="15">
        <v>-71</v>
      </c>
      <c r="L6" s="15">
        <v>185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-555</v>
      </c>
      <c r="W6" s="17"/>
      <c r="X6" s="15">
        <f>F6-G6</f>
        <v>-3837</v>
      </c>
      <c r="Y6" s="17"/>
      <c r="Z6" s="18"/>
      <c r="AA6" s="19"/>
      <c r="AB6" s="20">
        <v>13.305</v>
      </c>
    </row>
    <row r="7" ht="20.05" customHeight="1">
      <c r="B7" s="13"/>
      <c r="C7" s="14">
        <v>2952</v>
      </c>
      <c r="D7" s="15">
        <v>89.5</v>
      </c>
      <c r="E7" s="15">
        <v>-857</v>
      </c>
      <c r="F7" s="15">
        <v>373</v>
      </c>
      <c r="G7" s="15">
        <v>4253</v>
      </c>
      <c r="H7" s="15">
        <v>5427</v>
      </c>
      <c r="I7" s="15">
        <v>2921</v>
      </c>
      <c r="J7" s="15">
        <v>66</v>
      </c>
      <c r="K7" s="15">
        <v>-42</v>
      </c>
      <c r="L7" s="15">
        <v>185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-740</v>
      </c>
      <c r="W7" s="17"/>
      <c r="X7" s="15">
        <f>F7-G7</f>
        <v>-3880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2915</v>
      </c>
      <c r="D8" s="15">
        <v>83</v>
      </c>
      <c r="E8" s="15">
        <v>-160</v>
      </c>
      <c r="F8" s="15">
        <v>231</v>
      </c>
      <c r="G8" s="15">
        <v>4566</v>
      </c>
      <c r="H8" s="15">
        <v>5580</v>
      </c>
      <c r="I8" s="15">
        <v>2944</v>
      </c>
      <c r="J8" s="15">
        <v>-127.1</v>
      </c>
      <c r="K8" s="15">
        <v>-19</v>
      </c>
      <c r="L8" s="15">
        <v>-85</v>
      </c>
      <c r="M8" s="15">
        <v>201.75</v>
      </c>
      <c r="N8" s="15">
        <f>SUM(C5:C8)/4</f>
        <v>3094.25</v>
      </c>
      <c r="O8" s="15"/>
      <c r="P8" s="16"/>
      <c r="Q8" s="16"/>
      <c r="R8" s="16"/>
      <c r="S8" s="17"/>
      <c r="T8" s="15">
        <f>SUM(J5:K8)/4</f>
        <v>-181.625</v>
      </c>
      <c r="U8" s="25"/>
      <c r="V8" s="15">
        <f>-(L8+M8)+V7</f>
        <v>-856.75</v>
      </c>
      <c r="W8" s="17"/>
      <c r="X8" s="15">
        <f>F8-G8</f>
        <v>-4335</v>
      </c>
      <c r="Y8" s="24"/>
      <c r="Z8" s="15">
        <v>340</v>
      </c>
      <c r="AA8" s="22"/>
      <c r="AB8" s="20">
        <v>13.761</v>
      </c>
    </row>
    <row r="9" ht="20.05" customHeight="1">
      <c r="B9" s="13"/>
      <c r="C9" s="14">
        <v>2962</v>
      </c>
      <c r="D9" s="15">
        <v>83</v>
      </c>
      <c r="E9" s="15">
        <v>-102</v>
      </c>
      <c r="F9" s="15">
        <v>268</v>
      </c>
      <c r="G9" s="15">
        <v>4393</v>
      </c>
      <c r="H9" s="15">
        <v>5305</v>
      </c>
      <c r="I9" s="15">
        <v>2975</v>
      </c>
      <c r="J9" s="15">
        <v>55.6</v>
      </c>
      <c r="K9" s="15">
        <v>-25</v>
      </c>
      <c r="L9" s="15">
        <v>-85</v>
      </c>
      <c r="M9" s="15">
        <v>201.75</v>
      </c>
      <c r="N9" s="15">
        <f>SUM(C6:C9)/4</f>
        <v>2931</v>
      </c>
      <c r="O9" s="15"/>
      <c r="P9" s="16"/>
      <c r="Q9" s="16"/>
      <c r="R9" s="16"/>
      <c r="S9" s="17"/>
      <c r="T9" s="15">
        <f>SUM(J6:K9)/4</f>
        <v>-229.675</v>
      </c>
      <c r="U9" s="25"/>
      <c r="V9" s="15">
        <f>-(L9+M9)+V8</f>
        <v>-973.5</v>
      </c>
      <c r="W9" s="17"/>
      <c r="X9" s="15">
        <f>F13-G9</f>
        <v>-4215</v>
      </c>
      <c r="Y9" s="24"/>
      <c r="Z9" s="15">
        <v>254</v>
      </c>
      <c r="AA9" s="22"/>
      <c r="AB9" s="20">
        <v>14</v>
      </c>
    </row>
    <row r="10" ht="20.05" customHeight="1">
      <c r="B10" s="13"/>
      <c r="C10" s="14">
        <v>2408</v>
      </c>
      <c r="D10" s="15">
        <v>83</v>
      </c>
      <c r="E10" s="15">
        <v>-74</v>
      </c>
      <c r="F10" s="15">
        <v>333</v>
      </c>
      <c r="G10" s="15">
        <v>3809</v>
      </c>
      <c r="H10" s="15">
        <v>5448</v>
      </c>
      <c r="I10" s="15">
        <v>2388</v>
      </c>
      <c r="J10" s="15">
        <v>-407.6</v>
      </c>
      <c r="K10" s="15">
        <v>-14</v>
      </c>
      <c r="L10" s="15">
        <v>-85</v>
      </c>
      <c r="M10" s="15">
        <v>201.75</v>
      </c>
      <c r="N10" s="15">
        <f>SUM(C7:C10)/4</f>
        <v>2809.25</v>
      </c>
      <c r="O10" s="15"/>
      <c r="P10" s="16"/>
      <c r="Q10" s="16"/>
      <c r="R10" s="16"/>
      <c r="S10" s="17"/>
      <c r="T10" s="15">
        <f>SUM(J7:K10)/4</f>
        <v>-128.275</v>
      </c>
      <c r="U10" s="25"/>
      <c r="V10" s="15">
        <f>-(L10+M10)+V9</f>
        <v>-1090.25</v>
      </c>
      <c r="W10" s="17"/>
      <c r="X10" s="15">
        <f>F10-G10</f>
        <v>-3476</v>
      </c>
      <c r="Y10" s="24"/>
      <c r="Z10" s="15">
        <v>150</v>
      </c>
      <c r="AA10" s="22"/>
      <c r="AB10" s="20">
        <v>14.902</v>
      </c>
    </row>
    <row r="11" ht="20.05" customHeight="1">
      <c r="B11" s="13"/>
      <c r="C11" s="14">
        <v>2407</v>
      </c>
      <c r="D11" s="15">
        <v>83</v>
      </c>
      <c r="E11" s="15">
        <v>-562</v>
      </c>
      <c r="F11" s="15">
        <v>350</v>
      </c>
      <c r="G11" s="15">
        <v>3659</v>
      </c>
      <c r="H11" s="15">
        <v>4809</v>
      </c>
      <c r="I11" s="15">
        <v>2434</v>
      </c>
      <c r="J11" s="15">
        <v>61.2</v>
      </c>
      <c r="K11" s="15">
        <v>-22</v>
      </c>
      <c r="L11" s="15">
        <v>-85</v>
      </c>
      <c r="M11" s="15">
        <v>201.75</v>
      </c>
      <c r="N11" s="15">
        <f>SUM(C8:C11)/4</f>
        <v>2673</v>
      </c>
      <c r="O11" s="15"/>
      <c r="P11" s="16"/>
      <c r="Q11" s="16"/>
      <c r="R11" s="16"/>
      <c r="S11" s="17"/>
      <c r="T11" s="15">
        <f>SUM(J8:K11)/4</f>
        <v>-124.475</v>
      </c>
      <c r="U11" s="25"/>
      <c r="V11" s="15">
        <f>-(L11+M11)+V10</f>
        <v>-1207</v>
      </c>
      <c r="W11" s="17"/>
      <c r="X11" s="15">
        <f>F11-G11</f>
        <v>-3309</v>
      </c>
      <c r="Y11" s="24"/>
      <c r="Z11" s="15">
        <v>182</v>
      </c>
      <c r="AA11" s="22"/>
      <c r="AB11" s="20">
        <v>14.38</v>
      </c>
    </row>
    <row r="12" ht="20.05" customHeight="1">
      <c r="B12" s="21">
        <v>2019</v>
      </c>
      <c r="C12" s="14">
        <v>1993</v>
      </c>
      <c r="D12" s="15">
        <v>64.59999999999999</v>
      </c>
      <c r="E12" s="15">
        <v>-113</v>
      </c>
      <c r="F12" s="15">
        <v>168</v>
      </c>
      <c r="G12" s="15">
        <v>4008</v>
      </c>
      <c r="H12" s="15">
        <v>5045</v>
      </c>
      <c r="I12" s="15">
        <v>1965</v>
      </c>
      <c r="J12" s="15">
        <v>-159.8</v>
      </c>
      <c r="K12" s="15">
        <v>-24</v>
      </c>
      <c r="L12" s="15">
        <v>-62.5</v>
      </c>
      <c r="M12" s="15">
        <v>0</v>
      </c>
      <c r="N12" s="15">
        <f>SUM(C9:C12)/4</f>
        <v>2442.5</v>
      </c>
      <c r="O12" s="23"/>
      <c r="P12" s="16"/>
      <c r="Q12" s="16">
        <f>(E12+D12)/C12</f>
        <v>-0.0242849974912193</v>
      </c>
      <c r="R12" s="16">
        <f>AVERAGE(Q9:Q12)</f>
        <v>-0.0242849974912193</v>
      </c>
      <c r="S12" s="17"/>
      <c r="T12" s="15">
        <f>SUM(J9:K12)/4</f>
        <v>-133.9</v>
      </c>
      <c r="U12" s="25"/>
      <c r="V12" s="15">
        <f>-(L12+M12)+V11</f>
        <v>-1144.5</v>
      </c>
      <c r="W12" s="17"/>
      <c r="X12" s="15">
        <f>F12-G12</f>
        <v>-3840</v>
      </c>
      <c r="Y12" s="24"/>
      <c r="Z12" s="15">
        <v>202</v>
      </c>
      <c r="AA12" s="22"/>
      <c r="AB12" s="20">
        <v>14.24</v>
      </c>
    </row>
    <row r="13" ht="20.05" customHeight="1">
      <c r="B13" s="13"/>
      <c r="C13" s="14">
        <v>2649</v>
      </c>
      <c r="D13" s="15">
        <v>63</v>
      </c>
      <c r="E13" s="15">
        <v>-74</v>
      </c>
      <c r="F13" s="15">
        <v>178</v>
      </c>
      <c r="G13" s="15">
        <v>3399</v>
      </c>
      <c r="H13" s="15">
        <v>4361</v>
      </c>
      <c r="I13" s="15">
        <v>2638</v>
      </c>
      <c r="J13" s="15">
        <v>237.3</v>
      </c>
      <c r="K13" s="15">
        <v>-32</v>
      </c>
      <c r="L13" s="15">
        <v>-62.5</v>
      </c>
      <c r="M13" s="15">
        <v>0</v>
      </c>
      <c r="N13" s="15">
        <f>SUM(C10:C13)/4</f>
        <v>2364.25</v>
      </c>
      <c r="O13" s="23"/>
      <c r="P13" s="16">
        <f>C13/C12-1</f>
        <v>0.329152032112393</v>
      </c>
      <c r="Q13" s="16">
        <f>(E13+D13)/C13</f>
        <v>-0.00415251038127595</v>
      </c>
      <c r="R13" s="16">
        <f>AVERAGE(Q10:Q13)</f>
        <v>-0.0142187539362476</v>
      </c>
      <c r="S13" s="17"/>
      <c r="T13" s="15">
        <f>SUM(J10:K13)/4</f>
        <v>-90.22499999999999</v>
      </c>
      <c r="U13" s="25"/>
      <c r="V13" s="15">
        <f>-(L13+M13)+V12</f>
        <v>-1082</v>
      </c>
      <c r="W13" s="17"/>
      <c r="X13" s="15">
        <f>F13-G13</f>
        <v>-3221</v>
      </c>
      <c r="Y13" s="24"/>
      <c r="Z13" s="15">
        <v>206</v>
      </c>
      <c r="AA13" s="24"/>
      <c r="AB13" s="15">
        <v>14.127</v>
      </c>
    </row>
    <row r="14" ht="20.05" customHeight="1">
      <c r="B14" s="13"/>
      <c r="C14" s="14">
        <v>1999</v>
      </c>
      <c r="D14" s="15">
        <v>63</v>
      </c>
      <c r="E14" s="15">
        <v>-79</v>
      </c>
      <c r="F14" s="15">
        <v>137</v>
      </c>
      <c r="G14" s="15">
        <v>3123</v>
      </c>
      <c r="H14" s="15">
        <v>4006</v>
      </c>
      <c r="I14" s="15">
        <v>2031</v>
      </c>
      <c r="J14" s="15">
        <v>40.7</v>
      </c>
      <c r="K14" s="15">
        <v>-34</v>
      </c>
      <c r="L14" s="15">
        <v>-62.5</v>
      </c>
      <c r="M14" s="15">
        <v>0</v>
      </c>
      <c r="N14" s="15">
        <f>SUM(C11:C14)/4</f>
        <v>2262</v>
      </c>
      <c r="O14" s="23"/>
      <c r="P14" s="16">
        <f>C14/C13-1</f>
        <v>-0.245375613439034</v>
      </c>
      <c r="Q14" s="16">
        <f>(E14+D14)/C14</f>
        <v>-0.0080040020010005</v>
      </c>
      <c r="R14" s="16">
        <f>AVERAGE(Q11:Q14)</f>
        <v>-0.0121471699578319</v>
      </c>
      <c r="S14" s="17"/>
      <c r="T14" s="15">
        <f>SUM(J11:K14)/4</f>
        <v>16.85</v>
      </c>
      <c r="U14" s="25"/>
      <c r="V14" s="15">
        <f>-(L14+M14)+V13</f>
        <v>-1019.5</v>
      </c>
      <c r="W14" s="17"/>
      <c r="X14" s="15">
        <f>F14-G14</f>
        <v>-2986</v>
      </c>
      <c r="Y14" s="24"/>
      <c r="Z14" s="15">
        <v>171</v>
      </c>
      <c r="AA14" s="24"/>
      <c r="AB14" s="15">
        <v>14.195</v>
      </c>
    </row>
    <row r="15" ht="20.05" customHeight="1">
      <c r="B15" s="13"/>
      <c r="C15" s="14">
        <v>2014</v>
      </c>
      <c r="D15" s="15">
        <v>1.9</v>
      </c>
      <c r="E15" s="15">
        <v>-287</v>
      </c>
      <c r="F15" s="15">
        <v>304</v>
      </c>
      <c r="G15" s="15">
        <v>3290</v>
      </c>
      <c r="H15" s="15">
        <v>3821</v>
      </c>
      <c r="I15" s="15">
        <v>2012</v>
      </c>
      <c r="J15" s="15">
        <v>199.1</v>
      </c>
      <c r="K15" s="15">
        <v>-33</v>
      </c>
      <c r="L15" s="15">
        <v>-62.5</v>
      </c>
      <c r="M15" s="15">
        <v>0</v>
      </c>
      <c r="N15" s="15">
        <f>SUM(C12:C15)/4</f>
        <v>2163.75</v>
      </c>
      <c r="O15" s="15"/>
      <c r="P15" s="16">
        <f>C15/C14-1</f>
        <v>0.00750375187593797</v>
      </c>
      <c r="Q15" s="16">
        <f>(E15+D15)/C15</f>
        <v>-0.141559086395233</v>
      </c>
      <c r="R15" s="16">
        <f>AVERAGE(Q12:Q15)</f>
        <v>-0.0445001490671822</v>
      </c>
      <c r="S15" s="17"/>
      <c r="T15" s="15">
        <f>SUM(J12:K15)/4</f>
        <v>48.575</v>
      </c>
      <c r="U15" s="25"/>
      <c r="V15" s="15">
        <f>-(L15+M15)+V14</f>
        <v>-957</v>
      </c>
      <c r="W15" s="17"/>
      <c r="X15" s="15">
        <f>F15-G15</f>
        <v>-2986</v>
      </c>
      <c r="Y15" s="24"/>
      <c r="Z15" s="15">
        <v>118</v>
      </c>
      <c r="AA15" s="24"/>
      <c r="AB15" s="15">
        <v>13.882</v>
      </c>
    </row>
    <row r="16" ht="20.05" customHeight="1">
      <c r="B16" s="21">
        <v>2020</v>
      </c>
      <c r="C16" s="14">
        <v>1951</v>
      </c>
      <c r="D16" s="15">
        <v>143.5</v>
      </c>
      <c r="E16" s="15">
        <v>-100</v>
      </c>
      <c r="F16" s="15">
        <v>151</v>
      </c>
      <c r="G16" s="15">
        <v>5156</v>
      </c>
      <c r="H16" s="15">
        <v>5586</v>
      </c>
      <c r="I16" s="15">
        <v>1960</v>
      </c>
      <c r="J16" s="15">
        <v>-162</v>
      </c>
      <c r="K16" s="15">
        <v>-34</v>
      </c>
      <c r="L16" s="15">
        <v>43</v>
      </c>
      <c r="M16" s="15">
        <v>0</v>
      </c>
      <c r="N16" s="15">
        <f>SUM(C13:C16)/4</f>
        <v>2153.25</v>
      </c>
      <c r="O16" s="15"/>
      <c r="P16" s="16">
        <f>C16/C15-1</f>
        <v>-0.0312810327706058</v>
      </c>
      <c r="Q16" s="16">
        <f>(E16+D16)/C16</f>
        <v>0.022296258329062</v>
      </c>
      <c r="R16" s="16">
        <f>AVERAGE(Q13:Q16)</f>
        <v>-0.0328548351121119</v>
      </c>
      <c r="S16" s="17"/>
      <c r="T16" s="15">
        <f>SUM(J13:K16)/4</f>
        <v>45.525</v>
      </c>
      <c r="U16" s="25"/>
      <c r="V16" s="15">
        <f>-(L16+M16)+V15</f>
        <v>-1000</v>
      </c>
      <c r="W16" s="17"/>
      <c r="X16" s="15">
        <f>F16-G16</f>
        <v>-5005</v>
      </c>
      <c r="Y16" s="24"/>
      <c r="Z16" s="15">
        <v>89</v>
      </c>
      <c r="AA16" s="24"/>
      <c r="AB16" s="15">
        <v>16.31</v>
      </c>
    </row>
    <row r="17" ht="20.05" customHeight="1">
      <c r="B17" s="13"/>
      <c r="C17" s="14">
        <v>1721</v>
      </c>
      <c r="D17" s="15">
        <v>133.3</v>
      </c>
      <c r="E17" s="15">
        <v>-119</v>
      </c>
      <c r="F17" s="15">
        <v>166</v>
      </c>
      <c r="G17" s="15">
        <v>4360</v>
      </c>
      <c r="H17" s="15">
        <v>4672</v>
      </c>
      <c r="I17" s="15">
        <v>1727</v>
      </c>
      <c r="J17" s="15">
        <v>-155.3</v>
      </c>
      <c r="K17" s="15">
        <v>-22</v>
      </c>
      <c r="L17" s="15">
        <v>191.3</v>
      </c>
      <c r="M17" s="15">
        <v>0</v>
      </c>
      <c r="N17" s="15">
        <f>SUM(C14:C17)/4</f>
        <v>1921.25</v>
      </c>
      <c r="O17" s="15"/>
      <c r="P17" s="16">
        <f>C17/C16-1</f>
        <v>-0.117888262429523</v>
      </c>
      <c r="Q17" s="16">
        <f>(E17+D17)/C17</f>
        <v>0.00830912260313771</v>
      </c>
      <c r="R17" s="16">
        <f>AVERAGE(Q14:Q17)</f>
        <v>-0.0297394268660084</v>
      </c>
      <c r="S17" s="17"/>
      <c r="T17" s="25">
        <f>SUM(J14:K17)/4</f>
        <v>-50.125</v>
      </c>
      <c r="U17" s="25"/>
      <c r="V17" s="15">
        <f>-(L17+M17)+V16</f>
        <v>-1191.3</v>
      </c>
      <c r="W17" s="17"/>
      <c r="X17" s="15">
        <f>F17-G17</f>
        <v>-4194</v>
      </c>
      <c r="Y17" s="24"/>
      <c r="Z17" s="15">
        <v>117</v>
      </c>
      <c r="AA17" s="24"/>
      <c r="AB17" s="15">
        <v>14.255</v>
      </c>
    </row>
    <row r="18" ht="20.05" customHeight="1">
      <c r="B18" s="13"/>
      <c r="C18" s="14">
        <v>1447</v>
      </c>
      <c r="D18" s="15">
        <v>135.8</v>
      </c>
      <c r="E18" s="15">
        <v>-113</v>
      </c>
      <c r="F18" s="15">
        <v>144</v>
      </c>
      <c r="G18" s="15">
        <v>4435</v>
      </c>
      <c r="H18" s="15">
        <v>4633</v>
      </c>
      <c r="I18" s="15">
        <v>1443</v>
      </c>
      <c r="J18" s="15">
        <v>149.8</v>
      </c>
      <c r="K18" s="15">
        <v>-13</v>
      </c>
      <c r="L18" s="15">
        <v>-157.8</v>
      </c>
      <c r="M18" s="15">
        <v>0</v>
      </c>
      <c r="N18" s="15">
        <f>SUM(C15:C18)/4</f>
        <v>1783.25</v>
      </c>
      <c r="O18" s="15"/>
      <c r="P18" s="16">
        <f>C18/C17-1</f>
        <v>-0.159209761766415</v>
      </c>
      <c r="Q18" s="16">
        <f>(E18+D18)/C18</f>
        <v>0.0157567380787837</v>
      </c>
      <c r="R18" s="16">
        <f>AVERAGE(Q15:Q18)</f>
        <v>-0.0237992418460624</v>
      </c>
      <c r="S18" s="17"/>
      <c r="T18" s="25">
        <f>SUM(J15:K18)/4</f>
        <v>-17.6</v>
      </c>
      <c r="U18" s="25"/>
      <c r="V18" s="15">
        <f>-(L18+M18)+V17</f>
        <v>-1033.5</v>
      </c>
      <c r="W18" s="17"/>
      <c r="X18" s="15">
        <f>F18-G18</f>
        <v>-4291</v>
      </c>
      <c r="Y18" s="24"/>
      <c r="Z18" s="15">
        <v>95</v>
      </c>
      <c r="AA18" s="24"/>
      <c r="AB18" s="15">
        <v>14.79</v>
      </c>
    </row>
    <row r="19" ht="20.05" customHeight="1">
      <c r="B19" s="13"/>
      <c r="C19" s="14">
        <v>1627.6</v>
      </c>
      <c r="D19" s="15">
        <v>134.6</v>
      </c>
      <c r="E19" s="15">
        <v>-73.3</v>
      </c>
      <c r="F19" s="15">
        <v>300</v>
      </c>
      <c r="G19" s="15">
        <v>4325</v>
      </c>
      <c r="H19" s="15">
        <v>4510</v>
      </c>
      <c r="I19" s="15">
        <v>1612.5</v>
      </c>
      <c r="J19" s="15">
        <v>180</v>
      </c>
      <c r="K19" s="15">
        <v>-8.1</v>
      </c>
      <c r="L19" s="15">
        <v>-16.5</v>
      </c>
      <c r="M19" s="15">
        <v>0</v>
      </c>
      <c r="N19" s="15">
        <f>SUM(C16:C19)/4</f>
        <v>1686.65</v>
      </c>
      <c r="O19" s="15">
        <v>1591.7</v>
      </c>
      <c r="P19" s="16">
        <f>C19/C18-1</f>
        <v>0.12480995162405</v>
      </c>
      <c r="Q19" s="16">
        <f>(E19+D19)/C19</f>
        <v>0.03766281641681</v>
      </c>
      <c r="R19" s="16">
        <f>AVERAGE(Q16:Q19)</f>
        <v>0.0210062338569484</v>
      </c>
      <c r="S19" s="17"/>
      <c r="T19" s="25">
        <f>SUM(J16:K19)/4</f>
        <v>-16.15</v>
      </c>
      <c r="U19" s="25"/>
      <c r="V19" s="15">
        <f>-(L19+M19)+V18</f>
        <v>-1017</v>
      </c>
      <c r="W19" s="17"/>
      <c r="X19" s="15">
        <f>F19-G19</f>
        <v>-4025</v>
      </c>
      <c r="Y19" s="24"/>
      <c r="Z19" s="18">
        <v>105</v>
      </c>
      <c r="AA19" s="24"/>
      <c r="AB19" s="15">
        <v>14.1</v>
      </c>
    </row>
    <row r="20" ht="20.05" customHeight="1">
      <c r="B20" s="21">
        <v>2021</v>
      </c>
      <c r="C20" s="14">
        <v>1546.9</v>
      </c>
      <c r="D20" s="15">
        <v>136.5</v>
      </c>
      <c r="E20" s="15">
        <v>-83.7</v>
      </c>
      <c r="F20" s="15">
        <v>224</v>
      </c>
      <c r="G20" s="15">
        <v>4589</v>
      </c>
      <c r="H20" s="15">
        <v>4690</v>
      </c>
      <c r="I20" s="15">
        <v>1563.3</v>
      </c>
      <c r="J20" s="15">
        <v>-107.5</v>
      </c>
      <c r="K20" s="15">
        <v>-8.6</v>
      </c>
      <c r="L20" s="15">
        <v>40</v>
      </c>
      <c r="M20" s="15">
        <v>0</v>
      </c>
      <c r="N20" s="15">
        <f>SUM(C17:C20)/4</f>
        <v>1585.625</v>
      </c>
      <c r="O20" s="15">
        <v>1703.119</v>
      </c>
      <c r="P20" s="16">
        <f>C20/C19-1</f>
        <v>-0.0495822069304497</v>
      </c>
      <c r="Q20" s="16">
        <f>(E20+D20)/C20</f>
        <v>0.0341327816924171</v>
      </c>
      <c r="R20" s="16">
        <f>AVERAGE(Q17:Q20)</f>
        <v>0.0239653646977871</v>
      </c>
      <c r="S20" s="17"/>
      <c r="T20" s="25">
        <f>SUM(J17:K20)/4</f>
        <v>3.825</v>
      </c>
      <c r="U20" s="25"/>
      <c r="V20" s="15">
        <f>-(L20+M20)+V19</f>
        <v>-1057</v>
      </c>
      <c r="W20" s="17"/>
      <c r="X20" s="15">
        <f>F20-G20</f>
        <v>-4365</v>
      </c>
      <c r="Y20" s="15"/>
      <c r="Z20" s="15">
        <v>254</v>
      </c>
      <c r="AA20" s="15"/>
      <c r="AB20" s="15">
        <v>14.606</v>
      </c>
    </row>
    <row r="21" ht="20.05" customHeight="1">
      <c r="B21" s="13"/>
      <c r="C21" s="14">
        <v>2000.1</v>
      </c>
      <c r="D21" s="15">
        <v>136.5</v>
      </c>
      <c r="E21" s="15">
        <v>-7.8</v>
      </c>
      <c r="F21" s="15">
        <v>161</v>
      </c>
      <c r="G21" s="15">
        <v>3916</v>
      </c>
      <c r="H21" s="15">
        <v>4026</v>
      </c>
      <c r="I21" s="15">
        <v>1996.7</v>
      </c>
      <c r="J21" s="15">
        <v>187.7</v>
      </c>
      <c r="K21" s="15">
        <v>-1</v>
      </c>
      <c r="L21" s="15">
        <v>-250.2</v>
      </c>
      <c r="M21" s="15">
        <v>0</v>
      </c>
      <c r="N21" s="15">
        <f>SUM(C18:C21)/4</f>
        <v>1655.4</v>
      </c>
      <c r="O21" s="15">
        <v>1779</v>
      </c>
      <c r="P21" s="16">
        <f>C21/C20-1</f>
        <v>0.292973042859913</v>
      </c>
      <c r="Q21" s="16">
        <f>(E21+D21)/C21</f>
        <v>0.06434678266086701</v>
      </c>
      <c r="R21" s="16">
        <f>AVERAGE(Q18:Q21)</f>
        <v>0.0379747797122195</v>
      </c>
      <c r="S21" s="17"/>
      <c r="T21" s="25">
        <f>SUM(J18:K21)/4</f>
        <v>94.825</v>
      </c>
      <c r="U21" s="25"/>
      <c r="V21" s="15">
        <f>-(L21+M21)+V20</f>
        <v>-806.8</v>
      </c>
      <c r="W21" s="17"/>
      <c r="X21" s="15">
        <f>F21-G21</f>
        <v>-3755</v>
      </c>
      <c r="Y21" s="15"/>
      <c r="Z21" s="15">
        <v>1055</v>
      </c>
      <c r="AA21" s="15"/>
      <c r="AB21" s="15">
        <v>14.45</v>
      </c>
    </row>
    <row r="22" ht="20.05" customHeight="1">
      <c r="B22" s="13"/>
      <c r="C22" s="14">
        <v>1388.7</v>
      </c>
      <c r="D22" s="15">
        <v>127.9</v>
      </c>
      <c r="E22" s="15">
        <v>-80.90000000000001</v>
      </c>
      <c r="F22" s="15">
        <v>133</v>
      </c>
      <c r="G22" s="15">
        <v>4040</v>
      </c>
      <c r="H22" s="15">
        <v>4068</v>
      </c>
      <c r="I22" s="15">
        <v>1391.6</v>
      </c>
      <c r="J22" s="15">
        <v>6.5</v>
      </c>
      <c r="K22" s="15">
        <v>-33.8</v>
      </c>
      <c r="L22" s="15">
        <v>0.2</v>
      </c>
      <c r="M22" s="15">
        <v>0</v>
      </c>
      <c r="N22" s="15">
        <f>SUM(C19:C22)/4</f>
        <v>1640.825</v>
      </c>
      <c r="O22" s="23">
        <v>1700.085</v>
      </c>
      <c r="P22" s="16">
        <f>C22/C21-1</f>
        <v>-0.305684715764212</v>
      </c>
      <c r="Q22" s="16">
        <f>(E22+D22)/C22</f>
        <v>0.0338446028659898</v>
      </c>
      <c r="R22" s="16">
        <f>AVERAGE(Q19:Q22)</f>
        <v>0.042496745909021</v>
      </c>
      <c r="S22" s="17"/>
      <c r="T22" s="25">
        <f>SUM(J19:K22)/4</f>
        <v>53.8</v>
      </c>
      <c r="U22" s="25"/>
      <c r="V22" s="15">
        <f>-(L22+M22)+V21</f>
        <v>-807</v>
      </c>
      <c r="W22" s="17"/>
      <c r="X22" s="15">
        <f>F22-G22</f>
        <v>-3907</v>
      </c>
      <c r="Y22" s="15"/>
      <c r="Z22" s="15">
        <v>1010</v>
      </c>
      <c r="AA22" s="15"/>
      <c r="AB22" s="15">
        <v>14.328</v>
      </c>
    </row>
    <row r="23" ht="20.05" customHeight="1">
      <c r="B23" s="13"/>
      <c r="C23" s="14">
        <v>1719.5</v>
      </c>
      <c r="D23" s="15">
        <v>128.6</v>
      </c>
      <c r="E23" s="15">
        <v>-165.1</v>
      </c>
      <c r="F23" s="15">
        <v>753</v>
      </c>
      <c r="G23" s="15">
        <v>4066</v>
      </c>
      <c r="H23" s="15">
        <v>4650</v>
      </c>
      <c r="I23" s="15">
        <v>1706.5</v>
      </c>
      <c r="J23" s="15">
        <v>-164.1</v>
      </c>
      <c r="K23" s="15">
        <v>17.1</v>
      </c>
      <c r="L23" s="15">
        <v>49.9</v>
      </c>
      <c r="M23" s="15">
        <v>716.4</v>
      </c>
      <c r="N23" s="15">
        <f>SUM(C20:C23)/4</f>
        <v>1663.8</v>
      </c>
      <c r="O23" s="23">
        <v>1527.57</v>
      </c>
      <c r="P23" s="16">
        <f>C23/C22-1</f>
        <v>0.238208396341902</v>
      </c>
      <c r="Q23" s="16">
        <f>(E23+D23)/C23</f>
        <v>-0.0212271009014248</v>
      </c>
      <c r="R23" s="16">
        <f>AVERAGE(Q20:Q23)</f>
        <v>0.0277742665794623</v>
      </c>
      <c r="S23" s="17"/>
      <c r="T23" s="25">
        <f>SUM(J20:K23)/4</f>
        <v>-25.925</v>
      </c>
      <c r="U23" s="25"/>
      <c r="V23" s="15">
        <f>-(L23+M23)+V22</f>
        <v>-1573.3</v>
      </c>
      <c r="W23" s="17"/>
      <c r="X23" s="15">
        <f>F23-G23</f>
        <v>-3313</v>
      </c>
      <c r="Y23" s="15"/>
      <c r="Z23" s="15">
        <v>434</v>
      </c>
      <c r="AA23" s="15"/>
      <c r="AB23" s="15">
        <v>14.275</v>
      </c>
    </row>
    <row r="24" ht="20.05" customHeight="1">
      <c r="B24" s="21">
        <v>2022</v>
      </c>
      <c r="C24" s="14">
        <v>1688.9</v>
      </c>
      <c r="D24" s="15">
        <v>133.3</v>
      </c>
      <c r="E24" s="15">
        <v>-109.2</v>
      </c>
      <c r="F24" s="15">
        <v>348</v>
      </c>
      <c r="G24" s="15">
        <v>4264</v>
      </c>
      <c r="H24" s="15">
        <v>4739</v>
      </c>
      <c r="I24" s="15">
        <v>1692.8</v>
      </c>
      <c r="J24" s="15">
        <v>-287.3</v>
      </c>
      <c r="K24" s="15">
        <v>-17.3</v>
      </c>
      <c r="L24" s="15">
        <v>-100</v>
      </c>
      <c r="M24" s="15">
        <v>0</v>
      </c>
      <c r="N24" s="15">
        <f>SUM(C21:C24)/4</f>
        <v>1699.3</v>
      </c>
      <c r="O24" s="15">
        <v>1736.695</v>
      </c>
      <c r="P24" s="16">
        <f>C24/C23-1</f>
        <v>-0.0177958708927014</v>
      </c>
      <c r="Q24" s="16">
        <f>(E24+D24)/C24</f>
        <v>0.0142696429628752</v>
      </c>
      <c r="R24" s="16">
        <f>AVERAGE(Q21:Q24)</f>
        <v>0.0228084818970768</v>
      </c>
      <c r="S24" s="35"/>
      <c r="T24" s="25">
        <f>SUM(J21:K24)/4</f>
        <v>-73.05</v>
      </c>
      <c r="U24" s="15">
        <v>31.120786275</v>
      </c>
      <c r="V24" s="15">
        <f>-(L24+M24)+V23</f>
        <v>-1473.3</v>
      </c>
      <c r="W24" s="15"/>
      <c r="X24" s="15">
        <f>F24-G24</f>
        <v>-3916</v>
      </c>
      <c r="Y24" s="15">
        <v>-2996.803840897950</v>
      </c>
      <c r="Z24" s="15">
        <v>404</v>
      </c>
      <c r="AA24" s="15">
        <v>114.630443549099</v>
      </c>
      <c r="AB24" s="15">
        <v>14.327</v>
      </c>
    </row>
    <row r="25" ht="20.05" customHeight="1">
      <c r="B25" s="13"/>
      <c r="C25" s="14">
        <v>2028.6</v>
      </c>
      <c r="D25" s="15">
        <v>117.3</v>
      </c>
      <c r="E25" s="15">
        <v>-49.4</v>
      </c>
      <c r="F25" s="15">
        <v>205</v>
      </c>
      <c r="G25" s="15">
        <v>3513</v>
      </c>
      <c r="H25" s="15">
        <v>3939</v>
      </c>
      <c r="I25" s="15">
        <v>2031.3</v>
      </c>
      <c r="J25" s="15">
        <v>67</v>
      </c>
      <c r="K25" s="15">
        <v>-5.6</v>
      </c>
      <c r="L25" s="15">
        <v>-204.8</v>
      </c>
      <c r="M25" s="15">
        <v>0</v>
      </c>
      <c r="N25" s="15">
        <f>SUM(C22:C25)/4</f>
        <v>1706.425</v>
      </c>
      <c r="O25" s="23">
        <v>2111.125</v>
      </c>
      <c r="P25" s="16">
        <f>C25/C24-1</f>
        <v>0.201136834626088</v>
      </c>
      <c r="Q25" s="16">
        <f>(E25+D25)/C25</f>
        <v>0.0334713595583161</v>
      </c>
      <c r="R25" s="16">
        <f>AVERAGE(Q22:Q25)</f>
        <v>0.0150896261214391</v>
      </c>
      <c r="S25" s="35"/>
      <c r="T25" s="25">
        <f>SUM(J22:K25)/4</f>
        <v>-104.375</v>
      </c>
      <c r="U25" s="15">
        <v>31.120786275</v>
      </c>
      <c r="V25" s="15">
        <f>-(L25+M25)+V24</f>
        <v>-1268.5</v>
      </c>
      <c r="W25" s="15"/>
      <c r="X25" s="15">
        <f>F25-G25</f>
        <v>-3308</v>
      </c>
      <c r="Y25" s="15">
        <v>-2996.803840897950</v>
      </c>
      <c r="Z25" s="15">
        <v>204</v>
      </c>
      <c r="AA25" s="15">
        <v>367.088678673943</v>
      </c>
      <c r="AB25" s="15">
        <v>14.66</v>
      </c>
    </row>
    <row r="26" ht="20.05" customHeight="1">
      <c r="B26" s="13"/>
      <c r="C26" s="14">
        <v>1615.6</v>
      </c>
      <c r="D26" s="15">
        <v>117.2</v>
      </c>
      <c r="E26" s="15">
        <v>-131.4</v>
      </c>
      <c r="F26" s="15">
        <v>240</v>
      </c>
      <c r="G26" s="15">
        <v>3514</v>
      </c>
      <c r="H26" s="15">
        <v>3814</v>
      </c>
      <c r="I26" s="15">
        <v>1615.5</v>
      </c>
      <c r="J26" s="15">
        <v>51.5</v>
      </c>
      <c r="K26" s="15">
        <v>-25.3</v>
      </c>
      <c r="L26" s="15">
        <v>4.8</v>
      </c>
      <c r="M26" s="15">
        <v>0</v>
      </c>
      <c r="N26" s="15">
        <f>SUM(C23:C26)/4</f>
        <v>1763.15</v>
      </c>
      <c r="O26" s="23">
        <v>1724.31</v>
      </c>
      <c r="P26" s="16">
        <f>C26/C25-1</f>
        <v>-0.203588681849551</v>
      </c>
      <c r="Q26" s="16">
        <f>(E26+D26)/C26</f>
        <v>-0.00878930428323843</v>
      </c>
      <c r="R26" s="16">
        <f>AVERAGE(Q23:Q26)</f>
        <v>0.00443114933413202</v>
      </c>
      <c r="S26" s="35">
        <f>S27</f>
        <v>0.0150896261214391</v>
      </c>
      <c r="T26" s="25">
        <f>SUM(J23:K26)/4</f>
        <v>-91</v>
      </c>
      <c r="U26" s="15">
        <v>57.5860068525</v>
      </c>
      <c r="V26" s="15">
        <f>-(L26+M26)+V25</f>
        <v>-1273.3</v>
      </c>
      <c r="W26" s="15">
        <f>W27</f>
        <v>-1183.833182060940</v>
      </c>
      <c r="X26" s="15">
        <f>F26-G26</f>
        <v>-3274</v>
      </c>
      <c r="Y26" s="15">
        <v>-3077.65597259</v>
      </c>
      <c r="Z26" s="15">
        <v>131</v>
      </c>
      <c r="AA26" s="15">
        <v>367.088678673943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1997.511684</v>
      </c>
      <c r="P27" s="17"/>
      <c r="Q27" s="17"/>
      <c r="R27" s="17"/>
      <c r="S27" s="35">
        <f>AE53</f>
        <v>0.0150896261214391</v>
      </c>
      <c r="T27" s="25"/>
      <c r="U27" s="15">
        <f>SUM(AE55:AH55)/4</f>
        <v>22.3667044847662</v>
      </c>
      <c r="V27" s="17"/>
      <c r="W27" s="15">
        <f>-SUM(AE76:AH76)+V26</f>
        <v>-1183.833182060940</v>
      </c>
      <c r="X27" s="26"/>
      <c r="Y27" s="15">
        <f>AH75</f>
        <v>-3184.533182060940</v>
      </c>
      <c r="Z27" s="15">
        <v>123</v>
      </c>
      <c r="AA27" s="15">
        <v>367.088678673943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13401.175</v>
      </c>
      <c r="O28" s="15">
        <f>SUM(O19:O26)</f>
        <v>13873.604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137.191047809210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348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0.0544901695564344</v>
      </c>
      <c r="AF49" s="35"/>
      <c r="AG49" s="35"/>
      <c r="AH49" s="35">
        <f>AVERAGE(AE51:AH51)</f>
        <v>0.0575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0.238208396341902</v>
      </c>
      <c r="AF50" s="35">
        <f>P24</f>
        <v>-0.0177958708927014</v>
      </c>
      <c r="AG50" s="35">
        <f>P25</f>
        <v>0.201136834626088</v>
      </c>
      <c r="AH50" s="35">
        <f>P26</f>
        <v>-0.203588681849551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0.2</v>
      </c>
      <c r="AF51" s="35">
        <v>-0.02</v>
      </c>
      <c r="AG51" s="35">
        <v>0.15</v>
      </c>
      <c r="AH51" s="35">
        <v>-0.1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1615.6</v>
      </c>
      <c r="AE52" s="23">
        <f>C26*(1+AE51)</f>
        <v>1938.72</v>
      </c>
      <c r="AF52" s="23">
        <f>AE52*(1+AF51)</f>
        <v>1899.9456</v>
      </c>
      <c r="AG52" s="23">
        <f>AF52*(1+AG51)</f>
        <v>2184.93744</v>
      </c>
      <c r="AH52" s="23">
        <f>AG52*(1+AH51)</f>
        <v>1966.443696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AVERAGE(R25)</f>
        <v>0.0150896261214391</v>
      </c>
      <c r="AF53" s="35">
        <f>AE53</f>
        <v>0.0150896261214391</v>
      </c>
      <c r="AG53" s="35">
        <f>AF53</f>
        <v>0.0150896261214391</v>
      </c>
      <c r="AH53" s="35">
        <f>AG53</f>
        <v>0.0150896261214391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AVERAGE(K23:K26)</f>
        <v>-7.775</v>
      </c>
      <c r="AF54" s="15">
        <f>AE54</f>
        <v>-7.775</v>
      </c>
      <c r="AG54" s="15">
        <f>AF54</f>
        <v>-7.775</v>
      </c>
      <c r="AH54" s="15">
        <f>AG54</f>
        <v>-7.775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21.4795599541564</v>
      </c>
      <c r="AF55" s="15">
        <f>(AF52*AF53)+AF54</f>
        <v>20.8944687550733</v>
      </c>
      <c r="AG55" s="15">
        <f>(AG52*AG53)+AG54</f>
        <v>25.1948890683343</v>
      </c>
      <c r="AH55" s="15">
        <f>(AH52*AH53)+AH54</f>
        <v>21.8979001615008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-175.7</v>
      </c>
      <c r="AF56" s="15">
        <f>-AE71/20</f>
        <v>-166.915</v>
      </c>
      <c r="AG56" s="15">
        <f>-AF71/20</f>
        <v>-158.56925</v>
      </c>
      <c r="AH56" s="15">
        <f>-AG71/20</f>
        <v>-150.6407875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-154.220440045844</v>
      </c>
      <c r="AF59" s="15">
        <f>AF55+AF56+AF58</f>
        <v>-146.020531244927</v>
      </c>
      <c r="AG59" s="15">
        <f>AG55+AG56+AG58</f>
        <v>-133.374360931666</v>
      </c>
      <c r="AH59" s="15">
        <f>AH55+AH56+AH58</f>
        <v>-128.742887338499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154.220440045844</v>
      </c>
      <c r="AF60" s="15">
        <f>-MIN(AE72,AF59)</f>
        <v>146.020531244927</v>
      </c>
      <c r="AG60" s="15">
        <f>-MIN(AF72,AG59)</f>
        <v>133.374360931666</v>
      </c>
      <c r="AH60" s="15">
        <f>-MIN(AG72,AH59)</f>
        <v>128.742887338499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240</v>
      </c>
      <c r="AF61" s="15">
        <f>AE63</f>
        <v>240</v>
      </c>
      <c r="AG61" s="15">
        <f>AF63</f>
        <v>240</v>
      </c>
      <c r="AH61" s="15">
        <f>AG63</f>
        <v>240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4e-13</v>
      </c>
      <c r="AF62" s="15">
        <f>AF55+AF56+AF58+AF60</f>
        <v>3e-13</v>
      </c>
      <c r="AG62" s="15">
        <f>AG55+AG56+AG58+AG60</f>
        <v>3e-13</v>
      </c>
      <c r="AH62" s="15">
        <f>AH55+AH56+AH58+AH60</f>
        <v>-2e-13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240</v>
      </c>
      <c r="AF63" s="15">
        <f>AF61+AF62</f>
        <v>240</v>
      </c>
      <c r="AG63" s="15">
        <f>AG61+AG62</f>
        <v>240</v>
      </c>
      <c r="AH63" s="15">
        <f>AH61+AH62</f>
        <v>240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-122.6</v>
      </c>
      <c r="AF65" s="15">
        <f>AE65</f>
        <v>-122.6</v>
      </c>
      <c r="AG65" s="15">
        <f>AF65</f>
        <v>-122.6</v>
      </c>
      <c r="AH65" s="15">
        <f>AG65</f>
        <v>-122.6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-93.3454400458436</v>
      </c>
      <c r="AF66" s="15">
        <f>(AF52*AF53)+AF65</f>
        <v>-93.9305312449267</v>
      </c>
      <c r="AG66" s="15">
        <f>(AG52*AG53)+AG65</f>
        <v>-89.6301109316657</v>
      </c>
      <c r="AH66" s="15">
        <f>(AH52*AH53)+AH65</f>
        <v>-92.9270998384992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3581.775</v>
      </c>
      <c r="AF68" s="15">
        <f>AE68-AF54</f>
        <v>3589.55</v>
      </c>
      <c r="AG68" s="15">
        <f>AF68-AG54</f>
        <v>3597.325</v>
      </c>
      <c r="AH68" s="15">
        <f>AG68-AH54</f>
        <v>3605.1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122.6</v>
      </c>
      <c r="AF69" s="15">
        <f>AE69-AF65</f>
        <v>245.2</v>
      </c>
      <c r="AG69" s="15">
        <f>AF69-AG65</f>
        <v>367.8</v>
      </c>
      <c r="AH69" s="15">
        <f>AG69-AH65</f>
        <v>490.4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3459.175</v>
      </c>
      <c r="AF70" s="15">
        <f>AF68-AF69</f>
        <v>3344.35</v>
      </c>
      <c r="AG70" s="15">
        <f>AG68-AG69</f>
        <v>3229.525</v>
      </c>
      <c r="AH70" s="15">
        <f>AH68-AH69</f>
        <v>3114.7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3338.3</v>
      </c>
      <c r="AF71" s="15">
        <f>AE71+AF56</f>
        <v>3171.385</v>
      </c>
      <c r="AG71" s="15">
        <f>AF71+AG56</f>
        <v>3012.81575</v>
      </c>
      <c r="AH71" s="15">
        <f>AG71+AH56</f>
        <v>2862.1749625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154.220440045844</v>
      </c>
      <c r="AF72" s="15">
        <f>AE72+AF60</f>
        <v>300.240971290771</v>
      </c>
      <c r="AG72" s="15">
        <f>AF72+AG60</f>
        <v>433.615332222437</v>
      </c>
      <c r="AH72" s="15">
        <f>AG72+AH60</f>
        <v>562.358219560936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206.654559954156</v>
      </c>
      <c r="AF73" s="15">
        <f>AE73+AF66+AF58</f>
        <v>112.724028709229</v>
      </c>
      <c r="AG73" s="15">
        <f>AF73+AG66+AG58</f>
        <v>23.0939177775633</v>
      </c>
      <c r="AH73" s="15">
        <f>AG73+AH66+AH58</f>
        <v>-69.8331820609359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3e-13</v>
      </c>
      <c r="AH74" s="15">
        <f>AH71+AH72+AH73-AH63-AH70</f>
        <v>1e-13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-3252.520440045840</v>
      </c>
      <c r="AF75" s="15">
        <f>AF63-AF71-AF72</f>
        <v>-3231.625971290770</v>
      </c>
      <c r="AG75" s="15">
        <f>AG63-AG71-AG72</f>
        <v>-3206.431082222440</v>
      </c>
      <c r="AH75" s="15">
        <f>AH63-AH71-AH72</f>
        <v>-3184.533182060940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-21.479559954156</v>
      </c>
      <c r="AF76" s="15">
        <f>AF56+AF58+AF60</f>
        <v>-20.894468755073</v>
      </c>
      <c r="AG76" s="15">
        <f>AG56+AG58+AG60</f>
        <v>-25.194889068334</v>
      </c>
      <c r="AH76" s="15">
        <f>AH56+AH58+AH60</f>
        <v>-21.897900161501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693</v>
      </c>
      <c r="AD78" s="14"/>
      <c r="AE78" s="15"/>
      <c r="AF78" s="15"/>
      <c r="AG78" s="15"/>
      <c r="AH78" s="15">
        <v>123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693</v>
      </c>
      <c r="AD79" s="14"/>
      <c r="AE79" s="15"/>
      <c r="AF79" s="15"/>
      <c r="AG79" s="15"/>
      <c r="AH79" s="15">
        <v>1042760764416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1042.760764416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8.477729792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0.310835772026113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-364</v>
      </c>
      <c r="AH84" s="15">
        <f>SUM(AE55:AH55)</f>
        <v>89.4668179390648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34.8140245931335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11.6552794481437</v>
      </c>
      <c r="AH86" s="15">
        <v>13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1163.068633207840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137.191047809210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0.115374372432602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0.163390221070066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0.0352528043249939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693</v>
      </c>
      <c r="AF93" t="s" s="44">
        <f>AE115</f>
        <v>15</v>
      </c>
      <c r="AG93" t="s" s="44">
        <f>AF115</f>
        <v>58</v>
      </c>
      <c r="AH93" t="s" s="44">
        <f>AG115</f>
        <v>59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123</v>
      </c>
      <c r="AG94" t="s" s="44">
        <v>61</v>
      </c>
      <c r="AH94" s="15">
        <f>AH88</f>
        <v>137.191047809210</v>
      </c>
      <c r="AI94" t="s" s="44">
        <f>IF(AJ94&gt;0,"+","")</f>
        <v>361</v>
      </c>
      <c r="AJ94" s="16">
        <f>AH94/AF94-1</f>
        <v>0.115374372432602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0.163390221070066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(AG119+AG120+AI119+AI120+AK119+AK120+AM119+AM120)/AF136</f>
        <v>-0.349073356441311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(AG133+AG134+AI133+AI134+AK133+AK134+AM133+AM134)/AF136</f>
        <v>-0.447178313485119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-3.13974222249684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-0.203588681849551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-0.305684715764212</v>
      </c>
      <c r="AF103" s="16">
        <f>P23</f>
        <v>0.238208396341902</v>
      </c>
      <c r="AG103" s="16">
        <f>P24</f>
        <v>-0.0177958708927014</v>
      </c>
      <c r="AH103" s="16">
        <f>P25</f>
        <v>0.201136834626088</v>
      </c>
      <c r="AI103" s="16">
        <f>P26</f>
        <v>-0.203588681849551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1388.7</v>
      </c>
      <c r="AF104" t="s" s="44">
        <v>72</v>
      </c>
      <c r="AG104" s="15">
        <f>C23</f>
        <v>1719.5</v>
      </c>
      <c r="AH104" t="s" s="44">
        <v>72</v>
      </c>
      <c r="AI104" s="15">
        <f>C24</f>
        <v>1688.9</v>
      </c>
      <c r="AJ104" t="s" s="44">
        <v>72</v>
      </c>
      <c r="AK104" s="15">
        <f>C25</f>
        <v>2028.6</v>
      </c>
      <c r="AL104" t="s" s="44">
        <v>72</v>
      </c>
      <c r="AM104" s="15">
        <f>C26</f>
        <v>1615.6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-0.203588681849551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1615.6</v>
      </c>
      <c r="AM105" t="s" s="48">
        <f>AN104</f>
        <v>22</v>
      </c>
      <c r="AN105" t="s" s="44">
        <v>77</v>
      </c>
      <c r="AO105" t="s" s="44">
        <f>IF(AP105&gt;0,"+","")</f>
        <v>361</v>
      </c>
      <c r="AP105" s="16">
        <f>AH91</f>
        <v>0.0352528043249939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0.0544901695564344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0.0575</v>
      </c>
      <c r="AG107" t="s" s="44">
        <v>82</v>
      </c>
      <c r="AH107" t="s" s="44">
        <v>83</v>
      </c>
      <c r="AI107" s="23">
        <f>AH52</f>
        <v>1966.443696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0.0338446028659898</v>
      </c>
      <c r="AF110" s="16">
        <f>(D23+E23)/C23</f>
        <v>-0.0212271009014248</v>
      </c>
      <c r="AG110" s="16">
        <f>((E24+D24)/C24)</f>
        <v>0.0142696429628752</v>
      </c>
      <c r="AH110" s="16">
        <f>(D25+E25)/C25</f>
        <v>0.0334713595583161</v>
      </c>
      <c r="AI110" s="16">
        <f>(D26+E26)/C26</f>
        <v>-0.00878930428323843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-80.90000000000001</v>
      </c>
      <c r="AF111" t="s" s="44">
        <v>72</v>
      </c>
      <c r="AG111" s="15">
        <f>E23</f>
        <v>-165.1</v>
      </c>
      <c r="AH111" t="s" s="44">
        <v>72</v>
      </c>
      <c r="AI111" s="15">
        <f>E24</f>
        <v>-109.2</v>
      </c>
      <c r="AJ111" t="s" s="44">
        <v>72</v>
      </c>
      <c r="AK111" s="15">
        <f>E25</f>
        <v>-49.4</v>
      </c>
      <c r="AL111" t="s" s="44">
        <v>72</v>
      </c>
      <c r="AM111" s="15">
        <f>E26</f>
        <v>-131.4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0.0334713595583161</v>
      </c>
      <c r="AG112" t="s" s="44">
        <v>76</v>
      </c>
      <c r="AH112" s="16">
        <f>AI110</f>
        <v>-0.00878930428323843</v>
      </c>
      <c r="AI112" t="s" s="44">
        <v>90</v>
      </c>
      <c r="AJ112" s="15">
        <f>AK111</f>
        <v>-49.4</v>
      </c>
      <c r="AK112" t="s" s="44">
        <v>76</v>
      </c>
      <c r="AL112" s="15">
        <f>AM111</f>
        <v>-131.4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0.00443114933413202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0.0150896261214391</v>
      </c>
      <c r="AG114" t="s" s="44">
        <v>94</v>
      </c>
      <c r="AH114" s="15">
        <f>AH66</f>
        <v>-92.9270998384992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58</v>
      </c>
      <c r="AG115" t="s" s="44">
        <f>IF(AH121&lt;0,"negative","positive")</f>
        <v>59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61.4</v>
      </c>
      <c r="AG116" s="15">
        <f>ABS(AH121)</f>
        <v>26.2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61.4</v>
      </c>
      <c r="AF117" s="15">
        <f>ABS(AH121)</f>
        <v>26.2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6.5</v>
      </c>
      <c r="AF119" t="s" s="44">
        <v>72</v>
      </c>
      <c r="AG119" s="15">
        <f>J23</f>
        <v>-164.1</v>
      </c>
      <c r="AH119" t="s" s="44">
        <v>72</v>
      </c>
      <c r="AI119" s="15">
        <f>J24</f>
        <v>-287.3</v>
      </c>
      <c r="AJ119" t="s" s="44">
        <v>72</v>
      </c>
      <c r="AK119" s="15">
        <f>J25</f>
        <v>67</v>
      </c>
      <c r="AL119" t="s" s="44">
        <v>72</v>
      </c>
      <c r="AM119" s="15">
        <f>J26</f>
        <v>51.5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-33.8</v>
      </c>
      <c r="AF120" t="s" s="44">
        <v>72</v>
      </c>
      <c r="AG120" s="15">
        <f>K23</f>
        <v>17.1</v>
      </c>
      <c r="AH120" t="s" s="44">
        <v>72</v>
      </c>
      <c r="AI120" s="15">
        <f>K24</f>
        <v>-17.3</v>
      </c>
      <c r="AJ120" t="s" s="44">
        <v>72</v>
      </c>
      <c r="AK120" s="15">
        <f>K25</f>
        <v>-5.6</v>
      </c>
      <c r="AL120" t="s" s="44">
        <v>72</v>
      </c>
      <c r="AM120" s="15">
        <f>K26</f>
        <v>-25.3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61.4</v>
      </c>
      <c r="AG121" t="s" s="44">
        <v>76</v>
      </c>
      <c r="AH121" s="15">
        <f>AM119+AM120</f>
        <v>26.2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-25.3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-91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-7.775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22.3667044847662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108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133</v>
      </c>
      <c r="AF126" t="s" s="44">
        <v>72</v>
      </c>
      <c r="AG126" s="15">
        <f>F23</f>
        <v>753</v>
      </c>
      <c r="AH126" t="s" s="44">
        <v>72</v>
      </c>
      <c r="AI126" s="15">
        <f>F24</f>
        <v>348</v>
      </c>
      <c r="AJ126" t="s" s="44">
        <v>72</v>
      </c>
      <c r="AK126" s="15">
        <f>F25</f>
        <v>205</v>
      </c>
      <c r="AL126" t="s" s="44">
        <v>72</v>
      </c>
      <c r="AM126" s="15">
        <f>F26</f>
        <v>240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4040</v>
      </c>
      <c r="AF127" t="s" s="44">
        <v>72</v>
      </c>
      <c r="AG127" s="15">
        <f>G23</f>
        <v>4066</v>
      </c>
      <c r="AH127" t="s" s="44">
        <v>72</v>
      </c>
      <c r="AI127" s="15">
        <f>G24</f>
        <v>4264</v>
      </c>
      <c r="AJ127" t="s" s="44">
        <v>72</v>
      </c>
      <c r="AK127" s="15">
        <f>G25</f>
        <v>3513</v>
      </c>
      <c r="AL127" t="s" s="44">
        <v>72</v>
      </c>
      <c r="AM127" s="15">
        <f>G26</f>
        <v>3514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205</v>
      </c>
      <c r="AH128" t="s" s="44">
        <v>76</v>
      </c>
      <c r="AI128" s="15">
        <f>AM126</f>
        <v>240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3513</v>
      </c>
      <c r="AH129" t="s" s="44">
        <v>76</v>
      </c>
      <c r="AI129" s="15">
        <f>AM127</f>
        <v>3514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108</v>
      </c>
      <c r="AN129" s="15">
        <f>AG128-AG129</f>
        <v>-3308</v>
      </c>
      <c r="AO129" t="s" s="44">
        <v>76</v>
      </c>
      <c r="AP129" s="15">
        <f>AI128-AI129</f>
        <v>-3274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0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-89.466817939064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-3184.533182060940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-0.2</v>
      </c>
      <c r="AF133" t="s" s="44">
        <v>72</v>
      </c>
      <c r="AG133" s="15">
        <f>-L23</f>
        <v>-49.9</v>
      </c>
      <c r="AH133" t="s" s="44">
        <v>72</v>
      </c>
      <c r="AI133" s="15">
        <f>-L24</f>
        <v>100</v>
      </c>
      <c r="AJ133" t="s" s="44">
        <v>72</v>
      </c>
      <c r="AK133" s="15">
        <f>-L25</f>
        <v>204.8</v>
      </c>
      <c r="AL133" t="s" s="44">
        <v>72</v>
      </c>
      <c r="AM133" s="15">
        <f>-L26</f>
        <v>-4.8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0</v>
      </c>
      <c r="AF134" t="s" s="44">
        <v>72</v>
      </c>
      <c r="AG134" s="15">
        <f>-M23</f>
        <v>-716.4</v>
      </c>
      <c r="AH134" t="s" s="44">
        <v>72</v>
      </c>
      <c r="AI134" s="15">
        <f>-M24</f>
        <v>0</v>
      </c>
      <c r="AJ134" t="s" s="44">
        <v>72</v>
      </c>
      <c r="AK134" s="15">
        <f>-M25</f>
        <v>0</v>
      </c>
      <c r="AL134" t="s" s="44">
        <v>72</v>
      </c>
      <c r="AM134" s="15">
        <f>-M26</f>
        <v>0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693</v>
      </c>
      <c r="AF135" t="s" s="44">
        <f>IF(AG135&gt;0,"paid","(raised)")</f>
        <v>121</v>
      </c>
      <c r="AG135" s="15">
        <f>SUM(AM133:AM134)</f>
        <v>-4.8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-4.8</v>
      </c>
      <c r="AM135" t="s" s="48">
        <f>AN104</f>
        <v>22</v>
      </c>
      <c r="AN135" t="s" s="44">
        <v>123</v>
      </c>
      <c r="AO135" s="15">
        <f>AM134</f>
        <v>0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89.466817939064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1042.760764416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0.310835772026113</v>
      </c>
      <c r="AK136" t="s" s="44">
        <v>130</v>
      </c>
      <c r="AL136" t="s" s="44">
        <v>131</v>
      </c>
      <c r="AM136" t="s" s="44">
        <v>132</v>
      </c>
      <c r="AN136" s="15">
        <f>AH85</f>
        <v>34.8140245931335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89.4668179390648</v>
      </c>
      <c r="AG137" t="s" s="48">
        <f>AG136</f>
        <v>22</v>
      </c>
      <c r="AH137" t="s" s="44">
        <v>136</v>
      </c>
      <c r="AI137" s="15">
        <f>AF136/AF137</f>
        <v>11.6552794481437</v>
      </c>
      <c r="AJ137" t="s" s="44">
        <v>130</v>
      </c>
      <c r="AK137" t="s" s="44">
        <v>137</v>
      </c>
      <c r="AL137" t="s" s="44">
        <v>138</v>
      </c>
      <c r="AM137" s="15">
        <f>AH86</f>
        <v>13</v>
      </c>
      <c r="AN137" t="s" s="44">
        <v>139</v>
      </c>
      <c r="AO137" t="s" s="44">
        <v>140</v>
      </c>
      <c r="AP137" t="s" s="44">
        <v>141</v>
      </c>
      <c r="AQ137" s="16">
        <f>AJ94</f>
        <v>0.115374372432602</v>
      </c>
      <c r="AR137" t="s" s="44">
        <f>IF(AQ137&gt;0,"higher","lower")</f>
        <v>363</v>
      </c>
      <c r="AS137" t="s" s="44">
        <v>142</v>
      </c>
      <c r="AT137" s="15">
        <f>AH94</f>
        <v>137.191047809210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1388.7</v>
      </c>
      <c r="AE140" s="15">
        <f>AG104</f>
        <v>1719.5</v>
      </c>
      <c r="AF140" s="15">
        <f>AI104</f>
        <v>1688.9</v>
      </c>
      <c r="AG140" s="15">
        <f>AK104</f>
        <v>2028.6</v>
      </c>
      <c r="AH140" s="15">
        <f>AM104</f>
        <v>1615.6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-27.3</v>
      </c>
      <c r="AE141" s="15">
        <f>SUM(AG119:AG120)</f>
        <v>-147</v>
      </c>
      <c r="AF141" s="15">
        <f>SUM(AI119:AI120)</f>
        <v>-304.6</v>
      </c>
      <c r="AG141" s="15">
        <f>SUM(AK119:AK120)</f>
        <v>61.4</v>
      </c>
      <c r="AH141" s="15">
        <f>SUM(AM119:AM120)</f>
        <v>26.2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-0.2</v>
      </c>
      <c r="AE142" s="15">
        <f>SUM(AG133:AG134)</f>
        <v>-766.3</v>
      </c>
      <c r="AF142" s="15">
        <f>SUM(AI133:AI134)</f>
        <v>100</v>
      </c>
      <c r="AG142" s="15">
        <f>SUM(AK133:AK134)</f>
        <v>204.8</v>
      </c>
      <c r="AH142" s="15">
        <f>SUM(AM133:AM134)</f>
        <v>-4.8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-3907</v>
      </c>
      <c r="AE143" s="15">
        <f>(AG126-AG127)</f>
        <v>-3313</v>
      </c>
      <c r="AF143" s="15">
        <f>(AI126-AI127)</f>
        <v>-3916</v>
      </c>
      <c r="AG143" s="15">
        <f>(AK126-AK127)</f>
        <v>-3308</v>
      </c>
      <c r="AH143" s="15">
        <f>(AM126-AM127)</f>
        <v>-3274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137.191047809210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33" customWidth="1"/>
    <col min="2" max="28" width="10.4844" style="333" customWidth="1"/>
    <col min="29" max="29" width="18.9766" style="334" customWidth="1"/>
    <col min="30" max="48" width="9" style="334" customWidth="1"/>
    <col min="49" max="16384" width="16.3516" style="334" customWidth="1"/>
  </cols>
  <sheetData>
    <row r="1" ht="11.65" customHeight="1"/>
    <row r="2" ht="27.65" customHeight="1">
      <c r="B2" t="s" s="2">
        <v>694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695</v>
      </c>
      <c r="AA3" t="s" s="3">
        <v>19</v>
      </c>
      <c r="AB3" t="s" s="3">
        <v>20</v>
      </c>
    </row>
    <row r="4" ht="20.25" customHeight="1">
      <c r="B4" s="6">
        <v>2017</v>
      </c>
      <c r="C4" s="7">
        <v>82.3</v>
      </c>
      <c r="D4" s="8">
        <v>2.1</v>
      </c>
      <c r="E4" s="8">
        <v>0.439</v>
      </c>
      <c r="F4" s="8">
        <v>24</v>
      </c>
      <c r="G4" s="8">
        <v>119</v>
      </c>
      <c r="H4" s="8">
        <v>488</v>
      </c>
      <c r="I4" s="8">
        <v>76</v>
      </c>
      <c r="J4" s="8">
        <v>-0.779</v>
      </c>
      <c r="K4" s="8">
        <v>-0.795</v>
      </c>
      <c r="L4" s="8">
        <v>3.875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-3.875</v>
      </c>
      <c r="W4" s="9"/>
      <c r="X4" s="8">
        <f>F4-G4</f>
        <v>-95</v>
      </c>
      <c r="Y4" s="9"/>
      <c r="Z4" s="8"/>
      <c r="AA4" s="11"/>
      <c r="AB4" s="12">
        <v>13.3</v>
      </c>
    </row>
    <row r="5" ht="20.05" customHeight="1">
      <c r="B5" s="13"/>
      <c r="C5" s="14">
        <v>62.7</v>
      </c>
      <c r="D5" s="15">
        <v>2.3</v>
      </c>
      <c r="E5" s="15">
        <v>0.361</v>
      </c>
      <c r="F5" s="15">
        <v>27</v>
      </c>
      <c r="G5" s="15">
        <v>121</v>
      </c>
      <c r="H5" s="15">
        <v>492</v>
      </c>
      <c r="I5" s="15">
        <v>65</v>
      </c>
      <c r="J5" s="15">
        <v>-6.421</v>
      </c>
      <c r="K5" s="15">
        <v>-1.205</v>
      </c>
      <c r="L5" s="15">
        <v>3.875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-7.75</v>
      </c>
      <c r="W5" s="17"/>
      <c r="X5" s="15">
        <f>F5-G5</f>
        <v>-94</v>
      </c>
      <c r="Y5" s="17"/>
      <c r="Z5" s="15"/>
      <c r="AA5" s="19"/>
      <c r="AB5" s="20">
        <v>13.327</v>
      </c>
    </row>
    <row r="6" ht="20.05" customHeight="1">
      <c r="B6" s="13"/>
      <c r="C6" s="14">
        <v>91</v>
      </c>
      <c r="D6" s="15">
        <v>2.2</v>
      </c>
      <c r="E6" s="15">
        <v>0.6899999999999999</v>
      </c>
      <c r="F6" s="15">
        <v>24</v>
      </c>
      <c r="G6" s="15">
        <v>133</v>
      </c>
      <c r="H6" s="15">
        <v>505</v>
      </c>
      <c r="I6" s="15">
        <v>77.8</v>
      </c>
      <c r="J6" s="15">
        <v>-5.464</v>
      </c>
      <c r="K6" s="15">
        <v>-1.49</v>
      </c>
      <c r="L6" s="15">
        <v>3.875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-11.625</v>
      </c>
      <c r="W6" s="17"/>
      <c r="X6" s="15">
        <f>F6-G6</f>
        <v>-109</v>
      </c>
      <c r="Y6" s="17"/>
      <c r="Z6" s="15"/>
      <c r="AA6" s="19"/>
      <c r="AB6" s="20">
        <v>13.305</v>
      </c>
    </row>
    <row r="7" ht="20.05" customHeight="1">
      <c r="B7" s="13"/>
      <c r="C7" s="14">
        <v>109</v>
      </c>
      <c r="D7" s="15">
        <v>1</v>
      </c>
      <c r="E7" s="15">
        <v>-2.77</v>
      </c>
      <c r="F7" s="15">
        <v>23</v>
      </c>
      <c r="G7" s="15">
        <v>131</v>
      </c>
      <c r="H7" s="15">
        <v>497</v>
      </c>
      <c r="I7" s="15">
        <v>131.69</v>
      </c>
      <c r="J7" s="15">
        <v>2.309</v>
      </c>
      <c r="K7" s="15">
        <v>-3.13</v>
      </c>
      <c r="L7" s="15">
        <v>3.875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-15.5</v>
      </c>
      <c r="W7" s="17"/>
      <c r="X7" s="15">
        <f>F7-G7</f>
        <v>-108</v>
      </c>
      <c r="Y7" s="17"/>
      <c r="Z7" s="15"/>
      <c r="AA7" s="19"/>
      <c r="AB7" s="20">
        <v>13.557</v>
      </c>
    </row>
    <row r="8" ht="20.05" customHeight="1">
      <c r="B8" s="21">
        <v>2018</v>
      </c>
      <c r="C8" s="14">
        <v>83</v>
      </c>
      <c r="D8" s="15">
        <v>1.8</v>
      </c>
      <c r="E8" s="15">
        <v>0.6</v>
      </c>
      <c r="F8" s="15">
        <v>24</v>
      </c>
      <c r="G8" s="15">
        <v>135</v>
      </c>
      <c r="H8" s="15">
        <v>504</v>
      </c>
      <c r="I8" s="15">
        <v>82.81999999999999</v>
      </c>
      <c r="J8" s="15">
        <v>2.6</v>
      </c>
      <c r="K8" s="15">
        <v>-0.44</v>
      </c>
      <c r="L8" s="15">
        <v>0.275</v>
      </c>
      <c r="M8" s="15">
        <v>0</v>
      </c>
      <c r="N8" s="15">
        <f>SUM(C5:C8)/4</f>
        <v>86.425</v>
      </c>
      <c r="O8" s="15"/>
      <c r="P8" s="16"/>
      <c r="Q8" s="16">
        <f>(E8+D8)/C8</f>
        <v>0.0289156626506024</v>
      </c>
      <c r="R8" s="16"/>
      <c r="S8" s="17"/>
      <c r="T8" s="15">
        <f>SUM(J5:K8)/4</f>
        <v>-3.31025</v>
      </c>
      <c r="U8" s="25"/>
      <c r="V8" s="15">
        <f>-(L8+M8)+V7</f>
        <v>-15.775</v>
      </c>
      <c r="W8" s="17"/>
      <c r="X8" s="15">
        <f>F8-G8</f>
        <v>-111</v>
      </c>
      <c r="Y8" s="24"/>
      <c r="Z8" s="25">
        <v>200</v>
      </c>
      <c r="AA8" s="22"/>
      <c r="AB8" s="20">
        <v>13.761</v>
      </c>
    </row>
    <row r="9" ht="20.05" customHeight="1">
      <c r="B9" s="13"/>
      <c r="C9" s="14">
        <v>77.59999999999999</v>
      </c>
      <c r="D9" s="15">
        <v>1.7</v>
      </c>
      <c r="E9" s="15">
        <v>0.4</v>
      </c>
      <c r="F9" s="15">
        <v>23</v>
      </c>
      <c r="G9" s="15">
        <v>138</v>
      </c>
      <c r="H9" s="15">
        <v>507</v>
      </c>
      <c r="I9" s="15">
        <v>73.98</v>
      </c>
      <c r="J9" s="15">
        <v>-1.47</v>
      </c>
      <c r="K9" s="15">
        <v>-0.46</v>
      </c>
      <c r="L9" s="15">
        <v>0.275</v>
      </c>
      <c r="M9" s="15">
        <v>0</v>
      </c>
      <c r="N9" s="15">
        <f>SUM(C6:C9)/4</f>
        <v>90.15000000000001</v>
      </c>
      <c r="O9" s="15"/>
      <c r="P9" s="16"/>
      <c r="Q9" s="16">
        <f>(E9+D9)/C9</f>
        <v>0.0270618556701031</v>
      </c>
      <c r="R9" s="16"/>
      <c r="S9" s="17"/>
      <c r="T9" s="15">
        <f>SUM(J6:K9)/4</f>
        <v>-1.88625</v>
      </c>
      <c r="U9" s="25"/>
      <c r="V9" s="15">
        <f>-(L9+M9)+V8</f>
        <v>-16.05</v>
      </c>
      <c r="W9" s="17"/>
      <c r="X9" s="15">
        <f>F13-G9</f>
        <v>-131</v>
      </c>
      <c r="Y9" s="24"/>
      <c r="Z9" s="25">
        <v>193</v>
      </c>
      <c r="AA9" s="22"/>
      <c r="AB9" s="20">
        <v>14</v>
      </c>
    </row>
    <row r="10" ht="20.05" customHeight="1">
      <c r="B10" s="13"/>
      <c r="C10" s="14">
        <v>77.90000000000001</v>
      </c>
      <c r="D10" s="15">
        <v>1.7</v>
      </c>
      <c r="E10" s="15">
        <v>-0.3</v>
      </c>
      <c r="F10" s="15">
        <v>21</v>
      </c>
      <c r="G10" s="15">
        <v>159</v>
      </c>
      <c r="H10" s="15">
        <v>528</v>
      </c>
      <c r="I10" s="15">
        <v>67.56</v>
      </c>
      <c r="J10" s="15">
        <v>-1.6</v>
      </c>
      <c r="K10" s="15">
        <v>-2.1</v>
      </c>
      <c r="L10" s="15">
        <v>0.275</v>
      </c>
      <c r="M10" s="15">
        <v>0</v>
      </c>
      <c r="N10" s="15">
        <f>SUM(C7:C10)/4</f>
        <v>86.875</v>
      </c>
      <c r="O10" s="15"/>
      <c r="P10" s="16">
        <f>C10/C9-1</f>
        <v>0.0038659793814433</v>
      </c>
      <c r="Q10" s="16">
        <f>(E10+D10)/C10</f>
        <v>0.0179717586649551</v>
      </c>
      <c r="R10" s="16"/>
      <c r="S10" s="17"/>
      <c r="T10" s="15">
        <f>SUM(J7:K10)/4</f>
        <v>-1.07275</v>
      </c>
      <c r="U10" s="25"/>
      <c r="V10" s="15">
        <f>-(L10+M10)+V9</f>
        <v>-16.325</v>
      </c>
      <c r="W10" s="17"/>
      <c r="X10" s="15">
        <f>F10-G10</f>
        <v>-138</v>
      </c>
      <c r="Y10" s="24"/>
      <c r="Z10" s="25">
        <v>180</v>
      </c>
      <c r="AA10" s="22"/>
      <c r="AB10" s="20">
        <v>14.902</v>
      </c>
    </row>
    <row r="11" ht="20.05" customHeight="1">
      <c r="B11" s="13"/>
      <c r="C11" s="14">
        <v>62</v>
      </c>
      <c r="D11" s="15">
        <v>2.4</v>
      </c>
      <c r="E11" s="15">
        <v>-2.9</v>
      </c>
      <c r="F11" s="15">
        <v>16</v>
      </c>
      <c r="G11" s="15">
        <v>144</v>
      </c>
      <c r="H11" s="15">
        <v>512</v>
      </c>
      <c r="I11" s="15">
        <v>94.94</v>
      </c>
      <c r="J11" s="15">
        <v>-5.28</v>
      </c>
      <c r="K11" s="15">
        <v>-0.36</v>
      </c>
      <c r="L11" s="15">
        <v>0.275</v>
      </c>
      <c r="M11" s="15">
        <v>0</v>
      </c>
      <c r="N11" s="15">
        <f>SUM(C8:C11)/4</f>
        <v>75.125</v>
      </c>
      <c r="O11" s="15"/>
      <c r="P11" s="16">
        <f>C11/C10-1</f>
        <v>-0.20410783055199</v>
      </c>
      <c r="Q11" s="16">
        <f>(E11+D11)/C11</f>
        <v>-0.00806451612903226</v>
      </c>
      <c r="R11" s="16"/>
      <c r="S11" s="17"/>
      <c r="T11" s="15">
        <f>SUM(J8:K11)/4</f>
        <v>-2.2775</v>
      </c>
      <c r="U11" s="25"/>
      <c r="V11" s="15">
        <f>-(L11+M11)+V10</f>
        <v>-16.6</v>
      </c>
      <c r="W11" s="17"/>
      <c r="X11" s="15">
        <f>F11-G11</f>
        <v>-128</v>
      </c>
      <c r="Y11" s="24"/>
      <c r="Z11" s="25">
        <v>179</v>
      </c>
      <c r="AA11" s="22"/>
      <c r="AB11" s="20">
        <v>14.38</v>
      </c>
    </row>
    <row r="12" ht="20.05" customHeight="1">
      <c r="B12" s="21">
        <v>2019</v>
      </c>
      <c r="C12" s="14">
        <v>63</v>
      </c>
      <c r="D12" s="15">
        <v>1.6</v>
      </c>
      <c r="E12" s="15">
        <v>-2.4</v>
      </c>
      <c r="F12" s="15">
        <v>13</v>
      </c>
      <c r="G12" s="15">
        <v>146</v>
      </c>
      <c r="H12" s="15">
        <v>511</v>
      </c>
      <c r="I12" s="15">
        <v>67.15000000000001</v>
      </c>
      <c r="J12" s="15">
        <v>-0.17</v>
      </c>
      <c r="K12" s="15">
        <v>-0.2</v>
      </c>
      <c r="L12" s="15">
        <v>-0.0225</v>
      </c>
      <c r="M12" s="15">
        <v>0</v>
      </c>
      <c r="N12" s="15">
        <f>SUM(C9:C12)/4</f>
        <v>70.125</v>
      </c>
      <c r="O12" s="23"/>
      <c r="P12" s="16">
        <f>C12/C11-1</f>
        <v>0.0161290322580645</v>
      </c>
      <c r="Q12" s="16">
        <f>(E12+D12)/C12</f>
        <v>-0.0126984126984127</v>
      </c>
      <c r="R12" s="16">
        <f>AVERAGE(Q9:Q12)</f>
        <v>0.00606767137690331</v>
      </c>
      <c r="S12" s="17"/>
      <c r="T12" s="15">
        <f>SUM(J9:K12)/4</f>
        <v>-2.91</v>
      </c>
      <c r="U12" s="25"/>
      <c r="V12" s="15">
        <f>-(L12+M12)+V11</f>
        <v>-16.5775</v>
      </c>
      <c r="W12" s="17"/>
      <c r="X12" s="15">
        <f>F12-G12</f>
        <v>-133</v>
      </c>
      <c r="Y12" s="24"/>
      <c r="Z12" s="25">
        <v>168</v>
      </c>
      <c r="AA12" s="22"/>
      <c r="AB12" s="20">
        <v>14.24</v>
      </c>
    </row>
    <row r="13" ht="20.05" customHeight="1">
      <c r="B13" s="13"/>
      <c r="C13" s="14">
        <v>75</v>
      </c>
      <c r="D13" s="15">
        <v>1.5</v>
      </c>
      <c r="E13" s="15">
        <v>4.6</v>
      </c>
      <c r="F13" s="15">
        <v>7</v>
      </c>
      <c r="G13" s="15">
        <v>142</v>
      </c>
      <c r="H13" s="15">
        <v>512</v>
      </c>
      <c r="I13" s="15">
        <v>54.67</v>
      </c>
      <c r="J13" s="15">
        <v>-8.75</v>
      </c>
      <c r="K13" s="15">
        <v>0.6</v>
      </c>
      <c r="L13" s="15">
        <v>-0.0225</v>
      </c>
      <c r="M13" s="15">
        <v>0</v>
      </c>
      <c r="N13" s="15">
        <f>SUM(C10:C13)/4</f>
        <v>69.47499999999999</v>
      </c>
      <c r="O13" s="23"/>
      <c r="P13" s="16">
        <f>C13/C12-1</f>
        <v>0.19047619047619</v>
      </c>
      <c r="Q13" s="16">
        <f>(E13+D13)/C13</f>
        <v>0.0813333333333333</v>
      </c>
      <c r="R13" s="16">
        <f>AVERAGE(Q10:Q13)</f>
        <v>0.0196355407927109</v>
      </c>
      <c r="S13" s="17"/>
      <c r="T13" s="15">
        <f>SUM(J10:K13)/4</f>
        <v>-4.465</v>
      </c>
      <c r="U13" s="25"/>
      <c r="V13" s="15">
        <f>-(L13+M13)+V12</f>
        <v>-16.555</v>
      </c>
      <c r="W13" s="17"/>
      <c r="X13" s="15">
        <f>F13-G13</f>
        <v>-135</v>
      </c>
      <c r="Y13" s="24"/>
      <c r="Z13" s="25">
        <v>162</v>
      </c>
      <c r="AA13" s="24"/>
      <c r="AB13" s="15">
        <v>14.127</v>
      </c>
    </row>
    <row r="14" ht="20.05" customHeight="1">
      <c r="B14" s="13"/>
      <c r="C14" s="14">
        <v>84.3</v>
      </c>
      <c r="D14" s="15">
        <v>1.5</v>
      </c>
      <c r="E14" s="15">
        <v>0.1</v>
      </c>
      <c r="F14" s="15">
        <v>9</v>
      </c>
      <c r="G14" s="15">
        <v>142</v>
      </c>
      <c r="H14" s="15">
        <v>511</v>
      </c>
      <c r="I14" s="15">
        <v>85.08</v>
      </c>
      <c r="J14" s="15">
        <v>2.25</v>
      </c>
      <c r="K14" s="15">
        <v>0.06</v>
      </c>
      <c r="L14" s="15">
        <v>-0.0225</v>
      </c>
      <c r="M14" s="15">
        <v>0</v>
      </c>
      <c r="N14" s="15">
        <f>SUM(C11:C14)/4</f>
        <v>71.075</v>
      </c>
      <c r="O14" s="23"/>
      <c r="P14" s="16">
        <f>C14/C13-1</f>
        <v>0.124</v>
      </c>
      <c r="Q14" s="16">
        <f>(E14+D14)/C14</f>
        <v>0.0189798339264531</v>
      </c>
      <c r="R14" s="16">
        <f>AVERAGE(Q11:Q14)</f>
        <v>0.0198875596080854</v>
      </c>
      <c r="S14" s="17"/>
      <c r="T14" s="15">
        <f>SUM(J11:K14)/4</f>
        <v>-2.9625</v>
      </c>
      <c r="U14" s="25"/>
      <c r="V14" s="15">
        <f>-(L14+M14)+V13</f>
        <v>-16.5325</v>
      </c>
      <c r="W14" s="17"/>
      <c r="X14" s="15">
        <f>F14-G14</f>
        <v>-133</v>
      </c>
      <c r="Y14" s="24"/>
      <c r="Z14" s="25">
        <v>157</v>
      </c>
      <c r="AA14" s="24"/>
      <c r="AB14" s="15">
        <v>14.195</v>
      </c>
    </row>
    <row r="15" ht="20.05" customHeight="1">
      <c r="B15" s="13"/>
      <c r="C15" s="14">
        <v>82.92400000000001</v>
      </c>
      <c r="D15" s="15">
        <v>6.1</v>
      </c>
      <c r="E15" s="15">
        <v>-2.169</v>
      </c>
      <c r="F15" s="15">
        <v>10</v>
      </c>
      <c r="G15" s="15">
        <v>164</v>
      </c>
      <c r="H15" s="15">
        <v>533</v>
      </c>
      <c r="I15" s="15">
        <v>76.77</v>
      </c>
      <c r="J15" s="15">
        <v>0.15</v>
      </c>
      <c r="K15" s="15">
        <v>0.214</v>
      </c>
      <c r="L15" s="15">
        <v>-0.0225</v>
      </c>
      <c r="M15" s="15">
        <v>0</v>
      </c>
      <c r="N15" s="15">
        <f>SUM(C12:C15)/4</f>
        <v>76.306</v>
      </c>
      <c r="O15" s="15"/>
      <c r="P15" s="16">
        <f>C15/C14-1</f>
        <v>-0.0163226571767497</v>
      </c>
      <c r="Q15" s="16">
        <f>(E15+D15)/C15</f>
        <v>0.0474048526361488</v>
      </c>
      <c r="R15" s="16">
        <f>AVERAGE(Q12:Q15)</f>
        <v>0.0337549017993806</v>
      </c>
      <c r="S15" s="17"/>
      <c r="T15" s="15">
        <f>SUM(J12:K15)/4</f>
        <v>-1.4615</v>
      </c>
      <c r="U15" s="25"/>
      <c r="V15" s="15">
        <f>-(L15+M15)+V14</f>
        <v>-16.51</v>
      </c>
      <c r="W15" s="17"/>
      <c r="X15" s="15">
        <f>F15-G15</f>
        <v>-154</v>
      </c>
      <c r="Y15" s="24"/>
      <c r="Z15" s="25">
        <v>153</v>
      </c>
      <c r="AA15" s="24"/>
      <c r="AB15" s="15">
        <v>13.882</v>
      </c>
    </row>
    <row r="16" ht="20.05" customHeight="1">
      <c r="B16" s="21">
        <v>2020</v>
      </c>
      <c r="C16" s="14">
        <v>68.096</v>
      </c>
      <c r="D16" s="15">
        <v>2.5</v>
      </c>
      <c r="E16" s="15">
        <v>1.245</v>
      </c>
      <c r="F16" s="15">
        <v>12</v>
      </c>
      <c r="G16" s="15">
        <v>159</v>
      </c>
      <c r="H16" s="15">
        <v>528</v>
      </c>
      <c r="I16" s="15">
        <v>85.55</v>
      </c>
      <c r="J16" s="15">
        <v>-0.438</v>
      </c>
      <c r="K16" s="15">
        <v>-0.841</v>
      </c>
      <c r="L16" s="15">
        <v>6.5</v>
      </c>
      <c r="M16" s="15">
        <v>0</v>
      </c>
      <c r="N16" s="15">
        <f>SUM(C13:C16)/4</f>
        <v>77.58</v>
      </c>
      <c r="O16" s="23">
        <v>75</v>
      </c>
      <c r="P16" s="16">
        <f>C16/C15-1</f>
        <v>-0.178814336018523</v>
      </c>
      <c r="Q16" s="16">
        <f>(E16+D16)/C16</f>
        <v>0.0549958881578947</v>
      </c>
      <c r="R16" s="16">
        <f>AVERAGE(Q13:Q16)</f>
        <v>0.0506784770134575</v>
      </c>
      <c r="S16" s="17"/>
      <c r="T16" s="15">
        <f>SUM(J13:K16)/4</f>
        <v>-1.68875</v>
      </c>
      <c r="U16" s="25"/>
      <c r="V16" s="15">
        <f>-(L16+M16)+V15</f>
        <v>-23.01</v>
      </c>
      <c r="W16" s="17"/>
      <c r="X16" s="15">
        <f>F16-G16</f>
        <v>-147</v>
      </c>
      <c r="Y16" s="24"/>
      <c r="Z16" s="25">
        <v>129</v>
      </c>
      <c r="AA16" s="15"/>
      <c r="AB16" s="15">
        <v>16.31</v>
      </c>
    </row>
    <row r="17" ht="20.05" customHeight="1">
      <c r="B17" s="13"/>
      <c r="C17" s="14">
        <v>74.991</v>
      </c>
      <c r="D17" s="15">
        <v>1.7</v>
      </c>
      <c r="E17" s="15">
        <v>0.208</v>
      </c>
      <c r="F17" s="15">
        <v>7</v>
      </c>
      <c r="G17" s="15">
        <v>170</v>
      </c>
      <c r="H17" s="15">
        <v>540</v>
      </c>
      <c r="I17" s="15">
        <v>66.67</v>
      </c>
      <c r="J17" s="15">
        <v>-0.862</v>
      </c>
      <c r="K17" s="15">
        <v>0.251</v>
      </c>
      <c r="L17" s="15">
        <v>6.5</v>
      </c>
      <c r="M17" s="15">
        <v>0</v>
      </c>
      <c r="N17" s="15">
        <f>SUM(C14:C17)/4</f>
        <v>77.57774999999999</v>
      </c>
      <c r="O17" s="15">
        <v>71.25</v>
      </c>
      <c r="P17" s="16">
        <f>C17/C16-1</f>
        <v>0.101254111842105</v>
      </c>
      <c r="Q17" s="16">
        <f>(E17+D17)/C17</f>
        <v>0.02544305316638</v>
      </c>
      <c r="R17" s="16">
        <f>AVERAGE(Q14:Q17)</f>
        <v>0.0367059069717192</v>
      </c>
      <c r="S17" s="17"/>
      <c r="T17" s="25">
        <f>SUM(J14:K17)/4</f>
        <v>0.196</v>
      </c>
      <c r="U17" s="25"/>
      <c r="V17" s="15">
        <f>-(L17+M17)+V16</f>
        <v>-29.51</v>
      </c>
      <c r="W17" s="17"/>
      <c r="X17" s="15">
        <f>F17-G17</f>
        <v>-163</v>
      </c>
      <c r="Y17" s="24"/>
      <c r="Z17" s="25">
        <v>128</v>
      </c>
      <c r="AA17" s="15"/>
      <c r="AB17" s="15">
        <v>14.255</v>
      </c>
    </row>
    <row r="18" ht="20.05" customHeight="1">
      <c r="B18" s="13"/>
      <c r="C18" s="14">
        <v>79.181</v>
      </c>
      <c r="D18" s="15">
        <v>3.2</v>
      </c>
      <c r="E18" s="15">
        <v>-0.851</v>
      </c>
      <c r="F18" s="15">
        <v>24</v>
      </c>
      <c r="G18" s="15">
        <v>197</v>
      </c>
      <c r="H18" s="15">
        <v>566</v>
      </c>
      <c r="I18" s="15">
        <v>79.56</v>
      </c>
      <c r="J18" s="15">
        <v>-8</v>
      </c>
      <c r="K18" s="15">
        <v>-0.66</v>
      </c>
      <c r="L18" s="15">
        <v>6.5</v>
      </c>
      <c r="M18" s="15">
        <v>0</v>
      </c>
      <c r="N18" s="15">
        <f>SUM(C15:C18)/4</f>
        <v>76.298</v>
      </c>
      <c r="O18" s="15">
        <v>72.405</v>
      </c>
      <c r="P18" s="16">
        <f>C18/C17-1</f>
        <v>0.0558733714712432</v>
      </c>
      <c r="Q18" s="16">
        <f>(E18+D18)/C18</f>
        <v>0.0296662078023768</v>
      </c>
      <c r="R18" s="16">
        <f>AVERAGE(Q15:Q18)</f>
        <v>0.0393775004407001</v>
      </c>
      <c r="S18" s="17"/>
      <c r="T18" s="25">
        <f>SUM(J15:K18)/4</f>
        <v>-2.5465</v>
      </c>
      <c r="U18" s="25"/>
      <c r="V18" s="15">
        <f>-(L18+M18)+V17</f>
        <v>-36.01</v>
      </c>
      <c r="W18" s="17"/>
      <c r="X18" s="15">
        <f>F18-G18</f>
        <v>-173</v>
      </c>
      <c r="Y18" s="24"/>
      <c r="Z18" s="15">
        <v>125</v>
      </c>
      <c r="AA18" s="15"/>
      <c r="AB18" s="15">
        <v>14.79</v>
      </c>
    </row>
    <row r="19" ht="20.05" customHeight="1">
      <c r="B19" s="13"/>
      <c r="C19" s="14">
        <v>96.13200000000001</v>
      </c>
      <c r="D19" s="15">
        <v>3</v>
      </c>
      <c r="E19" s="15">
        <v>-7.402</v>
      </c>
      <c r="F19" s="15">
        <v>12</v>
      </c>
      <c r="G19" s="15">
        <v>218</v>
      </c>
      <c r="H19" s="15">
        <v>560</v>
      </c>
      <c r="I19" s="15">
        <v>66.72</v>
      </c>
      <c r="J19" s="15">
        <v>-8.9</v>
      </c>
      <c r="K19" s="15">
        <v>-4.25</v>
      </c>
      <c r="L19" s="15">
        <v>6.5</v>
      </c>
      <c r="M19" s="15">
        <v>0</v>
      </c>
      <c r="N19" s="15">
        <f>SUM(C16:C19)/4</f>
        <v>79.59999999999999</v>
      </c>
      <c r="O19" s="15">
        <v>74.5900125</v>
      </c>
      <c r="P19" s="16">
        <f>C19/C18-1</f>
        <v>0.214079135146058</v>
      </c>
      <c r="Q19" s="16">
        <f>(E19+D19)/C19</f>
        <v>-0.0457912037614946</v>
      </c>
      <c r="R19" s="16">
        <f>AVERAGE(Q16:Q19)</f>
        <v>0.0160784863412892</v>
      </c>
      <c r="S19" s="17"/>
      <c r="T19" s="25">
        <f>SUM(J16:K19)/4</f>
        <v>-5.925</v>
      </c>
      <c r="U19" s="25"/>
      <c r="V19" s="15">
        <f>-(L19+M19)+V18</f>
        <v>-42.51</v>
      </c>
      <c r="W19" s="17"/>
      <c r="X19" s="15">
        <f>F19-G19</f>
        <v>-206</v>
      </c>
      <c r="Y19" s="24"/>
      <c r="Z19" s="15">
        <v>169</v>
      </c>
      <c r="AA19" s="17"/>
      <c r="AB19" s="15">
        <v>14.1</v>
      </c>
    </row>
    <row r="20" ht="20.05" customHeight="1">
      <c r="B20" s="21">
        <v>2021</v>
      </c>
      <c r="C20" s="14">
        <v>88.59999999999999</v>
      </c>
      <c r="D20" s="15">
        <v>1.425</v>
      </c>
      <c r="E20" s="15">
        <v>1.9</v>
      </c>
      <c r="F20" s="15">
        <v>7</v>
      </c>
      <c r="G20" s="15">
        <v>217</v>
      </c>
      <c r="H20" s="15">
        <v>561</v>
      </c>
      <c r="I20" s="15">
        <v>93.5</v>
      </c>
      <c r="J20" s="15">
        <v>-5</v>
      </c>
      <c r="K20" s="15">
        <v>-0.3</v>
      </c>
      <c r="L20" s="15">
        <v>0.74</v>
      </c>
      <c r="M20" s="15">
        <v>0</v>
      </c>
      <c r="N20" s="15">
        <f>SUM(C17:C20)/4</f>
        <v>84.726</v>
      </c>
      <c r="O20" s="15">
        <v>76.89072525</v>
      </c>
      <c r="P20" s="16">
        <f>C20/C19-1</f>
        <v>-0.07835060125660551</v>
      </c>
      <c r="Q20" s="16">
        <f>(E20+D20)/C20</f>
        <v>0.0375282167042889</v>
      </c>
      <c r="R20" s="16">
        <f>AVERAGE(Q17:Q20)</f>
        <v>0.0117115684778878</v>
      </c>
      <c r="S20" s="17"/>
      <c r="T20" s="25">
        <f>SUM(J17:K20)/4</f>
        <v>-6.93025</v>
      </c>
      <c r="U20" s="25"/>
      <c r="V20" s="15">
        <f>-(L20+M20)+V19</f>
        <v>-43.25</v>
      </c>
      <c r="W20" s="17"/>
      <c r="X20" s="15">
        <f>F20-G20</f>
        <v>-210</v>
      </c>
      <c r="Y20" s="15"/>
      <c r="Z20" s="15">
        <v>216</v>
      </c>
      <c r="AA20" s="15"/>
      <c r="AB20" s="15">
        <v>14.606</v>
      </c>
    </row>
    <row r="21" ht="20.05" customHeight="1">
      <c r="B21" s="13"/>
      <c r="C21" s="14">
        <v>87.7</v>
      </c>
      <c r="D21" s="15">
        <v>1.425</v>
      </c>
      <c r="E21" s="15">
        <v>0.4</v>
      </c>
      <c r="F21" s="15">
        <v>6</v>
      </c>
      <c r="G21" s="15">
        <v>222</v>
      </c>
      <c r="H21" s="15">
        <v>567</v>
      </c>
      <c r="I21" s="15">
        <v>70.3</v>
      </c>
      <c r="J21" s="15">
        <v>-4.5</v>
      </c>
      <c r="K21" s="15">
        <v>0.2</v>
      </c>
      <c r="L21" s="15">
        <v>3.49</v>
      </c>
      <c r="M21" s="15">
        <v>0</v>
      </c>
      <c r="N21" s="15">
        <f>SUM(C18:C21)/4</f>
        <v>87.90325</v>
      </c>
      <c r="O21" s="15">
        <v>85.31822525</v>
      </c>
      <c r="P21" s="16">
        <f>C21/C20-1</f>
        <v>-0.0101580135440181</v>
      </c>
      <c r="Q21" s="16">
        <f>(E21+D21)/C21</f>
        <v>0.0208095781071836</v>
      </c>
      <c r="R21" s="16">
        <f>AVERAGE(Q18:Q21)</f>
        <v>0.0105531997130887</v>
      </c>
      <c r="S21" s="17"/>
      <c r="T21" s="25">
        <f>SUM(J18:K21)/4</f>
        <v>-7.8525</v>
      </c>
      <c r="U21" s="25"/>
      <c r="V21" s="15">
        <f>-(L21+M21)+V20</f>
        <v>-46.74</v>
      </c>
      <c r="W21" s="17"/>
      <c r="X21" s="15">
        <f>F21-G21</f>
        <v>-216</v>
      </c>
      <c r="Y21" s="15"/>
      <c r="Z21" s="15">
        <v>342</v>
      </c>
      <c r="AA21" s="15"/>
      <c r="AB21" s="15">
        <v>14.45</v>
      </c>
    </row>
    <row r="22" ht="20.05" customHeight="1">
      <c r="B22" s="13"/>
      <c r="C22" s="14">
        <v>79.59999999999999</v>
      </c>
      <c r="D22" s="15">
        <v>1.425</v>
      </c>
      <c r="E22" s="15">
        <v>-2</v>
      </c>
      <c r="F22" s="15">
        <v>5</v>
      </c>
      <c r="G22" s="15">
        <v>226</v>
      </c>
      <c r="H22" s="15">
        <v>569</v>
      </c>
      <c r="I22" s="15">
        <v>100.2</v>
      </c>
      <c r="J22" s="15">
        <v>-1.9</v>
      </c>
      <c r="K22" s="15">
        <v>-3</v>
      </c>
      <c r="L22" s="15">
        <v>2.81</v>
      </c>
      <c r="M22" s="15">
        <v>0</v>
      </c>
      <c r="N22" s="15">
        <f>SUM(C19:C22)/4</f>
        <v>88.008</v>
      </c>
      <c r="O22" s="15">
        <v>87.83722525</v>
      </c>
      <c r="P22" s="16">
        <f>C22/C21-1</f>
        <v>-0.09236031927023949</v>
      </c>
      <c r="Q22" s="16">
        <f>(E22+D22)/C22</f>
        <v>-0.00722361809045226</v>
      </c>
      <c r="R22" s="16">
        <f>AVERAGE(Q19:Q22)</f>
        <v>0.00133074323988141</v>
      </c>
      <c r="S22" s="17"/>
      <c r="T22" s="25">
        <f>SUM(J19:K22)/4</f>
        <v>-6.9125</v>
      </c>
      <c r="U22" s="25"/>
      <c r="V22" s="15">
        <f>-(L22+M22)+V21</f>
        <v>-49.55</v>
      </c>
      <c r="W22" s="17"/>
      <c r="X22" s="15">
        <f>F22-G22</f>
        <v>-221</v>
      </c>
      <c r="Y22" s="15"/>
      <c r="Z22" s="15">
        <v>300</v>
      </c>
      <c r="AA22" s="15"/>
      <c r="AB22" s="15">
        <v>14.328</v>
      </c>
    </row>
    <row r="23" ht="20.05" customHeight="1">
      <c r="B23" s="13"/>
      <c r="C23" s="14">
        <v>70.90000000000001</v>
      </c>
      <c r="D23" s="15">
        <v>1.425</v>
      </c>
      <c r="E23" s="15">
        <v>0.1</v>
      </c>
      <c r="F23" s="15">
        <v>9</v>
      </c>
      <c r="G23" s="15">
        <v>235</v>
      </c>
      <c r="H23" s="15">
        <v>578</v>
      </c>
      <c r="I23" s="15">
        <v>65.09999999999999</v>
      </c>
      <c r="J23" s="15">
        <v>15.3</v>
      </c>
      <c r="K23" s="15">
        <v>-3.5</v>
      </c>
      <c r="L23" s="15">
        <v>-0.64</v>
      </c>
      <c r="M23" s="15">
        <v>0</v>
      </c>
      <c r="N23" s="15">
        <f>SUM(C20:C23)/4</f>
        <v>81.7</v>
      </c>
      <c r="O23" s="15">
        <v>88.94221275</v>
      </c>
      <c r="P23" s="16">
        <f>C23/C22-1</f>
        <v>-0.10929648241206</v>
      </c>
      <c r="Q23" s="16">
        <f>(E23+D23)/C23</f>
        <v>0.021509167842031</v>
      </c>
      <c r="R23" s="16">
        <f>AVERAGE(Q20:Q23)</f>
        <v>0.0181558361407628</v>
      </c>
      <c r="S23" s="17"/>
      <c r="T23" s="25">
        <f>SUM(J20:K23)/4</f>
        <v>-0.675</v>
      </c>
      <c r="U23" s="25"/>
      <c r="V23" s="15">
        <f>-(L23+M23)+V22</f>
        <v>-48.91</v>
      </c>
      <c r="W23" s="17"/>
      <c r="X23" s="15">
        <f>F23-G23</f>
        <v>-226</v>
      </c>
      <c r="Y23" s="15"/>
      <c r="Z23" s="15">
        <v>276</v>
      </c>
      <c r="AA23" s="15"/>
      <c r="AB23" s="15">
        <v>14.275</v>
      </c>
    </row>
    <row r="24" ht="20.05" customHeight="1">
      <c r="B24" s="21">
        <v>2022</v>
      </c>
      <c r="C24" s="14">
        <v>75.2</v>
      </c>
      <c r="D24" s="15">
        <v>1.3</v>
      </c>
      <c r="E24" s="15">
        <v>0.3</v>
      </c>
      <c r="F24" s="15">
        <v>13</v>
      </c>
      <c r="G24" s="15">
        <v>260</v>
      </c>
      <c r="H24" s="15">
        <v>604</v>
      </c>
      <c r="I24" s="15">
        <v>83.40000000000001</v>
      </c>
      <c r="J24" s="15">
        <v>-11.4</v>
      </c>
      <c r="K24" s="15">
        <v>-7.3</v>
      </c>
      <c r="L24" s="15">
        <v>23.2</v>
      </c>
      <c r="M24" s="15">
        <v>0</v>
      </c>
      <c r="N24" s="15">
        <f>SUM(C21:C24)/4</f>
        <v>78.34999999999999</v>
      </c>
      <c r="O24" s="15">
        <v>89.6315</v>
      </c>
      <c r="P24" s="16">
        <f>C24/C23-1</f>
        <v>0.0606488011283498</v>
      </c>
      <c r="Q24" s="16">
        <f>(E24+D24)/C24</f>
        <v>0.0212765957446809</v>
      </c>
      <c r="R24" s="16">
        <f>AVERAGE(Q21:Q24)</f>
        <v>0.0140929309008608</v>
      </c>
      <c r="S24" s="35"/>
      <c r="T24" s="25">
        <f>SUM(J21:K24)/4</f>
        <v>-4.025</v>
      </c>
      <c r="U24" s="25">
        <v>2.20472931660967</v>
      </c>
      <c r="V24" s="15">
        <f>-(L24+M24)+V23</f>
        <v>-72.11</v>
      </c>
      <c r="W24" s="15"/>
      <c r="X24" s="15">
        <f>F24-G24</f>
        <v>-247</v>
      </c>
      <c r="Y24" s="25">
        <v>-213.535652196731</v>
      </c>
      <c r="Z24" s="15">
        <v>200</v>
      </c>
      <c r="AA24" s="23">
        <v>228.788936152664</v>
      </c>
      <c r="AB24" s="15">
        <v>14.327</v>
      </c>
    </row>
    <row r="25" ht="20.05" customHeight="1">
      <c r="B25" s="13"/>
      <c r="C25" s="14">
        <v>91.7</v>
      </c>
      <c r="D25" s="15">
        <v>2.8</v>
      </c>
      <c r="E25" s="15">
        <v>-9.5</v>
      </c>
      <c r="F25" s="15">
        <v>5</v>
      </c>
      <c r="G25" s="15">
        <v>260</v>
      </c>
      <c r="H25" s="15">
        <v>594</v>
      </c>
      <c r="I25" s="15">
        <v>106.9</v>
      </c>
      <c r="J25" s="15">
        <v>-21.2</v>
      </c>
      <c r="K25" s="15">
        <v>-0.2</v>
      </c>
      <c r="L25" s="15">
        <v>13.3</v>
      </c>
      <c r="M25" s="15">
        <v>0</v>
      </c>
      <c r="N25" s="15">
        <f>SUM(C22:C25)/4</f>
        <v>79.34999999999999</v>
      </c>
      <c r="O25" s="15">
        <v>84.8185</v>
      </c>
      <c r="P25" s="16">
        <f>C25/C24-1</f>
        <v>0.219414893617021</v>
      </c>
      <c r="Q25" s="16">
        <f>(E25+D25)/C25</f>
        <v>-0.0730643402399128</v>
      </c>
      <c r="R25" s="16">
        <f>AVERAGE(Q22:Q25)</f>
        <v>-0.009375548685913291</v>
      </c>
      <c r="S25" s="35"/>
      <c r="T25" s="25">
        <f>SUM(J22:K25)/4</f>
        <v>-8.300000000000001</v>
      </c>
      <c r="U25" s="25">
        <v>1.98074624</v>
      </c>
      <c r="V25" s="15">
        <f>-(L25+M25)+V24</f>
        <v>-85.41</v>
      </c>
      <c r="W25" s="15"/>
      <c r="X25" s="15">
        <f>F25-G25</f>
        <v>-255</v>
      </c>
      <c r="Y25" s="25">
        <v>-239.19096576</v>
      </c>
      <c r="Z25" s="15">
        <v>226</v>
      </c>
      <c r="AA25" s="23">
        <v>228.478550197679</v>
      </c>
      <c r="AB25" s="15">
        <v>14.66</v>
      </c>
    </row>
    <row r="26" ht="20.05" customHeight="1">
      <c r="B26" s="13"/>
      <c r="C26" s="14">
        <v>51</v>
      </c>
      <c r="D26" s="15">
        <v>2.9</v>
      </c>
      <c r="E26" s="15">
        <v>-8.699999999999999</v>
      </c>
      <c r="F26" s="15">
        <v>8</v>
      </c>
      <c r="G26" s="15">
        <v>275</v>
      </c>
      <c r="H26" s="15">
        <v>601</v>
      </c>
      <c r="I26" s="15">
        <v>39</v>
      </c>
      <c r="J26" s="15">
        <v>-3.9</v>
      </c>
      <c r="K26" s="15">
        <v>-0.2</v>
      </c>
      <c r="L26" s="15">
        <v>6.2</v>
      </c>
      <c r="M26" s="15">
        <v>0</v>
      </c>
      <c r="N26" s="15">
        <f>SUM(C23:C26)/4</f>
        <v>72.2</v>
      </c>
      <c r="O26" s="15">
        <v>86.71550000000001</v>
      </c>
      <c r="P26" s="16">
        <f>C26/C25-1</f>
        <v>-0.443838604143948</v>
      </c>
      <c r="Q26" s="16">
        <f>(E26+D26)/C26</f>
        <v>-0.113725490196078</v>
      </c>
      <c r="R26" s="16">
        <f>AVERAGE(Q23:Q26)</f>
        <v>-0.0360010167123197</v>
      </c>
      <c r="S26" s="35">
        <f>S27</f>
        <v>0.0105531997130887</v>
      </c>
      <c r="T26" s="25">
        <f>SUM(J23:K26)/4</f>
        <v>-8.1</v>
      </c>
      <c r="U26" s="25">
        <v>1.1442290432571</v>
      </c>
      <c r="V26" s="15">
        <f>-(L26+M26)+V25</f>
        <v>-91.61</v>
      </c>
      <c r="W26" s="15">
        <f>W27</f>
        <v>-88.2979324761387</v>
      </c>
      <c r="X26" s="15">
        <f>F26-G26</f>
        <v>-267</v>
      </c>
      <c r="Y26" s="25">
        <v>-250.423083826972</v>
      </c>
      <c r="Z26" s="15">
        <v>388</v>
      </c>
      <c r="AA26" s="23">
        <v>128.324751243713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59.50961775</v>
      </c>
      <c r="P27" s="17"/>
      <c r="Q27" s="17"/>
      <c r="R27" s="17"/>
      <c r="S27" s="35">
        <f>AE53</f>
        <v>0.0105531997130887</v>
      </c>
      <c r="T27" s="25"/>
      <c r="U27" s="15">
        <f>SUM(AE55:AH55)/4</f>
        <v>0.828016880965318</v>
      </c>
      <c r="V27" s="17"/>
      <c r="W27" s="15">
        <f>-SUM(AE76:AH76)+V26</f>
        <v>-88.2979324761387</v>
      </c>
      <c r="X27" s="26"/>
      <c r="Y27" s="15">
        <f>AH75</f>
        <v>-263.687932476139</v>
      </c>
      <c r="Z27" s="15">
        <v>660</v>
      </c>
      <c r="AA27" s="23">
        <v>228.478550197679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883.293</v>
      </c>
      <c r="O28" s="15">
        <f>SUM(O16:O26)</f>
        <v>893.398901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386.923776152019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695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-0.06826784795265931</v>
      </c>
      <c r="AF49" s="35"/>
      <c r="AG49" s="35"/>
      <c r="AH49" s="35">
        <f>AVERAGE(AE51:AH51)</f>
        <v>0.055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-0.10929648241206</v>
      </c>
      <c r="AF50" s="35">
        <f>P24</f>
        <v>0.0606488011283498</v>
      </c>
      <c r="AG50" s="35">
        <f>P25</f>
        <v>0.219414893617021</v>
      </c>
      <c r="AH50" s="35">
        <f>P26</f>
        <v>-0.443838604143948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35">
        <v>0.1</v>
      </c>
      <c r="AF51" s="35">
        <v>0.01</v>
      </c>
      <c r="AG51" s="335">
        <v>0.1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51</v>
      </c>
      <c r="AE52" s="23">
        <f>C26*(1+AE51)</f>
        <v>56.1</v>
      </c>
      <c r="AF52" s="23">
        <f>AE52*(1+AF51)</f>
        <v>56.661</v>
      </c>
      <c r="AG52" s="23">
        <f>AF52*(1+AG51)</f>
        <v>62.3271</v>
      </c>
      <c r="AH52" s="23">
        <f>AG52*(1+AH51)</f>
        <v>62.950371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AVERAGE(R21)</f>
        <v>0.0105531997130887</v>
      </c>
      <c r="AF53" s="35">
        <f>AE53</f>
        <v>0.0105531997130887</v>
      </c>
      <c r="AG53" s="35">
        <f>AF53</f>
        <v>0.0105531997130887</v>
      </c>
      <c r="AH53" s="35">
        <f>AG53</f>
        <v>0.0105531997130887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AVERAGE(K21)</f>
        <v>0.2</v>
      </c>
      <c r="AF54" s="15">
        <f>AE54</f>
        <v>0.2</v>
      </c>
      <c r="AG54" s="15">
        <f>AF54</f>
        <v>0.2</v>
      </c>
      <c r="AH54" s="15">
        <f>AG54</f>
        <v>0.2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0.792034503904276</v>
      </c>
      <c r="AF55" s="15">
        <f>(AF52*AF53)+AF54</f>
        <v>0.797954848943319</v>
      </c>
      <c r="AG55" s="15">
        <f>(AG52*AG53)+AG54</f>
        <v>0.857750333837651</v>
      </c>
      <c r="AH55" s="15">
        <f>(AH52*AH53)+AH54</f>
        <v>0.864327837176027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-13.75</v>
      </c>
      <c r="AF56" s="15">
        <f>-AE71/20</f>
        <v>-13.0625</v>
      </c>
      <c r="AG56" s="15">
        <f>-AF71/20</f>
        <v>-12.409375</v>
      </c>
      <c r="AH56" s="15">
        <f>-AG71/20</f>
        <v>-11.78890625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-12.9579654960957</v>
      </c>
      <c r="AF59" s="15">
        <f>AF55+AF56+AF58</f>
        <v>-12.2645451510567</v>
      </c>
      <c r="AG59" s="15">
        <f>AG55+AG56+AG58</f>
        <v>-11.5516246661623</v>
      </c>
      <c r="AH59" s="15">
        <f>AH55+AH56+AH58</f>
        <v>-10.924578412824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12.9579654960957</v>
      </c>
      <c r="AF60" s="15">
        <f>-MIN(AE72,AF59)</f>
        <v>12.2645451510567</v>
      </c>
      <c r="AG60" s="15">
        <f>-MIN(AF72,AG59)</f>
        <v>11.5516246661623</v>
      </c>
      <c r="AH60" s="15">
        <f>-MIN(AG72,AH59)</f>
        <v>10.924578412824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8</v>
      </c>
      <c r="AF61" s="15">
        <f>AE63</f>
        <v>7.99999999999998</v>
      </c>
      <c r="AG61" s="15">
        <f>AF63</f>
        <v>8</v>
      </c>
      <c r="AH61" s="15">
        <f>AG63</f>
        <v>7.99999999999995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-2.4e-14</v>
      </c>
      <c r="AF62" s="15">
        <f>AF55+AF56+AF58+AF60</f>
        <v>1.9e-14</v>
      </c>
      <c r="AG62" s="15">
        <f>AG55+AG56+AG58+AG60</f>
        <v>-4.9e-14</v>
      </c>
      <c r="AH62" s="15">
        <f>AH55+AH56+AH58+AH60</f>
        <v>2.7e-14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7.99999999999998</v>
      </c>
      <c r="AF63" s="15">
        <f>AF61+AF62</f>
        <v>8</v>
      </c>
      <c r="AG63" s="15">
        <f>AG61+AG62</f>
        <v>7.99999999999995</v>
      </c>
      <c r="AH63" s="15">
        <f>AH61+AH62</f>
        <v>7.99999999999998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-2.33333333333333</v>
      </c>
      <c r="AF65" s="15">
        <f>AE65</f>
        <v>-2.33333333333333</v>
      </c>
      <c r="AG65" s="15">
        <f>AF65</f>
        <v>-2.33333333333333</v>
      </c>
      <c r="AH65" s="15">
        <f>AG65</f>
        <v>-2.33333333333333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-1.74129882942905</v>
      </c>
      <c r="AF66" s="15">
        <f>(AF52*AF53)+AF65</f>
        <v>-1.73537848439001</v>
      </c>
      <c r="AG66" s="15">
        <f>(AG52*AG53)+AG65</f>
        <v>-1.67558299949568</v>
      </c>
      <c r="AH66" s="15">
        <f>(AH52*AH53)+AH65</f>
        <v>-1.6690054961573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592.8</v>
      </c>
      <c r="AF68" s="15">
        <f>AE68-AF54</f>
        <v>592.6</v>
      </c>
      <c r="AG68" s="15">
        <f>AF68-AG54</f>
        <v>592.4</v>
      </c>
      <c r="AH68" s="15">
        <f>AG68-AH54</f>
        <v>592.2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2.33333333333333</v>
      </c>
      <c r="AF69" s="15">
        <f>AE69-AF65</f>
        <v>4.66666666666666</v>
      </c>
      <c r="AG69" s="15">
        <f>AF69-AG65</f>
        <v>6.99999999999999</v>
      </c>
      <c r="AH69" s="15">
        <f>AG69-AH65</f>
        <v>9.33333333333332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590.466666666667</v>
      </c>
      <c r="AF70" s="15">
        <f>AF68-AF69</f>
        <v>587.9333333333331</v>
      </c>
      <c r="AG70" s="15">
        <f>AG68-AG69</f>
        <v>585.4</v>
      </c>
      <c r="AH70" s="15">
        <f>AH68-AH69</f>
        <v>582.866666666667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261.25</v>
      </c>
      <c r="AF71" s="15">
        <f>AE71+AF56</f>
        <v>248.1875</v>
      </c>
      <c r="AG71" s="15">
        <f>AF71+AG56</f>
        <v>235.778125</v>
      </c>
      <c r="AH71" s="15">
        <f>AG71+AH56</f>
        <v>223.98921875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12.9579654960957</v>
      </c>
      <c r="AF72" s="15">
        <f>AE72+AF60</f>
        <v>25.2225106471524</v>
      </c>
      <c r="AG72" s="15">
        <f>AF72+AG60</f>
        <v>36.7741353133147</v>
      </c>
      <c r="AH72" s="15">
        <f>AG72+AH60</f>
        <v>47.6987137261387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324.258701170571</v>
      </c>
      <c r="AF73" s="15">
        <f>AE73+AF66+AF58</f>
        <v>322.523322686181</v>
      </c>
      <c r="AG73" s="15">
        <f>AF73+AG66+AG58</f>
        <v>320.847739686685</v>
      </c>
      <c r="AH73" s="15">
        <f>AG73+AH66+AH58</f>
        <v>319.178734190528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-2.8e-13</v>
      </c>
      <c r="AF74" s="15">
        <f>AF71+AF72+AF73-AF63-AF70</f>
        <v>4e-13</v>
      </c>
      <c r="AG74" s="15">
        <f>AG71+AG72+AG73-AG63-AG70</f>
        <v>-2.5e-13</v>
      </c>
      <c r="AH74" s="15">
        <f>AH71+AH72+AH73-AH63-AH70</f>
        <v>-2.8e-13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-266.207965496096</v>
      </c>
      <c r="AF75" s="15">
        <f>AF63-AF71-AF72</f>
        <v>-265.410010647152</v>
      </c>
      <c r="AG75" s="15">
        <f>AG63-AG71-AG72</f>
        <v>-264.552260313315</v>
      </c>
      <c r="AH75" s="15">
        <f>AH63-AH71-AH72</f>
        <v>-263.687932476139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-0.7920345039043</v>
      </c>
      <c r="AF76" s="15">
        <f>AF56+AF58+AF60</f>
        <v>-0.7979548489433</v>
      </c>
      <c r="AG76" s="15">
        <f>AG56+AG58+AG60</f>
        <v>-0.8577503338377001</v>
      </c>
      <c r="AH76" s="15">
        <f>AH56+AH58+AH60</f>
        <v>-0.864327837176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696</v>
      </c>
      <c r="AD78" s="14"/>
      <c r="AE78" s="15"/>
      <c r="AF78" s="15"/>
      <c r="AG78" s="15"/>
      <c r="AH78" s="15">
        <v>660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696</v>
      </c>
      <c r="AD79" s="14"/>
      <c r="AE79" s="15"/>
      <c r="AF79" s="15"/>
      <c r="AG79" s="15"/>
      <c r="AH79" s="15">
        <v>282480000000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282.48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0.428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0.478077400428748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3.31206752386127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175.982724527050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85.2881162491155</v>
      </c>
      <c r="AH86" s="15">
        <v>50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165.603376193064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386.923776152019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-0.413751854315123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-0.35929648241206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0.011441165049423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696</v>
      </c>
      <c r="AF94" t="s" s="44">
        <v>60</v>
      </c>
      <c r="AG94" s="15">
        <f>AH78</f>
        <v>660</v>
      </c>
      <c r="AH94" t="s" s="44">
        <v>61</v>
      </c>
      <c r="AI94" s="15">
        <f>AH88</f>
        <v>386.923776152019</v>
      </c>
      <c r="AJ94" t="s" s="44">
        <f>IF(AK94&gt;0,"+","")</f>
      </c>
      <c r="AK94" s="16">
        <f>AI94/AG94-1</f>
        <v>-0.413751854315123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-0.35929648241206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-0.114698385726423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-0.148895497026338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-0.945199660152931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-0.443838604143948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-0.09236031927023949</v>
      </c>
      <c r="AF103" s="16">
        <f>P23</f>
        <v>-0.10929648241206</v>
      </c>
      <c r="AG103" s="16">
        <f>P24</f>
        <v>0.0606488011283498</v>
      </c>
      <c r="AH103" s="16">
        <f>P25</f>
        <v>0.219414893617021</v>
      </c>
      <c r="AI103" s="16">
        <f>P26</f>
        <v>-0.443838604143948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79.59999999999999</v>
      </c>
      <c r="AF104" t="s" s="44">
        <v>72</v>
      </c>
      <c r="AG104" s="15">
        <f>C23</f>
        <v>70.90000000000001</v>
      </c>
      <c r="AH104" t="s" s="44">
        <v>72</v>
      </c>
      <c r="AI104" s="15">
        <f>C24</f>
        <v>75.2</v>
      </c>
      <c r="AJ104" t="s" s="44">
        <v>72</v>
      </c>
      <c r="AK104" s="15">
        <f>C25</f>
        <v>91.7</v>
      </c>
      <c r="AL104" t="s" s="44">
        <v>72</v>
      </c>
      <c r="AM104" s="15">
        <f>C26</f>
        <v>51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-0.443838604143948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51</v>
      </c>
      <c r="AM105" t="s" s="44">
        <v>372</v>
      </c>
      <c r="AN105" t="s" s="44">
        <v>373</v>
      </c>
      <c r="AO105" s="16">
        <f>AH91</f>
        <v>0.011441165049423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-0.06826784795265931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0.055</v>
      </c>
      <c r="AG107" t="s" s="44">
        <v>82</v>
      </c>
      <c r="AH107" t="s" s="44">
        <v>83</v>
      </c>
      <c r="AI107" s="23">
        <f>AH52</f>
        <v>62.950371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-0.00722361809045226</v>
      </c>
      <c r="AF110" s="16">
        <f>(D23+E23)/C23</f>
        <v>0.021509167842031</v>
      </c>
      <c r="AG110" s="16">
        <f>((E24+D24)/C24)</f>
        <v>0.0212765957446809</v>
      </c>
      <c r="AH110" s="16">
        <f>(D25+E25)/C25</f>
        <v>-0.0730643402399128</v>
      </c>
      <c r="AI110" s="16">
        <f>(D26+E26)/C26</f>
        <v>-0.113725490196078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-2</v>
      </c>
      <c r="AF111" t="s" s="44">
        <v>72</v>
      </c>
      <c r="AG111" s="15">
        <f>E23</f>
        <v>0.1</v>
      </c>
      <c r="AH111" t="s" s="44">
        <v>72</v>
      </c>
      <c r="AI111" s="15">
        <f>E24</f>
        <v>0.3</v>
      </c>
      <c r="AJ111" t="s" s="44">
        <v>72</v>
      </c>
      <c r="AK111" s="15">
        <f>E25</f>
        <v>-9.5</v>
      </c>
      <c r="AL111" t="s" s="44">
        <v>72</v>
      </c>
      <c r="AM111" s="15">
        <f>E26</f>
        <v>-8.699999999999999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-0.0730643402399128</v>
      </c>
      <c r="AG112" t="s" s="44">
        <v>76</v>
      </c>
      <c r="AH112" s="16">
        <f>AI110</f>
        <v>-0.113725490196078</v>
      </c>
      <c r="AI112" t="s" s="44">
        <v>90</v>
      </c>
      <c r="AJ112" s="15">
        <f>AK111</f>
        <v>-9.5</v>
      </c>
      <c r="AK112" t="s" s="44">
        <v>76</v>
      </c>
      <c r="AL112" s="15">
        <f>AM111</f>
        <v>-8.699999999999999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-0.0360010167123197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0.0105531997130887</v>
      </c>
      <c r="AG114" t="s" s="44">
        <v>94</v>
      </c>
      <c r="AH114" s="15">
        <f>AH66</f>
        <v>-1.6690054961573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-1.9</v>
      </c>
      <c r="AF117" t="s" s="44">
        <v>72</v>
      </c>
      <c r="AG117" s="15">
        <f>J23</f>
        <v>15.3</v>
      </c>
      <c r="AH117" t="s" s="44">
        <v>72</v>
      </c>
      <c r="AI117" s="15">
        <f>J24</f>
        <v>-11.4</v>
      </c>
      <c r="AJ117" t="s" s="44">
        <v>72</v>
      </c>
      <c r="AK117" s="15">
        <f>J25</f>
        <v>-21.2</v>
      </c>
      <c r="AL117" t="s" s="44">
        <v>72</v>
      </c>
      <c r="AM117" s="15">
        <f>J26</f>
        <v>-3.9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</v>
      </c>
      <c r="AF118" t="s" s="44">
        <v>72</v>
      </c>
      <c r="AG118" s="15">
        <f>K23</f>
        <v>-3.5</v>
      </c>
      <c r="AH118" t="s" s="44">
        <v>72</v>
      </c>
      <c r="AI118" s="15">
        <f>K24</f>
        <v>-7.3</v>
      </c>
      <c r="AJ118" t="s" s="44">
        <v>72</v>
      </c>
      <c r="AK118" s="15">
        <f>K25</f>
        <v>-0.2</v>
      </c>
      <c r="AL118" t="s" s="44">
        <v>72</v>
      </c>
      <c r="AM118" s="15">
        <f>K26</f>
        <v>-0.2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-21.4</v>
      </c>
      <c r="AG119" t="s" s="44">
        <v>76</v>
      </c>
      <c r="AH119" s="15">
        <f>AM117+AM118</f>
        <v>-4.1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-0.2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-8.1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0.2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0.828016880965318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</v>
      </c>
      <c r="AF124" t="s" s="44">
        <v>72</v>
      </c>
      <c r="AG124" s="15">
        <f>F23</f>
        <v>9</v>
      </c>
      <c r="AH124" t="s" s="44">
        <v>72</v>
      </c>
      <c r="AI124" s="15">
        <f>F24</f>
        <v>13</v>
      </c>
      <c r="AJ124" t="s" s="44">
        <v>72</v>
      </c>
      <c r="AK124" s="15">
        <f>F25</f>
        <v>5</v>
      </c>
      <c r="AL124" t="s" s="44">
        <v>72</v>
      </c>
      <c r="AM124" s="15">
        <f>F26</f>
        <v>8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226</v>
      </c>
      <c r="AF125" t="s" s="44">
        <v>72</v>
      </c>
      <c r="AG125" s="15">
        <f>G23</f>
        <v>235</v>
      </c>
      <c r="AH125" t="s" s="44">
        <v>72</v>
      </c>
      <c r="AI125" s="15">
        <f>G24</f>
        <v>260</v>
      </c>
      <c r="AJ125" t="s" s="44">
        <v>72</v>
      </c>
      <c r="AK125" s="15">
        <f>G25</f>
        <v>260</v>
      </c>
      <c r="AL125" t="s" s="44">
        <v>72</v>
      </c>
      <c r="AM125" s="15">
        <f>G26</f>
        <v>275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5</v>
      </c>
      <c r="AH126" t="s" s="44">
        <v>76</v>
      </c>
      <c r="AI126" s="15">
        <f>AM124</f>
        <v>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260</v>
      </c>
      <c r="AH127" t="s" s="44">
        <v>76</v>
      </c>
      <c r="AI127" s="15">
        <f>AM125</f>
        <v>275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-255</v>
      </c>
      <c r="AO127" t="s" s="44">
        <v>76</v>
      </c>
      <c r="AP127" s="15">
        <f>AI126-AI127</f>
        <v>-267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-3.3120675238613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-263.687932476139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-2.81</v>
      </c>
      <c r="AF131" t="s" s="44">
        <v>72</v>
      </c>
      <c r="AG131" s="15">
        <f>-L23</f>
        <v>0.64</v>
      </c>
      <c r="AH131" t="s" s="44">
        <v>72</v>
      </c>
      <c r="AI131" s="15">
        <f>-L24</f>
        <v>-23.2</v>
      </c>
      <c r="AJ131" t="s" s="44">
        <v>72</v>
      </c>
      <c r="AK131" s="15">
        <f>-L25</f>
        <v>-13.3</v>
      </c>
      <c r="AL131" t="s" s="44">
        <v>72</v>
      </c>
      <c r="AM131" s="15">
        <f>-L26</f>
        <v>-6.2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696</v>
      </c>
      <c r="AF133" t="s" s="44">
        <f>IF(AG133&gt;0,"paid","(raised)")</f>
        <v>121</v>
      </c>
      <c r="AG133" s="15">
        <f>SUM(AM131:AM132)</f>
        <v>-6.2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-6.2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3.3120675238613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282.48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0.478077400428748</v>
      </c>
      <c r="AK134" t="s" s="44">
        <v>130</v>
      </c>
      <c r="AL134" t="s" s="44">
        <v>131</v>
      </c>
      <c r="AM134" t="s" s="44">
        <v>132</v>
      </c>
      <c r="AN134" s="15">
        <f>AH85</f>
        <v>175.982724527050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3.31206752386127</v>
      </c>
      <c r="AG135" t="s" s="44">
        <f>AG134</f>
        <v>372</v>
      </c>
      <c r="AH135" t="s" s="44">
        <v>136</v>
      </c>
      <c r="AI135" s="15">
        <f>AF134/AF135</f>
        <v>85.2881162491155</v>
      </c>
      <c r="AJ135" t="s" s="44">
        <v>130</v>
      </c>
      <c r="AK135" t="s" s="44">
        <v>137</v>
      </c>
      <c r="AL135" t="s" s="44">
        <v>138</v>
      </c>
      <c r="AM135" s="15">
        <f>AH86</f>
        <v>50</v>
      </c>
      <c r="AN135" t="s" s="44">
        <v>139</v>
      </c>
      <c r="AO135" t="s" s="44">
        <v>140</v>
      </c>
      <c r="AP135" t="s" s="44">
        <v>141</v>
      </c>
      <c r="AQ135" s="16">
        <f>AK94</f>
        <v>-0.413751854315123</v>
      </c>
      <c r="AR135" t="s" s="44">
        <f>IF(AQ135&gt;0,"higher","lower")</f>
        <v>104</v>
      </c>
      <c r="AS135" t="s" s="44">
        <v>142</v>
      </c>
      <c r="AT135" s="15">
        <f>AI94</f>
        <v>386.923776152019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79.59999999999999</v>
      </c>
      <c r="AE137" s="15">
        <f>AG104</f>
        <v>70.90000000000001</v>
      </c>
      <c r="AF137" s="15">
        <f>AI104</f>
        <v>75.2</v>
      </c>
      <c r="AG137" s="15">
        <f>AK104</f>
        <v>91.7</v>
      </c>
      <c r="AH137" s="15">
        <f>AM104</f>
        <v>51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-4.9</v>
      </c>
      <c r="AE138" s="15">
        <f>SUM(AG117:AG118)</f>
        <v>11.8</v>
      </c>
      <c r="AF138" s="15">
        <f>SUM(AI117:AI118)</f>
        <v>-18.7</v>
      </c>
      <c r="AG138" s="15">
        <f>SUM(AK117:AK118)</f>
        <v>-21.4</v>
      </c>
      <c r="AH138" s="15">
        <f>SUM(AM117:AM118)</f>
        <v>-4.1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-2.81</v>
      </c>
      <c r="AE139" s="15">
        <f>SUM(AG131:AG132)</f>
        <v>0.64</v>
      </c>
      <c r="AF139" s="15">
        <f>SUM(AI131:AI132)</f>
        <v>-23.2</v>
      </c>
      <c r="AG139" s="15">
        <f>SUM(AK131:AK132)</f>
        <v>-13.3</v>
      </c>
      <c r="AH139" s="15">
        <f>SUM(AM131:AM132)</f>
        <v>-6.2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-221</v>
      </c>
      <c r="AE140" s="15">
        <f>(AG124-AG125)</f>
        <v>-226</v>
      </c>
      <c r="AF140" s="15">
        <f>(AI124-AI125)</f>
        <v>-247</v>
      </c>
      <c r="AG140" s="15">
        <f>(AK124-AK125)</f>
        <v>-255</v>
      </c>
      <c r="AH140" s="15">
        <f>(AM124-AM125)</f>
        <v>-267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386.923776152019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36" customWidth="1"/>
    <col min="2" max="28" width="10.4844" style="336" customWidth="1"/>
    <col min="29" max="29" width="18.9766" style="337" customWidth="1"/>
    <col min="30" max="48" width="9" style="337" customWidth="1"/>
    <col min="49" max="16384" width="16.3516" style="337" customWidth="1"/>
  </cols>
  <sheetData>
    <row r="1" ht="11.65" customHeight="1"/>
    <row r="2" ht="27.65" customHeight="1">
      <c r="B2" t="s" s="2">
        <v>697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339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8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8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8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8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8"/>
      <c r="AA15" s="24"/>
      <c r="AB15" s="15">
        <v>13.882</v>
      </c>
    </row>
    <row r="16" ht="20.05" customHeight="1">
      <c r="B16" s="21">
        <v>2020</v>
      </c>
      <c r="C16" s="14">
        <v>1454.5</v>
      </c>
      <c r="D16" s="15">
        <v>621.5</v>
      </c>
      <c r="E16" s="15">
        <v>77</v>
      </c>
      <c r="F16" s="15"/>
      <c r="G16" s="15"/>
      <c r="H16" s="15"/>
      <c r="I16" s="15">
        <v>1723</v>
      </c>
      <c r="J16" s="15">
        <v>675.95</v>
      </c>
      <c r="K16" s="15">
        <v>-205</v>
      </c>
      <c r="L16" s="15">
        <v>900</v>
      </c>
      <c r="M16" s="15">
        <v>-25.75</v>
      </c>
      <c r="N16" s="15">
        <f>SUM(C13:C16)/4</f>
        <v>363.625</v>
      </c>
      <c r="O16" s="15"/>
      <c r="P16" s="16"/>
      <c r="Q16" s="16">
        <f>(E16+D16)/C16</f>
        <v>0.480233757304916</v>
      </c>
      <c r="R16" s="16">
        <f>AVERAGE(Q13:Q16)</f>
        <v>0.480233757304916</v>
      </c>
      <c r="S16" s="17"/>
      <c r="T16" s="15">
        <f>SUM(J13:K16)/4</f>
        <v>117.7375</v>
      </c>
      <c r="U16" s="25"/>
      <c r="V16" s="15">
        <f>-(L16+M16)+V15</f>
        <v>-874.25</v>
      </c>
      <c r="W16" s="17"/>
      <c r="X16" s="15">
        <f>F16-G16</f>
        <v>0</v>
      </c>
      <c r="Y16" s="24"/>
      <c r="Z16" s="18"/>
      <c r="AA16" s="24"/>
      <c r="AB16" s="15">
        <v>16.31</v>
      </c>
    </row>
    <row r="17" ht="20.05" customHeight="1">
      <c r="B17" s="13"/>
      <c r="C17" s="14">
        <v>1454.5</v>
      </c>
      <c r="D17" s="15">
        <v>621.5</v>
      </c>
      <c r="E17" s="15">
        <v>77</v>
      </c>
      <c r="F17" s="15"/>
      <c r="G17" s="15"/>
      <c r="H17" s="15"/>
      <c r="I17" s="15">
        <v>1723</v>
      </c>
      <c r="J17" s="15">
        <v>675.95</v>
      </c>
      <c r="K17" s="15">
        <v>-205</v>
      </c>
      <c r="L17" s="15">
        <v>900</v>
      </c>
      <c r="M17" s="15">
        <v>-25.75</v>
      </c>
      <c r="N17" s="15">
        <f>SUM(C14:C17)/4</f>
        <v>727.25</v>
      </c>
      <c r="O17" s="15"/>
      <c r="P17" s="16">
        <f>C17/C16-1</f>
        <v>0</v>
      </c>
      <c r="Q17" s="16">
        <f>(E17+D17)/C17</f>
        <v>0.480233757304916</v>
      </c>
      <c r="R17" s="16">
        <f>AVERAGE(Q14:Q17)</f>
        <v>0.480233757304916</v>
      </c>
      <c r="S17" s="17"/>
      <c r="T17" s="25">
        <f>SUM(J14:K17)/4</f>
        <v>235.475</v>
      </c>
      <c r="U17" s="25"/>
      <c r="V17" s="15">
        <f>-(L17+M17)+V16</f>
        <v>-1748.5</v>
      </c>
      <c r="W17" s="17"/>
      <c r="X17" s="15">
        <f>F17-G17</f>
        <v>0</v>
      </c>
      <c r="Y17" s="24"/>
      <c r="Z17" s="18"/>
      <c r="AA17" s="24"/>
      <c r="AB17" s="15">
        <v>14.255</v>
      </c>
    </row>
    <row r="18" ht="20.05" customHeight="1">
      <c r="B18" s="13"/>
      <c r="C18" s="14">
        <v>1638.85</v>
      </c>
      <c r="D18" s="15">
        <v>621.5</v>
      </c>
      <c r="E18" s="15">
        <v>223.98</v>
      </c>
      <c r="F18" s="15"/>
      <c r="G18" s="15"/>
      <c r="H18" s="15"/>
      <c r="I18" s="15">
        <v>1276.3</v>
      </c>
      <c r="J18" s="15">
        <v>179.3</v>
      </c>
      <c r="K18" s="15">
        <v>-2385.65</v>
      </c>
      <c r="L18" s="15">
        <v>900</v>
      </c>
      <c r="M18" s="15">
        <v>-25.75</v>
      </c>
      <c r="N18" s="15">
        <f>SUM(C15:C18)/4</f>
        <v>1136.9625</v>
      </c>
      <c r="O18" s="15"/>
      <c r="P18" s="16">
        <f>C18/C17-1</f>
        <v>0.126744585768305</v>
      </c>
      <c r="Q18" s="16">
        <f>(E18+D18)/C18</f>
        <v>0.51589834335052</v>
      </c>
      <c r="R18" s="16">
        <f>AVERAGE(Q15:Q18)</f>
        <v>0.492121952653451</v>
      </c>
      <c r="S18" s="17"/>
      <c r="T18" s="25">
        <f>SUM(J15:K18)/4</f>
        <v>-316.1125</v>
      </c>
      <c r="U18" s="25"/>
      <c r="V18" s="15">
        <f>-(L18+M18)+V17</f>
        <v>-2622.75</v>
      </c>
      <c r="W18" s="17"/>
      <c r="X18" s="15">
        <f>F18-G18</f>
        <v>0</v>
      </c>
      <c r="Y18" s="24"/>
      <c r="Z18" s="18"/>
      <c r="AA18" s="24"/>
      <c r="AB18" s="15">
        <v>14.79</v>
      </c>
    </row>
    <row r="19" ht="20.05" customHeight="1">
      <c r="B19" s="13"/>
      <c r="C19" s="14">
        <v>1638.85</v>
      </c>
      <c r="D19" s="15">
        <v>621.5</v>
      </c>
      <c r="E19" s="15">
        <v>223.98</v>
      </c>
      <c r="F19" s="15"/>
      <c r="G19" s="15"/>
      <c r="H19" s="15"/>
      <c r="I19" s="15">
        <v>1276.3</v>
      </c>
      <c r="J19" s="15">
        <v>179.3</v>
      </c>
      <c r="K19" s="15">
        <v>-2385.65</v>
      </c>
      <c r="L19" s="15">
        <v>900</v>
      </c>
      <c r="M19" s="15">
        <v>-25.75</v>
      </c>
      <c r="N19" s="15">
        <f>SUM(C16:C19)/4</f>
        <v>1546.675</v>
      </c>
      <c r="O19" s="15"/>
      <c r="P19" s="16">
        <f>C19/C18-1</f>
        <v>0</v>
      </c>
      <c r="Q19" s="16">
        <f>(E19+D19)/C19</f>
        <v>0.51589834335052</v>
      </c>
      <c r="R19" s="16">
        <f>AVERAGE(Q16:Q19)</f>
        <v>0.498066050327718</v>
      </c>
      <c r="S19" s="17"/>
      <c r="T19" s="25">
        <f>SUM(J16:K19)/4</f>
        <v>-867.7</v>
      </c>
      <c r="U19" s="25"/>
      <c r="V19" s="15">
        <f>-(L19+M19)+V18</f>
        <v>-3497</v>
      </c>
      <c r="W19" s="17"/>
      <c r="X19" s="15">
        <f>F19-G19</f>
        <v>0</v>
      </c>
      <c r="Y19" s="24"/>
      <c r="Z19" s="15"/>
      <c r="AA19" s="24"/>
      <c r="AB19" s="15">
        <v>14.1</v>
      </c>
    </row>
    <row r="20" ht="20.05" customHeight="1">
      <c r="B20" s="21">
        <v>2021</v>
      </c>
      <c r="C20" s="14">
        <v>1540</v>
      </c>
      <c r="D20" s="15">
        <v>611.3</v>
      </c>
      <c r="E20" s="15">
        <v>343</v>
      </c>
      <c r="F20" s="15"/>
      <c r="G20" s="15"/>
      <c r="H20" s="15"/>
      <c r="I20" s="15">
        <v>2804</v>
      </c>
      <c r="J20" s="15">
        <v>1190.05</v>
      </c>
      <c r="K20" s="15">
        <v>-5688</v>
      </c>
      <c r="L20" s="15">
        <v>3182</v>
      </c>
      <c r="M20" s="15">
        <v>4070.5</v>
      </c>
      <c r="N20" s="15">
        <f>SUM(C17:C20)/4</f>
        <v>1568.05</v>
      </c>
      <c r="O20" s="15"/>
      <c r="P20" s="16">
        <f>C20/C19-1</f>
        <v>-0.0603166854806724</v>
      </c>
      <c r="Q20" s="16">
        <f>(E20+D20)/C20</f>
        <v>0.619675324675325</v>
      </c>
      <c r="R20" s="16">
        <f>AVERAGE(Q17:Q20)</f>
        <v>0.53292644217032</v>
      </c>
      <c r="S20" s="17"/>
      <c r="T20" s="25">
        <f>SUM(J17:K20)/4</f>
        <v>-2109.925</v>
      </c>
      <c r="U20" s="25"/>
      <c r="V20" s="15">
        <f>-(L20+M20)+V19</f>
        <v>-10749.5</v>
      </c>
      <c r="W20" s="17"/>
      <c r="X20" s="15">
        <f>F20-G20</f>
        <v>0</v>
      </c>
      <c r="Y20" s="15"/>
      <c r="Z20" s="25"/>
      <c r="AA20" s="15"/>
      <c r="AB20" s="15">
        <v>14.606</v>
      </c>
    </row>
    <row r="21" ht="20.05" customHeight="1">
      <c r="B21" s="13"/>
      <c r="C21" s="14">
        <v>1687</v>
      </c>
      <c r="D21" s="15">
        <v>611.3</v>
      </c>
      <c r="E21" s="15">
        <v>358</v>
      </c>
      <c r="F21" s="15"/>
      <c r="G21" s="15"/>
      <c r="H21" s="15"/>
      <c r="I21" s="15">
        <v>1728</v>
      </c>
      <c r="J21" s="15">
        <v>999.05</v>
      </c>
      <c r="K21" s="15">
        <v>-260</v>
      </c>
      <c r="L21" s="15">
        <v>3182</v>
      </c>
      <c r="M21" s="15">
        <v>4070.5</v>
      </c>
      <c r="N21" s="15">
        <f>SUM(C18:C21)/4</f>
        <v>1626.175</v>
      </c>
      <c r="O21" s="15"/>
      <c r="P21" s="16">
        <f>C21/C20-1</f>
        <v>0.0954545454545455</v>
      </c>
      <c r="Q21" s="16">
        <f>(E21+D21)/C21</f>
        <v>0.5745702430349729</v>
      </c>
      <c r="R21" s="16">
        <f>AVERAGE(Q18:Q21)</f>
        <v>0.556510563602835</v>
      </c>
      <c r="S21" s="17"/>
      <c r="T21" s="25">
        <f>SUM(J18:K21)/4</f>
        <v>-2042.9</v>
      </c>
      <c r="U21" s="25"/>
      <c r="V21" s="15">
        <f>-(L21+M21)+V20</f>
        <v>-18002</v>
      </c>
      <c r="W21" s="17"/>
      <c r="X21" s="15">
        <f>F21-G21</f>
        <v>0</v>
      </c>
      <c r="Y21" s="15"/>
      <c r="Z21" s="25"/>
      <c r="AA21" s="15"/>
      <c r="AB21" s="15">
        <v>14.45</v>
      </c>
    </row>
    <row r="22" ht="20.05" customHeight="1">
      <c r="B22" s="13"/>
      <c r="C22" s="14">
        <v>1821.3</v>
      </c>
      <c r="D22" s="15">
        <v>611.3</v>
      </c>
      <c r="E22" s="15">
        <v>680.1</v>
      </c>
      <c r="F22" s="15"/>
      <c r="G22" s="15"/>
      <c r="H22" s="15"/>
      <c r="I22" s="15">
        <v>1594.05</v>
      </c>
      <c r="J22" s="15">
        <v>7.15</v>
      </c>
      <c r="K22" s="15">
        <v>-3324.5</v>
      </c>
      <c r="L22" s="15">
        <v>3182</v>
      </c>
      <c r="M22" s="15">
        <v>4070.5</v>
      </c>
      <c r="N22" s="15">
        <f>SUM(C19:C22)/4</f>
        <v>1671.7875</v>
      </c>
      <c r="O22" s="15"/>
      <c r="P22" s="16">
        <f>C22/C21-1</f>
        <v>0.0796087729697688</v>
      </c>
      <c r="Q22" s="16">
        <f>(E22+D22)/C22</f>
        <v>0.70905397243727</v>
      </c>
      <c r="R22" s="16">
        <f>AVERAGE(Q19:Q22)</f>
        <v>0.604799470874522</v>
      </c>
      <c r="S22" s="17"/>
      <c r="T22" s="25">
        <f>SUM(J19:K22)/4</f>
        <v>-2320.65</v>
      </c>
      <c r="U22" s="25"/>
      <c r="V22" s="15">
        <f>-(L22+M22)+V21</f>
        <v>-25254.5</v>
      </c>
      <c r="W22" s="17"/>
      <c r="X22" s="15">
        <f>F22-G22</f>
        <v>0</v>
      </c>
      <c r="Y22" s="15"/>
      <c r="Z22" s="25">
        <v>770</v>
      </c>
      <c r="AA22" s="15"/>
      <c r="AB22" s="15">
        <v>14.328</v>
      </c>
    </row>
    <row r="23" ht="20.05" customHeight="1">
      <c r="B23" s="13"/>
      <c r="C23" s="14">
        <v>1821.3</v>
      </c>
      <c r="D23" s="15">
        <v>611.3</v>
      </c>
      <c r="E23" s="15">
        <v>680.1</v>
      </c>
      <c r="F23" s="15">
        <v>19133.387</v>
      </c>
      <c r="G23" s="15">
        <v>24083</v>
      </c>
      <c r="H23" s="15">
        <v>57728</v>
      </c>
      <c r="I23" s="15">
        <v>1594.05</v>
      </c>
      <c r="J23" s="15">
        <v>7.15</v>
      </c>
      <c r="K23" s="15">
        <v>-3324.5</v>
      </c>
      <c r="L23" s="15">
        <v>3182</v>
      </c>
      <c r="M23" s="15">
        <v>4070.5</v>
      </c>
      <c r="N23" s="15">
        <f>SUM(C20:C23)/4</f>
        <v>1717.4</v>
      </c>
      <c r="O23" s="15"/>
      <c r="P23" s="16">
        <f>C23/C22-1</f>
        <v>0</v>
      </c>
      <c r="Q23" s="16">
        <f>(E23+D23)/C23</f>
        <v>0.70905397243727</v>
      </c>
      <c r="R23" s="16">
        <f>AVERAGE(Q20:Q23)</f>
        <v>0.65308837814621</v>
      </c>
      <c r="S23" s="17"/>
      <c r="T23" s="25">
        <f>SUM(J20:K23)/4</f>
        <v>-2598.4</v>
      </c>
      <c r="U23" s="25"/>
      <c r="V23" s="15">
        <f>-(L23+M23)+V22</f>
        <v>-32507</v>
      </c>
      <c r="W23" s="17"/>
      <c r="X23" s="15">
        <f>F23-G23</f>
        <v>-4949.613</v>
      </c>
      <c r="Y23" s="15"/>
      <c r="Z23" s="25">
        <v>830</v>
      </c>
      <c r="AA23" s="15"/>
      <c r="AB23" s="15">
        <v>14.275</v>
      </c>
    </row>
    <row r="24" ht="20.05" customHeight="1">
      <c r="B24" s="21">
        <v>2022</v>
      </c>
      <c r="C24" s="14">
        <v>1870.2</v>
      </c>
      <c r="D24" s="15">
        <v>628.3</v>
      </c>
      <c r="E24" s="15">
        <v>459.4</v>
      </c>
      <c r="F24" s="15">
        <v>18639.287</v>
      </c>
      <c r="G24" s="15">
        <v>23374</v>
      </c>
      <c r="H24" s="15">
        <v>57481</v>
      </c>
      <c r="I24" s="15">
        <v>2449.2</v>
      </c>
      <c r="J24" s="15">
        <v>2088.3</v>
      </c>
      <c r="K24" s="15">
        <v>-224</v>
      </c>
      <c r="L24" s="15">
        <v>-2358</v>
      </c>
      <c r="M24" s="15">
        <v>0</v>
      </c>
      <c r="N24" s="15">
        <f>SUM(C21:C24)/4</f>
        <v>1799.95</v>
      </c>
      <c r="O24" s="15"/>
      <c r="P24" s="16">
        <f>C24/C23-1</f>
        <v>0.0268489540438149</v>
      </c>
      <c r="Q24" s="16">
        <f>(E24+D24)/C24</f>
        <v>0.581595551277938</v>
      </c>
      <c r="R24" s="16">
        <f>AVERAGE(Q21:Q24)</f>
        <v>0.643568434796863</v>
      </c>
      <c r="S24" s="35"/>
      <c r="T24" s="25">
        <f>SUM(J21:K24)/4</f>
        <v>-1007.8375</v>
      </c>
      <c r="U24" s="15"/>
      <c r="V24" s="15">
        <f>-(L24+M24)+V23</f>
        <v>-30149</v>
      </c>
      <c r="W24" s="15"/>
      <c r="X24" s="15">
        <f>F24-G24</f>
        <v>-4734.713</v>
      </c>
      <c r="Y24" s="15"/>
      <c r="Z24" s="25">
        <v>770</v>
      </c>
      <c r="AA24" s="25"/>
      <c r="AB24" s="15">
        <v>14.327</v>
      </c>
    </row>
    <row r="25" ht="20.05" customHeight="1">
      <c r="B25" s="13"/>
      <c r="C25" s="14">
        <v>1856.2</v>
      </c>
      <c r="D25" s="15">
        <v>708.5</v>
      </c>
      <c r="E25" s="15">
        <v>432.1</v>
      </c>
      <c r="F25" s="15">
        <v>17022</v>
      </c>
      <c r="G25" s="15">
        <v>21568</v>
      </c>
      <c r="H25" s="15">
        <v>55063</v>
      </c>
      <c r="I25" s="15">
        <v>2084.8</v>
      </c>
      <c r="J25" s="15">
        <v>1136.4</v>
      </c>
      <c r="K25" s="15">
        <v>-844.1</v>
      </c>
      <c r="L25" s="15">
        <v>-885.8</v>
      </c>
      <c r="M25" s="15">
        <v>-1023.6</v>
      </c>
      <c r="N25" s="15">
        <f>SUM(C22:C25)/4</f>
        <v>1842.25</v>
      </c>
      <c r="O25" s="15"/>
      <c r="P25" s="16">
        <f>C25/C24-1</f>
        <v>-0.00748583039247139</v>
      </c>
      <c r="Q25" s="16">
        <f>(E25+D25)/C25</f>
        <v>0.614481198146751</v>
      </c>
      <c r="R25" s="16">
        <f>AVERAGE(Q22:Q25)</f>
        <v>0.653546173574807</v>
      </c>
      <c r="S25" s="35"/>
      <c r="T25" s="25">
        <f>SUM(J22:K25)/4</f>
        <v>-1119.525</v>
      </c>
      <c r="U25" s="15">
        <v>569.444281344</v>
      </c>
      <c r="V25" s="15">
        <f>-(L25+M25)+V24</f>
        <v>-28239.6</v>
      </c>
      <c r="W25" s="15"/>
      <c r="X25" s="15">
        <f>F25-G25</f>
        <v>-4546</v>
      </c>
      <c r="Y25" s="15">
        <v>-1767.2496648</v>
      </c>
      <c r="Z25" s="25">
        <v>700</v>
      </c>
      <c r="AA25" s="15"/>
      <c r="AB25" s="15">
        <v>14.66</v>
      </c>
    </row>
    <row r="26" ht="20.05" customHeight="1">
      <c r="B26" s="13"/>
      <c r="C26" s="14">
        <v>1880.1</v>
      </c>
      <c r="D26" s="15">
        <v>825</v>
      </c>
      <c r="E26" s="15">
        <v>335.1</v>
      </c>
      <c r="F26" s="15">
        <v>5403</v>
      </c>
      <c r="G26" s="15">
        <v>21699</v>
      </c>
      <c r="H26" s="15">
        <v>54933</v>
      </c>
      <c r="I26" s="15">
        <v>1304.2</v>
      </c>
      <c r="J26" s="15">
        <v>-2731.3</v>
      </c>
      <c r="K26" s="15">
        <v>-9020.299999999999</v>
      </c>
      <c r="L26" s="15">
        <v>756.3</v>
      </c>
      <c r="M26" s="15">
        <v>-623.9</v>
      </c>
      <c r="N26" s="15">
        <f>SUM(C23:C26)/4</f>
        <v>1856.95</v>
      </c>
      <c r="O26" s="15">
        <v>1974.852</v>
      </c>
      <c r="P26" s="16">
        <f>C26/C25-1</f>
        <v>0.0128757676974464</v>
      </c>
      <c r="Q26" s="16">
        <f>(E26+D26)/C26</f>
        <v>0.617041646720919</v>
      </c>
      <c r="R26" s="16">
        <f>AVERAGE(Q23:Q26)</f>
        <v>0.63054309214572</v>
      </c>
      <c r="S26" s="35">
        <f>S27</f>
        <v>0.617041646720919</v>
      </c>
      <c r="T26" s="25">
        <f>SUM(J23:K26)/4</f>
        <v>-3228.0875</v>
      </c>
      <c r="U26" s="15">
        <v>569.444281344</v>
      </c>
      <c r="V26" s="15">
        <f>-(L26+M26)+V25</f>
        <v>-28372</v>
      </c>
      <c r="W26" s="15">
        <f>W27</f>
        <v>-25763.164803702</v>
      </c>
      <c r="X26" s="15">
        <f>F26-G26</f>
        <v>-16296</v>
      </c>
      <c r="Y26" s="15">
        <v>-1767.2496648</v>
      </c>
      <c r="Z26" s="25">
        <v>725</v>
      </c>
      <c r="AA26" s="15">
        <v>792.945091702923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1922.4938954745</v>
      </c>
      <c r="P27" s="17"/>
      <c r="Q27" s="17"/>
      <c r="R27" s="17"/>
      <c r="S27" s="35">
        <f>AE53</f>
        <v>0.617041646720919</v>
      </c>
      <c r="T27" s="25"/>
      <c r="U27" s="15">
        <f>SUM(AE55:AH55)/4</f>
        <v>652.2087990745</v>
      </c>
      <c r="V27" s="17"/>
      <c r="W27" s="15">
        <f>-SUM(AE76:AH76)+V26</f>
        <v>-25763.164803702</v>
      </c>
      <c r="X27" s="26"/>
      <c r="Y27" s="15">
        <f>AH75</f>
        <v>-13687.164803702</v>
      </c>
      <c r="Z27" s="15">
        <v>695</v>
      </c>
      <c r="AA27" s="15">
        <v>792.945091702923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15493.45</v>
      </c>
      <c r="O28" s="15">
        <f>SUM(O17:O26)</f>
        <v>1974.852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374.798987633186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339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0.00805972283719748</v>
      </c>
      <c r="AF49" s="35"/>
      <c r="AG49" s="35"/>
      <c r="AH49" s="35">
        <f>AVERAGE(AE51:AH51)</f>
        <v>0.0075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</v>
      </c>
      <c r="AF50" s="35">
        <f>P24</f>
        <v>0.0268489540438149</v>
      </c>
      <c r="AG50" s="35">
        <f>P25</f>
        <v>-0.00748583039247139</v>
      </c>
      <c r="AH50" s="35">
        <f>P26</f>
        <v>0.0128757676974464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0.02</v>
      </c>
      <c r="AG51" s="35">
        <v>-0.01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1880.1</v>
      </c>
      <c r="AE52" s="23">
        <f>C26*(1+AE51)</f>
        <v>1898.901</v>
      </c>
      <c r="AF52" s="23">
        <f>AE52*(1+AF51)</f>
        <v>1936.87902</v>
      </c>
      <c r="AG52" s="23">
        <f>AF52*(1+AG51)</f>
        <v>1917.5102298</v>
      </c>
      <c r="AH52" s="23">
        <f>AG52*(1+AH51)</f>
        <v>1936.685332098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0.617041646720919</v>
      </c>
      <c r="AF53" s="35">
        <f>AE53</f>
        <v>0.617041646720919</v>
      </c>
      <c r="AG53" s="35">
        <f>AF53</f>
        <v>0.617041646720919</v>
      </c>
      <c r="AH53" s="35">
        <f>AG53</f>
        <v>0.617041646720919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AVERAGE(K24:K25)</f>
        <v>-534.05</v>
      </c>
      <c r="AF54" s="15">
        <f>AE54</f>
        <v>-534.05</v>
      </c>
      <c r="AG54" s="15">
        <f>AF54</f>
        <v>-534.05</v>
      </c>
      <c r="AH54" s="15">
        <f>AG54</f>
        <v>-534.05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637.651</v>
      </c>
      <c r="AF55" s="15">
        <f>(AF52*AF53)+AF54</f>
        <v>661.08502</v>
      </c>
      <c r="AG55" s="15">
        <f>(AG52*AG53)+AG54</f>
        <v>649.1336698</v>
      </c>
      <c r="AH55" s="15">
        <f>(AH52*AH53)+AH54</f>
        <v>660.965506498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-1084.95</v>
      </c>
      <c r="AF56" s="15">
        <f>-AE71/20</f>
        <v>-1030.7025</v>
      </c>
      <c r="AG56" s="15">
        <f>-AF71/20</f>
        <v>-979.167375</v>
      </c>
      <c r="AH56" s="15">
        <f>-AG71/20</f>
        <v>-930.20900625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-447.299</v>
      </c>
      <c r="AF59" s="15">
        <f>AF55+AF56+AF58</f>
        <v>-369.61748</v>
      </c>
      <c r="AG59" s="15">
        <f>AG55+AG56+AG58</f>
        <v>-330.0337052</v>
      </c>
      <c r="AH59" s="15">
        <f>AH55+AH56+AH58</f>
        <v>-269.243499752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447.299</v>
      </c>
      <c r="AF60" s="15">
        <f>-MIN(AE72,AF59)</f>
        <v>369.61748</v>
      </c>
      <c r="AG60" s="15">
        <f>-MIN(AF72,AG59)</f>
        <v>330.0337052</v>
      </c>
      <c r="AH60" s="15">
        <f>-MIN(AG72,AH59)</f>
        <v>269.243499752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5403</v>
      </c>
      <c r="AF61" s="15">
        <f>AE63</f>
        <v>5403</v>
      </c>
      <c r="AG61" s="15">
        <f>AF63</f>
        <v>5403</v>
      </c>
      <c r="AH61" s="15">
        <f>AG63</f>
        <v>5403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5403</v>
      </c>
      <c r="AF63" s="15">
        <f>AF61+AF62</f>
        <v>5403</v>
      </c>
      <c r="AG63" s="15">
        <f>AG61+AG62</f>
        <v>5403</v>
      </c>
      <c r="AH63" s="15">
        <f>AH61+AH62</f>
        <v>5403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-720.6</v>
      </c>
      <c r="AF65" s="15">
        <f>AE65</f>
        <v>-720.6</v>
      </c>
      <c r="AG65" s="15">
        <f>AF65</f>
        <v>-720.6</v>
      </c>
      <c r="AH65" s="15">
        <f>AG65</f>
        <v>-720.6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451.101</v>
      </c>
      <c r="AF66" s="15">
        <f>(AF52*AF53)+AF65</f>
        <v>474.53502</v>
      </c>
      <c r="AG66" s="15">
        <f>(AG52*AG53)+AG65</f>
        <v>462.5836698</v>
      </c>
      <c r="AH66" s="15">
        <f>(AH52*AH53)+AH65</f>
        <v>474.415506498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50064.05</v>
      </c>
      <c r="AF68" s="15">
        <f>AE68-AF54</f>
        <v>50598.1</v>
      </c>
      <c r="AG68" s="15">
        <f>AF68-AG54</f>
        <v>51132.15</v>
      </c>
      <c r="AH68" s="15">
        <f>AG68-AH54</f>
        <v>51666.2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720.6</v>
      </c>
      <c r="AF69" s="15">
        <f>AE69-AF65</f>
        <v>1441.2</v>
      </c>
      <c r="AG69" s="15">
        <f>AF69-AG65</f>
        <v>2161.8</v>
      </c>
      <c r="AH69" s="15">
        <f>AG69-AH65</f>
        <v>2882.4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49343.45</v>
      </c>
      <c r="AF70" s="15">
        <f>AF68-AF69</f>
        <v>49156.9</v>
      </c>
      <c r="AG70" s="15">
        <f>AG68-AG69</f>
        <v>48970.35</v>
      </c>
      <c r="AH70" s="15">
        <f>AH68-AH69</f>
        <v>48783.8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20614.05</v>
      </c>
      <c r="AF71" s="15">
        <f>AE71+AF56</f>
        <v>19583.3475</v>
      </c>
      <c r="AG71" s="15">
        <f>AF71+AG56</f>
        <v>18604.180125</v>
      </c>
      <c r="AH71" s="15">
        <f>AG71+AH56</f>
        <v>17673.97111875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447.299</v>
      </c>
      <c r="AF72" s="15">
        <f>AE72+AF60</f>
        <v>816.91648</v>
      </c>
      <c r="AG72" s="15">
        <f>AF72+AG60</f>
        <v>1146.9501852</v>
      </c>
      <c r="AH72" s="15">
        <f>AG72+AH60</f>
        <v>1416.193684952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33685.101</v>
      </c>
      <c r="AF73" s="15">
        <f>AE73+AF66+AF58</f>
        <v>34159.63602</v>
      </c>
      <c r="AG73" s="15">
        <f>AF73+AG66+AG58</f>
        <v>34622.2196898</v>
      </c>
      <c r="AH73" s="15">
        <f>AG73+AH66+AH58</f>
        <v>35096.635196298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-15658.349</v>
      </c>
      <c r="AF75" s="15">
        <f>AF63-AF71-AF72</f>
        <v>-14997.26398</v>
      </c>
      <c r="AG75" s="15">
        <f>AG63-AG71-AG72</f>
        <v>-14348.1303102</v>
      </c>
      <c r="AH75" s="15">
        <f>AH63-AH71-AH72</f>
        <v>-13687.164803702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-637.651</v>
      </c>
      <c r="AF76" s="15">
        <f>AF56+AF58+AF60</f>
        <v>-661.08502</v>
      </c>
      <c r="AG76" s="15">
        <f>AG56+AG58+AG60</f>
        <v>-649.1336698</v>
      </c>
      <c r="AH76" s="15">
        <f>AH56+AH58+AH60</f>
        <v>-660.965506498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698</v>
      </c>
      <c r="AD78" s="14"/>
      <c r="AE78" s="15"/>
      <c r="AF78" s="15"/>
      <c r="AG78" s="15"/>
      <c r="AH78" s="15">
        <v>695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698</v>
      </c>
      <c r="AD79" s="14"/>
      <c r="AE79" s="15"/>
      <c r="AF79" s="15"/>
      <c r="AG79" s="15"/>
      <c r="AH79" s="15">
        <v>58051612344320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58051.61234432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83.527499776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1.07132387120701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-12912.35</v>
      </c>
      <c r="AH84" s="15">
        <f>SUM(AE55:AH55)</f>
        <v>2608.835196298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18.6994563969489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22.251927767111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31306.022355576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374.798987633186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-0.460720881103329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0.0322846318563663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-0.872536329868428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698</v>
      </c>
      <c r="AF93" t="s" s="44">
        <f>AE115</f>
        <v>15</v>
      </c>
      <c r="AG93" t="s" s="44">
        <f>AF115</f>
        <v>360</v>
      </c>
      <c r="AH93" t="s" s="44">
        <f>AG115</f>
        <v>485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695</v>
      </c>
      <c r="AG94" t="s" s="44">
        <v>61</v>
      </c>
      <c r="AH94" s="15">
        <f>AH88</f>
        <v>374.798987633186</v>
      </c>
      <c r="AI94" t="s" s="44">
        <f>IF(AJ94&gt;0,"+","")</f>
      </c>
      <c r="AJ94" s="16">
        <f>AH94/AF94-1</f>
        <v>-0.460720881103329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0.0322846318563663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(AG119+AG120+AI119+AI120+AK119+AK120+AM119+AM120)/AF136</f>
        <v>-0.222428791872538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(AG133+AG134+AI133+AI134+AK133+AK134+AM133+AM134)/AF136</f>
        <v>-0.0537022121196093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-0.280715717305903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0.0128757676974464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0.0796087729697688</v>
      </c>
      <c r="AF103" s="16">
        <f>P23</f>
        <v>0</v>
      </c>
      <c r="AG103" s="16">
        <f>P24</f>
        <v>0.0268489540438149</v>
      </c>
      <c r="AH103" s="16">
        <f>P25</f>
        <v>-0.00748583039247139</v>
      </c>
      <c r="AI103" s="16">
        <f>P26</f>
        <v>0.0128757676974464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1821.3</v>
      </c>
      <c r="AF104" t="s" s="44">
        <v>72</v>
      </c>
      <c r="AG104" s="15">
        <f>C23</f>
        <v>1821.3</v>
      </c>
      <c r="AH104" t="s" s="44">
        <v>72</v>
      </c>
      <c r="AI104" s="15">
        <f>C24</f>
        <v>1870.2</v>
      </c>
      <c r="AJ104" t="s" s="44">
        <v>72</v>
      </c>
      <c r="AK104" s="15">
        <f>C25</f>
        <v>1856.2</v>
      </c>
      <c r="AL104" t="s" s="44">
        <v>72</v>
      </c>
      <c r="AM104" s="15">
        <f>C26</f>
        <v>1880.1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0.0128757676974464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1880.1</v>
      </c>
      <c r="AM105" t="s" s="48">
        <f>AN104</f>
        <v>22</v>
      </c>
      <c r="AN105" t="s" s="44">
        <v>77</v>
      </c>
      <c r="AO105" t="s" s="44">
        <f>IF(AP105&gt;0,"+","")</f>
      </c>
      <c r="AP105" s="16">
        <f>AH91</f>
        <v>-0.872536329868428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0.00805972283719748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0.0075</v>
      </c>
      <c r="AG107" t="s" s="44">
        <v>82</v>
      </c>
      <c r="AH107" t="s" s="44">
        <v>83</v>
      </c>
      <c r="AI107" s="23">
        <f>AH52</f>
        <v>1936.685332098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0.70905397243727</v>
      </c>
      <c r="AF110" s="16">
        <f>(D23+E23)/C23</f>
        <v>0.70905397243727</v>
      </c>
      <c r="AG110" s="16">
        <f>((E24+D24)/C24)</f>
        <v>0.581595551277938</v>
      </c>
      <c r="AH110" s="16">
        <f>(D25+E25)/C25</f>
        <v>0.614481198146751</v>
      </c>
      <c r="AI110" s="16">
        <f>(D26+E26)/C26</f>
        <v>0.617041646720919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680.1</v>
      </c>
      <c r="AF111" t="s" s="44">
        <v>72</v>
      </c>
      <c r="AG111" s="15">
        <f>E23</f>
        <v>680.1</v>
      </c>
      <c r="AH111" t="s" s="44">
        <v>72</v>
      </c>
      <c r="AI111" s="15">
        <f>E24</f>
        <v>459.4</v>
      </c>
      <c r="AJ111" t="s" s="44">
        <v>72</v>
      </c>
      <c r="AK111" s="15">
        <f>E25</f>
        <v>432.1</v>
      </c>
      <c r="AL111" t="s" s="44">
        <v>72</v>
      </c>
      <c r="AM111" s="15">
        <f>E26</f>
        <v>335.1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0.614481198146751</v>
      </c>
      <c r="AG112" t="s" s="44">
        <v>76</v>
      </c>
      <c r="AH112" s="16">
        <f>AI110</f>
        <v>0.617041646720919</v>
      </c>
      <c r="AI112" t="s" s="44">
        <v>90</v>
      </c>
      <c r="AJ112" s="15">
        <f>AK111</f>
        <v>432.1</v>
      </c>
      <c r="AK112" t="s" s="44">
        <v>76</v>
      </c>
      <c r="AL112" s="15">
        <f>AM111</f>
        <v>335.1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0.63054309214572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0.617041646720919</v>
      </c>
      <c r="AG114" t="s" s="44">
        <v>94</v>
      </c>
      <c r="AH114" s="15">
        <f>AH66</f>
        <v>474.415506498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360</v>
      </c>
      <c r="AG115" t="s" s="44">
        <f>IF(AH121&lt;0,"negative","positive")</f>
        <v>485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292.3</v>
      </c>
      <c r="AG116" s="15">
        <f>ABS(AH121)</f>
        <v>11751.6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292.3</v>
      </c>
      <c r="AF117" s="15">
        <f>ABS(AH121)</f>
        <v>11751.6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7.15</v>
      </c>
      <c r="AF119" t="s" s="44">
        <v>72</v>
      </c>
      <c r="AG119" s="15">
        <f>J23</f>
        <v>7.15</v>
      </c>
      <c r="AH119" t="s" s="44">
        <v>72</v>
      </c>
      <c r="AI119" s="15">
        <f>J24</f>
        <v>2088.3</v>
      </c>
      <c r="AJ119" t="s" s="44">
        <v>72</v>
      </c>
      <c r="AK119" s="15">
        <f>J25</f>
        <v>1136.4</v>
      </c>
      <c r="AL119" t="s" s="44">
        <v>72</v>
      </c>
      <c r="AM119" s="15">
        <f>J26</f>
        <v>-2731.3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-3324.5</v>
      </c>
      <c r="AF120" t="s" s="44">
        <v>72</v>
      </c>
      <c r="AG120" s="15">
        <f>K23</f>
        <v>-3324.5</v>
      </c>
      <c r="AH120" t="s" s="44">
        <v>72</v>
      </c>
      <c r="AI120" s="15">
        <f>K24</f>
        <v>-224</v>
      </c>
      <c r="AJ120" t="s" s="44">
        <v>72</v>
      </c>
      <c r="AK120" s="15">
        <f>K25</f>
        <v>-844.1</v>
      </c>
      <c r="AL120" t="s" s="44">
        <v>72</v>
      </c>
      <c r="AM120" s="15">
        <f>K26</f>
        <v>-9020.299999999999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292.3</v>
      </c>
      <c r="AG121" t="s" s="44">
        <v>76</v>
      </c>
      <c r="AH121" s="15">
        <f>AM119+AM120</f>
        <v>-11751.6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-9020.299999999999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-3228.0875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-534.05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652.2087990745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87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0</v>
      </c>
      <c r="AF126" t="s" s="44">
        <v>72</v>
      </c>
      <c r="AG126" s="15">
        <f>F23</f>
        <v>19133.387</v>
      </c>
      <c r="AH126" t="s" s="44">
        <v>72</v>
      </c>
      <c r="AI126" s="15">
        <f>F24</f>
        <v>18639.287</v>
      </c>
      <c r="AJ126" t="s" s="44">
        <v>72</v>
      </c>
      <c r="AK126" s="15">
        <f>F25</f>
        <v>17022</v>
      </c>
      <c r="AL126" t="s" s="44">
        <v>72</v>
      </c>
      <c r="AM126" s="15">
        <f>F26</f>
        <v>5403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0</v>
      </c>
      <c r="AF127" t="s" s="44">
        <v>72</v>
      </c>
      <c r="AG127" s="15">
        <f>G23</f>
        <v>24083</v>
      </c>
      <c r="AH127" t="s" s="44">
        <v>72</v>
      </c>
      <c r="AI127" s="15">
        <f>G24</f>
        <v>23374</v>
      </c>
      <c r="AJ127" t="s" s="44">
        <v>72</v>
      </c>
      <c r="AK127" s="15">
        <f>G25</f>
        <v>21568</v>
      </c>
      <c r="AL127" t="s" s="44">
        <v>72</v>
      </c>
      <c r="AM127" s="15">
        <f>G26</f>
        <v>21699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370</v>
      </c>
      <c r="AG128" s="15">
        <f>AK126</f>
        <v>17022</v>
      </c>
      <c r="AH128" t="s" s="44">
        <v>76</v>
      </c>
      <c r="AI128" s="15">
        <f>AM126</f>
        <v>5403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21568</v>
      </c>
      <c r="AH129" t="s" s="44">
        <v>76</v>
      </c>
      <c r="AI129" s="15">
        <f>AM127</f>
        <v>21699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87</v>
      </c>
      <c r="AN129" s="15">
        <f>AG128-AG129</f>
        <v>-4546</v>
      </c>
      <c r="AO129" t="s" s="44">
        <v>76</v>
      </c>
      <c r="AP129" s="15">
        <f>AI128-AI129</f>
        <v>-16296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0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-2608.835196298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-13687.164803702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-3182</v>
      </c>
      <c r="AF133" t="s" s="44">
        <v>72</v>
      </c>
      <c r="AG133" s="15">
        <f>-L23</f>
        <v>-3182</v>
      </c>
      <c r="AH133" t="s" s="44">
        <v>72</v>
      </c>
      <c r="AI133" s="15">
        <f>-L24</f>
        <v>2358</v>
      </c>
      <c r="AJ133" t="s" s="44">
        <v>72</v>
      </c>
      <c r="AK133" s="15">
        <f>-L25</f>
        <v>885.8</v>
      </c>
      <c r="AL133" t="s" s="44">
        <v>72</v>
      </c>
      <c r="AM133" s="15">
        <f>-L26</f>
        <v>-756.3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-4070.5</v>
      </c>
      <c r="AF134" t="s" s="44">
        <v>72</v>
      </c>
      <c r="AG134" s="15">
        <f>-M23</f>
        <v>-4070.5</v>
      </c>
      <c r="AH134" t="s" s="44">
        <v>72</v>
      </c>
      <c r="AI134" s="15">
        <f>-M24</f>
        <v>0</v>
      </c>
      <c r="AJ134" t="s" s="44">
        <v>72</v>
      </c>
      <c r="AK134" s="15">
        <f>-M25</f>
        <v>1023.6</v>
      </c>
      <c r="AL134" t="s" s="44">
        <v>72</v>
      </c>
      <c r="AM134" s="15">
        <f>-M26</f>
        <v>623.9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698</v>
      </c>
      <c r="AF135" t="s" s="44">
        <f>IF(AG135&gt;0,"paid","(raised)")</f>
        <v>121</v>
      </c>
      <c r="AG135" s="15">
        <f>SUM(AM133:AM134)</f>
        <v>-132.4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-756.3</v>
      </c>
      <c r="AM135" t="s" s="48">
        <f>AN104</f>
        <v>22</v>
      </c>
      <c r="AN135" t="s" s="44">
        <v>123</v>
      </c>
      <c r="AO135" s="15">
        <f>AM134</f>
        <v>623.9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2608.835196298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58051.61234432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1.07132387120701</v>
      </c>
      <c r="AK136" t="s" s="44">
        <v>130</v>
      </c>
      <c r="AL136" t="s" s="44">
        <v>131</v>
      </c>
      <c r="AM136" t="s" s="44">
        <v>132</v>
      </c>
      <c r="AN136" s="15">
        <f>AH85</f>
        <v>18.6994563969489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2608.835196298</v>
      </c>
      <c r="AG137" t="s" s="48">
        <f>AG136</f>
        <v>22</v>
      </c>
      <c r="AH137" t="s" s="44">
        <v>136</v>
      </c>
      <c r="AI137" s="15">
        <f>AF136/AF137</f>
        <v>22.251927767111</v>
      </c>
      <c r="AJ137" t="s" s="44">
        <v>130</v>
      </c>
      <c r="AK137" t="s" s="44">
        <v>137</v>
      </c>
      <c r="AL137" t="s" s="44">
        <v>138</v>
      </c>
      <c r="AM137" s="15">
        <f>AH86</f>
        <v>12</v>
      </c>
      <c r="AN137" t="s" s="44">
        <v>139</v>
      </c>
      <c r="AO137" t="s" s="44">
        <v>140</v>
      </c>
      <c r="AP137" t="s" s="44">
        <v>141</v>
      </c>
      <c r="AQ137" s="16">
        <f>AJ94</f>
        <v>-0.460720881103329</v>
      </c>
      <c r="AR137" t="s" s="44">
        <f>IF(AQ137&gt;0,"higher","lower")</f>
        <v>104</v>
      </c>
      <c r="AS137" t="s" s="44">
        <v>142</v>
      </c>
      <c r="AT137" s="15">
        <f>AH94</f>
        <v>374.798987633186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1821.3</v>
      </c>
      <c r="AE140" s="15">
        <f>AG104</f>
        <v>1821.3</v>
      </c>
      <c r="AF140" s="15">
        <f>AI104</f>
        <v>1870.2</v>
      </c>
      <c r="AG140" s="15">
        <f>AK104</f>
        <v>1856.2</v>
      </c>
      <c r="AH140" s="15">
        <f>AM104</f>
        <v>1880.1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-3317.35</v>
      </c>
      <c r="AE141" s="15">
        <f>SUM(AG119:AG120)</f>
        <v>-3317.35</v>
      </c>
      <c r="AF141" s="15">
        <f>SUM(AI119:AI120)</f>
        <v>1864.3</v>
      </c>
      <c r="AG141" s="15">
        <f>SUM(AK119:AK120)</f>
        <v>292.3</v>
      </c>
      <c r="AH141" s="15">
        <f>SUM(AM119:AM120)</f>
        <v>-11751.6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-7252.5</v>
      </c>
      <c r="AE142" s="15">
        <f>SUM(AG133:AG134)</f>
        <v>-7252.5</v>
      </c>
      <c r="AF142" s="15">
        <f>SUM(AI133:AI134)</f>
        <v>2358</v>
      </c>
      <c r="AG142" s="15">
        <f>SUM(AK133:AK134)</f>
        <v>1909.4</v>
      </c>
      <c r="AH142" s="15">
        <f>SUM(AM133:AM134)</f>
        <v>-132.4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0</v>
      </c>
      <c r="AE143" s="15">
        <f>(AG126-AG127)</f>
        <v>-4949.613</v>
      </c>
      <c r="AF143" s="15">
        <f>(AI126-AI127)</f>
        <v>-4734.713</v>
      </c>
      <c r="AG143" s="15">
        <f>(AK126-AK127)</f>
        <v>-4546</v>
      </c>
      <c r="AH143" s="15">
        <f>(AM126-AM127)</f>
        <v>-16296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374.798987633186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38" customWidth="1"/>
    <col min="2" max="28" width="10.4844" style="338" customWidth="1"/>
    <col min="29" max="29" width="18.9766" style="339" customWidth="1"/>
    <col min="30" max="48" width="9" style="339" customWidth="1"/>
    <col min="49" max="16384" width="16.3516" style="339" customWidth="1"/>
  </cols>
  <sheetData>
    <row r="1" ht="11.65" customHeight="1"/>
    <row r="2" ht="27.65" customHeight="1">
      <c r="B2" t="s" s="2">
        <v>699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344</v>
      </c>
      <c r="AA3" t="s" s="3">
        <v>19</v>
      </c>
      <c r="AB3" t="s" s="3">
        <v>20</v>
      </c>
    </row>
    <row r="4" ht="20.25" customHeight="1">
      <c r="B4" s="6">
        <v>2017</v>
      </c>
      <c r="C4" s="7">
        <v>485.45</v>
      </c>
      <c r="D4" s="8">
        <v>7.98</v>
      </c>
      <c r="E4" s="8">
        <v>-6.65</v>
      </c>
      <c r="F4" s="8">
        <v>199.5</v>
      </c>
      <c r="G4" s="8">
        <v>1064</v>
      </c>
      <c r="H4" s="8">
        <v>1596</v>
      </c>
      <c r="I4" s="8">
        <v>532</v>
      </c>
      <c r="J4" s="8">
        <v>21.28</v>
      </c>
      <c r="K4" s="8">
        <v>-2.66</v>
      </c>
      <c r="L4" s="8">
        <v>21.28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-21.28</v>
      </c>
      <c r="W4" s="9"/>
      <c r="X4" s="8">
        <f>F4-G4</f>
        <v>-864.5</v>
      </c>
      <c r="Y4" s="9"/>
      <c r="Z4" s="10"/>
      <c r="AA4" s="11"/>
      <c r="AB4" s="12">
        <v>13.3</v>
      </c>
    </row>
    <row r="5" ht="20.05" customHeight="1">
      <c r="B5" s="13"/>
      <c r="C5" s="14">
        <v>478.4393</v>
      </c>
      <c r="D5" s="15">
        <v>6.6635</v>
      </c>
      <c r="E5" s="15">
        <v>0</v>
      </c>
      <c r="F5" s="15">
        <v>226.559</v>
      </c>
      <c r="G5" s="15">
        <v>1119.468</v>
      </c>
      <c r="H5" s="15">
        <v>1652.548</v>
      </c>
      <c r="I5" s="15">
        <v>511.7568</v>
      </c>
      <c r="J5" s="15">
        <v>-29.3194</v>
      </c>
      <c r="K5" s="15">
        <v>-2.6654</v>
      </c>
      <c r="L5" s="15">
        <v>21.3232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-42.6032</v>
      </c>
      <c r="W5" s="17"/>
      <c r="X5" s="15">
        <f>F5-G5</f>
        <v>-892.909</v>
      </c>
      <c r="Y5" s="17"/>
      <c r="Z5" s="18"/>
      <c r="AA5" s="19"/>
      <c r="AB5" s="20">
        <v>13.327</v>
      </c>
    </row>
    <row r="6" ht="20.05" customHeight="1">
      <c r="B6" s="13"/>
      <c r="C6" s="14">
        <v>500.268</v>
      </c>
      <c r="D6" s="15">
        <v>7.983</v>
      </c>
      <c r="E6" s="15">
        <v>10.644</v>
      </c>
      <c r="F6" s="15">
        <v>186.27</v>
      </c>
      <c r="G6" s="15">
        <v>1091.01</v>
      </c>
      <c r="H6" s="15">
        <v>1636.515</v>
      </c>
      <c r="I6" s="15">
        <v>548.1660000000001</v>
      </c>
      <c r="J6" s="15">
        <v>-87.813</v>
      </c>
      <c r="K6" s="15">
        <v>-5.322</v>
      </c>
      <c r="L6" s="15">
        <v>21.288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-63.8912</v>
      </c>
      <c r="W6" s="17"/>
      <c r="X6" s="15">
        <f>F6-G6</f>
        <v>-904.74</v>
      </c>
      <c r="Y6" s="17"/>
      <c r="Z6" s="18"/>
      <c r="AA6" s="19"/>
      <c r="AB6" s="20">
        <v>13.305</v>
      </c>
    </row>
    <row r="7" ht="20.05" customHeight="1">
      <c r="B7" s="13"/>
      <c r="C7" s="14">
        <v>565.3269</v>
      </c>
      <c r="D7" s="15">
        <v>8.1342</v>
      </c>
      <c r="E7" s="15">
        <v>13.557</v>
      </c>
      <c r="F7" s="15">
        <v>189.798</v>
      </c>
      <c r="G7" s="15">
        <v>1138.788</v>
      </c>
      <c r="H7" s="15">
        <v>1708.182</v>
      </c>
      <c r="I7" s="15">
        <v>496.1862</v>
      </c>
      <c r="J7" s="15">
        <v>-54.228</v>
      </c>
      <c r="K7" s="15">
        <v>-12.2013</v>
      </c>
      <c r="L7" s="15">
        <v>21.6912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-85.58240000000001</v>
      </c>
      <c r="W7" s="17"/>
      <c r="X7" s="15">
        <f>F7-G7</f>
        <v>-948.99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601.3557</v>
      </c>
      <c r="D8" s="15">
        <v>6.8805</v>
      </c>
      <c r="E8" s="15">
        <v>-1.3761</v>
      </c>
      <c r="F8" s="15">
        <v>96.327</v>
      </c>
      <c r="G8" s="15">
        <v>1045.836</v>
      </c>
      <c r="H8" s="15">
        <v>1623.798</v>
      </c>
      <c r="I8" s="15">
        <v>670.1607</v>
      </c>
      <c r="J8" s="15">
        <v>53.6679</v>
      </c>
      <c r="K8" s="15">
        <v>-4.1283</v>
      </c>
      <c r="L8" s="15">
        <v>43.691175</v>
      </c>
      <c r="M8" s="15">
        <v>0</v>
      </c>
      <c r="N8" s="15">
        <f>SUM(C5:C8)/4</f>
        <v>536.347475</v>
      </c>
      <c r="O8" s="15"/>
      <c r="P8" s="16"/>
      <c r="Q8" s="16"/>
      <c r="R8" s="16"/>
      <c r="S8" s="17"/>
      <c r="T8" s="15">
        <f>SUM(J5:K8)/4</f>
        <v>-35.502375</v>
      </c>
      <c r="U8" s="25"/>
      <c r="V8" s="15">
        <f>-(L8+M8)+V7</f>
        <v>-129.273575</v>
      </c>
      <c r="W8" s="17"/>
      <c r="X8" s="15">
        <f>F8-G8</f>
        <v>-949.509</v>
      </c>
      <c r="Y8" s="24"/>
      <c r="Z8" s="23">
        <v>4800</v>
      </c>
      <c r="AA8" s="22"/>
      <c r="AB8" s="20">
        <v>13.761</v>
      </c>
    </row>
    <row r="9" ht="20.05" customHeight="1">
      <c r="B9" s="13"/>
      <c r="C9" s="14">
        <v>532</v>
      </c>
      <c r="D9" s="15">
        <v>7</v>
      </c>
      <c r="E9" s="15">
        <v>-19.6</v>
      </c>
      <c r="F9" s="15">
        <v>126</v>
      </c>
      <c r="G9" s="15">
        <v>1204</v>
      </c>
      <c r="H9" s="15">
        <v>1764</v>
      </c>
      <c r="I9" s="15">
        <v>547.4</v>
      </c>
      <c r="J9" s="15">
        <v>21</v>
      </c>
      <c r="K9" s="15">
        <v>-9.800000000000001</v>
      </c>
      <c r="L9" s="15">
        <v>44.45</v>
      </c>
      <c r="M9" s="15">
        <v>0</v>
      </c>
      <c r="N9" s="15">
        <f>SUM(C6:C9)/4</f>
        <v>549.73765</v>
      </c>
      <c r="O9" s="15"/>
      <c r="P9" s="16"/>
      <c r="Q9" s="16"/>
      <c r="R9" s="16"/>
      <c r="S9" s="17"/>
      <c r="T9" s="15">
        <f>SUM(J6:K9)/4</f>
        <v>-24.706175</v>
      </c>
      <c r="U9" s="25"/>
      <c r="V9" s="15">
        <f>-(L9+M9)+V8</f>
        <v>-173.723575</v>
      </c>
      <c r="W9" s="17"/>
      <c r="X9" s="15">
        <f>F13-G9</f>
        <v>-1133.365</v>
      </c>
      <c r="Y9" s="24"/>
      <c r="Z9" s="23">
        <v>4800</v>
      </c>
      <c r="AA9" s="22"/>
      <c r="AB9" s="20">
        <v>14</v>
      </c>
    </row>
    <row r="10" ht="20.05" customHeight="1">
      <c r="B10" s="13"/>
      <c r="C10" s="14">
        <v>621.4134</v>
      </c>
      <c r="D10" s="15">
        <v>8.9412</v>
      </c>
      <c r="E10" s="15">
        <v>-25.3334</v>
      </c>
      <c r="F10" s="15">
        <v>104.314</v>
      </c>
      <c r="G10" s="15">
        <v>1311.376</v>
      </c>
      <c r="H10" s="15">
        <v>1892.554</v>
      </c>
      <c r="I10" s="15">
        <v>572.2368</v>
      </c>
      <c r="J10" s="15">
        <v>-138.5886</v>
      </c>
      <c r="K10" s="15">
        <v>-7.451</v>
      </c>
      <c r="L10" s="15">
        <v>47.31385</v>
      </c>
      <c r="M10" s="15">
        <v>0</v>
      </c>
      <c r="N10" s="15">
        <f>SUM(C7:C10)/4</f>
        <v>580.024</v>
      </c>
      <c r="O10" s="15"/>
      <c r="P10" s="16"/>
      <c r="Q10" s="16"/>
      <c r="R10" s="16"/>
      <c r="S10" s="17"/>
      <c r="T10" s="15">
        <f>SUM(J7:K10)/4</f>
        <v>-37.932325</v>
      </c>
      <c r="U10" s="25"/>
      <c r="V10" s="15">
        <f>-(L10+M10)+V9</f>
        <v>-221.037425</v>
      </c>
      <c r="W10" s="17"/>
      <c r="X10" s="15">
        <f>F10-G10</f>
        <v>-1207.062</v>
      </c>
      <c r="Y10" s="24"/>
      <c r="Z10" s="23">
        <v>4900</v>
      </c>
      <c r="AA10" s="22"/>
      <c r="AB10" s="20">
        <v>14.902</v>
      </c>
    </row>
    <row r="11" ht="20.05" customHeight="1">
      <c r="B11" s="13"/>
      <c r="C11" s="14">
        <v>570.886</v>
      </c>
      <c r="D11" s="15">
        <v>8.628</v>
      </c>
      <c r="E11" s="15">
        <v>24.446</v>
      </c>
      <c r="F11" s="15">
        <v>158.18</v>
      </c>
      <c r="G11" s="15">
        <v>1509.9</v>
      </c>
      <c r="H11" s="15">
        <v>2128.24</v>
      </c>
      <c r="I11" s="15">
        <v>619.778</v>
      </c>
      <c r="J11" s="15">
        <v>2.876</v>
      </c>
      <c r="K11" s="15">
        <v>-1.438</v>
      </c>
      <c r="L11" s="15">
        <v>45.6565</v>
      </c>
      <c r="M11" s="15">
        <v>0</v>
      </c>
      <c r="N11" s="15">
        <f>SUM(C8:C11)/4</f>
        <v>581.413775</v>
      </c>
      <c r="O11" s="15"/>
      <c r="P11" s="16"/>
      <c r="Q11" s="16"/>
      <c r="R11" s="16"/>
      <c r="S11" s="17"/>
      <c r="T11" s="15">
        <f>SUM(J8:K11)/4</f>
        <v>-20.9655</v>
      </c>
      <c r="U11" s="25"/>
      <c r="V11" s="15">
        <f>-(L11+M11)+V10</f>
        <v>-266.693925</v>
      </c>
      <c r="W11" s="17"/>
      <c r="X11" s="15">
        <f>F11-G11</f>
        <v>-1351.72</v>
      </c>
      <c r="Y11" s="24"/>
      <c r="Z11" s="23">
        <v>3600</v>
      </c>
      <c r="AA11" s="22"/>
      <c r="AB11" s="20">
        <v>14.38</v>
      </c>
    </row>
    <row r="12" ht="20.05" customHeight="1">
      <c r="B12" s="21">
        <v>2019</v>
      </c>
      <c r="C12" s="14">
        <v>720.544</v>
      </c>
      <c r="D12" s="15">
        <v>8.544</v>
      </c>
      <c r="E12" s="15">
        <v>31.328</v>
      </c>
      <c r="F12" s="15">
        <v>85.44</v>
      </c>
      <c r="G12" s="15">
        <v>1324.32</v>
      </c>
      <c r="H12" s="15">
        <v>1965.12</v>
      </c>
      <c r="I12" s="15">
        <v>739.056</v>
      </c>
      <c r="J12" s="15">
        <v>61.232</v>
      </c>
      <c r="K12" s="15">
        <v>-5.696</v>
      </c>
      <c r="L12" s="15">
        <v>29.904</v>
      </c>
      <c r="M12" s="15">
        <v>0</v>
      </c>
      <c r="N12" s="15">
        <f>SUM(C9:C12)/4</f>
        <v>611.2108500000001</v>
      </c>
      <c r="O12" s="23"/>
      <c r="P12" s="16"/>
      <c r="Q12" s="16">
        <f>(E12+D12)/C12</f>
        <v>0.0553359683794466</v>
      </c>
      <c r="R12" s="16">
        <f>AVERAGE(Q9:Q12)</f>
        <v>0.0553359683794466</v>
      </c>
      <c r="S12" s="17"/>
      <c r="T12" s="15">
        <f>SUM(J9:K12)/4</f>
        <v>-19.4664</v>
      </c>
      <c r="U12" s="25"/>
      <c r="V12" s="15">
        <f>-(L12+M12)+V11</f>
        <v>-296.597925</v>
      </c>
      <c r="W12" s="17"/>
      <c r="X12" s="15">
        <f>F12-G12</f>
        <v>-1238.88</v>
      </c>
      <c r="Y12" s="24"/>
      <c r="Z12" s="23">
        <v>2860</v>
      </c>
      <c r="AA12" s="22"/>
      <c r="AB12" s="20">
        <v>14.24</v>
      </c>
    </row>
    <row r="13" ht="20.05" customHeight="1">
      <c r="B13" s="13"/>
      <c r="C13" s="14">
        <v>457.7148</v>
      </c>
      <c r="D13" s="15">
        <v>8.4762</v>
      </c>
      <c r="E13" s="15">
        <v>2.8254</v>
      </c>
      <c r="F13" s="15">
        <v>70.63500000000001</v>
      </c>
      <c r="G13" s="15">
        <v>1045.398</v>
      </c>
      <c r="H13" s="15">
        <v>1681.113</v>
      </c>
      <c r="I13" s="15">
        <v>706.35</v>
      </c>
      <c r="J13" s="15">
        <v>52.2699</v>
      </c>
      <c r="K13" s="15">
        <v>-1.4127</v>
      </c>
      <c r="L13" s="15">
        <v>29.6667</v>
      </c>
      <c r="M13" s="15">
        <v>0</v>
      </c>
      <c r="N13" s="15">
        <f>SUM(C10:C13)/4</f>
        <v>592.63955</v>
      </c>
      <c r="O13" s="23"/>
      <c r="P13" s="16">
        <f>C13/C12-1</f>
        <v>-0.364764955367056</v>
      </c>
      <c r="Q13" s="16">
        <f>(E13+D13)/C13</f>
        <v>0.0246913580246914</v>
      </c>
      <c r="R13" s="16">
        <f>AVERAGE(Q10:Q13)</f>
        <v>0.040013663202069</v>
      </c>
      <c r="S13" s="17"/>
      <c r="T13" s="15">
        <f>SUM(J10:K13)/4</f>
        <v>-9.552099999999999</v>
      </c>
      <c r="U13" s="25"/>
      <c r="V13" s="15">
        <f>-(L13+M13)+V12</f>
        <v>-326.264625</v>
      </c>
      <c r="W13" s="17"/>
      <c r="X13" s="15">
        <f>F13-G13</f>
        <v>-974.763</v>
      </c>
      <c r="Y13" s="24"/>
      <c r="Z13" s="23">
        <v>1350</v>
      </c>
      <c r="AA13" s="24"/>
      <c r="AB13" s="15">
        <v>14.127</v>
      </c>
    </row>
    <row r="14" ht="20.05" customHeight="1">
      <c r="B14" s="13"/>
      <c r="C14" s="14">
        <v>579.1559999999999</v>
      </c>
      <c r="D14" s="15">
        <v>8.516999999999999</v>
      </c>
      <c r="E14" s="15">
        <v>-8.516999999999999</v>
      </c>
      <c r="F14" s="15">
        <v>156.145</v>
      </c>
      <c r="G14" s="15">
        <v>1249.16</v>
      </c>
      <c r="H14" s="15">
        <v>1887.935</v>
      </c>
      <c r="I14" s="15">
        <v>566.3805</v>
      </c>
      <c r="J14" s="15">
        <v>-19.873</v>
      </c>
      <c r="K14" s="15">
        <v>-2.839</v>
      </c>
      <c r="L14" s="15">
        <v>29.8095</v>
      </c>
      <c r="M14" s="15">
        <v>0</v>
      </c>
      <c r="N14" s="15">
        <f>SUM(C11:C14)/4</f>
        <v>582.0752</v>
      </c>
      <c r="O14" s="23"/>
      <c r="P14" s="16">
        <f>C14/C13-1</f>
        <v>0.265320675669653</v>
      </c>
      <c r="Q14" s="16">
        <f>(E14+D14)/C14</f>
        <v>0</v>
      </c>
      <c r="R14" s="16">
        <f>AVERAGE(Q11:Q14)</f>
        <v>0.026675775468046</v>
      </c>
      <c r="S14" s="17"/>
      <c r="T14" s="15">
        <f>SUM(J11:K14)/4</f>
        <v>21.2798</v>
      </c>
      <c r="U14" s="25"/>
      <c r="V14" s="15">
        <f>-(L14+M14)+V13</f>
        <v>-356.074125</v>
      </c>
      <c r="W14" s="17"/>
      <c r="X14" s="15">
        <f>F14-G14</f>
        <v>-1093.015</v>
      </c>
      <c r="Y14" s="24"/>
      <c r="Z14" s="23">
        <v>1040</v>
      </c>
      <c r="AA14" s="24"/>
      <c r="AB14" s="15">
        <v>14.195</v>
      </c>
    </row>
    <row r="15" ht="20.05" customHeight="1">
      <c r="B15" s="13"/>
      <c r="C15" s="14">
        <v>545.5626</v>
      </c>
      <c r="D15" s="15">
        <v>8.3292</v>
      </c>
      <c r="E15" s="15">
        <v>12.4938</v>
      </c>
      <c r="F15" s="15">
        <v>388.696</v>
      </c>
      <c r="G15" s="15">
        <v>1471.492</v>
      </c>
      <c r="H15" s="15">
        <v>2110.064</v>
      </c>
      <c r="I15" s="15">
        <v>589.985</v>
      </c>
      <c r="J15" s="15">
        <v>49.9752</v>
      </c>
      <c r="K15" s="15">
        <v>-12.4938</v>
      </c>
      <c r="L15" s="15">
        <v>29.1522</v>
      </c>
      <c r="M15" s="15">
        <v>0</v>
      </c>
      <c r="N15" s="15">
        <f>SUM(C12:C15)/4</f>
        <v>575.7443500000001</v>
      </c>
      <c r="O15" s="15"/>
      <c r="P15" s="16">
        <f>C15/C14-1</f>
        <v>-0.0580040610819883</v>
      </c>
      <c r="Q15" s="16">
        <f>(E15+D15)/C15</f>
        <v>0.0381679389312977</v>
      </c>
      <c r="R15" s="16">
        <f>AVERAGE(Q12:Q15)</f>
        <v>0.0295488163338589</v>
      </c>
      <c r="S15" s="17"/>
      <c r="T15" s="15">
        <f>SUM(J12:K15)/4</f>
        <v>30.29065</v>
      </c>
      <c r="U15" s="25"/>
      <c r="V15" s="15">
        <f>-(L15+M15)+V14</f>
        <v>-385.226325</v>
      </c>
      <c r="W15" s="17"/>
      <c r="X15" s="15">
        <f>F15-G15</f>
        <v>-1082.796</v>
      </c>
      <c r="Y15" s="24"/>
      <c r="Z15" s="23">
        <v>675</v>
      </c>
      <c r="AA15" s="24"/>
      <c r="AB15" s="15">
        <v>13.882</v>
      </c>
    </row>
    <row r="16" ht="20.05" customHeight="1">
      <c r="B16" s="21">
        <v>2020</v>
      </c>
      <c r="C16" s="14">
        <v>620.07358</v>
      </c>
      <c r="D16" s="15">
        <v>-146.6269</v>
      </c>
      <c r="E16" s="15">
        <v>-165.3834</v>
      </c>
      <c r="F16" s="15">
        <v>501.66298</v>
      </c>
      <c r="G16" s="15">
        <v>1746.801</v>
      </c>
      <c r="H16" s="15">
        <v>2325.6429</v>
      </c>
      <c r="I16" s="15">
        <v>676.865</v>
      </c>
      <c r="J16" s="15">
        <v>25.23157</v>
      </c>
      <c r="K16" s="15">
        <v>-0.5219200000000001</v>
      </c>
      <c r="L16" s="15">
        <v>48.93</v>
      </c>
      <c r="M16" s="15">
        <v>0</v>
      </c>
      <c r="N16" s="15">
        <f>SUM(C13:C16)/4</f>
        <v>550.626745</v>
      </c>
      <c r="O16" s="15"/>
      <c r="P16" s="16">
        <f>C16/C15-1</f>
        <v>0.136576407546998</v>
      </c>
      <c r="Q16" s="16">
        <f>(E16+D16)/C16</f>
        <v>-0.503182702930191</v>
      </c>
      <c r="R16" s="16">
        <f>AVERAGE(Q13:Q16)</f>
        <v>-0.11008085149355</v>
      </c>
      <c r="S16" s="17"/>
      <c r="T16" s="15">
        <f>SUM(J13:K16)/4</f>
        <v>22.5840625</v>
      </c>
      <c r="U16" s="25"/>
      <c r="V16" s="15">
        <f>-(L16+M16)+V15</f>
        <v>-434.156325</v>
      </c>
      <c r="W16" s="17"/>
      <c r="X16" s="15">
        <f>F16-G16</f>
        <v>-1245.13802</v>
      </c>
      <c r="Y16" s="24"/>
      <c r="Z16" s="25">
        <v>408</v>
      </c>
      <c r="AA16" s="17"/>
      <c r="AB16" s="15">
        <v>16.31</v>
      </c>
    </row>
    <row r="17" ht="20.05" customHeight="1">
      <c r="B17" s="13"/>
      <c r="C17" s="14">
        <v>452.154345</v>
      </c>
      <c r="D17" s="15">
        <v>142.57851</v>
      </c>
      <c r="E17" s="15">
        <v>148.67965</v>
      </c>
      <c r="F17" s="15">
        <v>327.865</v>
      </c>
      <c r="G17" s="15">
        <v>1297.205</v>
      </c>
      <c r="H17" s="15">
        <v>1952.935</v>
      </c>
      <c r="I17" s="15">
        <v>581.604</v>
      </c>
      <c r="J17" s="15">
        <v>77.504435</v>
      </c>
      <c r="K17" s="15">
        <v>-0.71275</v>
      </c>
      <c r="L17" s="15">
        <v>-226.6545</v>
      </c>
      <c r="M17" s="15">
        <v>0</v>
      </c>
      <c r="N17" s="15">
        <f>SUM(C14:C17)/4</f>
        <v>549.23663125</v>
      </c>
      <c r="O17" s="15"/>
      <c r="P17" s="16">
        <f>C17/C16-1</f>
        <v>-0.27080533732787</v>
      </c>
      <c r="Q17" s="16">
        <f>(E17+D17)/C17</f>
        <v>0.644156499259119</v>
      </c>
      <c r="R17" s="16">
        <f>AVERAGE(Q14:Q17)</f>
        <v>0.0447854338150564</v>
      </c>
      <c r="S17" s="17"/>
      <c r="T17" s="25">
        <f>SUM(J14:K17)/4</f>
        <v>29.06768375</v>
      </c>
      <c r="U17" s="25"/>
      <c r="V17" s="15">
        <f>-(L17+M17)+V16</f>
        <v>-207.501825</v>
      </c>
      <c r="W17" s="17"/>
      <c r="X17" s="15">
        <f>F17-G17</f>
        <v>-969.34</v>
      </c>
      <c r="Y17" s="24"/>
      <c r="Z17" s="25">
        <v>480</v>
      </c>
      <c r="AA17" s="17"/>
      <c r="AB17" s="15">
        <v>14.255</v>
      </c>
    </row>
    <row r="18" ht="20.05" customHeight="1">
      <c r="B18" s="13"/>
      <c r="C18" s="14">
        <v>536.3297700000001</v>
      </c>
      <c r="D18" s="15">
        <v>-19.40448</v>
      </c>
      <c r="E18" s="15">
        <v>-19.8186</v>
      </c>
      <c r="F18" s="15">
        <v>221.85</v>
      </c>
      <c r="G18" s="15">
        <v>1183.2</v>
      </c>
      <c r="H18" s="15">
        <v>1833.96</v>
      </c>
      <c r="I18" s="15">
        <v>517.65</v>
      </c>
      <c r="J18" s="15">
        <v>-39.69636</v>
      </c>
      <c r="K18" s="15">
        <v>-1.74522</v>
      </c>
      <c r="L18" s="15">
        <v>-73.95</v>
      </c>
      <c r="M18" s="15">
        <v>0</v>
      </c>
      <c r="N18" s="15">
        <f>SUM(C15:C18)/4</f>
        <v>538.53007375</v>
      </c>
      <c r="O18" s="15">
        <v>545.39604</v>
      </c>
      <c r="P18" s="16">
        <f>C18/C17-1</f>
        <v>0.186165246294382</v>
      </c>
      <c r="Q18" s="16">
        <f>(E18+D18)/C18</f>
        <v>-0.07313239390011859</v>
      </c>
      <c r="R18" s="16">
        <f>AVERAGE(Q15:Q18)</f>
        <v>0.0265023353400268</v>
      </c>
      <c r="S18" s="17"/>
      <c r="T18" s="25">
        <f>SUM(J15:K18)/4</f>
        <v>24.38528875</v>
      </c>
      <c r="U18" s="25"/>
      <c r="V18" s="15">
        <f>-(L18+M18)+V17</f>
        <v>-133.551825</v>
      </c>
      <c r="W18" s="17"/>
      <c r="X18" s="15">
        <f>F18-G18</f>
        <v>-961.35</v>
      </c>
      <c r="Y18" s="24"/>
      <c r="Z18" s="25">
        <v>680</v>
      </c>
      <c r="AA18" s="17"/>
      <c r="AB18" s="15">
        <v>14.79</v>
      </c>
    </row>
    <row r="19" ht="20.05" customHeight="1">
      <c r="B19" s="13"/>
      <c r="C19" s="14">
        <v>545.67</v>
      </c>
      <c r="D19" s="15">
        <v>71.91</v>
      </c>
      <c r="E19" s="15">
        <v>50.055</v>
      </c>
      <c r="F19" s="15">
        <v>211.5</v>
      </c>
      <c r="G19" s="15">
        <v>1184.4</v>
      </c>
      <c r="H19" s="15">
        <v>1861.2</v>
      </c>
      <c r="I19" s="15">
        <v>595.02</v>
      </c>
      <c r="J19" s="15">
        <v>53.58</v>
      </c>
      <c r="K19" s="15">
        <v>-5.64</v>
      </c>
      <c r="L19" s="15">
        <v>-43.71</v>
      </c>
      <c r="M19" s="15">
        <v>0</v>
      </c>
      <c r="N19" s="15">
        <f>SUM(C16:C19)/4</f>
        <v>538.55692375</v>
      </c>
      <c r="O19" s="15">
        <v>534.11411</v>
      </c>
      <c r="P19" s="16">
        <f>C19/C18-1</f>
        <v>0.0174150877360397</v>
      </c>
      <c r="Q19" s="16">
        <f>(E19+D19)/C19</f>
        <v>0.223514211886305</v>
      </c>
      <c r="R19" s="16">
        <f>AVERAGE(Q16:Q19)</f>
        <v>0.0728389035787786</v>
      </c>
      <c r="S19" s="17"/>
      <c r="T19" s="25">
        <f>SUM(J16:K19)/4</f>
        <v>26.99993875</v>
      </c>
      <c r="U19" s="25"/>
      <c r="V19" s="15">
        <f>-(L19+M19)+V18</f>
        <v>-89.841825</v>
      </c>
      <c r="W19" s="17"/>
      <c r="X19" s="15">
        <f>F19-G19</f>
        <v>-972.9</v>
      </c>
      <c r="Y19" s="24"/>
      <c r="Z19" s="15">
        <v>1445</v>
      </c>
      <c r="AA19" s="23">
        <v>1178.064464141820</v>
      </c>
      <c r="AB19" s="15">
        <v>14.1</v>
      </c>
    </row>
    <row r="20" ht="20.05" customHeight="1">
      <c r="B20" s="21">
        <v>2021</v>
      </c>
      <c r="C20" s="14">
        <v>686.482</v>
      </c>
      <c r="D20" s="15">
        <v>-5.8424</v>
      </c>
      <c r="E20" s="15">
        <v>21.909</v>
      </c>
      <c r="F20" s="15">
        <v>321.332</v>
      </c>
      <c r="G20" s="15">
        <v>1489.812</v>
      </c>
      <c r="H20" s="15">
        <v>2220.112</v>
      </c>
      <c r="I20" s="15">
        <v>576.937</v>
      </c>
      <c r="J20" s="15">
        <v>21.909</v>
      </c>
      <c r="K20" s="15">
        <v>-5.8424</v>
      </c>
      <c r="L20" s="15">
        <v>97.86020000000001</v>
      </c>
      <c r="M20" s="15">
        <v>0</v>
      </c>
      <c r="N20" s="15">
        <f>SUM(C17:C20)/4</f>
        <v>555.1590287499999</v>
      </c>
      <c r="O20" s="15">
        <v>563.3399094500001</v>
      </c>
      <c r="P20" s="16">
        <f>C20/C19-1</f>
        <v>0.258053402239449</v>
      </c>
      <c r="Q20" s="16">
        <f>(E20+D20)/C20</f>
        <v>0.0234042553191489</v>
      </c>
      <c r="R20" s="16">
        <f>AVERAGE(Q17:Q20)</f>
        <v>0.204485643141114</v>
      </c>
      <c r="S20" s="17"/>
      <c r="T20" s="25">
        <f>SUM(J17:K20)/4</f>
        <v>24.83917625</v>
      </c>
      <c r="U20" s="25"/>
      <c r="V20" s="15">
        <f>-(L20+M20)+V19</f>
        <v>-187.702025</v>
      </c>
      <c r="W20" s="17"/>
      <c r="X20" s="15">
        <f>F20-G20</f>
        <v>-1168.48</v>
      </c>
      <c r="Y20" s="15"/>
      <c r="Z20" s="15">
        <v>1140</v>
      </c>
      <c r="AA20" s="23">
        <v>1686.502840909090</v>
      </c>
      <c r="AB20" s="15">
        <v>14.606</v>
      </c>
    </row>
    <row r="21" ht="20.05" customHeight="1">
      <c r="B21" s="13"/>
      <c r="C21" s="14">
        <v>630.02</v>
      </c>
      <c r="D21" s="15">
        <v>11.56</v>
      </c>
      <c r="E21" s="15">
        <v>14.45</v>
      </c>
      <c r="F21" s="15">
        <v>375.7</v>
      </c>
      <c r="G21" s="15">
        <v>1358.3</v>
      </c>
      <c r="H21" s="15">
        <v>2095.25</v>
      </c>
      <c r="I21" s="15">
        <v>787.525</v>
      </c>
      <c r="J21" s="15">
        <v>111.265</v>
      </c>
      <c r="K21" s="15">
        <v>-2.89</v>
      </c>
      <c r="L21" s="15">
        <v>-52.02</v>
      </c>
      <c r="M21" s="15">
        <v>0</v>
      </c>
      <c r="N21" s="15">
        <f>SUM(C18:C21)/4</f>
        <v>599.6254425</v>
      </c>
      <c r="O21" s="15">
        <v>583.72328375</v>
      </c>
      <c r="P21" s="16">
        <f>C21/C20-1</f>
        <v>-0.08224833280406479</v>
      </c>
      <c r="Q21" s="16">
        <f>(E21+D21)/C21</f>
        <v>0.0412844036697248</v>
      </c>
      <c r="R21" s="16">
        <f>AVERAGE(Q18:Q21)</f>
        <v>0.053767619243765</v>
      </c>
      <c r="S21" s="17"/>
      <c r="T21" s="25">
        <f>SUM(J18:K21)/4</f>
        <v>32.735005</v>
      </c>
      <c r="U21" s="25"/>
      <c r="V21" s="15">
        <f>-(L21+M21)+V20</f>
        <v>-135.682025</v>
      </c>
      <c r="W21" s="17"/>
      <c r="X21" s="15">
        <f>F21-G21</f>
        <v>-982.6</v>
      </c>
      <c r="Y21" s="15"/>
      <c r="Z21" s="15">
        <v>1225</v>
      </c>
      <c r="AA21" s="23">
        <v>2268.160600802740</v>
      </c>
      <c r="AB21" s="15">
        <v>14.45</v>
      </c>
    </row>
    <row r="22" ht="20.05" customHeight="1">
      <c r="B22" s="13"/>
      <c r="C22" s="14">
        <v>746.4888</v>
      </c>
      <c r="D22" s="15">
        <v>15.7608</v>
      </c>
      <c r="E22" s="15">
        <v>32.9544</v>
      </c>
      <c r="F22" s="15">
        <v>444.168</v>
      </c>
      <c r="G22" s="15">
        <v>1791</v>
      </c>
      <c r="H22" s="15">
        <v>2550.384</v>
      </c>
      <c r="I22" s="15">
        <v>669.1176</v>
      </c>
      <c r="J22" s="15">
        <v>-147.5784</v>
      </c>
      <c r="K22" s="15">
        <v>-5.15808</v>
      </c>
      <c r="L22" s="15">
        <v>216.3528</v>
      </c>
      <c r="M22" s="15">
        <v>0</v>
      </c>
      <c r="N22" s="15">
        <f>SUM(C19:C22)/4</f>
        <v>652.1652</v>
      </c>
      <c r="O22" s="15">
        <v>619.5581226</v>
      </c>
      <c r="P22" s="16">
        <f>C22/C21-1</f>
        <v>0.184865242373258</v>
      </c>
      <c r="Q22" s="16">
        <f>(E22+D22)/C22</f>
        <v>0.0652591170825336</v>
      </c>
      <c r="R22" s="16">
        <f>AVERAGE(Q19:Q22)</f>
        <v>0.0883654969894281</v>
      </c>
      <c r="S22" s="17"/>
      <c r="T22" s="25">
        <f>SUM(J19:K22)/4</f>
        <v>4.91128</v>
      </c>
      <c r="U22" s="25"/>
      <c r="V22" s="15">
        <f>-(L22+M22)+V21</f>
        <v>-352.034825</v>
      </c>
      <c r="W22" s="17"/>
      <c r="X22" s="15">
        <f>F22-G22</f>
        <v>-1346.832</v>
      </c>
      <c r="Y22" s="15"/>
      <c r="Z22" s="15">
        <v>1095</v>
      </c>
      <c r="AA22" s="23">
        <v>2080.152036931820</v>
      </c>
      <c r="AB22" s="15">
        <v>14.328</v>
      </c>
    </row>
    <row r="23" ht="20.05" customHeight="1">
      <c r="B23" s="13"/>
      <c r="C23" s="14">
        <v>970.7</v>
      </c>
      <c r="D23" s="15">
        <v>15.7025</v>
      </c>
      <c r="E23" s="15">
        <v>15.7025</v>
      </c>
      <c r="F23" s="15">
        <v>399.7</v>
      </c>
      <c r="G23" s="15">
        <v>1898.575</v>
      </c>
      <c r="H23" s="15">
        <v>2683.7</v>
      </c>
      <c r="I23" s="15">
        <v>919.3099999999999</v>
      </c>
      <c r="J23" s="15">
        <v>-15.7025</v>
      </c>
      <c r="K23" s="15">
        <v>-17.701</v>
      </c>
      <c r="L23" s="15">
        <v>-11.42</v>
      </c>
      <c r="M23" s="15">
        <v>0</v>
      </c>
      <c r="N23" s="15">
        <f>SUM(C20:C23)/4</f>
        <v>758.4227</v>
      </c>
      <c r="O23" s="15">
        <v>679.43646875</v>
      </c>
      <c r="P23" s="16">
        <f>C23/C22-1</f>
        <v>0.300354405853109</v>
      </c>
      <c r="Q23" s="16">
        <f>(E23+D23)/C23</f>
        <v>0.0323529411764706</v>
      </c>
      <c r="R23" s="16">
        <f>AVERAGE(Q20:Q23)</f>
        <v>0.0405751793119695</v>
      </c>
      <c r="S23" s="17"/>
      <c r="T23" s="25">
        <f>SUM(J20:K23)/4</f>
        <v>-15.424595</v>
      </c>
      <c r="U23" s="25"/>
      <c r="V23" s="15">
        <f>-(L23+M23)+V22</f>
        <v>-340.614825</v>
      </c>
      <c r="W23" s="17"/>
      <c r="X23" s="15">
        <f>F23-G23</f>
        <v>-1498.875</v>
      </c>
      <c r="Y23" s="15"/>
      <c r="Z23" s="15">
        <v>975</v>
      </c>
      <c r="AA23" s="23">
        <v>1333.746327439030</v>
      </c>
      <c r="AB23" s="15">
        <v>14.275</v>
      </c>
    </row>
    <row r="24" ht="20.05" customHeight="1">
      <c r="B24" s="21">
        <v>2022</v>
      </c>
      <c r="C24" s="14">
        <v>1047.3037</v>
      </c>
      <c r="D24" s="15">
        <v>8.309659999999999</v>
      </c>
      <c r="E24" s="15">
        <v>65.9042</v>
      </c>
      <c r="F24" s="15">
        <v>553.0222</v>
      </c>
      <c r="G24" s="15">
        <v>2298.0508</v>
      </c>
      <c r="H24" s="15">
        <v>3144.7765</v>
      </c>
      <c r="I24" s="15">
        <v>938.4185</v>
      </c>
      <c r="J24" s="15">
        <v>-230.6647</v>
      </c>
      <c r="K24" s="15">
        <v>0</v>
      </c>
      <c r="L24" s="15">
        <v>372.502</v>
      </c>
      <c r="M24" s="15">
        <v>0</v>
      </c>
      <c r="N24" s="15">
        <f>SUM(C21:C24)/4</f>
        <v>848.628125</v>
      </c>
      <c r="O24" s="15">
        <v>804.2819625</v>
      </c>
      <c r="P24" s="16">
        <f>C24/C23-1</f>
        <v>0.0789159369527145</v>
      </c>
      <c r="Q24" s="16">
        <f>(E24+D24)/C24</f>
        <v>0.0708618331053352</v>
      </c>
      <c r="R24" s="16">
        <f>AVERAGE(Q21:Q24)</f>
        <v>0.0524395737585161</v>
      </c>
      <c r="S24" s="35"/>
      <c r="T24" s="25">
        <f>SUM(J21:K24)/4</f>
        <v>-77.10742</v>
      </c>
      <c r="U24" s="15"/>
      <c r="V24" s="15">
        <f>-(L24+M24)+V23</f>
        <v>-713.1168249999999</v>
      </c>
      <c r="W24" s="15"/>
      <c r="X24" s="15">
        <f>F24-G24</f>
        <v>-1745.0286</v>
      </c>
      <c r="Y24" s="15"/>
      <c r="Z24" s="26">
        <v>955</v>
      </c>
      <c r="AA24" s="23">
        <v>1333.746327439030</v>
      </c>
      <c r="AB24" s="15">
        <v>14.327</v>
      </c>
    </row>
    <row r="25" ht="20.05" customHeight="1">
      <c r="B25" s="13"/>
      <c r="C25" s="14">
        <v>930.91</v>
      </c>
      <c r="D25" s="15">
        <v>-11.4348</v>
      </c>
      <c r="E25" s="15">
        <v>16.126</v>
      </c>
      <c r="F25" s="15">
        <v>471.319</v>
      </c>
      <c r="G25" s="15">
        <v>2155.02</v>
      </c>
      <c r="H25" s="15">
        <v>3019.96</v>
      </c>
      <c r="I25" s="15">
        <v>1039.394</v>
      </c>
      <c r="J25" s="15">
        <v>-65.97</v>
      </c>
      <c r="K25" s="15">
        <v>-0.733</v>
      </c>
      <c r="L25" s="15">
        <v>-2.932</v>
      </c>
      <c r="M25" s="15">
        <v>-24.922</v>
      </c>
      <c r="N25" s="15">
        <f>SUM(C22:C25)/4</f>
        <v>923.850625</v>
      </c>
      <c r="O25" s="15">
        <v>938.536865</v>
      </c>
      <c r="P25" s="16">
        <f>C25/C24-1</f>
        <v>-0.111136530884022</v>
      </c>
      <c r="Q25" s="16">
        <f>(E25+D25)/C25</f>
        <v>0.00503937007874016</v>
      </c>
      <c r="R25" s="16">
        <f>AVERAGE(Q22:Q25)</f>
        <v>0.0433783153607699</v>
      </c>
      <c r="S25" s="35"/>
      <c r="T25" s="25">
        <f>SUM(J22:K25)/4</f>
        <v>-120.87692</v>
      </c>
      <c r="U25" s="15">
        <v>55.4854963162811</v>
      </c>
      <c r="V25" s="15">
        <f>-(L25+M25)+V24</f>
        <v>-685.262825</v>
      </c>
      <c r="W25" s="15"/>
      <c r="X25" s="15">
        <f>F25-G25</f>
        <v>-1683.701</v>
      </c>
      <c r="Y25" s="15"/>
      <c r="Z25" s="15">
        <v>870</v>
      </c>
      <c r="AA25" s="23">
        <v>1735.174072281990</v>
      </c>
      <c r="AB25" s="15">
        <v>14.66</v>
      </c>
    </row>
    <row r="26" ht="20.05" customHeight="1">
      <c r="B26" s="13"/>
      <c r="C26" s="14">
        <v>962.7165</v>
      </c>
      <c r="D26" s="15">
        <v>-9.423</v>
      </c>
      <c r="E26" s="15">
        <v>28.269</v>
      </c>
      <c r="F26" s="15">
        <v>471.15</v>
      </c>
      <c r="G26" s="15">
        <v>2277.225</v>
      </c>
      <c r="H26" s="15">
        <v>3219.525</v>
      </c>
      <c r="I26" s="15">
        <v>1077.363</v>
      </c>
      <c r="J26" s="15">
        <v>-78.52500000000001</v>
      </c>
      <c r="K26" s="15">
        <v>-3.92625</v>
      </c>
      <c r="L26" s="15">
        <v>48.6855</v>
      </c>
      <c r="M26" s="15">
        <v>0</v>
      </c>
      <c r="N26" s="15">
        <f>SUM(C23:C26)/4</f>
        <v>977.90755</v>
      </c>
      <c r="O26" s="15">
        <v>1079.198672152220</v>
      </c>
      <c r="P26" s="16">
        <f>C26/C25-1</f>
        <v>0.0341671053055612</v>
      </c>
      <c r="Q26" s="16">
        <f>(E26+D26)/C26</f>
        <v>0.0195758564437194</v>
      </c>
      <c r="R26" s="16">
        <f>AVERAGE(Q23:Q26)</f>
        <v>0.0319575002010663</v>
      </c>
      <c r="S26" s="35">
        <f>S27</f>
        <v>0.0420876421580805</v>
      </c>
      <c r="T26" s="25">
        <f>SUM(J23:K26)/4</f>
        <v>-103.3056125</v>
      </c>
      <c r="U26" s="15">
        <v>55.5174374558036</v>
      </c>
      <c r="V26" s="15">
        <f>-(L26+M26)+V25</f>
        <v>-733.948325</v>
      </c>
      <c r="W26" s="15">
        <f>W27</f>
        <v>-564.901199623211</v>
      </c>
      <c r="X26" s="15">
        <f>F26-G26</f>
        <v>-1806.075</v>
      </c>
      <c r="Y26" s="15">
        <v>-1589.915468581890</v>
      </c>
      <c r="Z26" s="15">
        <v>765</v>
      </c>
      <c r="AA26" s="23">
        <v>1051.863727746510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1097.425015417010</v>
      </c>
      <c r="P27" s="17"/>
      <c r="Q27" s="17"/>
      <c r="R27" s="17"/>
      <c r="S27" s="35">
        <f>AE53</f>
        <v>0.0420876421580805</v>
      </c>
      <c r="T27" s="25"/>
      <c r="U27" s="15">
        <f>SUM(AE55:AH55)/4</f>
        <v>42.2617813441972</v>
      </c>
      <c r="V27" s="17"/>
      <c r="W27" s="15">
        <f>-SUM(AE76:AH76)+V26</f>
        <v>-564.901199623211</v>
      </c>
      <c r="X27" s="26"/>
      <c r="Y27" s="15">
        <f>AH75</f>
        <v>-1637.027874623210</v>
      </c>
      <c r="Z27" s="15">
        <v>625</v>
      </c>
      <c r="AA27" s="23">
        <v>1051.863727746510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SUM(N18:N26)</f>
        <v>6392.84566875</v>
      </c>
      <c r="O28" s="15">
        <f>SUM(O18:O26)</f>
        <v>6347.585434202220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602.938204666055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344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0.0755752293068407</v>
      </c>
      <c r="AF49" s="35"/>
      <c r="AG49" s="35"/>
      <c r="AH49" s="35">
        <f>AVERAGE(AE51:AH51)</f>
        <v>0.0325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0.300354405853109</v>
      </c>
      <c r="AF50" s="35">
        <f>P24</f>
        <v>0.0789159369527145</v>
      </c>
      <c r="AG50" s="35">
        <f>P25</f>
        <v>-0.111136530884022</v>
      </c>
      <c r="AH50" s="35">
        <f>P26</f>
        <v>0.0341671053055612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0.03</v>
      </c>
      <c r="AG51" s="35">
        <v>-0.07000000000000001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962.7165</v>
      </c>
      <c r="AE52" s="23">
        <f>C26*(1+AE51)</f>
        <v>1107.123975</v>
      </c>
      <c r="AF52" s="23">
        <f>AE52*(1+AF51)</f>
        <v>1140.33769425</v>
      </c>
      <c r="AG52" s="23">
        <f>AF52*(1+AG51)</f>
        <v>1060.5140556525</v>
      </c>
      <c r="AH52" s="23">
        <f>AG52*(1+AH51)</f>
        <v>1081.724336765550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AVERAGE(R23:R26)</f>
        <v>0.0420876421580805</v>
      </c>
      <c r="AF53" s="35">
        <f>AE53</f>
        <v>0.0420876421580805</v>
      </c>
      <c r="AG53" s="35">
        <f>AF53</f>
        <v>0.0420876421580805</v>
      </c>
      <c r="AH53" s="35">
        <f>AG53</f>
        <v>0.0420876421580805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-3.92625</v>
      </c>
      <c r="AF54" s="15">
        <f>AE54</f>
        <v>-3.92625</v>
      </c>
      <c r="AG54" s="15">
        <f>AF54</f>
        <v>-3.92625</v>
      </c>
      <c r="AH54" s="15">
        <f>AG54</f>
        <v>-3.92625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42.6699876844317</v>
      </c>
      <c r="AF55" s="15">
        <f>(AF52*AF53)+AF54</f>
        <v>44.0678748149646</v>
      </c>
      <c r="AG55" s="15">
        <f>(AG52*AG53)+AG54</f>
        <v>40.7082860779171</v>
      </c>
      <c r="AH55" s="15">
        <f>(AH52*AH53)+AH54</f>
        <v>41.6009767994754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-113.86125</v>
      </c>
      <c r="AF56" s="15">
        <f>-AE71/20</f>
        <v>-108.1681875</v>
      </c>
      <c r="AG56" s="15">
        <f>-AF71/20</f>
        <v>-102.759778125</v>
      </c>
      <c r="AH56" s="15">
        <f>-AG71/20</f>
        <v>-97.621789218750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-71.1912623155683</v>
      </c>
      <c r="AF59" s="15">
        <f>AF55+AF56+AF58</f>
        <v>-64.10031268503541</v>
      </c>
      <c r="AG59" s="15">
        <f>AG55+AG56+AG58</f>
        <v>-62.0514920470829</v>
      </c>
      <c r="AH59" s="15">
        <f>AH55+AH56+AH58</f>
        <v>-56.0208124192746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71.1912623155683</v>
      </c>
      <c r="AF60" s="15">
        <f>-MIN(AE72,AF59)</f>
        <v>64.10031268503541</v>
      </c>
      <c r="AG60" s="15">
        <f>-MIN(AF72,AG59)</f>
        <v>62.0514920470829</v>
      </c>
      <c r="AH60" s="15">
        <f>-MIN(AG72,AH59)</f>
        <v>56.0208124192746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471.15</v>
      </c>
      <c r="AF61" s="15">
        <f>AE63</f>
        <v>471.15</v>
      </c>
      <c r="AG61" s="15">
        <f>AF63</f>
        <v>471.15</v>
      </c>
      <c r="AH61" s="15">
        <f>AG63</f>
        <v>471.15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471.15</v>
      </c>
      <c r="AF63" s="15">
        <f>AF61+AF62</f>
        <v>471.15</v>
      </c>
      <c r="AG63" s="15">
        <f>AG61+AG62</f>
        <v>471.15</v>
      </c>
      <c r="AH63" s="15">
        <f>AH61+AH62</f>
        <v>471.15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4.18271333333333</v>
      </c>
      <c r="AF65" s="15">
        <f>AE65</f>
        <v>4.18271333333333</v>
      </c>
      <c r="AG65" s="15">
        <f>AF65</f>
        <v>4.18271333333333</v>
      </c>
      <c r="AH65" s="15">
        <f>AG65</f>
        <v>4.18271333333333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50.778951017765</v>
      </c>
      <c r="AF66" s="15">
        <f>(AF52*AF53)+AF65</f>
        <v>52.1768381482979</v>
      </c>
      <c r="AG66" s="15">
        <f>(AG52*AG53)+AG65</f>
        <v>48.8172494112504</v>
      </c>
      <c r="AH66" s="15">
        <f>(AH52*AH53)+AH65</f>
        <v>49.7099401328088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2752.30125</v>
      </c>
      <c r="AF68" s="15">
        <f>AE68-AF54</f>
        <v>2756.2275</v>
      </c>
      <c r="AG68" s="15">
        <f>AF68-AG54</f>
        <v>2760.15375</v>
      </c>
      <c r="AH68" s="15">
        <f>AG68-AH54</f>
        <v>2764.08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-4.18271333333333</v>
      </c>
      <c r="AF69" s="15">
        <f>AE69-AF65</f>
        <v>-8.365426666666661</v>
      </c>
      <c r="AG69" s="15">
        <f>AF69-AG65</f>
        <v>-12.54814</v>
      </c>
      <c r="AH69" s="15">
        <f>AG69-AH65</f>
        <v>-16.7308533333333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2756.483963333330</v>
      </c>
      <c r="AF70" s="15">
        <f>AF68-AF69</f>
        <v>2764.592926666670</v>
      </c>
      <c r="AG70" s="15">
        <f>AG68-AG69</f>
        <v>2772.70189</v>
      </c>
      <c r="AH70" s="15">
        <f>AH68-AH69</f>
        <v>2780.810853333330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2163.36375</v>
      </c>
      <c r="AF71" s="15">
        <f>AE71+AF56</f>
        <v>2055.1955625</v>
      </c>
      <c r="AG71" s="15">
        <f>AF71+AG56</f>
        <v>1952.435784375</v>
      </c>
      <c r="AH71" s="15">
        <f>AG71+AH56</f>
        <v>1854.813995156250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71.1912623155683</v>
      </c>
      <c r="AF72" s="15">
        <f>AE72+AF60</f>
        <v>135.291575000604</v>
      </c>
      <c r="AG72" s="15">
        <f>AF72+AG60</f>
        <v>197.343067047687</v>
      </c>
      <c r="AH72" s="15">
        <f>AG72+AH60</f>
        <v>253.363879466962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993.078951017765</v>
      </c>
      <c r="AF73" s="15">
        <f>AE73+AF66+AF58</f>
        <v>1045.255789166060</v>
      </c>
      <c r="AG73" s="15">
        <f>AF73+AG66+AG58</f>
        <v>1094.073038577310</v>
      </c>
      <c r="AH73" s="15">
        <f>AG73+AH66+AH58</f>
        <v>1143.782978710120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3.3e-12</v>
      </c>
      <c r="AF74" s="15">
        <f>AF71+AF72+AF73-AF63-AF70</f>
        <v>-6e-12</v>
      </c>
      <c r="AG74" s="15">
        <f>AG71+AG72+AG73-AG63-AG70</f>
        <v>-3e-12</v>
      </c>
      <c r="AH74" s="15">
        <f>AH71+AH72+AH73-AH63-AH70</f>
        <v>2e-12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-1763.405012315570</v>
      </c>
      <c r="AF75" s="15">
        <f>AF63-AF71-AF72</f>
        <v>-1719.3371375006</v>
      </c>
      <c r="AG75" s="15">
        <f>AG63-AG71-AG72</f>
        <v>-1678.628851422690</v>
      </c>
      <c r="AH75" s="15">
        <f>AH63-AH71-AH72</f>
        <v>-1637.027874623210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-42.6699876844317</v>
      </c>
      <c r="AF76" s="15">
        <f>AF56+AF58+AF60</f>
        <v>-44.0678748149646</v>
      </c>
      <c r="AG76" s="15">
        <f>AG56+AG58+AG60</f>
        <v>-40.7082860779171</v>
      </c>
      <c r="AH76" s="15">
        <f>AH56+AH58+AH60</f>
        <v>-41.6009767994754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700</v>
      </c>
      <c r="AD78" s="14"/>
      <c r="AE78" s="15"/>
      <c r="AF78" s="15"/>
      <c r="AG78" s="15"/>
      <c r="AH78" s="15">
        <v>625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700</v>
      </c>
      <c r="AD79" s="14"/>
      <c r="AE79" s="15"/>
      <c r="AF79" s="15"/>
      <c r="AG79" s="15"/>
      <c r="AH79" s="15">
        <v>1577093760000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1577.09376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2.523350016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0.484967018709172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-413.22245</v>
      </c>
      <c r="AH84" s="15">
        <f>SUM(AE55:AH55)</f>
        <v>169.047125376789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16.4499150585092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9.329314275441339</v>
      </c>
      <c r="AH86" s="15">
        <v>9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1521.4241283911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602.938204666055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-0.035298872534312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0.289659670714417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-0.00707982593245205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700</v>
      </c>
      <c r="AF93" t="s" s="44">
        <f>AE115</f>
        <v>15</v>
      </c>
      <c r="AG93" t="s" s="44">
        <f>AF115</f>
        <v>360</v>
      </c>
      <c r="AH93" t="s" s="44">
        <f>AG115</f>
        <v>485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625</v>
      </c>
      <c r="AG94" t="s" s="44">
        <v>61</v>
      </c>
      <c r="AH94" s="15">
        <f>AH88</f>
        <v>602.938204666055</v>
      </c>
      <c r="AI94" t="s" s="44">
        <f>IF(AJ94&gt;0,"+","")</f>
      </c>
      <c r="AJ94" s="16">
        <f>AH94/AF94-1</f>
        <v>-0.035298872534312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0.289659670714417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(AG119+AG120+AI119+AI120+AK119+AK120+AM119+AM120)/AF136</f>
        <v>-0.262015144870017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(AG133+AG134+AI133+AI134+AK133+AK134+AM133+AM134)/AF136</f>
        <v>-0.242162837547465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-1.14519190032177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0.0341671053055612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0.184865242373258</v>
      </c>
      <c r="AF103" s="16">
        <f>P23</f>
        <v>0.300354405853109</v>
      </c>
      <c r="AG103" s="16">
        <f>P24</f>
        <v>0.0789159369527145</v>
      </c>
      <c r="AH103" s="16">
        <f>P25</f>
        <v>-0.111136530884022</v>
      </c>
      <c r="AI103" s="16">
        <f>P26</f>
        <v>0.0341671053055612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746.4888</v>
      </c>
      <c r="AF104" t="s" s="44">
        <v>72</v>
      </c>
      <c r="AG104" s="15">
        <f>C23</f>
        <v>970.7</v>
      </c>
      <c r="AH104" t="s" s="44">
        <v>72</v>
      </c>
      <c r="AI104" s="15">
        <f>C24</f>
        <v>1047.3037</v>
      </c>
      <c r="AJ104" t="s" s="44">
        <v>72</v>
      </c>
      <c r="AK104" s="15">
        <f>C25</f>
        <v>930.91</v>
      </c>
      <c r="AL104" t="s" s="44">
        <v>72</v>
      </c>
      <c r="AM104" s="15">
        <f>C26</f>
        <v>962.7165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0.0341671053055612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962.7165</v>
      </c>
      <c r="AM105" t="s" s="48">
        <f>AN104</f>
        <v>22</v>
      </c>
      <c r="AN105" t="s" s="44">
        <v>77</v>
      </c>
      <c r="AO105" t="s" s="44">
        <f>IF(AP105&gt;0,"+","")</f>
      </c>
      <c r="AP105" s="16">
        <f>AH91</f>
        <v>-0.00707982593245205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0.0755752293068407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0.0325</v>
      </c>
      <c r="AG107" t="s" s="44">
        <v>82</v>
      </c>
      <c r="AH107" t="s" s="44">
        <v>83</v>
      </c>
      <c r="AI107" s="23">
        <f>AH52</f>
        <v>1081.724336765550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0.0652591170825336</v>
      </c>
      <c r="AF110" s="16">
        <f>(D23+E23)/C23</f>
        <v>0.0323529411764706</v>
      </c>
      <c r="AG110" s="16">
        <f>((E24+D24)/C24)</f>
        <v>0.0708618331053352</v>
      </c>
      <c r="AH110" s="16">
        <f>(D25+E25)/C25</f>
        <v>0.00503937007874016</v>
      </c>
      <c r="AI110" s="16">
        <f>(D26+E26)/C26</f>
        <v>0.0195758564437194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32.9544</v>
      </c>
      <c r="AF111" t="s" s="44">
        <v>72</v>
      </c>
      <c r="AG111" s="15">
        <f>E23</f>
        <v>15.7025</v>
      </c>
      <c r="AH111" t="s" s="44">
        <v>72</v>
      </c>
      <c r="AI111" s="15">
        <f>E24</f>
        <v>65.9042</v>
      </c>
      <c r="AJ111" t="s" s="44">
        <v>72</v>
      </c>
      <c r="AK111" s="15">
        <f>E25</f>
        <v>16.126</v>
      </c>
      <c r="AL111" t="s" s="44">
        <v>72</v>
      </c>
      <c r="AM111" s="15">
        <f>E26</f>
        <v>28.269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0.00503937007874016</v>
      </c>
      <c r="AG112" t="s" s="44">
        <v>76</v>
      </c>
      <c r="AH112" s="16">
        <f>AI110</f>
        <v>0.0195758564437194</v>
      </c>
      <c r="AI112" t="s" s="44">
        <v>90</v>
      </c>
      <c r="AJ112" s="15">
        <f>AK111</f>
        <v>16.126</v>
      </c>
      <c r="AK112" t="s" s="44">
        <v>76</v>
      </c>
      <c r="AL112" s="15">
        <f>AM111</f>
        <v>28.269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0.0319575002010663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0.0420876421580805</v>
      </c>
      <c r="AG114" t="s" s="44">
        <v>94</v>
      </c>
      <c r="AH114" s="15">
        <f>AH66</f>
        <v>49.7099401328088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360</v>
      </c>
      <c r="AG115" t="s" s="44">
        <f>IF(AH121&lt;0,"negative","positive")</f>
        <v>485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66.703</v>
      </c>
      <c r="AG116" s="15">
        <f>ABS(AH121)</f>
        <v>82.45125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66.703</v>
      </c>
      <c r="AF117" s="15">
        <f>ABS(AH121)</f>
        <v>82.45125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-147.5784</v>
      </c>
      <c r="AF119" t="s" s="44">
        <v>72</v>
      </c>
      <c r="AG119" s="15">
        <f>J23</f>
        <v>-15.7025</v>
      </c>
      <c r="AH119" t="s" s="44">
        <v>72</v>
      </c>
      <c r="AI119" s="15">
        <f>J24</f>
        <v>-230.6647</v>
      </c>
      <c r="AJ119" t="s" s="44">
        <v>72</v>
      </c>
      <c r="AK119" s="15">
        <f>J25</f>
        <v>-65.97</v>
      </c>
      <c r="AL119" t="s" s="44">
        <v>72</v>
      </c>
      <c r="AM119" s="15">
        <f>J26</f>
        <v>-78.52500000000001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-5.15808</v>
      </c>
      <c r="AF120" t="s" s="44">
        <v>72</v>
      </c>
      <c r="AG120" s="15">
        <f>K23</f>
        <v>-17.701</v>
      </c>
      <c r="AH120" t="s" s="44">
        <v>72</v>
      </c>
      <c r="AI120" s="15">
        <f>K24</f>
        <v>0</v>
      </c>
      <c r="AJ120" t="s" s="44">
        <v>72</v>
      </c>
      <c r="AK120" s="15">
        <f>K25</f>
        <v>-0.733</v>
      </c>
      <c r="AL120" t="s" s="44">
        <v>72</v>
      </c>
      <c r="AM120" s="15">
        <f>K26</f>
        <v>-3.92625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-66.703</v>
      </c>
      <c r="AG121" t="s" s="44">
        <v>76</v>
      </c>
      <c r="AH121" s="15">
        <f>AM119+AM120</f>
        <v>-82.45125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-3.92625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-103.3056125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-3.92625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42.2617813441972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87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444.168</v>
      </c>
      <c r="AF126" t="s" s="44">
        <v>72</v>
      </c>
      <c r="AG126" s="15">
        <f>F23</f>
        <v>399.7</v>
      </c>
      <c r="AH126" t="s" s="44">
        <v>72</v>
      </c>
      <c r="AI126" s="15">
        <f>F24</f>
        <v>553.0222</v>
      </c>
      <c r="AJ126" t="s" s="44">
        <v>72</v>
      </c>
      <c r="AK126" s="15">
        <f>F25</f>
        <v>471.319</v>
      </c>
      <c r="AL126" t="s" s="44">
        <v>72</v>
      </c>
      <c r="AM126" s="15">
        <f>F26</f>
        <v>471.15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1791</v>
      </c>
      <c r="AF127" t="s" s="44">
        <v>72</v>
      </c>
      <c r="AG127" s="15">
        <f>G23</f>
        <v>1898.575</v>
      </c>
      <c r="AH127" t="s" s="44">
        <v>72</v>
      </c>
      <c r="AI127" s="15">
        <f>G24</f>
        <v>2298.0508</v>
      </c>
      <c r="AJ127" t="s" s="44">
        <v>72</v>
      </c>
      <c r="AK127" s="15">
        <f>G25</f>
        <v>2155.02</v>
      </c>
      <c r="AL127" t="s" s="44">
        <v>72</v>
      </c>
      <c r="AM127" s="15">
        <f>G26</f>
        <v>2277.225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370</v>
      </c>
      <c r="AG128" s="15">
        <f>AK126</f>
        <v>471.319</v>
      </c>
      <c r="AH128" t="s" s="44">
        <v>76</v>
      </c>
      <c r="AI128" s="15">
        <f>AM126</f>
        <v>471.15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2155.02</v>
      </c>
      <c r="AH129" t="s" s="44">
        <v>76</v>
      </c>
      <c r="AI129" s="15">
        <f>AM127</f>
        <v>2277.225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87</v>
      </c>
      <c r="AN129" s="15">
        <f>AG128-AG129</f>
        <v>-1683.701</v>
      </c>
      <c r="AO129" t="s" s="44">
        <v>76</v>
      </c>
      <c r="AP129" s="15">
        <f>AI128-AI129</f>
        <v>-1806.075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0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-169.047125376789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-1637.027874623210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-216.3528</v>
      </c>
      <c r="AF133" t="s" s="44">
        <v>72</v>
      </c>
      <c r="AG133" s="15">
        <f>-L23</f>
        <v>11.42</v>
      </c>
      <c r="AH133" t="s" s="44">
        <v>72</v>
      </c>
      <c r="AI133" s="15">
        <f>-L24</f>
        <v>-372.502</v>
      </c>
      <c r="AJ133" t="s" s="44">
        <v>72</v>
      </c>
      <c r="AK133" s="15">
        <f>-L25</f>
        <v>2.932</v>
      </c>
      <c r="AL133" t="s" s="44">
        <v>72</v>
      </c>
      <c r="AM133" s="15">
        <f>-L26</f>
        <v>-48.6855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0</v>
      </c>
      <c r="AF134" t="s" s="44">
        <v>72</v>
      </c>
      <c r="AG134" s="15">
        <f>-M23</f>
        <v>0</v>
      </c>
      <c r="AH134" t="s" s="44">
        <v>72</v>
      </c>
      <c r="AI134" s="15">
        <f>-M24</f>
        <v>0</v>
      </c>
      <c r="AJ134" t="s" s="44">
        <v>72</v>
      </c>
      <c r="AK134" s="15">
        <f>-M25</f>
        <v>24.922</v>
      </c>
      <c r="AL134" t="s" s="44">
        <v>72</v>
      </c>
      <c r="AM134" s="15">
        <f>-M26</f>
        <v>0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700</v>
      </c>
      <c r="AF135" t="s" s="44">
        <f>IF(AG135&gt;0,"paid","(raised)")</f>
        <v>121</v>
      </c>
      <c r="AG135" s="15">
        <f>SUM(AM133:AM134)</f>
        <v>-48.6855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-48.6855</v>
      </c>
      <c r="AM135" t="s" s="48">
        <f>AN104</f>
        <v>22</v>
      </c>
      <c r="AN135" t="s" s="44">
        <v>123</v>
      </c>
      <c r="AO135" s="15">
        <f>AM134</f>
        <v>0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169.047125376789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1577.09376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0.484967018709172</v>
      </c>
      <c r="AK136" t="s" s="44">
        <v>130</v>
      </c>
      <c r="AL136" t="s" s="44">
        <v>131</v>
      </c>
      <c r="AM136" t="s" s="44">
        <v>132</v>
      </c>
      <c r="AN136" s="15">
        <f>AH85</f>
        <v>16.4499150585092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169.047125376789</v>
      </c>
      <c r="AG137" t="s" s="48">
        <f>AG136</f>
        <v>22</v>
      </c>
      <c r="AH137" t="s" s="44">
        <v>136</v>
      </c>
      <c r="AI137" s="15">
        <f>AF136/AF137</f>
        <v>9.329314275441339</v>
      </c>
      <c r="AJ137" t="s" s="44">
        <v>130</v>
      </c>
      <c r="AK137" t="s" s="44">
        <v>137</v>
      </c>
      <c r="AL137" t="s" s="44">
        <v>138</v>
      </c>
      <c r="AM137" s="15">
        <f>AH86</f>
        <v>9</v>
      </c>
      <c r="AN137" t="s" s="44">
        <v>139</v>
      </c>
      <c r="AO137" t="s" s="44">
        <v>140</v>
      </c>
      <c r="AP137" t="s" s="44">
        <v>141</v>
      </c>
      <c r="AQ137" s="16">
        <f>AJ94</f>
        <v>-0.035298872534312</v>
      </c>
      <c r="AR137" t="s" s="44">
        <f>IF(AQ137&gt;0,"higher","lower")</f>
        <v>104</v>
      </c>
      <c r="AS137" t="s" s="44">
        <v>142</v>
      </c>
      <c r="AT137" s="15">
        <f>AH94</f>
        <v>602.938204666055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746.4888</v>
      </c>
      <c r="AE140" s="15">
        <f>AG104</f>
        <v>970.7</v>
      </c>
      <c r="AF140" s="15">
        <f>AI104</f>
        <v>1047.3037</v>
      </c>
      <c r="AG140" s="15">
        <f>AK104</f>
        <v>930.91</v>
      </c>
      <c r="AH140" s="15">
        <f>AM104</f>
        <v>962.7165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-152.73648</v>
      </c>
      <c r="AE141" s="15">
        <f>SUM(AG119:AG120)</f>
        <v>-33.4035</v>
      </c>
      <c r="AF141" s="15">
        <f>SUM(AI119:AI120)</f>
        <v>-230.6647</v>
      </c>
      <c r="AG141" s="15">
        <f>SUM(AK119:AK120)</f>
        <v>-66.703</v>
      </c>
      <c r="AH141" s="15">
        <f>SUM(AM119:AM120)</f>
        <v>-82.45125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-216.3528</v>
      </c>
      <c r="AE142" s="15">
        <f>SUM(AG133:AG134)</f>
        <v>11.42</v>
      </c>
      <c r="AF142" s="15">
        <f>SUM(AI133:AI134)</f>
        <v>-372.502</v>
      </c>
      <c r="AG142" s="15">
        <f>SUM(AK133:AK134)</f>
        <v>27.854</v>
      </c>
      <c r="AH142" s="15">
        <f>SUM(AM133:AM134)</f>
        <v>-48.6855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-1346.832</v>
      </c>
      <c r="AE143" s="15">
        <f>(AG126-AG127)</f>
        <v>-1498.875</v>
      </c>
      <c r="AF143" s="15">
        <f>(AI126-AI127)</f>
        <v>-1745.0286</v>
      </c>
      <c r="AG143" s="15">
        <f>(AK126-AK127)</f>
        <v>-1683.701</v>
      </c>
      <c r="AH143" s="15">
        <f>(AM126-AM127)</f>
        <v>-1806.075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602.938204666055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40" customWidth="1"/>
    <col min="2" max="27" width="10.4844" style="340" customWidth="1"/>
    <col min="28" max="28" width="18.9766" style="341" customWidth="1"/>
    <col min="29" max="32" width="9" style="341" customWidth="1"/>
    <col min="33" max="46" hidden="1" width="16.3333" style="341" customWidth="1"/>
    <col min="47" max="16384" width="16.3516" style="341" customWidth="1"/>
  </cols>
  <sheetData>
    <row r="1" ht="11.65" customHeight="1"/>
    <row r="2" ht="27.65" customHeight="1">
      <c r="B2" t="s" s="2">
        <v>701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346</v>
      </c>
      <c r="AA3" t="s" s="3">
        <v>19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8"/>
      <c r="AA4" s="9"/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15"/>
      <c r="AA5" s="17"/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5"/>
      <c r="AA6" s="17"/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5"/>
      <c r="AA7" s="17"/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7"/>
      <c r="P8" s="16"/>
      <c r="Q8" s="16"/>
      <c r="R8" s="16"/>
      <c r="S8" s="17"/>
      <c r="T8" s="15">
        <f>SUM(J5:K8)/4</f>
        <v>0</v>
      </c>
      <c r="U8" s="17"/>
      <c r="V8" s="15">
        <f>-(L8+M8)+V7</f>
        <v>0</v>
      </c>
      <c r="W8" s="17"/>
      <c r="X8" s="15">
        <f>F8-G8</f>
        <v>0</v>
      </c>
      <c r="Y8" s="24"/>
      <c r="Z8" s="15"/>
      <c r="AA8" s="24"/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7"/>
      <c r="P9" s="16"/>
      <c r="Q9" s="16"/>
      <c r="R9" s="16"/>
      <c r="S9" s="17"/>
      <c r="T9" s="15">
        <f>SUM(J6:K9)/4</f>
        <v>0</v>
      </c>
      <c r="U9" s="17"/>
      <c r="V9" s="15">
        <f>-(L9+M9)+V8</f>
        <v>0</v>
      </c>
      <c r="W9" s="17"/>
      <c r="X9" s="15">
        <f>F9-G9</f>
        <v>0</v>
      </c>
      <c r="Y9" s="24"/>
      <c r="Z9" s="15"/>
      <c r="AA9" s="24"/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7"/>
      <c r="P10" s="16"/>
      <c r="Q10" s="16"/>
      <c r="R10" s="16"/>
      <c r="S10" s="17"/>
      <c r="T10" s="15">
        <f>SUM(J7:K10)/4</f>
        <v>0</v>
      </c>
      <c r="U10" s="17"/>
      <c r="V10" s="15">
        <f>-(L10+M10)+V9</f>
        <v>0</v>
      </c>
      <c r="W10" s="17"/>
      <c r="X10" s="15">
        <f>F10-G10</f>
        <v>0</v>
      </c>
      <c r="Y10" s="24"/>
      <c r="Z10" s="15"/>
      <c r="AA10" s="24"/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7"/>
      <c r="P11" s="16"/>
      <c r="Q11" s="16"/>
      <c r="R11" s="16"/>
      <c r="S11" s="17"/>
      <c r="T11" s="15">
        <f>SUM(J8:K11)/4</f>
        <v>0</v>
      </c>
      <c r="U11" s="17"/>
      <c r="V11" s="15">
        <f>-(L11+M11)+V10</f>
        <v>0</v>
      </c>
      <c r="W11" s="17"/>
      <c r="X11" s="15">
        <f>F11-G11</f>
        <v>0</v>
      </c>
      <c r="Y11" s="24"/>
      <c r="Z11" s="15"/>
      <c r="AA11" s="24"/>
    </row>
    <row r="12" ht="20.05" customHeight="1">
      <c r="B12" s="21">
        <v>2019</v>
      </c>
      <c r="C12" s="14">
        <v>3537</v>
      </c>
      <c r="D12" s="15">
        <v>146.25</v>
      </c>
      <c r="E12" s="15">
        <v>765</v>
      </c>
      <c r="F12" s="15">
        <v>13446</v>
      </c>
      <c r="G12" s="15">
        <v>152179</v>
      </c>
      <c r="H12" s="15">
        <v>177529</v>
      </c>
      <c r="I12" s="15">
        <v>3743</v>
      </c>
      <c r="J12" s="15">
        <v>1542</v>
      </c>
      <c r="K12" s="15">
        <v>-2445</v>
      </c>
      <c r="L12" s="15">
        <v>0</v>
      </c>
      <c r="M12" s="15">
        <v>0</v>
      </c>
      <c r="N12" s="15">
        <f>AVERAGE(C9:C12)</f>
        <v>3537</v>
      </c>
      <c r="O12" s="17"/>
      <c r="P12" s="16"/>
      <c r="Q12" s="16">
        <f>((D12+E12)/C12)</f>
        <v>0.25763358778626</v>
      </c>
      <c r="R12" s="16">
        <f>AVERAGE(Q9:Q12)</f>
        <v>0.25763358778626</v>
      </c>
      <c r="S12" s="17"/>
      <c r="T12" s="15">
        <f>SUM(J9:K12)/4</f>
        <v>-225.75</v>
      </c>
      <c r="U12" s="17"/>
      <c r="V12" s="15">
        <f>-(L12+M12)+V11</f>
        <v>0</v>
      </c>
      <c r="W12" s="17"/>
      <c r="X12" s="15">
        <f>F12-G12</f>
        <v>-138733</v>
      </c>
      <c r="Y12" s="24"/>
      <c r="Z12" s="15">
        <v>900</v>
      </c>
      <c r="AA12" s="24"/>
    </row>
    <row r="13" ht="20.05" customHeight="1">
      <c r="B13" s="13"/>
      <c r="C13" s="14">
        <v>3728</v>
      </c>
      <c r="D13" s="15">
        <v>227.25</v>
      </c>
      <c r="E13" s="15">
        <v>771</v>
      </c>
      <c r="F13" s="15">
        <v>13487.4</v>
      </c>
      <c r="G13" s="15">
        <v>151852</v>
      </c>
      <c r="H13" s="15">
        <v>178045</v>
      </c>
      <c r="I13" s="15">
        <v>4008</v>
      </c>
      <c r="J13" s="15">
        <v>-2493</v>
      </c>
      <c r="K13" s="15">
        <v>3773</v>
      </c>
      <c r="L13" s="15">
        <v>-1308</v>
      </c>
      <c r="M13" s="15">
        <v>0</v>
      </c>
      <c r="N13" s="15">
        <f>AVERAGE(C10:C13)</f>
        <v>3632.5</v>
      </c>
      <c r="O13" s="17"/>
      <c r="P13" s="16"/>
      <c r="Q13" s="16">
        <f>((D13+E13)/C13)</f>
        <v>0.267770922746781</v>
      </c>
      <c r="R13" s="16">
        <f>AVERAGE(Q10:Q13)</f>
        <v>0.262702255266521</v>
      </c>
      <c r="S13" s="17"/>
      <c r="T13" s="15">
        <f>SUM(J10:K13)/4</f>
        <v>94.25</v>
      </c>
      <c r="U13" s="17"/>
      <c r="V13" s="15">
        <f>-(L13+M13)+V12</f>
        <v>1308</v>
      </c>
      <c r="W13" s="17"/>
      <c r="X13" s="15">
        <f>F13-G13</f>
        <v>-138364.6</v>
      </c>
      <c r="Y13" s="24"/>
      <c r="Z13" s="15">
        <v>895</v>
      </c>
      <c r="AA13" s="24"/>
    </row>
    <row r="14" ht="20.05" customHeight="1">
      <c r="B14" s="13"/>
      <c r="C14" s="14">
        <v>3604</v>
      </c>
      <c r="D14" s="15">
        <v>230.25</v>
      </c>
      <c r="E14" s="15">
        <v>684</v>
      </c>
      <c r="F14" s="15">
        <v>14436.4</v>
      </c>
      <c r="G14" s="15">
        <v>148443</v>
      </c>
      <c r="H14" s="15">
        <v>175350</v>
      </c>
      <c r="I14" s="15">
        <v>3737</v>
      </c>
      <c r="J14" s="15">
        <v>1052</v>
      </c>
      <c r="K14" s="15">
        <v>852</v>
      </c>
      <c r="L14" s="15">
        <v>-955</v>
      </c>
      <c r="M14" s="15">
        <v>0</v>
      </c>
      <c r="N14" s="15">
        <f>AVERAGE(C11:C14)</f>
        <v>3623</v>
      </c>
      <c r="O14" s="17"/>
      <c r="P14" s="16"/>
      <c r="Q14" s="16">
        <f>((D14+E14)/C14)</f>
        <v>0.253676470588235</v>
      </c>
      <c r="R14" s="16">
        <f>AVERAGE(Q11:Q14)</f>
        <v>0.259693660373759</v>
      </c>
      <c r="S14" s="17"/>
      <c r="T14" s="15">
        <f>SUM(J11:K14)/4</f>
        <v>570.25</v>
      </c>
      <c r="U14" s="17"/>
      <c r="V14" s="15">
        <f>-(L14+M14)+V13</f>
        <v>2263</v>
      </c>
      <c r="W14" s="17"/>
      <c r="X14" s="15">
        <f>F14-G14</f>
        <v>-134006.6</v>
      </c>
      <c r="Y14" s="24"/>
      <c r="Z14" s="15">
        <v>845</v>
      </c>
      <c r="AA14" s="24"/>
    </row>
    <row r="15" ht="20.05" customHeight="1">
      <c r="B15" s="13"/>
      <c r="C15" s="14">
        <v>3492</v>
      </c>
      <c r="D15" s="15">
        <v>292.25</v>
      </c>
      <c r="E15" s="15">
        <v>719</v>
      </c>
      <c r="F15" s="15">
        <v>19551.9</v>
      </c>
      <c r="G15" s="15">
        <v>153042</v>
      </c>
      <c r="H15" s="15">
        <v>180707</v>
      </c>
      <c r="I15" s="15">
        <v>3795</v>
      </c>
      <c r="J15" s="15">
        <v>4522</v>
      </c>
      <c r="K15" s="15">
        <v>771</v>
      </c>
      <c r="L15" s="15">
        <v>-175</v>
      </c>
      <c r="M15" s="15">
        <v>0</v>
      </c>
      <c r="N15" s="15">
        <f>AVERAGE(C12:C15)</f>
        <v>3590.25</v>
      </c>
      <c r="O15" s="17"/>
      <c r="P15" s="16"/>
      <c r="Q15" s="16">
        <f>((D15+E15)/C15)</f>
        <v>0.28959049255441</v>
      </c>
      <c r="R15" s="16">
        <f>AVERAGE(Q12:Q15)</f>
        <v>0.267167868418922</v>
      </c>
      <c r="S15" s="17"/>
      <c r="T15" s="15">
        <f>SUM(J12:K15)/4</f>
        <v>1893.5</v>
      </c>
      <c r="U15" s="17"/>
      <c r="V15" s="15">
        <f>-(L15+M15)+V14</f>
        <v>2438</v>
      </c>
      <c r="W15" s="17"/>
      <c r="X15" s="15">
        <f>F15-G15</f>
        <v>-133490.1</v>
      </c>
      <c r="Y15" s="24"/>
      <c r="Z15" s="15">
        <v>845</v>
      </c>
      <c r="AA15" s="24"/>
    </row>
    <row r="16" ht="20.05" customHeight="1">
      <c r="B16" s="21">
        <v>2020</v>
      </c>
      <c r="C16" s="14">
        <v>3467</v>
      </c>
      <c r="D16" s="15">
        <v>298.25</v>
      </c>
      <c r="E16" s="15">
        <v>791</v>
      </c>
      <c r="F16" s="15">
        <v>15058.3</v>
      </c>
      <c r="G16" s="15">
        <v>163512</v>
      </c>
      <c r="H16" s="15">
        <v>191456</v>
      </c>
      <c r="I16" s="15">
        <v>4237</v>
      </c>
      <c r="J16" s="15">
        <v>-5892</v>
      </c>
      <c r="K16" s="15">
        <v>1382</v>
      </c>
      <c r="L16" s="15">
        <v>-1</v>
      </c>
      <c r="M16" s="15">
        <v>0</v>
      </c>
      <c r="N16" s="15">
        <f>AVERAGE(C13:C16)</f>
        <v>3572.75</v>
      </c>
      <c r="O16" s="15"/>
      <c r="P16" s="16"/>
      <c r="Q16" s="16">
        <f>((D16+E16)/C16)</f>
        <v>0.314176521488318</v>
      </c>
      <c r="R16" s="16">
        <f>AVERAGE(Q13:Q16)</f>
        <v>0.281303601844436</v>
      </c>
      <c r="S16" s="17"/>
      <c r="T16" s="15">
        <f>SUM(J13:K16)/4</f>
        <v>991.75</v>
      </c>
      <c r="U16" s="17"/>
      <c r="V16" s="15">
        <f>-(L16+M16)+V15</f>
        <v>2439</v>
      </c>
      <c r="W16" s="17"/>
      <c r="X16" s="15">
        <f>F16-G16</f>
        <v>-148453.7</v>
      </c>
      <c r="Y16" s="24"/>
      <c r="Z16" s="15">
        <v>800</v>
      </c>
      <c r="AA16" s="24"/>
    </row>
    <row r="17" ht="20.05" customHeight="1">
      <c r="B17" s="13"/>
      <c r="C17" s="14">
        <v>3209</v>
      </c>
      <c r="D17" s="15">
        <v>306.25</v>
      </c>
      <c r="E17" s="15">
        <v>772</v>
      </c>
      <c r="F17" s="15">
        <v>14529.9</v>
      </c>
      <c r="G17" s="15">
        <v>153143</v>
      </c>
      <c r="H17" s="15">
        <v>182161</v>
      </c>
      <c r="I17" s="15">
        <v>3113</v>
      </c>
      <c r="J17" s="15">
        <v>6433</v>
      </c>
      <c r="K17" s="15">
        <v>-6947</v>
      </c>
      <c r="L17" s="15">
        <v>0</v>
      </c>
      <c r="M17" s="15">
        <v>0</v>
      </c>
      <c r="N17" s="15">
        <f>AVERAGE(C14:C17)</f>
        <v>3443</v>
      </c>
      <c r="O17" s="15"/>
      <c r="P17" s="16"/>
      <c r="Q17" s="16">
        <f>((D17+E17)/C17)</f>
        <v>0.336008102212527</v>
      </c>
      <c r="R17" s="16">
        <f>AVERAGE(Q14:Q17)</f>
        <v>0.298362896710873</v>
      </c>
      <c r="S17" s="17"/>
      <c r="T17" s="15">
        <f>SUM(J14:K17)/4</f>
        <v>543.25</v>
      </c>
      <c r="U17" s="17"/>
      <c r="V17" s="15">
        <f>-(L17+M17)+V16</f>
        <v>2439</v>
      </c>
      <c r="W17" s="17"/>
      <c r="X17" s="15">
        <f>F17-G17</f>
        <v>-138613.1</v>
      </c>
      <c r="Y17" s="24"/>
      <c r="Z17" s="15">
        <v>735</v>
      </c>
      <c r="AA17" s="24"/>
    </row>
    <row r="18" ht="20.05" customHeight="1">
      <c r="B18" s="13"/>
      <c r="C18" s="14">
        <v>3240</v>
      </c>
      <c r="D18" s="15">
        <v>929.25</v>
      </c>
      <c r="E18" s="15">
        <v>383</v>
      </c>
      <c r="F18" s="15">
        <v>10967</v>
      </c>
      <c r="G18" s="15">
        <v>168372</v>
      </c>
      <c r="H18" s="15">
        <v>197926</v>
      </c>
      <c r="I18" s="15">
        <v>3684</v>
      </c>
      <c r="J18" s="15">
        <v>3385</v>
      </c>
      <c r="K18" s="15">
        <v>-6496</v>
      </c>
      <c r="L18" s="15">
        <v>-456</v>
      </c>
      <c r="M18" s="15">
        <v>0</v>
      </c>
      <c r="N18" s="15">
        <f>AVERAGE(C15:C18)</f>
        <v>3352</v>
      </c>
      <c r="O18" s="15"/>
      <c r="P18" s="16"/>
      <c r="Q18" s="16">
        <f>((D18+E18)/C18)</f>
        <v>0.405015432098765</v>
      </c>
      <c r="R18" s="16">
        <f>AVERAGE(Q15:Q18)</f>
        <v>0.336197637088505</v>
      </c>
      <c r="S18" s="17"/>
      <c r="T18" s="15">
        <f>SUM(J15:K18)/4</f>
        <v>-710.5</v>
      </c>
      <c r="U18" s="17"/>
      <c r="V18" s="15">
        <f>-(L18+M18)+V17</f>
        <v>2895</v>
      </c>
      <c r="W18" s="17"/>
      <c r="X18" s="15">
        <f>F18-G18</f>
        <v>-157405</v>
      </c>
      <c r="Y18" s="24"/>
      <c r="Z18" s="15">
        <v>725</v>
      </c>
      <c r="AA18" s="24"/>
    </row>
    <row r="19" ht="20.05" customHeight="1">
      <c r="B19" s="13"/>
      <c r="C19" s="14">
        <v>3294</v>
      </c>
      <c r="D19" s="15">
        <v>1135.25</v>
      </c>
      <c r="E19" s="15">
        <v>156</v>
      </c>
      <c r="F19" s="15">
        <v>9653.9</v>
      </c>
      <c r="G19" s="15">
        <v>176468</v>
      </c>
      <c r="H19" s="15">
        <v>206297</v>
      </c>
      <c r="I19" s="15">
        <v>3422</v>
      </c>
      <c r="J19" s="15">
        <v>1316</v>
      </c>
      <c r="K19" s="15">
        <v>-4879</v>
      </c>
      <c r="L19" s="15">
        <v>2140</v>
      </c>
      <c r="M19" s="15">
        <v>0</v>
      </c>
      <c r="N19" s="15">
        <f>AVERAGE(C16:C19)</f>
        <v>3302.5</v>
      </c>
      <c r="O19" s="15"/>
      <c r="P19" s="16"/>
      <c r="Q19" s="16">
        <f>((D19+E19)/C19)</f>
        <v>0.392000607164542</v>
      </c>
      <c r="R19" s="16">
        <f>AVERAGE(Q16:Q19)</f>
        <v>0.361800165741038</v>
      </c>
      <c r="S19" s="17"/>
      <c r="T19" s="15">
        <f>SUM(J16:K19)/4</f>
        <v>-2924.5</v>
      </c>
      <c r="U19" s="17"/>
      <c r="V19" s="15">
        <f>-(L19+M19)+V18</f>
        <v>755</v>
      </c>
      <c r="W19" s="17"/>
      <c r="X19" s="15">
        <f>F19-G19</f>
        <v>-166814.1</v>
      </c>
      <c r="Y19" s="24"/>
      <c r="Z19" s="15">
        <v>820</v>
      </c>
      <c r="AA19" s="24"/>
    </row>
    <row r="20" ht="20.05" customHeight="1">
      <c r="B20" s="21">
        <v>2021</v>
      </c>
      <c r="C20" s="14">
        <v>3244</v>
      </c>
      <c r="D20" s="15">
        <v>723.25</v>
      </c>
      <c r="E20" s="15">
        <v>515</v>
      </c>
      <c r="F20" s="15">
        <v>10597.9</v>
      </c>
      <c r="G20" s="15">
        <v>177543</v>
      </c>
      <c r="H20" s="15">
        <v>207743</v>
      </c>
      <c r="I20" s="15">
        <v>3143</v>
      </c>
      <c r="J20" s="15">
        <v>12863</v>
      </c>
      <c r="K20" s="15">
        <v>-12126</v>
      </c>
      <c r="L20" s="15">
        <v>0</v>
      </c>
      <c r="M20" s="15">
        <v>0</v>
      </c>
      <c r="N20" s="15">
        <f>AVERAGE(C17:C20)</f>
        <v>3246.75</v>
      </c>
      <c r="O20" s="15"/>
      <c r="P20" s="16"/>
      <c r="Q20" s="16">
        <f>((D20+E20)/C20)</f>
        <v>0.381704685573366</v>
      </c>
      <c r="R20" s="16">
        <f>AVERAGE(Q17:Q20)</f>
        <v>0.3786822067623</v>
      </c>
      <c r="S20" s="17"/>
      <c r="T20" s="15">
        <f>SUM(J17:K20)/4</f>
        <v>-1612.75</v>
      </c>
      <c r="U20" s="17"/>
      <c r="V20" s="15">
        <f>-(L20+M20)+V19</f>
        <v>755</v>
      </c>
      <c r="W20" s="17"/>
      <c r="X20" s="15">
        <f>F20-G20</f>
        <v>-166945.1</v>
      </c>
      <c r="Y20" s="15"/>
      <c r="Z20" s="15">
        <v>880</v>
      </c>
      <c r="AA20" s="17"/>
    </row>
    <row r="21" ht="20.05" customHeight="1">
      <c r="B21" s="13"/>
      <c r="C21" s="14">
        <v>3124</v>
      </c>
      <c r="D21" s="15">
        <v>181.25</v>
      </c>
      <c r="E21" s="15">
        <v>958</v>
      </c>
      <c r="F21" s="15">
        <v>8288.1</v>
      </c>
      <c r="G21" s="15">
        <v>169832</v>
      </c>
      <c r="H21" s="15">
        <v>201115</v>
      </c>
      <c r="I21" s="15">
        <v>3478</v>
      </c>
      <c r="J21" s="15">
        <v>-678.8</v>
      </c>
      <c r="K21" s="15">
        <v>-1084</v>
      </c>
      <c r="L21" s="15">
        <v>-535</v>
      </c>
      <c r="M21" s="15">
        <v>0</v>
      </c>
      <c r="N21" s="15">
        <f>AVERAGE(C18:C21)</f>
        <v>3225.5</v>
      </c>
      <c r="O21" s="15"/>
      <c r="P21" s="16">
        <f>C21/C20-1</f>
        <v>-0.0369913686806412</v>
      </c>
      <c r="Q21" s="16">
        <f>((D21+E21)/C21)</f>
        <v>0.364676696542894</v>
      </c>
      <c r="R21" s="16">
        <f>AVERAGE(Q18:Q21)</f>
        <v>0.385849355344892</v>
      </c>
      <c r="S21" s="17"/>
      <c r="T21" s="15">
        <f>SUM(J18:K21)/4</f>
        <v>-1924.95</v>
      </c>
      <c r="U21" s="17"/>
      <c r="V21" s="15">
        <f>-(L21+M21)+V20</f>
        <v>1290</v>
      </c>
      <c r="W21" s="17"/>
      <c r="X21" s="15">
        <f>F21-G21</f>
        <v>-161543.9</v>
      </c>
      <c r="Y21" s="15"/>
      <c r="Z21" s="15">
        <v>775</v>
      </c>
      <c r="AA21" s="17"/>
    </row>
    <row r="22" ht="20.05" customHeight="1">
      <c r="B22" s="13"/>
      <c r="C22" s="14">
        <v>2975</v>
      </c>
      <c r="D22" s="15">
        <v>627.25</v>
      </c>
      <c r="E22" s="15">
        <v>562</v>
      </c>
      <c r="F22" s="15">
        <v>16802.75</v>
      </c>
      <c r="G22" s="15">
        <v>179465</v>
      </c>
      <c r="H22" s="15">
        <v>211283</v>
      </c>
      <c r="I22" s="15">
        <v>3314</v>
      </c>
      <c r="J22" s="15">
        <v>7892.6</v>
      </c>
      <c r="K22" s="15">
        <v>1052</v>
      </c>
      <c r="L22" s="15">
        <v>-341.95</v>
      </c>
      <c r="M22" s="15">
        <v>0</v>
      </c>
      <c r="N22" s="15">
        <f>AVERAGE(C19:C22)</f>
        <v>3159.25</v>
      </c>
      <c r="O22" s="23"/>
      <c r="P22" s="16">
        <f>C22/C21-1</f>
        <v>-0.0476952624839949</v>
      </c>
      <c r="Q22" s="16">
        <f>((D22+E22)/C22)</f>
        <v>0.399747899159664</v>
      </c>
      <c r="R22" s="16">
        <f>AVERAGE(Q19:Q22)</f>
        <v>0.384532472110117</v>
      </c>
      <c r="S22" s="17"/>
      <c r="T22" s="15">
        <f>SUM(J19:K22)/4</f>
        <v>1088.95</v>
      </c>
      <c r="U22" s="17"/>
      <c r="V22" s="15">
        <f>-(L22+M22)+V21</f>
        <v>1631.95</v>
      </c>
      <c r="W22" s="17"/>
      <c r="X22" s="15">
        <f>F22-G22</f>
        <v>-162662.25</v>
      </c>
      <c r="Y22" s="15"/>
      <c r="Z22" s="15">
        <v>685</v>
      </c>
      <c r="AA22" s="17"/>
    </row>
    <row r="23" ht="20.05" customHeight="1">
      <c r="B23" s="13"/>
      <c r="C23" s="14">
        <v>3178</v>
      </c>
      <c r="D23" s="15">
        <v>990.25</v>
      </c>
      <c r="E23" s="15">
        <v>485</v>
      </c>
      <c r="F23" s="15">
        <v>12061.35</v>
      </c>
      <c r="G23" s="15">
        <v>182068</v>
      </c>
      <c r="H23" s="15">
        <v>214396</v>
      </c>
      <c r="I23" s="15">
        <v>3621</v>
      </c>
      <c r="J23" s="15">
        <v>4708.6</v>
      </c>
      <c r="K23" s="15">
        <v>-9419</v>
      </c>
      <c r="L23" s="15">
        <v>0</v>
      </c>
      <c r="M23" s="15">
        <v>0</v>
      </c>
      <c r="N23" s="15">
        <f>AVERAGE(C20:C23)</f>
        <v>3130.25</v>
      </c>
      <c r="O23" s="23"/>
      <c r="P23" s="16">
        <f>C23/C22-1</f>
        <v>0.0682352941176471</v>
      </c>
      <c r="Q23" s="16">
        <f>((D23+E23)/C23)</f>
        <v>0.46420704845815</v>
      </c>
      <c r="R23" s="16">
        <f>AVERAGE(Q20:Q23)</f>
        <v>0.402584082433519</v>
      </c>
      <c r="S23" s="17"/>
      <c r="T23" s="15">
        <f>SUM(J20:K23)/4</f>
        <v>802.1</v>
      </c>
      <c r="U23" s="17"/>
      <c r="V23" s="15">
        <f>-(L23+M23)+V22</f>
        <v>1631.95</v>
      </c>
      <c r="W23" s="17"/>
      <c r="X23" s="15">
        <f>F23-G23</f>
        <v>-170006.65</v>
      </c>
      <c r="Y23" s="15"/>
      <c r="Z23" s="15">
        <v>670</v>
      </c>
      <c r="AA23" s="17"/>
    </row>
    <row r="24" ht="20.05" customHeight="1">
      <c r="B24" s="21">
        <v>2022</v>
      </c>
      <c r="C24" s="14">
        <v>3445.1</v>
      </c>
      <c r="D24" s="15">
        <v>635.1</v>
      </c>
      <c r="E24" s="15">
        <v>621.2</v>
      </c>
      <c r="F24" s="15">
        <v>13464.4</v>
      </c>
      <c r="G24" s="15">
        <v>193141</v>
      </c>
      <c r="H24" s="15">
        <v>225703</v>
      </c>
      <c r="I24" s="15">
        <v>3293</v>
      </c>
      <c r="J24" s="15">
        <v>-13161.6</v>
      </c>
      <c r="K24" s="15">
        <v>14493.1</v>
      </c>
      <c r="L24" s="15">
        <v>0</v>
      </c>
      <c r="M24" s="15">
        <v>0</v>
      </c>
      <c r="N24" s="15">
        <f>AVERAGE(C21:C24)</f>
        <v>3180.525</v>
      </c>
      <c r="O24" s="23"/>
      <c r="P24" s="16">
        <f>C24/C23-1</f>
        <v>0.08404657016991821</v>
      </c>
      <c r="Q24" s="16">
        <f>((D24+E24)/C24)</f>
        <v>0.364662854488984</v>
      </c>
      <c r="R24" s="16">
        <f>AVERAGE(Q21:Q24)</f>
        <v>0.398323624662423</v>
      </c>
      <c r="S24" s="35"/>
      <c r="T24" s="15">
        <f>SUM(J21:K24)/4</f>
        <v>950.725</v>
      </c>
      <c r="U24" s="15"/>
      <c r="V24" s="15">
        <f>-(L24+M24)+V23</f>
        <v>1631.95</v>
      </c>
      <c r="W24" s="15"/>
      <c r="X24" s="15">
        <f>F24-G24</f>
        <v>-179676.6</v>
      </c>
      <c r="Y24" s="15"/>
      <c r="Z24" s="15">
        <v>650</v>
      </c>
      <c r="AA24" s="17"/>
    </row>
    <row r="25" ht="20.05" customHeight="1">
      <c r="B25" s="13"/>
      <c r="C25" s="14">
        <v>3421.8</v>
      </c>
      <c r="D25" s="15">
        <v>141.9</v>
      </c>
      <c r="E25" s="15">
        <v>1028.1</v>
      </c>
      <c r="F25" s="15">
        <v>28919</v>
      </c>
      <c r="G25" s="15">
        <v>190654</v>
      </c>
      <c r="H25" s="15">
        <v>223440</v>
      </c>
      <c r="I25" s="15">
        <v>3471.1</v>
      </c>
      <c r="J25" s="15">
        <v>14524</v>
      </c>
      <c r="K25" s="15">
        <v>1161.2</v>
      </c>
      <c r="L25" s="15">
        <v>0</v>
      </c>
      <c r="M25" s="15">
        <v>-504.8</v>
      </c>
      <c r="N25" s="15">
        <f>AVERAGE(C22:C25)</f>
        <v>3254.975</v>
      </c>
      <c r="O25" s="23"/>
      <c r="P25" s="16">
        <f>C25/C24-1</f>
        <v>-0.00676322893384807</v>
      </c>
      <c r="Q25" s="16">
        <f>((D25+E25)/C25)</f>
        <v>0.341925302472383</v>
      </c>
      <c r="R25" s="16">
        <f>AVERAGE(Q22:Q25)</f>
        <v>0.392635776144795</v>
      </c>
      <c r="S25" s="35"/>
      <c r="T25" s="15">
        <f>SUM(J22:K25)/4</f>
        <v>5312.725</v>
      </c>
      <c r="U25" s="15">
        <v>517.266324419838</v>
      </c>
      <c r="V25" s="15">
        <f>-(L25+M25)+V24</f>
        <v>2136.75</v>
      </c>
      <c r="W25" s="15"/>
      <c r="X25" s="15">
        <f>F25-G25</f>
        <v>-161735</v>
      </c>
      <c r="Y25" s="15"/>
      <c r="Z25" s="15">
        <v>635</v>
      </c>
      <c r="AA25" s="17"/>
    </row>
    <row r="26" ht="20.05" customHeight="1">
      <c r="B26" s="13"/>
      <c r="C26" s="14">
        <f>C28-C25-C24</f>
        <v>2956.1</v>
      </c>
      <c r="D26" s="15">
        <f>D28-D25-D24</f>
        <v>448</v>
      </c>
      <c r="E26" s="15">
        <f>E28-E25-E24</f>
        <v>898.7</v>
      </c>
      <c r="F26" s="15">
        <v>11363</v>
      </c>
      <c r="G26" s="15">
        <v>187211</v>
      </c>
      <c r="H26" s="15">
        <v>220390</v>
      </c>
      <c r="I26" s="15">
        <f>I28-I25-I24</f>
        <v>3201.9</v>
      </c>
      <c r="J26" s="15">
        <f>J28-J25-J24</f>
        <v>-11188.4</v>
      </c>
      <c r="K26" s="15">
        <f>K28-K25-K24</f>
        <v>-6534.3</v>
      </c>
      <c r="L26" s="15">
        <f>L28-L25-L24</f>
        <v>0</v>
      </c>
      <c r="M26" s="15">
        <f>M28-M25-M24</f>
        <v>-0.2</v>
      </c>
      <c r="N26" s="15">
        <f>AVERAGE(C23:C26)</f>
        <v>3250.25</v>
      </c>
      <c r="O26" s="23">
        <v>3261.209</v>
      </c>
      <c r="P26" s="16">
        <f>C26/C25-1</f>
        <v>-0.136097960137939</v>
      </c>
      <c r="Q26" s="16">
        <f>((D26+E26)/C26)</f>
        <v>0.455566455803254</v>
      </c>
      <c r="R26" s="16">
        <f>AVERAGE(Q23:Q26)</f>
        <v>0.406590415305693</v>
      </c>
      <c r="S26" s="35">
        <f>S27</f>
        <v>0.406590415305693</v>
      </c>
      <c r="T26" s="15">
        <f>SUM(J23:K26)/4</f>
        <v>-1354.1</v>
      </c>
      <c r="U26" s="15">
        <v>324.984470776009</v>
      </c>
      <c r="V26" s="15">
        <f>-(L26+M26)+V25</f>
        <v>2136.95</v>
      </c>
      <c r="W26" s="15">
        <f>W27</f>
        <v>3353.478496019610</v>
      </c>
      <c r="X26" s="15">
        <f>F26-G26</f>
        <v>-175848</v>
      </c>
      <c r="Y26" s="15">
        <f>X26</f>
        <v>-175848</v>
      </c>
      <c r="Z26" s="15">
        <v>725</v>
      </c>
      <c r="AA26" s="23">
        <v>796.675849388613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AVERAGE(AC37:AF37)</f>
        <v>3344.183045371</v>
      </c>
      <c r="P27" s="17"/>
      <c r="Q27" s="17"/>
      <c r="R27" s="17"/>
      <c r="S27" s="35">
        <f>AC38</f>
        <v>0.406590415305693</v>
      </c>
      <c r="T27" s="17"/>
      <c r="U27" s="15">
        <f>SUM(AC40:AF40)/4</f>
        <v>1284.962773275650</v>
      </c>
      <c r="V27" s="17"/>
      <c r="W27" s="15">
        <f>-SUM(AC61:AF61)+V26</f>
        <v>3353.478496019610</v>
      </c>
      <c r="X27" s="17"/>
      <c r="Y27" s="15">
        <f>AF60</f>
        <v>-171849.804234828</v>
      </c>
      <c r="Z27" s="15">
        <v>745</v>
      </c>
      <c r="AA27" s="23">
        <v>1066.313010788660</v>
      </c>
    </row>
    <row r="28" ht="20.05" customHeight="1">
      <c r="B28" s="21">
        <v>2023</v>
      </c>
      <c r="C28" s="14">
        <f>8746+319+758</f>
        <v>9823</v>
      </c>
      <c r="D28" s="15">
        <f>1040+185</f>
        <v>1225</v>
      </c>
      <c r="E28" s="15">
        <v>2548</v>
      </c>
      <c r="F28" s="15"/>
      <c r="G28" s="15"/>
      <c r="H28" s="15"/>
      <c r="I28" s="15">
        <f>8539+316+991+120</f>
        <v>9966</v>
      </c>
      <c r="J28" s="15">
        <v>-9826</v>
      </c>
      <c r="K28" s="15">
        <v>9120</v>
      </c>
      <c r="L28" s="15"/>
      <c r="M28" s="15">
        <v>-505</v>
      </c>
      <c r="N28" s="15">
        <f>SUM(N26)</f>
        <v>3250.25</v>
      </c>
      <c r="O28" s="15">
        <f>SUM(O26)</f>
        <v>3261.209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AF73</f>
        <v>896.018092695311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1" ht="27.65" customHeight="1">
      <c r="AB31" t="s" s="2">
        <v>346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ht="20.25" customHeight="1">
      <c r="AB32" t="s" s="28">
        <v>366</v>
      </c>
      <c r="AC32" t="s" s="29">
        <v>24</v>
      </c>
      <c r="AD32" t="s" s="29">
        <v>25</v>
      </c>
      <c r="AE32" t="s" s="29">
        <v>26</v>
      </c>
      <c r="AF32" t="s" s="29">
        <v>23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</row>
    <row r="33" ht="20.25" customHeight="1">
      <c r="AB33" t="s" s="31">
        <v>15</v>
      </c>
      <c r="AC33" s="32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ht="20.05" customHeight="1">
      <c r="AB34" t="s" s="33">
        <v>27</v>
      </c>
      <c r="AC34" s="71">
        <f>AVERAGE(P23:P26)</f>
        <v>0.00235516880394456</v>
      </c>
      <c r="AD34" s="35"/>
      <c r="AE34" s="35"/>
      <c r="AF34" s="35">
        <f>AVERAGE(AC36:AF36)</f>
        <v>0.0375</v>
      </c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</row>
    <row r="35" ht="8.35" customHeight="1" hidden="1">
      <c r="AB35" s="36"/>
      <c r="AC35" s="37">
        <f>P23</f>
        <v>0.0682352941176471</v>
      </c>
      <c r="AD35" s="35">
        <f>P24</f>
        <v>0.08404657016991821</v>
      </c>
      <c r="AE35" s="35">
        <f>P25</f>
        <v>-0.00676322893384807</v>
      </c>
      <c r="AF35" s="35">
        <f>P26</f>
        <v>-0.136097960137939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</row>
    <row r="36" ht="20.05" customHeight="1">
      <c r="AB36" t="s" s="33">
        <v>13</v>
      </c>
      <c r="AC36" s="37">
        <v>0.07000000000000001</v>
      </c>
      <c r="AD36" s="35">
        <v>0.08</v>
      </c>
      <c r="AE36" s="35">
        <v>-0.01</v>
      </c>
      <c r="AF36" s="35">
        <v>0.01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20.05" customHeight="1">
      <c r="AB37" t="s" s="33">
        <v>28</v>
      </c>
      <c r="AC37" s="38">
        <f>C26*(1+AC36)</f>
        <v>3163.027</v>
      </c>
      <c r="AD37" s="23">
        <f>AC37*(1+AD36)</f>
        <v>3416.06916</v>
      </c>
      <c r="AE37" s="23">
        <f>AD37*(1+AE36)</f>
        <v>3381.9084684</v>
      </c>
      <c r="AF37" s="23">
        <f>AE37*(1+AF36)</f>
        <v>3415.727553084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</row>
    <row r="38" ht="20.05" customHeight="1">
      <c r="AB38" t="s" s="33">
        <v>14</v>
      </c>
      <c r="AC38" s="37">
        <f>AVERAGE(R26)</f>
        <v>0.406590415305693</v>
      </c>
      <c r="AD38" s="35">
        <f>AC38</f>
        <v>0.406590415305693</v>
      </c>
      <c r="AE38" s="35">
        <f>AD38</f>
        <v>0.406590415305693</v>
      </c>
      <c r="AF38" s="35">
        <f>AE38</f>
        <v>0.406590415305693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B39" t="s" s="33">
        <v>29</v>
      </c>
      <c r="AC39" s="14">
        <f>AVERAGE(K23:K26)</f>
        <v>-74.75</v>
      </c>
      <c r="AD39" s="15">
        <f>AC39</f>
        <v>-74.75</v>
      </c>
      <c r="AE39" s="15">
        <f>AD39</f>
        <v>-74.75</v>
      </c>
      <c r="AF39" s="15">
        <f>AE39</f>
        <v>-74.75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ht="20.05" customHeight="1">
      <c r="AB40" t="s" s="33">
        <v>30</v>
      </c>
      <c r="AC40" s="14">
        <f>(AC37*AC38)+AC39</f>
        <v>1211.306461553120</v>
      </c>
      <c r="AD40" s="15">
        <f>(AD37*AD38)+AD39</f>
        <v>1314.190978477370</v>
      </c>
      <c r="AE40" s="15">
        <f>(AE37*AE38)+AE39</f>
        <v>1300.3015686926</v>
      </c>
      <c r="AF40" s="15">
        <f>(AF37*AF38)+AF39</f>
        <v>1314.052084379520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ht="20.05" customHeight="1">
      <c r="AB41" t="s" s="33">
        <v>31</v>
      </c>
      <c r="AC41" s="14">
        <f>-G26/10000</f>
        <v>-18.7211</v>
      </c>
      <c r="AD41" s="15">
        <f>-AC56/10000</f>
        <v>-18.71922789</v>
      </c>
      <c r="AE41" s="15">
        <f>-AD56/10000</f>
        <v>-18.717355967211</v>
      </c>
      <c r="AF41" s="15">
        <f>-AE56/10000</f>
        <v>-18.7154842316143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ht="20.05" customHeight="1">
      <c r="AB42" t="s" s="33">
        <v>32</v>
      </c>
      <c r="AC42" s="39">
        <v>-0.3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ht="20.05" customHeight="1">
      <c r="AB43" t="s" s="33">
        <v>33</v>
      </c>
      <c r="AC43" s="14">
        <f>IF(AC51&gt;0,AC51*$AC$42,0)</f>
        <v>-263.316938465936</v>
      </c>
      <c r="AD43" s="15">
        <f>IF(AD51&gt;0,AD51*$AC$42,0)</f>
        <v>-294.182293543211</v>
      </c>
      <c r="AE43" s="15">
        <f>IF(AE51&gt;0,AE51*$AC$42,0)</f>
        <v>-290.015470607779</v>
      </c>
      <c r="AF43" s="15">
        <f>IF(AF51&gt;0,AF51*$AC$42,0)</f>
        <v>-294.140625313857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34</v>
      </c>
      <c r="AC44" s="14">
        <f>AC40+AC41+AC43</f>
        <v>929.268423087184</v>
      </c>
      <c r="AD44" s="15">
        <f>AD40+AD41+AD43</f>
        <v>1001.289457044160</v>
      </c>
      <c r="AE44" s="15">
        <f>AE40+AE41+AE43</f>
        <v>991.568742117610</v>
      </c>
      <c r="AF44" s="15">
        <f>AF40+AF41+AF43</f>
        <v>1001.195974834050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35</v>
      </c>
      <c r="AC45" s="14">
        <f>-MIN(0,AC44)</f>
        <v>0</v>
      </c>
      <c r="AD45" s="15">
        <f>-MIN(AC57,AD44)</f>
        <v>0</v>
      </c>
      <c r="AE45" s="15">
        <f>-MIN(AD57,AE44)</f>
        <v>0</v>
      </c>
      <c r="AF45" s="15">
        <f>-MIN(AE57,AF44)</f>
        <v>0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36</v>
      </c>
      <c r="AC46" s="14">
        <f>F26</f>
        <v>11363</v>
      </c>
      <c r="AD46" s="15">
        <f>AC48</f>
        <v>12292.2684230872</v>
      </c>
      <c r="AE46" s="15">
        <f>AD48</f>
        <v>13293.5578801314</v>
      </c>
      <c r="AF46" s="15">
        <f>AE48</f>
        <v>14285.126622249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37</v>
      </c>
      <c r="AC47" s="14">
        <f>AC40+AC41+AC43+AC45</f>
        <v>929.268423087184</v>
      </c>
      <c r="AD47" s="15">
        <f>AD40+AD41+AD43+AD45</f>
        <v>1001.289457044160</v>
      </c>
      <c r="AE47" s="15">
        <f>AE40+AE41+AE43+AE45</f>
        <v>991.568742117610</v>
      </c>
      <c r="AF47" s="15">
        <f>AF40+AF41+AF43+AF45</f>
        <v>1001.195974834050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38</v>
      </c>
      <c r="AC48" s="14">
        <f>AC46+AC47</f>
        <v>12292.2684230872</v>
      </c>
      <c r="AD48" s="15">
        <f>AD46+AD47</f>
        <v>13293.5578801314</v>
      </c>
      <c r="AE48" s="15">
        <f>AE46+AE47</f>
        <v>14285.126622249</v>
      </c>
      <c r="AF48" s="15">
        <f>AF46+AF47</f>
        <v>15286.3225970831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41">
        <v>4</v>
      </c>
      <c r="AC49" s="14"/>
      <c r="AD49" s="15"/>
      <c r="AE49" s="15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ht="20.05" customHeight="1">
      <c r="AB50" t="s" s="33">
        <v>3</v>
      </c>
      <c r="AC50" s="14">
        <f>-AVERAGE(D24:D26)</f>
        <v>-408.333333333333</v>
      </c>
      <c r="AD50" s="15">
        <f>AC50</f>
        <v>-408.333333333333</v>
      </c>
      <c r="AE50" s="15">
        <f>AD50</f>
        <v>-408.333333333333</v>
      </c>
      <c r="AF50" s="15">
        <f>AE50</f>
        <v>-408.333333333333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4</v>
      </c>
      <c r="AC51" s="14">
        <f>(AC37*AC38)+AC50</f>
        <v>877.723128219787</v>
      </c>
      <c r="AD51" s="15">
        <f>(AD37*AD38)+AD50</f>
        <v>980.607645144037</v>
      </c>
      <c r="AE51" s="15">
        <f>(AE37*AE38)+AE50</f>
        <v>966.718235359263</v>
      </c>
      <c r="AF51" s="15">
        <f>(AF37*AF38)+AF50</f>
        <v>980.468751046189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41">
        <v>39</v>
      </c>
      <c r="AC52" s="14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40</v>
      </c>
      <c r="AC53" s="14">
        <f>H26-F26-AC39</f>
        <v>209101.75</v>
      </c>
      <c r="AD53" s="15">
        <f>AC53-AD39</f>
        <v>209176.5</v>
      </c>
      <c r="AE53" s="15">
        <f>AD53-AE39</f>
        <v>209251.25</v>
      </c>
      <c r="AF53" s="15">
        <f>AE53-AF39</f>
        <v>209326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33">
        <v>41</v>
      </c>
      <c r="AC54" s="14">
        <f>0-AC50</f>
        <v>408.333333333333</v>
      </c>
      <c r="AD54" s="15">
        <f>AC54-AD50</f>
        <v>816.6666666666659</v>
      </c>
      <c r="AE54" s="15">
        <f>AD54-AE50</f>
        <v>1225</v>
      </c>
      <c r="AF54" s="15">
        <f>AE54-AF50</f>
        <v>1633.333333333330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42</v>
      </c>
      <c r="AC55" s="14">
        <f>AC53-AC54</f>
        <v>208693.416666667</v>
      </c>
      <c r="AD55" s="15">
        <f>AD53-AD54</f>
        <v>208359.833333333</v>
      </c>
      <c r="AE55" s="15">
        <f>AE53-AE54</f>
        <v>208026.25</v>
      </c>
      <c r="AF55" s="15">
        <f>AF53-AF54</f>
        <v>207692.666666667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6</v>
      </c>
      <c r="AC56" s="14">
        <f>G26+AC41</f>
        <v>187192.2789</v>
      </c>
      <c r="AD56" s="15">
        <f>AC56+AD41</f>
        <v>187173.55967211</v>
      </c>
      <c r="AE56" s="15">
        <f>AD56+AE41</f>
        <v>187154.842316143</v>
      </c>
      <c r="AF56" s="15">
        <f>AE56+AF41</f>
        <v>187136.126831911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35</v>
      </c>
      <c r="AC57" s="14">
        <f>AC45</f>
        <v>0</v>
      </c>
      <c r="AD57" s="15">
        <f>AC57+AD45</f>
        <v>0</v>
      </c>
      <c r="AE57" s="15">
        <f>AD57+AE45</f>
        <v>0</v>
      </c>
      <c r="AF57" s="15">
        <f>AE57+AF45</f>
        <v>0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11</v>
      </c>
      <c r="AC58" s="14">
        <f>(H26-G26)+AC51+AC43</f>
        <v>33793.4061897539</v>
      </c>
      <c r="AD58" s="15">
        <f>AC58+AD51+AD43</f>
        <v>34479.8315413547</v>
      </c>
      <c r="AE58" s="15">
        <f>AD58+AE51+AE43</f>
        <v>35156.5343061062</v>
      </c>
      <c r="AF58" s="15">
        <f>AE58+AF51+AF43</f>
        <v>35842.8624318385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43</v>
      </c>
      <c r="AC59" s="14">
        <f>AC56+AC57+AC58-AC48-AC55</f>
        <v>-3e-10</v>
      </c>
      <c r="AD59" s="15">
        <f>AD56+AD57+AD58-AD48-AD55</f>
        <v>3e-10</v>
      </c>
      <c r="AE59" s="15">
        <f>AE56+AE57+AE58-AE48-AE55</f>
        <v>2e-10</v>
      </c>
      <c r="AF59" s="15">
        <f>AF56+AF57+AF58-AF48-AF55</f>
        <v>-6e-10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18</v>
      </c>
      <c r="AC60" s="14">
        <f>AC48-AC56-AC57</f>
        <v>-174900.010476913</v>
      </c>
      <c r="AD60" s="15">
        <f>AD48-AD56-AD57</f>
        <v>-173880.001791979</v>
      </c>
      <c r="AE60" s="15">
        <f>AE48-AE56-AE57</f>
        <v>-172869.715693894</v>
      </c>
      <c r="AF60" s="15">
        <f>AF48-AF56-AF57</f>
        <v>-171849.804234828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44</v>
      </c>
      <c r="AC61" s="14">
        <f>AC41+AC43+AC45</f>
        <v>-282.038038465936</v>
      </c>
      <c r="AD61" s="15">
        <f>AD41+AD43+AD45</f>
        <v>-312.901521433211</v>
      </c>
      <c r="AE61" s="15">
        <f>AE41+AE43+AE45</f>
        <v>-308.732826574990</v>
      </c>
      <c r="AF61" s="15">
        <f>AF41+AF43+AF45</f>
        <v>-312.856109545471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45</v>
      </c>
      <c r="AC62" s="14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346</v>
      </c>
      <c r="AC63" s="14"/>
      <c r="AD63" s="15"/>
      <c r="AE63" s="15"/>
      <c r="AF63" s="15">
        <v>745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8.35" customHeight="1" hidden="1">
      <c r="AB64" t="s" s="33">
        <f>$AB63</f>
        <v>702</v>
      </c>
      <c r="AC64" s="14"/>
      <c r="AD64" s="15"/>
      <c r="AE64" s="15"/>
      <c r="AF64" s="15">
        <v>17094248857600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46</v>
      </c>
      <c r="AC65" s="14"/>
      <c r="AD65" s="15"/>
      <c r="AE65" s="15"/>
      <c r="AF65" s="15">
        <f>AF64/1000000000</f>
        <v>17094.2488576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47</v>
      </c>
      <c r="AC66" s="14"/>
      <c r="AD66" s="15"/>
      <c r="AE66" s="15"/>
      <c r="AF66" s="15">
        <f>AF65/AF63</f>
        <v>22.94530048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48</v>
      </c>
      <c r="AC67" s="14"/>
      <c r="AD67" s="15"/>
      <c r="AE67" s="15"/>
      <c r="AF67" s="43">
        <f>AF65/(AF48+AF55)</f>
        <v>0.0766630475545842</v>
      </c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</row>
    <row r="68" ht="20.05" customHeight="1">
      <c r="AB68" t="s" s="33">
        <v>49</v>
      </c>
      <c r="AC68" s="14"/>
      <c r="AD68" s="15"/>
      <c r="AE68" s="15"/>
      <c r="AF68" s="16">
        <f>-(AC43+AD43+AE43+AF43)/AF65</f>
        <v>0.0667859311889689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ht="20.05" customHeight="1">
      <c r="AB69" t="s" s="33">
        <v>50</v>
      </c>
      <c r="AC69" s="14"/>
      <c r="AD69" s="15"/>
      <c r="AE69" s="15"/>
      <c r="AF69" s="15">
        <f>SUM(AC40:AF40)</f>
        <v>5139.851093102610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51</v>
      </c>
      <c r="AC70" s="14"/>
      <c r="AD70" s="15"/>
      <c r="AE70" s="15"/>
      <c r="AF70" s="15">
        <f>(H26+F26)/AF69</f>
        <v>45.0894385463811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52</v>
      </c>
      <c r="AC71" s="14"/>
      <c r="AD71" s="15"/>
      <c r="AE71" s="15">
        <f>AF65/AF69</f>
        <v>3.32582569960821</v>
      </c>
      <c r="AF71" s="15">
        <v>4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53</v>
      </c>
      <c r="AC72" s="14"/>
      <c r="AD72" s="15"/>
      <c r="AE72" s="15"/>
      <c r="AF72" s="15">
        <f>AF69*AF71</f>
        <v>20559.4043724104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B73" t="s" s="33">
        <v>54</v>
      </c>
      <c r="AC73" s="14"/>
      <c r="AD73" s="15"/>
      <c r="AE73" s="15"/>
      <c r="AF73" s="15">
        <f>(AF72/AF66)</f>
        <v>896.018092695311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55</v>
      </c>
      <c r="AC74" s="38"/>
      <c r="AD74" s="23"/>
      <c r="AE74" s="23"/>
      <c r="AF74" s="16">
        <f>AF73/AF63-1</f>
        <v>0.202708849255451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ht="20.05" customHeight="1">
      <c r="AB75" t="s" s="33">
        <v>56</v>
      </c>
      <c r="AC75" s="38"/>
      <c r="AD75" s="23"/>
      <c r="AE75" s="23"/>
      <c r="AF75" s="16">
        <f>C26/C22-1</f>
        <v>-0.00635294117647059</v>
      </c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ht="20.05" customHeight="1">
      <c r="AB76" t="s" s="33">
        <v>57</v>
      </c>
      <c r="AC76" s="38"/>
      <c r="AD76" s="23"/>
      <c r="AE76" s="23"/>
      <c r="AF76" s="16">
        <f>O28/N28-1</f>
        <v>0.00337174063533574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ht="8.35" customHeight="1" hidden="1">
      <c r="AB77" s="36"/>
      <c r="AC77" s="38"/>
      <c r="AD77" s="23"/>
      <c r="AE77" s="23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8.35" customHeight="1" hidden="1">
      <c r="AB78" s="36"/>
      <c r="AC78" s="38"/>
      <c r="AD78" s="23"/>
      <c r="AE78" s="23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8.35" customHeight="1" hidden="1">
      <c r="AB79" s="36"/>
      <c r="AC79" t="s" s="45">
        <f>$AB63</f>
        <v>702</v>
      </c>
      <c r="AD79" t="s" s="44">
        <v>60</v>
      </c>
      <c r="AE79" s="26">
        <f>AF63</f>
        <v>745</v>
      </c>
      <c r="AF79" t="s" s="44">
        <v>61</v>
      </c>
      <c r="AG79" s="26">
        <f>AF73</f>
        <v>896.018092695311</v>
      </c>
      <c r="AH79" t="s" s="44">
        <f>IF(AI79&gt;0,"+","")</f>
        <v>361</v>
      </c>
      <c r="AI79" s="16">
        <f>AG79/AE79-1</f>
        <v>0.202708849255451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ht="8.35" customHeight="1" hidden="1">
      <c r="AB80" s="36"/>
      <c r="AC80" s="46">
        <f>TODAY()</f>
        <v>44942</v>
      </c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ht="8.35" customHeight="1" hidden="1">
      <c r="AB81" s="36"/>
      <c r="AC81" t="s" s="45">
        <v>62</v>
      </c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ht="8.35" customHeight="1" hidden="1">
      <c r="AB82" s="36"/>
      <c r="AC82" t="s" s="45">
        <v>63</v>
      </c>
      <c r="AD82" t="s" s="44">
        <v>64</v>
      </c>
      <c r="AE82" t="s" s="44">
        <f>IF(AF82&gt;0,"+","")</f>
      </c>
      <c r="AF82" s="16">
        <f>AG89/AC89-1</f>
        <v>-0.00635294117647059</v>
      </c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8.35" customHeight="1" hidden="1">
      <c r="AB83" s="36"/>
      <c r="AC83" t="s" s="45">
        <v>63</v>
      </c>
      <c r="AD83" t="s" s="44">
        <v>65</v>
      </c>
      <c r="AE83" t="s" s="44">
        <f>IF(AF83&gt;0,"+","")</f>
      </c>
      <c r="AF83" s="16">
        <f>SUM(AD102:AG103)/AD119</f>
        <v>-0.316855104024761</v>
      </c>
      <c r="AG83" t="s" s="44">
        <v>66</v>
      </c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8.35" customHeight="1" hidden="1">
      <c r="AB84" s="36"/>
      <c r="AC84" t="s" s="45">
        <v>63</v>
      </c>
      <c r="AD84" t="s" s="44">
        <v>17</v>
      </c>
      <c r="AE84" t="s" s="44">
        <f>IF(AF84&gt;0,"+","")</f>
        <v>361</v>
      </c>
      <c r="AF84" s="16">
        <f>SUM(AD116:AG117)/AD119</f>
        <v>0.0295420994632051</v>
      </c>
      <c r="AG84" t="s" s="44">
        <f>AG83</f>
        <v>66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8.35" customHeight="1" hidden="1">
      <c r="AB85" s="36"/>
      <c r="AC85" t="s" s="45">
        <v>68</v>
      </c>
      <c r="AD85" t="s" s="44">
        <v>369</v>
      </c>
      <c r="AE85" s="16">
        <f>AN112/AD119</f>
        <v>-10.286968527536</v>
      </c>
      <c r="AF85" t="s" s="44">
        <f>AG84</f>
        <v>66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8.35" customHeight="1" hidden="1">
      <c r="AB86" s="36"/>
      <c r="AC86" t="s" s="45">
        <v>28</v>
      </c>
      <c r="AD86" t="s" s="44">
        <f>AD90</f>
        <v>370</v>
      </c>
      <c r="AE86" s="16">
        <f>AE90</f>
        <v>-0.136097960137939</v>
      </c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8.35" customHeight="1" hidden="1">
      <c r="AB87" s="36"/>
      <c r="AC87" t="s" s="45">
        <v>70</v>
      </c>
      <c r="AD87" t="s" s="44">
        <v>371</v>
      </c>
      <c r="AE87" t="s" s="44">
        <f>AK90</f>
        <v>372</v>
      </c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8.35" customHeight="1" hidden="1">
      <c r="AB88" s="36"/>
      <c r="AC88" s="71">
        <f>P22</f>
        <v>-0.0476952624839949</v>
      </c>
      <c r="AD88" s="16">
        <f>P23</f>
        <v>0.0682352941176471</v>
      </c>
      <c r="AE88" s="16">
        <f>P24</f>
        <v>0.08404657016991821</v>
      </c>
      <c r="AF88" s="16">
        <f>P25</f>
        <v>-0.00676322893384807</v>
      </c>
      <c r="AG88" s="16">
        <f>P26</f>
        <v>-0.136097960137939</v>
      </c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8.35" customHeight="1" hidden="1">
      <c r="AB89" s="36"/>
      <c r="AC89" s="14">
        <f>C22</f>
        <v>2975</v>
      </c>
      <c r="AD89" s="26">
        <f>C23</f>
        <v>3178</v>
      </c>
      <c r="AE89" s="26">
        <f>C24</f>
        <v>3445.1</v>
      </c>
      <c r="AF89" s="15">
        <f>C25</f>
        <v>3421.8</v>
      </c>
      <c r="AG89" s="26">
        <f>C26</f>
        <v>2956.1</v>
      </c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8.35" customHeight="1" hidden="1">
      <c r="AB90" s="36"/>
      <c r="AC90" t="s" s="45">
        <v>2</v>
      </c>
      <c r="AD90" t="s" s="44">
        <f>IF(AE90&lt;0,"declined","grew")</f>
        <v>370</v>
      </c>
      <c r="AE90" s="16">
        <f>AG89/AF89-1</f>
        <v>-0.136097960137939</v>
      </c>
      <c r="AF90" t="s" s="44">
        <v>73</v>
      </c>
      <c r="AG90" t="s" s="44">
        <v>74</v>
      </c>
      <c r="AH90" t="s" s="44">
        <v>75</v>
      </c>
      <c r="AI90" t="s" s="44">
        <v>76</v>
      </c>
      <c r="AJ90" s="26">
        <f>AG89</f>
        <v>2956.1</v>
      </c>
      <c r="AK90" t="s" s="44">
        <v>372</v>
      </c>
      <c r="AL90" t="s" s="44">
        <v>378</v>
      </c>
      <c r="AM90" s="16">
        <v>0.0297063450445726</v>
      </c>
      <c r="AN90" t="s" s="44">
        <v>78</v>
      </c>
      <c r="AO90" s="17"/>
      <c r="AP90" s="17"/>
      <c r="AQ90" s="17"/>
      <c r="AR90" s="17"/>
      <c r="AS90" s="17"/>
      <c r="AT90" s="17"/>
    </row>
    <row r="91" ht="8.35" customHeight="1" hidden="1">
      <c r="AB91" s="36"/>
      <c r="AC91" t="s" s="45">
        <v>79</v>
      </c>
      <c r="AD91" s="16">
        <f>AVERAGE(AD88:AG88)</f>
        <v>0.00235516880394456</v>
      </c>
      <c r="AE91" t="s" s="44">
        <v>80</v>
      </c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8.35" customHeight="1" hidden="1">
      <c r="AB92" s="36"/>
      <c r="AC92" t="s" s="45">
        <v>81</v>
      </c>
      <c r="AD92" s="35">
        <f>AF34</f>
        <v>0.0375</v>
      </c>
      <c r="AE92" t="s" s="44">
        <v>82</v>
      </c>
      <c r="AF92" t="s" s="44">
        <v>83</v>
      </c>
      <c r="AG92" s="23">
        <f>AF37</f>
        <v>3415.727553084</v>
      </c>
      <c r="AH92" t="s" s="44">
        <f>AK90</f>
        <v>372</v>
      </c>
      <c r="AI92" t="s" s="44">
        <v>84</v>
      </c>
      <c r="AJ92" t="s" s="44">
        <f>AG90</f>
        <v>74</v>
      </c>
      <c r="AK92" t="s" s="44">
        <f>AH90</f>
        <v>75</v>
      </c>
      <c r="AL92" t="s" s="44">
        <v>85</v>
      </c>
      <c r="AM92" s="17"/>
      <c r="AN92" s="17"/>
      <c r="AO92" s="17"/>
      <c r="AP92" s="17"/>
      <c r="AQ92" s="17"/>
      <c r="AR92" s="17"/>
      <c r="AS92" s="17"/>
      <c r="AT92" s="17"/>
    </row>
    <row r="93" ht="8.35" customHeight="1" hidden="1">
      <c r="AB93" s="36"/>
      <c r="AC93" t="s" s="45">
        <v>14</v>
      </c>
      <c r="AD93" t="s" s="44">
        <f>IF(AF97&lt;AD97,"down","up")</f>
        <v>108</v>
      </c>
      <c r="AE93" t="s" s="44">
        <v>86</v>
      </c>
      <c r="AF93" t="s" s="44">
        <f>IF(AJ97&gt;AH97,"up","down")</f>
        <v>87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8.35" customHeight="1" hidden="1">
      <c r="AB94" s="36"/>
      <c r="AC94" t="s" s="45">
        <f>AC87</f>
        <v>70</v>
      </c>
      <c r="AD94" t="s" s="44">
        <v>88</v>
      </c>
      <c r="AE94" t="s" s="44">
        <f>AK90</f>
        <v>372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8.35" customHeight="1" hidden="1">
      <c r="AB95" s="36"/>
      <c r="AC95" s="71">
        <f>(D22+E22)/C22</f>
        <v>0.399747899159664</v>
      </c>
      <c r="AD95" s="16">
        <f>(D23+E23)/C23</f>
        <v>0.46420704845815</v>
      </c>
      <c r="AE95" s="16">
        <f>((E24+D24)/C24)</f>
        <v>0.364662854488984</v>
      </c>
      <c r="AF95" s="16">
        <f>(D25+E25)/C25</f>
        <v>0.341925302472383</v>
      </c>
      <c r="AG95" s="16">
        <f>(D26+E26)/C26</f>
        <v>0.455566455803254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8.35" customHeight="1" hidden="1">
      <c r="AB96" s="36"/>
      <c r="AC96" s="14">
        <f>E22</f>
        <v>562</v>
      </c>
      <c r="AD96" s="26">
        <f>E23</f>
        <v>485</v>
      </c>
      <c r="AE96" s="26">
        <f>E24</f>
        <v>621.2</v>
      </c>
      <c r="AF96" s="15">
        <f>E25</f>
        <v>1028.1</v>
      </c>
      <c r="AG96" s="26">
        <f>E26</f>
        <v>898.7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8.35" customHeight="1" hidden="1">
      <c r="AB97" s="36"/>
      <c r="AC97" t="s" s="45">
        <v>89</v>
      </c>
      <c r="AD97" s="16">
        <f>AF95</f>
        <v>0.341925302472383</v>
      </c>
      <c r="AE97" t="s" s="44">
        <v>76</v>
      </c>
      <c r="AF97" s="16">
        <f>AG95</f>
        <v>0.455566455803254</v>
      </c>
      <c r="AG97" t="s" s="44">
        <v>90</v>
      </c>
      <c r="AH97" s="26">
        <f>AF96</f>
        <v>1028.1</v>
      </c>
      <c r="AI97" t="s" s="44">
        <v>76</v>
      </c>
      <c r="AJ97" s="26">
        <f>AG96</f>
        <v>898.7</v>
      </c>
      <c r="AK97" t="s" s="44">
        <f>AH92</f>
        <v>372</v>
      </c>
      <c r="AL97" t="s" s="44">
        <v>73</v>
      </c>
      <c r="AM97" t="s" s="44">
        <f>AJ92</f>
        <v>74</v>
      </c>
      <c r="AN97" t="s" s="44">
        <v>91</v>
      </c>
      <c r="AO97" s="17"/>
      <c r="AP97" s="17"/>
      <c r="AQ97" s="17"/>
      <c r="AR97" s="17"/>
      <c r="AS97" s="17"/>
      <c r="AT97" s="17"/>
    </row>
    <row r="98" ht="8.35" customHeight="1" hidden="1">
      <c r="AB98" s="36"/>
      <c r="AC98" t="s" s="45">
        <v>92</v>
      </c>
      <c r="AD98" s="16">
        <f>AVERAGE(AD95:AG95)</f>
        <v>0.406590415305693</v>
      </c>
      <c r="AE98" t="s" s="44">
        <v>78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8.35" customHeight="1" hidden="1">
      <c r="AB99" s="36"/>
      <c r="AC99" t="s" s="45">
        <v>93</v>
      </c>
      <c r="AD99" s="35">
        <f>AC38</f>
        <v>0.406590415305693</v>
      </c>
      <c r="AE99" t="s" s="44">
        <v>94</v>
      </c>
      <c r="AF99" s="15">
        <f>AF51</f>
        <v>980.468751046189</v>
      </c>
      <c r="AG99" t="s" s="44">
        <f>AK97</f>
        <v>372</v>
      </c>
      <c r="AH99" t="s" s="44">
        <v>95</v>
      </c>
      <c r="AI99" t="s" s="44">
        <f>AM97</f>
        <v>74</v>
      </c>
      <c r="AJ99" t="s" s="44">
        <f>AH90</f>
        <v>75</v>
      </c>
      <c r="AK99" t="s" s="44">
        <f>AL92</f>
        <v>85</v>
      </c>
      <c r="AL99" s="17"/>
      <c r="AM99" s="17"/>
      <c r="AN99" s="17"/>
      <c r="AO99" s="17"/>
      <c r="AP99" s="17"/>
      <c r="AQ99" s="17"/>
      <c r="AR99" s="17"/>
      <c r="AS99" s="17"/>
      <c r="AT99" s="17"/>
    </row>
    <row r="100" ht="8.35" customHeight="1" hidden="1">
      <c r="AB100" s="36"/>
      <c r="AC100" t="s" s="45">
        <v>15</v>
      </c>
      <c r="AD100" t="s" s="44">
        <f>IF(AF104&lt;AD104,"lower","higher")</f>
        <v>104</v>
      </c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8.35" customHeight="1" hidden="1">
      <c r="AB101" s="36"/>
      <c r="AC101" t="s" s="45">
        <f>AC94</f>
        <v>70</v>
      </c>
      <c r="AD101" t="s" s="44">
        <v>96</v>
      </c>
      <c r="AE101" t="s" s="44">
        <f>AK90</f>
        <v>372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8.35" customHeight="1" hidden="1">
      <c r="AB102" s="36"/>
      <c r="AC102" s="14">
        <f>J22</f>
        <v>7892.6</v>
      </c>
      <c r="AD102" s="26">
        <f>J23</f>
        <v>4708.6</v>
      </c>
      <c r="AE102" s="26">
        <f>J24</f>
        <v>-13161.6</v>
      </c>
      <c r="AF102" s="15">
        <f>J25</f>
        <v>14524</v>
      </c>
      <c r="AG102" s="26">
        <f>J26</f>
        <v>-11188.4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8.35" customHeight="1" hidden="1">
      <c r="AB103" s="36"/>
      <c r="AC103" s="14">
        <f>K22</f>
        <v>1052</v>
      </c>
      <c r="AD103" s="26">
        <f>K23</f>
        <v>-9419</v>
      </c>
      <c r="AE103" s="26">
        <f>K24</f>
        <v>14493.1</v>
      </c>
      <c r="AF103" s="15">
        <f>K25</f>
        <v>1161.2</v>
      </c>
      <c r="AG103" s="26">
        <f>K26</f>
        <v>-6534.3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B104" s="36"/>
      <c r="AC104" t="s" s="45">
        <v>97</v>
      </c>
      <c r="AD104" s="26">
        <f>AF102+AF103</f>
        <v>15685.2</v>
      </c>
      <c r="AE104" t="s" s="44">
        <v>76</v>
      </c>
      <c r="AF104" s="15">
        <f>AG102+AG103</f>
        <v>-17722.7</v>
      </c>
      <c r="AG104" t="s" s="44">
        <f>AG99</f>
        <v>372</v>
      </c>
      <c r="AH104" t="s" s="44">
        <v>84</v>
      </c>
      <c r="AI104" t="s" s="44">
        <f>AI99</f>
        <v>74</v>
      </c>
      <c r="AJ104" t="s" s="44">
        <v>98</v>
      </c>
      <c r="AK104" s="26">
        <f>AG103</f>
        <v>-6534.3</v>
      </c>
      <c r="AL104" t="s" s="44">
        <f>AK90</f>
        <v>372</v>
      </c>
      <c r="AM104" t="s" s="44">
        <v>99</v>
      </c>
      <c r="AN104" s="17"/>
      <c r="AO104" s="17"/>
      <c r="AP104" s="17"/>
      <c r="AQ104" s="17"/>
      <c r="AR104" s="17"/>
      <c r="AS104" s="17"/>
      <c r="AT104" s="17"/>
    </row>
    <row r="105" ht="8.35" customHeight="1" hidden="1">
      <c r="AB105" s="36"/>
      <c r="AC105" t="s" s="45">
        <v>100</v>
      </c>
      <c r="AD105" s="26">
        <f>SUM(AD102:AG103)/4</f>
        <v>-1354.1</v>
      </c>
      <c r="AE105" t="s" s="44">
        <f>AK90</f>
        <v>372</v>
      </c>
      <c r="AF105" t="s" s="44">
        <v>78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8.35" customHeight="1" hidden="1">
      <c r="AB106" s="36"/>
      <c r="AC106" t="s" s="45">
        <v>101</v>
      </c>
      <c r="AD106" s="26">
        <f>AC39</f>
        <v>-74.75</v>
      </c>
      <c r="AE106" t="s" s="44">
        <f>AE105</f>
        <v>372</v>
      </c>
      <c r="AF106" t="s" s="44">
        <v>102</v>
      </c>
      <c r="AG106" t="s" s="44">
        <v>103</v>
      </c>
      <c r="AH106" t="s" s="44">
        <f>IF(AG92&gt;AJ90,"higher","lower")</f>
        <v>363</v>
      </c>
      <c r="AI106" t="s" s="44">
        <v>105</v>
      </c>
      <c r="AJ106" s="26">
        <f>SUM(AC40:AF40)/4</f>
        <v>1284.962773275650</v>
      </c>
      <c r="AK106" t="s" s="44">
        <f>AE106</f>
        <v>372</v>
      </c>
      <c r="AL106" t="s" s="44">
        <v>106</v>
      </c>
      <c r="AM106" t="s" s="44">
        <v>107</v>
      </c>
      <c r="AN106" s="17"/>
      <c r="AO106" s="17"/>
      <c r="AP106" s="17"/>
      <c r="AQ106" s="17"/>
      <c r="AR106" s="17"/>
      <c r="AS106" s="17"/>
      <c r="AT106" s="17"/>
    </row>
    <row r="107" ht="8.35" customHeight="1" hidden="1">
      <c r="AB107" s="36"/>
      <c r="AC107" t="s" s="45">
        <v>18</v>
      </c>
      <c r="AD107" t="s" s="44">
        <f>AK112</f>
        <v>87</v>
      </c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8.35" customHeight="1" hidden="1">
      <c r="AB108" s="36"/>
      <c r="AC108" t="s" s="45">
        <f>AC87</f>
        <v>70</v>
      </c>
      <c r="AD108" t="s" s="44">
        <v>109</v>
      </c>
      <c r="AE108" t="s" s="44">
        <f>AK90</f>
        <v>372</v>
      </c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8.35" customHeight="1" hidden="1">
      <c r="AB109" s="36"/>
      <c r="AC109" s="14">
        <f>F22</f>
        <v>16802.75</v>
      </c>
      <c r="AD109" s="26">
        <f>F23</f>
        <v>12061.35</v>
      </c>
      <c r="AE109" s="26">
        <f>F24</f>
        <v>13464.4</v>
      </c>
      <c r="AF109" s="15">
        <f>F25</f>
        <v>28919</v>
      </c>
      <c r="AG109" s="26">
        <f>F26</f>
        <v>11363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8.35" customHeight="1" hidden="1">
      <c r="AB110" s="36"/>
      <c r="AC110" s="14">
        <f>G22</f>
        <v>179465</v>
      </c>
      <c r="AD110" s="26">
        <f>G23</f>
        <v>182068</v>
      </c>
      <c r="AE110" s="26">
        <f>G24</f>
        <v>193141</v>
      </c>
      <c r="AF110" s="15">
        <f>G25</f>
        <v>190654</v>
      </c>
      <c r="AG110" s="26">
        <f>G26</f>
        <v>187211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8.35" customHeight="1" hidden="1">
      <c r="AB111" s="36"/>
      <c r="AC111" t="s" s="45">
        <v>110</v>
      </c>
      <c r="AD111" t="s" s="44">
        <f>IF(AG111&lt;AE111,"declined","increased")</f>
        <v>370</v>
      </c>
      <c r="AE111" s="26">
        <f>AF109</f>
        <v>28919</v>
      </c>
      <c r="AF111" t="s" s="44">
        <v>76</v>
      </c>
      <c r="AG111" s="26">
        <f>AG109</f>
        <v>11363</v>
      </c>
      <c r="AH111" t="s" s="44">
        <f>AK106</f>
        <v>372</v>
      </c>
      <c r="AI111" t="s" s="44">
        <v>84</v>
      </c>
      <c r="AJ111" t="s" s="44">
        <f>AG90</f>
        <v>74</v>
      </c>
      <c r="AK111" t="s" s="44">
        <f>AN97</f>
        <v>91</v>
      </c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8.35" customHeight="1" hidden="1">
      <c r="AB112" s="36"/>
      <c r="AC112" t="s" s="45">
        <v>112</v>
      </c>
      <c r="AD112" t="s" s="44">
        <f>IF(AG112&lt;AE112,"declined","increased")</f>
        <v>370</v>
      </c>
      <c r="AE112" s="26">
        <f>AF110</f>
        <v>190654</v>
      </c>
      <c r="AF112" t="s" s="44">
        <v>76</v>
      </c>
      <c r="AG112" s="26">
        <f>AG110</f>
        <v>187211</v>
      </c>
      <c r="AH112" t="s" s="44">
        <f>AH111</f>
        <v>372</v>
      </c>
      <c r="AI112" t="s" s="44">
        <v>113</v>
      </c>
      <c r="AJ112" t="s" s="44">
        <v>114</v>
      </c>
      <c r="AK112" t="s" s="44">
        <f>IF(AN112&lt;AL112,"down","up")</f>
        <v>87</v>
      </c>
      <c r="AL112" s="26">
        <f>AE111-AE112</f>
        <v>-161735</v>
      </c>
      <c r="AM112" t="s" s="44">
        <v>76</v>
      </c>
      <c r="AN112" s="26">
        <f>AG111-AG112</f>
        <v>-175848</v>
      </c>
      <c r="AO112" t="s" s="44">
        <f>AH112</f>
        <v>372</v>
      </c>
      <c r="AP112" t="s" s="44">
        <v>115</v>
      </c>
      <c r="AQ112" s="17"/>
      <c r="AR112" s="17"/>
      <c r="AS112" s="17"/>
      <c r="AT112" s="17"/>
    </row>
    <row r="113" ht="8.35" customHeight="1" hidden="1">
      <c r="AB113" s="36"/>
      <c r="AC113" t="s" s="45">
        <v>116</v>
      </c>
      <c r="AD113" s="26">
        <f>SUM(AC43:AF43)</f>
        <v>-1141.655327930780</v>
      </c>
      <c r="AE113" t="s" s="44">
        <f>AH112</f>
        <v>372</v>
      </c>
      <c r="AF113" t="s" s="44">
        <v>117</v>
      </c>
      <c r="AG113" t="s" s="44">
        <f>IF(AH113&gt;0,"+","")</f>
      </c>
      <c r="AH113" s="26">
        <f>AC41+AD41+AE41+AF41+AC45+AD45+AE45+AF45</f>
        <v>-74.8731680888253</v>
      </c>
      <c r="AI113" t="s" s="44">
        <f>AO112</f>
        <v>372</v>
      </c>
      <c r="AJ113" t="s" s="44">
        <v>118</v>
      </c>
      <c r="AK113" t="s" s="44">
        <v>119</v>
      </c>
      <c r="AL113" s="26">
        <f>AF60</f>
        <v>-171849.804234828</v>
      </c>
      <c r="AM113" t="s" s="44">
        <f>AH112</f>
        <v>372</v>
      </c>
      <c r="AN113" t="s" s="44">
        <v>120</v>
      </c>
      <c r="AO113" s="17"/>
      <c r="AP113" s="17"/>
      <c r="AQ113" s="17"/>
      <c r="AR113" s="17"/>
      <c r="AS113" s="17"/>
      <c r="AT113" s="17"/>
    </row>
    <row r="114" ht="8.35" customHeight="1" hidden="1">
      <c r="AB114" s="36"/>
      <c r="AC114" t="s" s="45">
        <v>17</v>
      </c>
      <c r="AD114" t="s" s="44">
        <f>AD118</f>
        <v>374</v>
      </c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B115" s="36"/>
      <c r="AC115" t="s" s="45">
        <f>AC87</f>
        <v>70</v>
      </c>
      <c r="AD115" t="s" s="44">
        <v>379</v>
      </c>
      <c r="AE115" t="s" s="44">
        <f>AK90</f>
        <v>372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B116" s="36"/>
      <c r="AC116" s="14">
        <f>-L22</f>
        <v>341.95</v>
      </c>
      <c r="AD116" s="26">
        <f>-L23</f>
        <v>0</v>
      </c>
      <c r="AE116" s="26">
        <f>-L24</f>
        <v>0</v>
      </c>
      <c r="AF116" s="15">
        <f>-L25</f>
        <v>0</v>
      </c>
      <c r="AG116" s="26">
        <f>-L26</f>
        <v>0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B117" s="36"/>
      <c r="AC117" s="14">
        <f>-M22</f>
        <v>0</v>
      </c>
      <c r="AD117" s="26">
        <f>-M23</f>
        <v>0</v>
      </c>
      <c r="AE117" s="26">
        <f>-M24</f>
        <v>0</v>
      </c>
      <c r="AF117" s="15">
        <f>-M25</f>
        <v>504.8</v>
      </c>
      <c r="AG117" s="26">
        <f>-M26</f>
        <v>0.2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8.35" customHeight="1" hidden="1">
      <c r="AB118" s="36"/>
      <c r="AC118" t="s" s="45">
        <f>AC79</f>
        <v>702</v>
      </c>
      <c r="AD118" t="s" s="44">
        <f>IF(AE118&gt;0,"paid","(raised)")</f>
        <v>374</v>
      </c>
      <c r="AE118" s="26">
        <f>SUM(AG116:AG117)</f>
        <v>0.2</v>
      </c>
      <c r="AF118" t="s" s="44">
        <f>AK90</f>
        <v>372</v>
      </c>
      <c r="AG118" t="s" s="44">
        <f>AF90</f>
        <v>73</v>
      </c>
      <c r="AH118" t="s" s="44">
        <f>AG90</f>
        <v>74</v>
      </c>
      <c r="AI118" t="s" s="44">
        <f>AH90</f>
        <v>75</v>
      </c>
      <c r="AJ118" s="26">
        <f>AG116</f>
        <v>0</v>
      </c>
      <c r="AK118" t="s" s="44">
        <f>AK90</f>
        <v>372</v>
      </c>
      <c r="AL118" t="s" s="44">
        <v>123</v>
      </c>
      <c r="AM118" s="26">
        <f>AG117</f>
        <v>0.2</v>
      </c>
      <c r="AN118" t="s" s="44">
        <f>AK90</f>
        <v>372</v>
      </c>
      <c r="AO118" t="s" s="44">
        <v>389</v>
      </c>
      <c r="AP118" t="s" s="44">
        <v>475</v>
      </c>
      <c r="AQ118" t="s" s="44">
        <f>IF(AR118&gt;0,"pay","raise")</f>
        <v>364</v>
      </c>
      <c r="AR118" s="26">
        <f>-SUM(AC61:AF61)</f>
        <v>1216.528496019610</v>
      </c>
      <c r="AS118" t="s" s="44">
        <f>AK90</f>
        <v>372</v>
      </c>
      <c r="AT118" t="s" s="44">
        <v>126</v>
      </c>
    </row>
    <row r="119" ht="8.35" customHeight="1" hidden="1">
      <c r="AB119" s="36"/>
      <c r="AC119" t="s" s="45">
        <v>375</v>
      </c>
      <c r="AD119" s="26">
        <f>AF65</f>
        <v>17094.2488576</v>
      </c>
      <c r="AE119" t="s" s="44">
        <f>AK90</f>
        <v>372</v>
      </c>
      <c r="AF119" t="s" s="44">
        <v>128</v>
      </c>
      <c r="AG119" t="s" s="44">
        <v>129</v>
      </c>
      <c r="AH119" s="26">
        <f>AF67</f>
        <v>0.0766630475545842</v>
      </c>
      <c r="AI119" t="s" s="44">
        <v>130</v>
      </c>
      <c r="AJ119" t="s" s="44">
        <v>131</v>
      </c>
      <c r="AK119" t="s" s="44">
        <v>132</v>
      </c>
      <c r="AL119" s="26">
        <f>AF70</f>
        <v>45.0894385463811</v>
      </c>
      <c r="AM119" t="s" s="44">
        <v>133</v>
      </c>
      <c r="AN119" s="16">
        <f>-AD113/AD119</f>
        <v>0.06678593118896869</v>
      </c>
      <c r="AO119" t="s" s="44">
        <v>134</v>
      </c>
      <c r="AP119" s="17"/>
      <c r="AQ119" s="17"/>
      <c r="AR119" s="17"/>
      <c r="AS119" s="17"/>
      <c r="AT119" s="17"/>
    </row>
    <row r="120" ht="8.35" customHeight="1" hidden="1">
      <c r="AB120" s="36"/>
      <c r="AC120" t="s" s="45">
        <v>135</v>
      </c>
      <c r="AD120" s="26">
        <f>AF69</f>
        <v>5139.851093102610</v>
      </c>
      <c r="AE120" t="s" s="44">
        <f>AE119</f>
        <v>372</v>
      </c>
      <c r="AF120" t="s" s="44">
        <v>136</v>
      </c>
      <c r="AG120" s="26">
        <f>AD119/AD120</f>
        <v>3.32582569960821</v>
      </c>
      <c r="AH120" t="s" s="44">
        <v>130</v>
      </c>
      <c r="AI120" t="s" s="44">
        <v>137</v>
      </c>
      <c r="AJ120" t="s" s="44">
        <v>138</v>
      </c>
      <c r="AK120" s="26">
        <f>AF71</f>
        <v>4</v>
      </c>
      <c r="AL120" t="s" s="44">
        <v>139</v>
      </c>
      <c r="AM120" t="s" s="44">
        <v>140</v>
      </c>
      <c r="AN120" t="s" s="44">
        <v>141</v>
      </c>
      <c r="AO120" s="16">
        <f>AI79</f>
        <v>0.202708849255451</v>
      </c>
      <c r="AP120" t="s" s="44">
        <f>IF(AO120&gt;0,"higher","lower")</f>
        <v>363</v>
      </c>
      <c r="AQ120" t="s" s="44">
        <v>142</v>
      </c>
      <c r="AR120" s="26">
        <f>AG79</f>
        <v>896.018092695311</v>
      </c>
      <c r="AS120" t="s" s="44">
        <v>143</v>
      </c>
      <c r="AT120" s="17"/>
    </row>
    <row r="121" ht="8.35" customHeight="1" hidden="1">
      <c r="AB121" s="36"/>
      <c r="AC121" s="34"/>
      <c r="AD121" s="17"/>
      <c r="AE121" s="17"/>
      <c r="AF121" s="17"/>
      <c r="AG121" s="26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8.35" customHeight="1" hidden="1">
      <c r="AB122" s="36"/>
      <c r="AC122" s="14">
        <f>AC89</f>
        <v>2975</v>
      </c>
      <c r="AD122" s="26">
        <f>AD89</f>
        <v>3178</v>
      </c>
      <c r="AE122" s="26">
        <f>AE89</f>
        <v>3445.1</v>
      </c>
      <c r="AF122" s="15">
        <f>AF89</f>
        <v>3421.8</v>
      </c>
      <c r="AG122" s="26">
        <f>AG89</f>
        <v>2956.1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8.35" customHeight="1" hidden="1">
      <c r="AB123" s="36"/>
      <c r="AC123" s="14">
        <f>SUM(AC102:AC103)</f>
        <v>8944.6</v>
      </c>
      <c r="AD123" s="26">
        <f>SUM(AD102:AD103)</f>
        <v>-4710.4</v>
      </c>
      <c r="AE123" s="26">
        <f>SUM(AE102:AE103)</f>
        <v>1331.5</v>
      </c>
      <c r="AF123" s="15">
        <f>SUM(AF102:AF103)</f>
        <v>15685.2</v>
      </c>
      <c r="AG123" s="26">
        <f>SUM(AG102:AG103)</f>
        <v>-17722.7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8.35" customHeight="1" hidden="1">
      <c r="AB124" s="36"/>
      <c r="AC124" s="14">
        <f>SUM(AC116:AC117)</f>
        <v>341.95</v>
      </c>
      <c r="AD124" s="26">
        <f>SUM(AD116:AD117)</f>
        <v>0</v>
      </c>
      <c r="AE124" s="26">
        <f>SUM(AE116:AE117)</f>
        <v>0</v>
      </c>
      <c r="AF124" s="15">
        <f>SUM(AF116:AF117)</f>
        <v>504.8</v>
      </c>
      <c r="AG124" s="26">
        <f>SUM(AG116:AG117)</f>
        <v>0.2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8.35" customHeight="1" hidden="1">
      <c r="AB125" s="36"/>
      <c r="AC125" s="14">
        <f>(AC109-AC110)</f>
        <v>-162662.25</v>
      </c>
      <c r="AD125" s="26">
        <f>(AD109-AD110)</f>
        <v>-170006.65</v>
      </c>
      <c r="AE125" s="26">
        <f>(AE109-AE110)</f>
        <v>-179676.6</v>
      </c>
      <c r="AF125" s="15">
        <f>(AF109-AF110)</f>
        <v>-161735</v>
      </c>
      <c r="AG125" s="26">
        <f>(AG109-AG110)</f>
        <v>-175848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8.35" customHeight="1" hidden="1">
      <c r="AB126" s="36"/>
      <c r="AC126" s="34"/>
      <c r="AD126" s="17"/>
      <c r="AE126" s="17"/>
      <c r="AF126" s="17"/>
      <c r="AG126" s="26">
        <f>AR120</f>
        <v>896.018092695311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8.35" customHeight="1" hidden="1">
      <c r="AB127" s="36"/>
      <c r="AC127" s="34"/>
      <c r="AD127" s="17"/>
      <c r="AE127" s="17"/>
      <c r="AF127" s="17"/>
      <c r="AG127" s="26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8.35" customHeight="1" hidden="1">
      <c r="AB128" s="36"/>
      <c r="AC128" s="34"/>
      <c r="AD128" s="17"/>
      <c r="AE128" s="17"/>
      <c r="AF128" s="17"/>
      <c r="AG128" s="26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8.35" customHeight="1" hidden="1">
      <c r="AB129" s="36"/>
      <c r="AC129" s="34"/>
      <c r="AD129" s="17"/>
      <c r="AE129" s="17"/>
      <c r="AF129" s="17"/>
      <c r="AG129" s="26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8.35" customHeight="1" hidden="1">
      <c r="AB130" s="36"/>
      <c r="AC130" s="34"/>
      <c r="AD130" s="17"/>
      <c r="AE130" s="17"/>
      <c r="AF130" s="17"/>
      <c r="AG130" s="26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8.35" customHeight="1" hidden="1">
      <c r="AB131" s="36"/>
      <c r="AC131" s="34"/>
      <c r="AD131" s="17"/>
      <c r="AE131" s="17"/>
      <c r="AF131" s="17"/>
      <c r="AG131" s="26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8.35" customHeight="1" hidden="1">
      <c r="AB132" s="36"/>
      <c r="AC132" s="34"/>
      <c r="AD132" s="17"/>
      <c r="AE132" s="17"/>
      <c r="AF132" s="17"/>
      <c r="AG132" s="26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8.35" customHeight="1" hidden="1">
      <c r="AB133" s="36"/>
      <c r="AC133" s="34"/>
      <c r="AD133" s="17"/>
      <c r="AE133" s="17"/>
      <c r="AF133" s="17"/>
      <c r="AG133" s="2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</sheetData>
  <mergeCells count="2">
    <mergeCell ref="B2:AA2"/>
    <mergeCell ref="AB31:AT3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0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42" customWidth="1"/>
    <col min="2" max="26" width="10.4844" style="342" customWidth="1"/>
    <col min="27" max="27" width="18.9766" style="343" customWidth="1"/>
    <col min="28" max="46" width="9" style="343" customWidth="1"/>
    <col min="47" max="16384" width="16.3516" style="343" customWidth="1"/>
  </cols>
  <sheetData>
    <row r="1" ht="11.65" customHeight="1"/>
    <row r="2" ht="27.65" customHeight="1">
      <c r="B2" t="s" s="2">
        <v>703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704</v>
      </c>
      <c r="W3" t="s" s="3">
        <v>18</v>
      </c>
      <c r="X3" t="s" s="3">
        <v>196</v>
      </c>
      <c r="Y3" t="s" s="3">
        <v>19</v>
      </c>
      <c r="Z3" t="s" s="3">
        <v>20</v>
      </c>
    </row>
    <row r="4" ht="20.25" customHeight="1">
      <c r="B4" s="6">
        <v>2017</v>
      </c>
      <c r="C4" s="7">
        <v>495</v>
      </c>
      <c r="D4" s="8">
        <v>8</v>
      </c>
      <c r="E4" s="8">
        <v>21</v>
      </c>
      <c r="F4" s="8">
        <v>431</v>
      </c>
      <c r="G4" s="8">
        <v>1036</v>
      </c>
      <c r="H4" s="8">
        <v>2199</v>
      </c>
      <c r="I4" s="8">
        <v>516</v>
      </c>
      <c r="J4" s="8">
        <v>-1.7</v>
      </c>
      <c r="K4" s="8">
        <v>-4.6</v>
      </c>
      <c r="L4" s="8">
        <v>-2.5</v>
      </c>
      <c r="M4" s="8">
        <v>-18.25</v>
      </c>
      <c r="N4" s="8"/>
      <c r="O4" s="8"/>
      <c r="P4" s="9"/>
      <c r="Q4" s="9"/>
      <c r="R4" s="9"/>
      <c r="S4" s="9"/>
      <c r="T4" s="8">
        <f>J4+K4</f>
        <v>-6.3</v>
      </c>
      <c r="U4" s="8">
        <f>-(L4+M4)</f>
        <v>20.75</v>
      </c>
      <c r="V4" s="8">
        <v>710.621538816</v>
      </c>
      <c r="W4" s="8">
        <f>F4-G4</f>
        <v>-605</v>
      </c>
      <c r="X4" s="8">
        <v>281.583557</v>
      </c>
      <c r="Y4" s="11"/>
      <c r="Z4" s="12">
        <v>13.3</v>
      </c>
    </row>
    <row r="5" ht="20.05" customHeight="1">
      <c r="B5" s="13"/>
      <c r="C5" s="14">
        <v>529</v>
      </c>
      <c r="D5" s="15">
        <v>8</v>
      </c>
      <c r="E5" s="15">
        <v>107</v>
      </c>
      <c r="F5" s="15">
        <v>500</v>
      </c>
      <c r="G5" s="15">
        <v>1144</v>
      </c>
      <c r="H5" s="15">
        <v>2319</v>
      </c>
      <c r="I5" s="15">
        <v>621</v>
      </c>
      <c r="J5" s="15">
        <v>113.7</v>
      </c>
      <c r="K5" s="15">
        <v>28.6</v>
      </c>
      <c r="L5" s="15">
        <v>-2.5</v>
      </c>
      <c r="M5" s="15">
        <v>-18.25</v>
      </c>
      <c r="N5" s="15"/>
      <c r="O5" s="15"/>
      <c r="P5" s="16"/>
      <c r="Q5" s="17"/>
      <c r="R5" s="17"/>
      <c r="S5" s="17"/>
      <c r="T5" s="15">
        <f>J5+K5+T4</f>
        <v>136</v>
      </c>
      <c r="U5" s="15">
        <f>-(L5+M5)+U4</f>
        <v>41.5</v>
      </c>
      <c r="V5" s="15">
        <f>V4</f>
        <v>710.621538816</v>
      </c>
      <c r="W5" s="15">
        <f>F5-G5</f>
        <v>-644</v>
      </c>
      <c r="X5" s="15">
        <v>307.457703</v>
      </c>
      <c r="Y5" s="19"/>
      <c r="Z5" s="20">
        <v>13.327</v>
      </c>
    </row>
    <row r="6" ht="20.05" customHeight="1">
      <c r="B6" s="13"/>
      <c r="C6" s="14">
        <v>481</v>
      </c>
      <c r="D6" s="15">
        <v>8</v>
      </c>
      <c r="E6" s="15">
        <v>113</v>
      </c>
      <c r="F6" s="15">
        <v>582</v>
      </c>
      <c r="G6" s="15">
        <v>1217</v>
      </c>
      <c r="H6" s="15">
        <v>2399</v>
      </c>
      <c r="I6" s="15">
        <v>619</v>
      </c>
      <c r="J6" s="15">
        <v>79</v>
      </c>
      <c r="K6" s="15">
        <v>3</v>
      </c>
      <c r="L6" s="15">
        <v>-2.5</v>
      </c>
      <c r="M6" s="15">
        <v>-18.25</v>
      </c>
      <c r="N6" s="15"/>
      <c r="O6" s="15"/>
      <c r="P6" s="16"/>
      <c r="Q6" s="17"/>
      <c r="R6" s="17"/>
      <c r="S6" s="17"/>
      <c r="T6" s="15">
        <f>J6+K6+T5</f>
        <v>218</v>
      </c>
      <c r="U6" s="15">
        <f>-(L6+M6)+U5</f>
        <v>62.25</v>
      </c>
      <c r="V6" s="15">
        <f>V5</f>
        <v>710.621538816</v>
      </c>
      <c r="W6" s="15">
        <f>F6-G6</f>
        <v>-635</v>
      </c>
      <c r="X6" s="15">
        <v>317.706299</v>
      </c>
      <c r="Y6" s="19"/>
      <c r="Z6" s="20">
        <v>13.305</v>
      </c>
    </row>
    <row r="7" ht="20.05" customHeight="1">
      <c r="B7" s="13"/>
      <c r="C7" s="14">
        <v>659</v>
      </c>
      <c r="D7" s="15">
        <v>8</v>
      </c>
      <c r="E7" s="15">
        <v>153</v>
      </c>
      <c r="F7" s="15">
        <v>657</v>
      </c>
      <c r="G7" s="15">
        <v>1139</v>
      </c>
      <c r="H7" s="15">
        <v>2342</v>
      </c>
      <c r="I7" s="15">
        <v>618</v>
      </c>
      <c r="J7" s="15">
        <v>33</v>
      </c>
      <c r="K7" s="15">
        <v>22</v>
      </c>
      <c r="L7" s="15">
        <v>-2.5</v>
      </c>
      <c r="M7" s="15">
        <v>-18.25</v>
      </c>
      <c r="N7" s="15"/>
      <c r="O7" s="15"/>
      <c r="P7" s="16"/>
      <c r="Q7" s="17"/>
      <c r="R7" s="17"/>
      <c r="S7" s="17"/>
      <c r="T7" s="15">
        <f>J7+K7+T6</f>
        <v>273</v>
      </c>
      <c r="U7" s="15">
        <f>-(L7+M7)+U6</f>
        <v>83</v>
      </c>
      <c r="V7" s="15">
        <f>V6</f>
        <v>710.621538816</v>
      </c>
      <c r="W7" s="15">
        <f>F7-G7</f>
        <v>-482</v>
      </c>
      <c r="X7" s="15">
        <v>307.457703</v>
      </c>
      <c r="Y7" s="19"/>
      <c r="Z7" s="20">
        <v>13.557</v>
      </c>
    </row>
    <row r="8" ht="20.05" customHeight="1">
      <c r="B8" s="21">
        <v>2018</v>
      </c>
      <c r="C8" s="14">
        <v>683</v>
      </c>
      <c r="D8" s="15">
        <v>7</v>
      </c>
      <c r="E8" s="15">
        <v>41</v>
      </c>
      <c r="F8" s="15">
        <v>846</v>
      </c>
      <c r="G8" s="15">
        <v>1165</v>
      </c>
      <c r="H8" s="15">
        <v>2409</v>
      </c>
      <c r="I8" s="15">
        <v>629</v>
      </c>
      <c r="J8" s="15">
        <v>-16</v>
      </c>
      <c r="K8" s="15">
        <v>205</v>
      </c>
      <c r="L8" s="15">
        <v>2.25</v>
      </c>
      <c r="M8" s="15">
        <v>-24.5</v>
      </c>
      <c r="N8" s="15">
        <f>SUM(C5:C8)/4</f>
        <v>588</v>
      </c>
      <c r="O8" s="15"/>
      <c r="P8" s="16"/>
      <c r="Q8" s="16"/>
      <c r="R8" s="16"/>
      <c r="S8" s="15">
        <f>SUM(J5:K8)/4</f>
        <v>117.075</v>
      </c>
      <c r="T8" s="15">
        <f>J8+K8+T7</f>
        <v>462</v>
      </c>
      <c r="U8" s="15">
        <f>-(L8+M8)+U7</f>
        <v>105.25</v>
      </c>
      <c r="V8" s="15">
        <f>V7</f>
        <v>710.621538816</v>
      </c>
      <c r="W8" s="15">
        <f>F8-G8</f>
        <v>-319</v>
      </c>
      <c r="X8" s="15">
        <v>338.20343</v>
      </c>
      <c r="Y8" s="22"/>
      <c r="Z8" s="20">
        <v>13.761</v>
      </c>
    </row>
    <row r="9" ht="20.05" customHeight="1">
      <c r="B9" s="13"/>
      <c r="C9" s="14">
        <v>473</v>
      </c>
      <c r="D9" s="15">
        <v>7</v>
      </c>
      <c r="E9" s="15">
        <v>54</v>
      </c>
      <c r="F9" s="15">
        <v>777</v>
      </c>
      <c r="G9" s="15">
        <v>989</v>
      </c>
      <c r="H9" s="15">
        <v>2148</v>
      </c>
      <c r="I9" s="15">
        <v>601</v>
      </c>
      <c r="J9" s="15">
        <v>14</v>
      </c>
      <c r="K9" s="15">
        <v>15</v>
      </c>
      <c r="L9" s="15">
        <v>2.25</v>
      </c>
      <c r="M9" s="15">
        <v>-24.5</v>
      </c>
      <c r="N9" s="15">
        <f>SUM(C6:C9)/4</f>
        <v>574</v>
      </c>
      <c r="O9" s="15"/>
      <c r="P9" s="16"/>
      <c r="Q9" s="16"/>
      <c r="R9" s="16"/>
      <c r="S9" s="15">
        <f>SUM(J6:K9)/4</f>
        <v>88.75</v>
      </c>
      <c r="T9" s="15">
        <f>J9+K9+T8</f>
        <v>491</v>
      </c>
      <c r="U9" s="15">
        <f>-(L9+M9)+U8</f>
        <v>127.5</v>
      </c>
      <c r="V9" s="15">
        <f>V8</f>
        <v>710.621538816</v>
      </c>
      <c r="W9" s="15">
        <f>F13-G9</f>
        <v>-325</v>
      </c>
      <c r="X9" s="15">
        <v>303.318848</v>
      </c>
      <c r="Y9" s="22"/>
      <c r="Z9" s="20">
        <v>14</v>
      </c>
    </row>
    <row r="10" ht="20.05" customHeight="1">
      <c r="B10" s="13"/>
      <c r="C10" s="14">
        <v>703</v>
      </c>
      <c r="D10" s="15">
        <v>7</v>
      </c>
      <c r="E10" s="15">
        <v>80</v>
      </c>
      <c r="F10" s="15">
        <v>770</v>
      </c>
      <c r="G10" s="15">
        <v>1094</v>
      </c>
      <c r="H10" s="15">
        <v>2279</v>
      </c>
      <c r="I10" s="15">
        <v>529</v>
      </c>
      <c r="J10" s="15">
        <v>-34</v>
      </c>
      <c r="K10" s="15">
        <v>27</v>
      </c>
      <c r="L10" s="15">
        <v>2.25</v>
      </c>
      <c r="M10" s="15">
        <v>-24.5</v>
      </c>
      <c r="N10" s="15">
        <f>SUM(C7:C10)/4</f>
        <v>629.5</v>
      </c>
      <c r="O10" s="15"/>
      <c r="P10" s="16"/>
      <c r="Q10" s="16"/>
      <c r="R10" s="16"/>
      <c r="S10" s="15">
        <f>SUM(J7:K10)/4</f>
        <v>66.5</v>
      </c>
      <c r="T10" s="15">
        <f>J10+K10+T9</f>
        <v>484</v>
      </c>
      <c r="U10" s="15">
        <f>-(L10+M10)+U9</f>
        <v>149.75</v>
      </c>
      <c r="V10" s="15">
        <f>V9</f>
        <v>710.621538816</v>
      </c>
      <c r="W10" s="15">
        <f>F10-G10</f>
        <v>-324</v>
      </c>
      <c r="X10" s="15">
        <v>312.948029</v>
      </c>
      <c r="Y10" s="22"/>
      <c r="Z10" s="20">
        <v>14.902</v>
      </c>
    </row>
    <row r="11" ht="20.05" customHeight="1">
      <c r="B11" s="13"/>
      <c r="C11" s="14">
        <v>598</v>
      </c>
      <c r="D11" s="15">
        <v>7</v>
      </c>
      <c r="E11" s="15">
        <v>118</v>
      </c>
      <c r="F11" s="15">
        <v>736</v>
      </c>
      <c r="G11" s="15">
        <v>1046</v>
      </c>
      <c r="H11" s="15">
        <v>2255</v>
      </c>
      <c r="I11" s="15">
        <v>537</v>
      </c>
      <c r="J11" s="15">
        <v>-37</v>
      </c>
      <c r="K11" s="15">
        <v>-1</v>
      </c>
      <c r="L11" s="15">
        <v>2.25</v>
      </c>
      <c r="M11" s="15">
        <v>-24.5</v>
      </c>
      <c r="N11" s="15">
        <f>SUM(C8:C11)/4</f>
        <v>614.25</v>
      </c>
      <c r="O11" s="15"/>
      <c r="P11" s="16"/>
      <c r="Q11" s="16"/>
      <c r="R11" s="16"/>
      <c r="S11" s="15">
        <f>SUM(J8:K11)/4</f>
        <v>43.25</v>
      </c>
      <c r="T11" s="15">
        <f>J11+K11+T10</f>
        <v>446</v>
      </c>
      <c r="U11" s="15">
        <f>-(L11+M11)+U10</f>
        <v>172</v>
      </c>
      <c r="V11" s="15">
        <f>V10</f>
        <v>710.621538816</v>
      </c>
      <c r="W11" s="15">
        <f>F11-G11</f>
        <v>-310</v>
      </c>
      <c r="X11" s="15">
        <v>332.20636</v>
      </c>
      <c r="Y11" s="22"/>
      <c r="Z11" s="20">
        <v>14.38</v>
      </c>
    </row>
    <row r="12" ht="20.05" customHeight="1">
      <c r="B12" s="21">
        <v>2019</v>
      </c>
      <c r="C12" s="14">
        <v>585</v>
      </c>
      <c r="D12" s="15">
        <v>4.625</v>
      </c>
      <c r="E12" s="15">
        <v>29</v>
      </c>
      <c r="F12" s="15">
        <v>738</v>
      </c>
      <c r="G12" s="15">
        <v>1101</v>
      </c>
      <c r="H12" s="15">
        <v>2338</v>
      </c>
      <c r="I12" s="15">
        <v>577</v>
      </c>
      <c r="J12" s="15">
        <v>2</v>
      </c>
      <c r="K12" s="15">
        <v>-0.7</v>
      </c>
      <c r="L12" s="15">
        <v>25.25</v>
      </c>
      <c r="M12" s="15">
        <v>-18.325</v>
      </c>
      <c r="N12" s="15">
        <f>SUM(C9:C12)/4</f>
        <v>589.75</v>
      </c>
      <c r="O12" s="23"/>
      <c r="P12" s="16"/>
      <c r="Q12" s="16">
        <f>(E12+D12)/C12</f>
        <v>0.0574786324786325</v>
      </c>
      <c r="R12" s="16">
        <f>AVERAGE(Q9:Q12)</f>
        <v>0.0574786324786325</v>
      </c>
      <c r="S12" s="15">
        <f>SUM(J9:K12)/4</f>
        <v>-3.675</v>
      </c>
      <c r="T12" s="15">
        <f>J12+K12+T11</f>
        <v>447.3</v>
      </c>
      <c r="U12" s="15">
        <f>-(L12+M12)+U11</f>
        <v>165.075</v>
      </c>
      <c r="V12" s="15">
        <f>V11</f>
        <v>710.621538816</v>
      </c>
      <c r="W12" s="15">
        <f>F12-G12</f>
        <v>-363</v>
      </c>
      <c r="X12" s="15">
        <v>327.391785</v>
      </c>
      <c r="Y12" s="22"/>
      <c r="Z12" s="20">
        <v>14.24</v>
      </c>
    </row>
    <row r="13" ht="20.05" customHeight="1">
      <c r="B13" s="13"/>
      <c r="C13" s="14">
        <v>728</v>
      </c>
      <c r="D13" s="15">
        <v>4.625</v>
      </c>
      <c r="E13" s="15">
        <v>74</v>
      </c>
      <c r="F13" s="15">
        <v>664</v>
      </c>
      <c r="G13" s="15">
        <v>1231</v>
      </c>
      <c r="H13" s="15">
        <v>2440</v>
      </c>
      <c r="I13" s="15">
        <v>538</v>
      </c>
      <c r="J13" s="15">
        <v>7</v>
      </c>
      <c r="K13" s="15">
        <v>-1</v>
      </c>
      <c r="L13" s="15">
        <v>25.25</v>
      </c>
      <c r="M13" s="15">
        <v>-18.325</v>
      </c>
      <c r="N13" s="15">
        <f>SUM(C10:C13)/4</f>
        <v>653.5</v>
      </c>
      <c r="O13" s="23"/>
      <c r="P13" s="16">
        <f>C13/C12-1</f>
        <v>0.244444444444444</v>
      </c>
      <c r="Q13" s="16">
        <f>(E13+D13)/C13</f>
        <v>0.108001373626374</v>
      </c>
      <c r="R13" s="16">
        <f>AVERAGE(Q10:Q13)</f>
        <v>0.0827400030525033</v>
      </c>
      <c r="S13" s="15">
        <f>SUM(J10:K13)/4</f>
        <v>-9.425000000000001</v>
      </c>
      <c r="T13" s="15">
        <f>J13+K13+T12</f>
        <v>453.3</v>
      </c>
      <c r="U13" s="15">
        <f>-(L13+M13)+U12</f>
        <v>158.15</v>
      </c>
      <c r="V13" s="15">
        <f>V12</f>
        <v>710.621538816</v>
      </c>
      <c r="W13" s="15">
        <f>F13-G13</f>
        <v>-567</v>
      </c>
      <c r="X13" s="15">
        <v>381.840668</v>
      </c>
      <c r="Y13" s="24"/>
      <c r="Z13" s="15">
        <v>14.127</v>
      </c>
    </row>
    <row r="14" ht="20.05" customHeight="1">
      <c r="B14" s="13"/>
      <c r="C14" s="14">
        <v>602</v>
      </c>
      <c r="D14" s="15">
        <v>4.625</v>
      </c>
      <c r="E14" s="15">
        <v>106</v>
      </c>
      <c r="F14" s="15">
        <v>692</v>
      </c>
      <c r="G14" s="15">
        <v>1256</v>
      </c>
      <c r="H14" s="15">
        <v>2497</v>
      </c>
      <c r="I14" s="15">
        <v>544</v>
      </c>
      <c r="J14" s="15">
        <v>-46</v>
      </c>
      <c r="K14" s="15">
        <v>-2.2</v>
      </c>
      <c r="L14" s="15">
        <v>25.25</v>
      </c>
      <c r="M14" s="15">
        <v>-18.325</v>
      </c>
      <c r="N14" s="15">
        <f>SUM(C11:C14)/4</f>
        <v>628.25</v>
      </c>
      <c r="O14" s="23"/>
      <c r="P14" s="16">
        <f>C14/C13-1</f>
        <v>-0.173076923076923</v>
      </c>
      <c r="Q14" s="16">
        <f>(E14+D14)/C14</f>
        <v>0.183762458471761</v>
      </c>
      <c r="R14" s="16">
        <f>AVERAGE(Q11:Q14)</f>
        <v>0.116414154858923</v>
      </c>
      <c r="S14" s="15">
        <f>SUM(J11:K14)/4</f>
        <v>-19.725</v>
      </c>
      <c r="T14" s="15">
        <f>J14+K14+T13</f>
        <v>405.1</v>
      </c>
      <c r="U14" s="15">
        <f>-(L14+M14)+U13</f>
        <v>151.225</v>
      </c>
      <c r="V14" s="15">
        <f>V13</f>
        <v>710.621538816</v>
      </c>
      <c r="W14" s="15">
        <f>F14-G14</f>
        <v>-564</v>
      </c>
      <c r="X14" s="15">
        <v>353.901093</v>
      </c>
      <c r="Y14" s="24"/>
      <c r="Z14" s="15">
        <v>14.195</v>
      </c>
    </row>
    <row r="15" ht="20.05" customHeight="1">
      <c r="B15" s="13"/>
      <c r="C15" s="14">
        <v>703</v>
      </c>
      <c r="D15" s="15">
        <v>4.625</v>
      </c>
      <c r="E15" s="15">
        <v>101</v>
      </c>
      <c r="F15" s="15">
        <v>689</v>
      </c>
      <c r="G15" s="15">
        <v>1242</v>
      </c>
      <c r="H15" s="15">
        <v>2463</v>
      </c>
      <c r="I15" s="15">
        <v>596</v>
      </c>
      <c r="J15" s="15">
        <v>-31</v>
      </c>
      <c r="K15" s="15">
        <v>-2.1</v>
      </c>
      <c r="L15" s="15">
        <v>25.25</v>
      </c>
      <c r="M15" s="15">
        <v>-18.325</v>
      </c>
      <c r="N15" s="15">
        <f>SUM(C12:C15)/4</f>
        <v>654.5</v>
      </c>
      <c r="O15" s="15"/>
      <c r="P15" s="16">
        <f>C15/C14-1</f>
        <v>0.167774086378738</v>
      </c>
      <c r="Q15" s="16">
        <f>(E15+D15)/C15</f>
        <v>0.15024893314367</v>
      </c>
      <c r="R15" s="16">
        <f>AVERAGE(Q12:Q15)</f>
        <v>0.124872849430109</v>
      </c>
      <c r="S15" s="15">
        <f>SUM(J12:K15)/4</f>
        <v>-18.5</v>
      </c>
      <c r="T15" s="15">
        <f>J15+K15+T14</f>
        <v>372</v>
      </c>
      <c r="U15" s="15">
        <f>-(L15+M15)+U14</f>
        <v>144.3</v>
      </c>
      <c r="V15" s="15">
        <f>V14</f>
        <v>710.621538816</v>
      </c>
      <c r="W15" s="15">
        <f>F15-G15</f>
        <v>-553</v>
      </c>
      <c r="X15" s="15">
        <v>325.961548</v>
      </c>
      <c r="Y15" s="24"/>
      <c r="Z15" s="15">
        <v>13.882</v>
      </c>
    </row>
    <row r="16" ht="20.05" customHeight="1">
      <c r="B16" s="21">
        <v>2020</v>
      </c>
      <c r="C16" s="14">
        <v>653</v>
      </c>
      <c r="D16" s="15">
        <v>3.5</v>
      </c>
      <c r="E16" s="15">
        <v>28</v>
      </c>
      <c r="F16" s="15">
        <v>715</v>
      </c>
      <c r="G16" s="15">
        <v>1196</v>
      </c>
      <c r="H16" s="15">
        <v>2444</v>
      </c>
      <c r="I16" s="15">
        <v>670</v>
      </c>
      <c r="J16" s="15">
        <v>-5</v>
      </c>
      <c r="K16" s="15">
        <v>-4</v>
      </c>
      <c r="L16" s="15">
        <v>20.5</v>
      </c>
      <c r="M16" s="15">
        <v>-17</v>
      </c>
      <c r="N16" s="15">
        <f>SUM(C13:C16)/4</f>
        <v>671.5</v>
      </c>
      <c r="O16" s="15"/>
      <c r="P16" s="16">
        <f>C16/C15-1</f>
        <v>-0.0711237553342817</v>
      </c>
      <c r="Q16" s="16">
        <f>(E16+D16)/C16</f>
        <v>0.0482388973966309</v>
      </c>
      <c r="R16" s="16">
        <f>AVERAGE(Q13:Q16)</f>
        <v>0.122562915659609</v>
      </c>
      <c r="S16" s="15">
        <f>SUM(J13:K16)/4</f>
        <v>-21.075</v>
      </c>
      <c r="T16" s="15">
        <f>J16+K16+T15</f>
        <v>363</v>
      </c>
      <c r="U16" s="15">
        <f>-(L16+M16)+U15</f>
        <v>140.8</v>
      </c>
      <c r="V16" s="15">
        <f>V15</f>
        <v>710.621538816</v>
      </c>
      <c r="W16" s="15">
        <f>F16-G16</f>
        <v>-481</v>
      </c>
      <c r="X16" s="15">
        <v>260.769226</v>
      </c>
      <c r="Y16" s="24"/>
      <c r="Z16" s="15">
        <v>16.31</v>
      </c>
    </row>
    <row r="17" ht="20.05" customHeight="1">
      <c r="B17" s="13"/>
      <c r="C17" s="14">
        <v>480</v>
      </c>
      <c r="D17" s="15">
        <v>3.5</v>
      </c>
      <c r="E17" s="15">
        <v>43</v>
      </c>
      <c r="F17" s="15">
        <v>696</v>
      </c>
      <c r="G17" s="15">
        <v>1128</v>
      </c>
      <c r="H17" s="15">
        <v>2385</v>
      </c>
      <c r="I17" s="15">
        <v>478</v>
      </c>
      <c r="J17" s="15">
        <v>-41</v>
      </c>
      <c r="K17" s="15">
        <v>-5</v>
      </c>
      <c r="L17" s="15">
        <v>20.5</v>
      </c>
      <c r="M17" s="15">
        <v>-17</v>
      </c>
      <c r="N17" s="15">
        <f>SUM(C14:C17)/4</f>
        <v>609.5</v>
      </c>
      <c r="O17" s="15"/>
      <c r="P17" s="16">
        <f>C17/C16-1</f>
        <v>-0.264931087289433</v>
      </c>
      <c r="Q17" s="16">
        <f>(E17+D17)/C17</f>
        <v>0.096875</v>
      </c>
      <c r="R17" s="16">
        <f>AVERAGE(Q14:Q17)</f>
        <v>0.119781322253015</v>
      </c>
      <c r="S17" s="25">
        <f>SUM(J14:K17)/4</f>
        <v>-34.075</v>
      </c>
      <c r="T17" s="15">
        <f>J17+K17+T16</f>
        <v>317</v>
      </c>
      <c r="U17" s="15">
        <f>-(L17+M17)+U16</f>
        <v>137.3</v>
      </c>
      <c r="V17" s="15">
        <f>V16</f>
        <v>710.621538816</v>
      </c>
      <c r="W17" s="15">
        <f>F17-G17</f>
        <v>-432</v>
      </c>
      <c r="X17" s="15">
        <v>324.098907</v>
      </c>
      <c r="Y17" s="24"/>
      <c r="Z17" s="15">
        <v>14.255</v>
      </c>
    </row>
    <row r="18" ht="20.05" customHeight="1">
      <c r="B18" s="13"/>
      <c r="C18" s="14">
        <v>541</v>
      </c>
      <c r="D18" s="15">
        <v>3.5</v>
      </c>
      <c r="E18" s="15">
        <v>66</v>
      </c>
      <c r="F18" s="15">
        <v>565</v>
      </c>
      <c r="G18" s="15">
        <v>1152</v>
      </c>
      <c r="H18" s="15">
        <v>2371</v>
      </c>
      <c r="I18" s="15">
        <v>362</v>
      </c>
      <c r="J18" s="15">
        <v>-89</v>
      </c>
      <c r="K18" s="15">
        <v>9</v>
      </c>
      <c r="L18" s="15">
        <v>20.5</v>
      </c>
      <c r="M18" s="15">
        <v>-17</v>
      </c>
      <c r="N18" s="15">
        <f>SUM(C15:C18)/4</f>
        <v>594.25</v>
      </c>
      <c r="O18" s="15"/>
      <c r="P18" s="16">
        <f>C18/C17-1</f>
        <v>0.127083333333333</v>
      </c>
      <c r="Q18" s="16">
        <f>(E18+D18)/C18</f>
        <v>0.128465804066543</v>
      </c>
      <c r="R18" s="16">
        <f>AVERAGE(Q15:Q18)</f>
        <v>0.105957158651711</v>
      </c>
      <c r="S18" s="25">
        <f>SUM(J15:K18)/4</f>
        <v>-42.025</v>
      </c>
      <c r="T18" s="15">
        <f>J18+K18+T17</f>
        <v>237</v>
      </c>
      <c r="U18" s="15">
        <f>-(L18+M18)+U17</f>
        <v>133.8</v>
      </c>
      <c r="V18" s="15">
        <f>V17</f>
        <v>710.621538816</v>
      </c>
      <c r="W18" s="15">
        <f>F18-G18</f>
        <v>-587</v>
      </c>
      <c r="X18" s="15">
        <v>290</v>
      </c>
      <c r="Y18" s="24"/>
      <c r="Z18" s="15">
        <v>14.79</v>
      </c>
    </row>
    <row r="19" ht="20.05" customHeight="1">
      <c r="B19" s="13"/>
      <c r="C19" s="14">
        <v>411.7</v>
      </c>
      <c r="D19" s="15">
        <v>3.6</v>
      </c>
      <c r="E19" s="15">
        <v>-81.90000000000001</v>
      </c>
      <c r="F19" s="15">
        <v>577</v>
      </c>
      <c r="G19" s="15">
        <v>1068</v>
      </c>
      <c r="H19" s="15">
        <v>2221</v>
      </c>
      <c r="I19" s="15">
        <v>427.9</v>
      </c>
      <c r="J19" s="15">
        <v>-5.7</v>
      </c>
      <c r="K19" s="15">
        <v>15.2</v>
      </c>
      <c r="L19" s="15">
        <v>20.5</v>
      </c>
      <c r="M19" s="15">
        <v>-17</v>
      </c>
      <c r="N19" s="15">
        <f>SUM(C16:C19)/4</f>
        <v>521.425</v>
      </c>
      <c r="O19" s="15"/>
      <c r="P19" s="16">
        <f>C19/C18-1</f>
        <v>-0.239001848428835</v>
      </c>
      <c r="Q19" s="16">
        <f>(E19+D19)/C19</f>
        <v>-0.190187029390333</v>
      </c>
      <c r="R19" s="16">
        <f>AVERAGE(Q16:Q19)</f>
        <v>0.0208481680182102</v>
      </c>
      <c r="S19" s="25">
        <f>SUM(J16:K19)/4</f>
        <v>-31.375</v>
      </c>
      <c r="T19" s="15">
        <f>J19+K19+T18</f>
        <v>246.5</v>
      </c>
      <c r="U19" s="15">
        <f>-(L19+M19)+U18</f>
        <v>130.3</v>
      </c>
      <c r="V19" s="15">
        <f>V18</f>
        <v>710.621538816</v>
      </c>
      <c r="W19" s="15">
        <f>F19-G19</f>
        <v>-491</v>
      </c>
      <c r="X19" s="15">
        <v>378</v>
      </c>
      <c r="Y19" s="24"/>
      <c r="Z19" s="15">
        <v>14.1</v>
      </c>
    </row>
    <row r="20" ht="20.05" customHeight="1">
      <c r="B20" s="21">
        <v>2021</v>
      </c>
      <c r="C20" s="14">
        <v>341.9</v>
      </c>
      <c r="D20" s="15">
        <v>3.2</v>
      </c>
      <c r="E20" s="15">
        <v>8.5</v>
      </c>
      <c r="F20" s="15">
        <v>597</v>
      </c>
      <c r="G20" s="15">
        <v>1055</v>
      </c>
      <c r="H20" s="15">
        <v>2217</v>
      </c>
      <c r="I20" s="15">
        <v>367.2</v>
      </c>
      <c r="J20" s="15">
        <v>16.8</v>
      </c>
      <c r="K20" s="15">
        <v>-0.2</v>
      </c>
      <c r="L20" s="15">
        <v>2.5</v>
      </c>
      <c r="M20" s="15">
        <v>0</v>
      </c>
      <c r="N20" s="15">
        <f>SUM(C17:C20)/4</f>
        <v>443.65</v>
      </c>
      <c r="O20" s="15">
        <v>583.7931</v>
      </c>
      <c r="P20" s="16">
        <f>C20/C19-1</f>
        <v>-0.169540927860092</v>
      </c>
      <c r="Q20" s="16">
        <f>(E20+D20)/C20</f>
        <v>0.0342205323193916</v>
      </c>
      <c r="R20" s="16">
        <f>AVERAGE(Q17:Q20)</f>
        <v>0.0173435767489004</v>
      </c>
      <c r="S20" s="25">
        <f>SUM(J17:K20)/4</f>
        <v>-24.975</v>
      </c>
      <c r="T20" s="15">
        <f>J20+K20+T19</f>
        <v>263.1</v>
      </c>
      <c r="U20" s="15">
        <f>-(L20+M20)+U19</f>
        <v>127.8</v>
      </c>
      <c r="V20" s="15">
        <f>V19</f>
        <v>710.621538816</v>
      </c>
      <c r="W20" s="15">
        <f>F20-G20</f>
        <v>-458</v>
      </c>
      <c r="X20" s="25">
        <v>330</v>
      </c>
      <c r="Y20" s="15"/>
      <c r="Z20" s="15">
        <v>14.606</v>
      </c>
    </row>
    <row r="21" ht="20.05" customHeight="1">
      <c r="B21" s="13"/>
      <c r="C21" s="14">
        <v>314.8</v>
      </c>
      <c r="D21" s="15">
        <v>3.2</v>
      </c>
      <c r="E21" s="15">
        <v>-0.1</v>
      </c>
      <c r="F21" s="15">
        <v>518</v>
      </c>
      <c r="G21" s="15">
        <v>1042</v>
      </c>
      <c r="H21" s="15">
        <v>2167</v>
      </c>
      <c r="I21" s="15">
        <v>282.6</v>
      </c>
      <c r="J21" s="15">
        <v>-41.7</v>
      </c>
      <c r="K21" s="15">
        <v>-0.3</v>
      </c>
      <c r="L21" s="15">
        <v>0</v>
      </c>
      <c r="M21" s="15">
        <v>-36.256</v>
      </c>
      <c r="N21" s="15">
        <f>SUM(C18:C21)/4</f>
        <v>402.35</v>
      </c>
      <c r="O21" s="15">
        <v>554.447066666667</v>
      </c>
      <c r="P21" s="16">
        <f>C21/C20-1</f>
        <v>-0.07926294238081311</v>
      </c>
      <c r="Q21" s="16">
        <f>(E21+D21)/C21</f>
        <v>0.00984752223634053</v>
      </c>
      <c r="R21" s="16">
        <f>AVERAGE(Q18:Q21)</f>
        <v>-0.00441329269201447</v>
      </c>
      <c r="S21" s="25">
        <f>SUM(J18:K21)/4</f>
        <v>-23.975</v>
      </c>
      <c r="T21" s="15">
        <f>J21+K21+T20</f>
        <v>221.1</v>
      </c>
      <c r="U21" s="15">
        <f>-(L21+M21)+U20</f>
        <v>164.056</v>
      </c>
      <c r="V21" s="15">
        <f>V20</f>
        <v>710.621538816</v>
      </c>
      <c r="W21" s="15">
        <f>F21-G21</f>
        <v>-524</v>
      </c>
      <c r="X21" s="25">
        <v>300</v>
      </c>
      <c r="Y21" s="15"/>
      <c r="Z21" s="15">
        <v>14.45</v>
      </c>
    </row>
    <row r="22" ht="20.05" customHeight="1">
      <c r="B22" s="13"/>
      <c r="C22" s="14">
        <v>367.9</v>
      </c>
      <c r="D22" s="15">
        <v>2.9</v>
      </c>
      <c r="E22" s="15">
        <v>7.8</v>
      </c>
      <c r="F22" s="15">
        <v>468</v>
      </c>
      <c r="G22" s="15">
        <v>1052</v>
      </c>
      <c r="H22" s="15">
        <v>2185</v>
      </c>
      <c r="I22" s="15">
        <v>336.5</v>
      </c>
      <c r="J22" s="15">
        <v>-55.2</v>
      </c>
      <c r="K22" s="15">
        <v>-0.1</v>
      </c>
      <c r="L22" s="15">
        <v>4.568</v>
      </c>
      <c r="M22" s="15">
        <v>0</v>
      </c>
      <c r="N22" s="15">
        <f>SUM(C19:C22)/4</f>
        <v>359.075</v>
      </c>
      <c r="O22" s="15">
        <v>496.1093</v>
      </c>
      <c r="P22" s="16">
        <f>C22/C21-1</f>
        <v>0.168678526048285</v>
      </c>
      <c r="Q22" s="16">
        <f>(E22+D22)/C22</f>
        <v>0.0290839902147323</v>
      </c>
      <c r="R22" s="16">
        <f>AVERAGE(Q19:Q22)</f>
        <v>-0.0292587461549671</v>
      </c>
      <c r="S22" s="25">
        <f>SUM(J19:K22)/4</f>
        <v>-17.8</v>
      </c>
      <c r="T22" s="15">
        <f>J22+K22+T21</f>
        <v>165.8</v>
      </c>
      <c r="U22" s="15">
        <f>-(L22+M22)+U21</f>
        <v>159.488</v>
      </c>
      <c r="V22" s="15">
        <f>V21</f>
        <v>710.621538816</v>
      </c>
      <c r="W22" s="15">
        <f>F22-G22</f>
        <v>-584</v>
      </c>
      <c r="X22" s="25">
        <v>292</v>
      </c>
      <c r="Y22" s="15"/>
      <c r="Z22" s="15">
        <v>14.328</v>
      </c>
    </row>
    <row r="23" ht="20.05" customHeight="1">
      <c r="B23" s="13"/>
      <c r="C23" s="14">
        <v>645.1</v>
      </c>
      <c r="D23" s="15">
        <v>3.1</v>
      </c>
      <c r="E23" s="15">
        <v>35.4</v>
      </c>
      <c r="F23" s="15">
        <v>495</v>
      </c>
      <c r="G23" s="15">
        <v>976</v>
      </c>
      <c r="H23" s="15">
        <v>2143</v>
      </c>
      <c r="I23" s="15">
        <v>734.2</v>
      </c>
      <c r="J23" s="15">
        <v>212.9</v>
      </c>
      <c r="K23" s="15">
        <v>-3.8</v>
      </c>
      <c r="L23" s="15">
        <v>-181.256</v>
      </c>
      <c r="M23" s="15">
        <v>-0.044</v>
      </c>
      <c r="N23" s="15">
        <f>SUM(C20:C23)/4</f>
        <v>417.425</v>
      </c>
      <c r="O23" s="15">
        <v>459.0568</v>
      </c>
      <c r="P23" s="16">
        <f>C23/C22-1</f>
        <v>0.753465615656428</v>
      </c>
      <c r="Q23" s="16">
        <f>(E23+D23)/C23</f>
        <v>0.059680669663618</v>
      </c>
      <c r="R23" s="16">
        <f>AVERAGE(Q20:Q23)</f>
        <v>0.0332081786085206</v>
      </c>
      <c r="S23" s="25">
        <f>SUM(J20:K23)/4</f>
        <v>32.1</v>
      </c>
      <c r="T23" s="15">
        <f>J23+K23+T22</f>
        <v>374.9</v>
      </c>
      <c r="U23" s="15">
        <f>-(L23+M23)+U22</f>
        <v>340.788</v>
      </c>
      <c r="V23" s="15">
        <f>V22</f>
        <v>710.621538816</v>
      </c>
      <c r="W23" s="15">
        <f>F23-G23</f>
        <v>-481</v>
      </c>
      <c r="X23" s="25">
        <v>290</v>
      </c>
      <c r="Y23" s="15"/>
      <c r="Z23" s="15">
        <v>14.275</v>
      </c>
    </row>
    <row r="24" ht="20.05" customHeight="1">
      <c r="B24" s="21">
        <v>2022</v>
      </c>
      <c r="C24" s="14">
        <v>629.8</v>
      </c>
      <c r="D24" s="15">
        <v>2.8</v>
      </c>
      <c r="E24" s="15">
        <v>32.9</v>
      </c>
      <c r="F24" s="15">
        <v>525</v>
      </c>
      <c r="G24" s="15">
        <v>1227</v>
      </c>
      <c r="H24" s="15">
        <v>2427</v>
      </c>
      <c r="I24" s="15">
        <v>377.5</v>
      </c>
      <c r="J24" s="15">
        <v>-163</v>
      </c>
      <c r="K24" s="15">
        <v>-5.2</v>
      </c>
      <c r="L24" s="15">
        <v>198</v>
      </c>
      <c r="M24" s="15">
        <v>0</v>
      </c>
      <c r="N24" s="15">
        <f>SUM(C21:C24)/4</f>
        <v>489.4</v>
      </c>
      <c r="O24" s="15">
        <v>424.95275</v>
      </c>
      <c r="P24" s="16">
        <f>C24/C23-1</f>
        <v>-0.0237172531390482</v>
      </c>
      <c r="Q24" s="16">
        <f>(E24+D24)/C24</f>
        <v>0.056684661797396</v>
      </c>
      <c r="R24" s="16">
        <f>AVERAGE(Q21:Q24)</f>
        <v>0.0388242109780217</v>
      </c>
      <c r="S24" s="25">
        <f>SUM(J21:K24)/4</f>
        <v>-14.1</v>
      </c>
      <c r="T24" s="15">
        <f>J24+K24+T23</f>
        <v>206.7</v>
      </c>
      <c r="U24" s="15">
        <f>-(L24+M24)+U23</f>
        <v>142.788</v>
      </c>
      <c r="V24" s="15">
        <f>V23</f>
        <v>710.621538816</v>
      </c>
      <c r="W24" s="15">
        <f>F24-G24</f>
        <v>-702</v>
      </c>
      <c r="X24" s="25">
        <v>274</v>
      </c>
      <c r="Y24" s="15">
        <v>355.301879172413</v>
      </c>
      <c r="Z24" s="15">
        <v>14.327</v>
      </c>
    </row>
    <row r="25" ht="20.05" customHeight="1">
      <c r="B25" s="13"/>
      <c r="C25" s="14">
        <v>528.1</v>
      </c>
      <c r="D25" s="15">
        <v>2.9</v>
      </c>
      <c r="E25" s="15">
        <v>11</v>
      </c>
      <c r="F25" s="15">
        <v>543</v>
      </c>
      <c r="G25" s="15">
        <v>1279</v>
      </c>
      <c r="H25" s="15">
        <v>2454</v>
      </c>
      <c r="I25" s="15">
        <v>574.8</v>
      </c>
      <c r="J25" s="15">
        <v>35.1</v>
      </c>
      <c r="K25" s="15">
        <v>-2.5</v>
      </c>
      <c r="L25" s="15">
        <v>21.6</v>
      </c>
      <c r="M25" s="15">
        <v>-36.3</v>
      </c>
      <c r="N25" s="15">
        <f>SUM(C22:C25)/4</f>
        <v>542.725</v>
      </c>
      <c r="O25" s="15">
        <v>466.3365</v>
      </c>
      <c r="P25" s="16">
        <f>C25/C24-1</f>
        <v>-0.161479834868212</v>
      </c>
      <c r="Q25" s="16">
        <f>(E25+D25)/C25</f>
        <v>0.0263207725809506</v>
      </c>
      <c r="R25" s="16">
        <f>AVERAGE(Q22:Q25)</f>
        <v>0.0429425235641742</v>
      </c>
      <c r="S25" s="25">
        <f>SUM(J22:K25)/4</f>
        <v>4.55</v>
      </c>
      <c r="T25" s="15">
        <f>J25+K25+T24</f>
        <v>239.3</v>
      </c>
      <c r="U25" s="15">
        <f>-(L25+M25)+U24</f>
        <v>157.488</v>
      </c>
      <c r="V25" s="15">
        <f>V24</f>
        <v>710.621538816</v>
      </c>
      <c r="W25" s="15">
        <f>F25-G25</f>
        <v>-736</v>
      </c>
      <c r="X25" s="15">
        <v>292</v>
      </c>
      <c r="Y25" s="15">
        <v>355.301879172413</v>
      </c>
      <c r="Z25" s="15">
        <v>14.66</v>
      </c>
    </row>
    <row r="26" ht="20.05" customHeight="1">
      <c r="B26" s="13"/>
      <c r="C26" s="14">
        <v>611.4</v>
      </c>
      <c r="D26" s="15">
        <v>2.8</v>
      </c>
      <c r="E26" s="15">
        <v>22.6</v>
      </c>
      <c r="F26" s="15">
        <v>608</v>
      </c>
      <c r="G26" s="15">
        <v>1328</v>
      </c>
      <c r="H26" s="15">
        <v>2525</v>
      </c>
      <c r="I26" s="15">
        <v>700.7</v>
      </c>
      <c r="J26" s="15">
        <v>60</v>
      </c>
      <c r="K26" s="15">
        <v>-4.6</v>
      </c>
      <c r="L26" s="15">
        <v>9</v>
      </c>
      <c r="M26" s="15">
        <v>0</v>
      </c>
      <c r="N26" s="15">
        <f>SUM(C23:C26)/4</f>
        <v>603.6</v>
      </c>
      <c r="O26" s="15">
        <v>551.385</v>
      </c>
      <c r="P26" s="16">
        <f>C26/C25-1</f>
        <v>0.157735277409582</v>
      </c>
      <c r="Q26" s="16">
        <f>(E26+D26)/C26</f>
        <v>0.0415439973830553</v>
      </c>
      <c r="R26" s="16">
        <f>AVERAGE(Q23:Q26)</f>
        <v>0.046057525356255</v>
      </c>
      <c r="S26" s="25">
        <f>SUM(J23:K26)/4</f>
        <v>32.225</v>
      </c>
      <c r="T26" s="15">
        <f>J26+K26+T25</f>
        <v>294.7</v>
      </c>
      <c r="U26" s="15">
        <f>-(L26+M26)+U25</f>
        <v>148.488</v>
      </c>
      <c r="V26" s="15">
        <f>V25</f>
        <v>710.621538816</v>
      </c>
      <c r="W26" s="15">
        <f>F26-G26</f>
        <v>-720</v>
      </c>
      <c r="X26" s="15">
        <v>308</v>
      </c>
      <c r="Y26" s="15">
        <v>391.622885033588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703.8788355</v>
      </c>
      <c r="P27" s="17"/>
      <c r="Q27" s="17"/>
      <c r="R27" s="17"/>
      <c r="S27" s="25"/>
      <c r="T27" s="17"/>
      <c r="U27" s="17"/>
      <c r="V27" s="17"/>
      <c r="W27" s="26"/>
      <c r="X27" s="26">
        <v>302</v>
      </c>
      <c r="Y27" s="15">
        <v>355.301879172413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3258.225</v>
      </c>
      <c r="O28" s="15">
        <f>SUM(O20:O26)</f>
        <v>3536.080516666670</v>
      </c>
      <c r="P28" s="17"/>
      <c r="Q28" s="17"/>
      <c r="R28" s="17"/>
      <c r="S28" s="17"/>
      <c r="T28" s="17"/>
      <c r="U28" s="17"/>
      <c r="V28" s="17"/>
      <c r="W28" s="26"/>
      <c r="X28" s="15">
        <v>294</v>
      </c>
      <c r="Y28" s="17"/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AF87</f>
        <v>322.260605425121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196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0.181500951264687</v>
      </c>
      <c r="AD49" s="35"/>
      <c r="AE49" s="35"/>
      <c r="AF49" s="35">
        <f>AVERAGE(AC51:AF51)</f>
        <v>0.035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0.753465615656428</v>
      </c>
      <c r="AD50" s="35">
        <f>P24</f>
        <v>-0.0237172531390482</v>
      </c>
      <c r="AE50" s="35">
        <f>P25</f>
        <v>-0.161479834868212</v>
      </c>
      <c r="AF50" s="35">
        <f>P26</f>
        <v>0.157735277409582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0.25</v>
      </c>
      <c r="AD51" s="35">
        <v>-0.02</v>
      </c>
      <c r="AE51" s="35">
        <v>-0.16</v>
      </c>
      <c r="AF51" s="35">
        <v>0.07000000000000001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611.4</v>
      </c>
      <c r="AC52" s="23">
        <f>C26*(1+AC51)</f>
        <v>764.25</v>
      </c>
      <c r="AD52" s="23">
        <f>AC52*(1+AD51)</f>
        <v>748.965</v>
      </c>
      <c r="AE52" s="23">
        <f>AD52*(1+AE51)</f>
        <v>629.1306</v>
      </c>
      <c r="AF52" s="23">
        <f>AE52*(1+AF51)</f>
        <v>673.169742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0.046057525356255</v>
      </c>
      <c r="AD53" s="35">
        <f>AC53</f>
        <v>0.046057525356255</v>
      </c>
      <c r="AE53" s="35">
        <f>AD53</f>
        <v>0.046057525356255</v>
      </c>
      <c r="AF53" s="35">
        <f>AE53</f>
        <v>0.046057525356255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-4.6</v>
      </c>
      <c r="AD54" s="15">
        <f>AC54</f>
        <v>-4.6</v>
      </c>
      <c r="AE54" s="15">
        <f>AD54</f>
        <v>-4.6</v>
      </c>
      <c r="AF54" s="15">
        <f>AE54</f>
        <v>-4.6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30.5994637535179</v>
      </c>
      <c r="AD55" s="15">
        <f>(AD52*AD53)+AD54</f>
        <v>29.8954744784475</v>
      </c>
      <c r="AE55" s="15">
        <f>(AE52*AE53)+AE54</f>
        <v>24.3761985618959</v>
      </c>
      <c r="AF55" s="15">
        <f>(AF52*AF53)+AF54</f>
        <v>26.4045324612286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-66.40000000000001</v>
      </c>
      <c r="AD56" s="15">
        <f>-AC71/20</f>
        <v>-63.08</v>
      </c>
      <c r="AE56" s="15">
        <f>-AD71/20</f>
        <v>-59.926</v>
      </c>
      <c r="AF56" s="15">
        <f>-AE71/20</f>
        <v>-56.9297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-35.8005362464821</v>
      </c>
      <c r="AD59" s="15">
        <f>AD55+AD56+AD58</f>
        <v>-33.1845255215525</v>
      </c>
      <c r="AE59" s="15">
        <f>AE55+AE56+AE58</f>
        <v>-35.5498014381041</v>
      </c>
      <c r="AF59" s="15">
        <f>AF55+AF56+AF58</f>
        <v>-30.5251675387714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35.8005362464821</v>
      </c>
      <c r="AD60" s="15">
        <f>-MIN(AC72,AD59)</f>
        <v>33.1845255215525</v>
      </c>
      <c r="AE60" s="15">
        <f>-MIN(AD72,AE59)</f>
        <v>35.5498014381041</v>
      </c>
      <c r="AF60" s="15">
        <f>-MIN(AE72,AF59)</f>
        <v>30.5251675387714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608</v>
      </c>
      <c r="AD61" s="15">
        <f>AC63</f>
        <v>608</v>
      </c>
      <c r="AE61" s="15">
        <f>AD63</f>
        <v>608</v>
      </c>
      <c r="AF61" s="15">
        <f>AE63</f>
        <v>608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608</v>
      </c>
      <c r="AD63" s="15">
        <f>AD61+AD62</f>
        <v>608</v>
      </c>
      <c r="AE63" s="15">
        <f>AE61+AE62</f>
        <v>608</v>
      </c>
      <c r="AF63" s="15">
        <f>AF61+AF62</f>
        <v>608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-2.83333333333333</v>
      </c>
      <c r="AD65" s="15">
        <f>AC65</f>
        <v>-2.83333333333333</v>
      </c>
      <c r="AE65" s="15">
        <f>AD65</f>
        <v>-2.83333333333333</v>
      </c>
      <c r="AF65" s="15">
        <f>AE65</f>
        <v>-2.83333333333333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32.3661304201846</v>
      </c>
      <c r="AD66" s="15">
        <f>(AD52*AD53)+AD65</f>
        <v>31.6621411451142</v>
      </c>
      <c r="AE66" s="15">
        <f>(AE52*AE53)+AE65</f>
        <v>26.1428652285626</v>
      </c>
      <c r="AF66" s="15">
        <f>(AF52*AF53)+AF65</f>
        <v>28.1711991278953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1921.6</v>
      </c>
      <c r="AD68" s="15">
        <f>AC68-AD54</f>
        <v>1926.2</v>
      </c>
      <c r="AE68" s="15">
        <f>AD68-AE54</f>
        <v>1930.8</v>
      </c>
      <c r="AF68" s="15">
        <f>AE68-AF54</f>
        <v>1935.4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2.83333333333333</v>
      </c>
      <c r="AD69" s="15">
        <f>AC69-AD65</f>
        <v>5.66666666666666</v>
      </c>
      <c r="AE69" s="15">
        <f>AD69-AE65</f>
        <v>8.499999999999989</v>
      </c>
      <c r="AF69" s="15">
        <f>AE69-AF65</f>
        <v>11.3333333333333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1918.766666666670</v>
      </c>
      <c r="AD70" s="15">
        <f>AD68-AD69</f>
        <v>1920.533333333330</v>
      </c>
      <c r="AE70" s="15">
        <f>AE68-AE69</f>
        <v>1922.3</v>
      </c>
      <c r="AF70" s="15">
        <f>AF68-AF69</f>
        <v>1924.066666666670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1261.6</v>
      </c>
      <c r="AD71" s="15">
        <f>AC71+AD56</f>
        <v>1198.52</v>
      </c>
      <c r="AE71" s="15">
        <f>AD71+AE56</f>
        <v>1138.594</v>
      </c>
      <c r="AF71" s="15">
        <f>AE71+AF56</f>
        <v>1081.6643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35.8005362464821</v>
      </c>
      <c r="AD72" s="15">
        <f>AC72+AD60</f>
        <v>68.9850617680346</v>
      </c>
      <c r="AE72" s="15">
        <f>AD72+AE60</f>
        <v>104.534863206139</v>
      </c>
      <c r="AF72" s="15">
        <f>AE72+AF60</f>
        <v>135.060030744910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1229.366130420180</v>
      </c>
      <c r="AD73" s="15">
        <f>AC73+AD66+AD58</f>
        <v>1261.028271565290</v>
      </c>
      <c r="AE73" s="15">
        <f>AD73+AE66+AE58</f>
        <v>1287.171136793850</v>
      </c>
      <c r="AF73" s="15">
        <f>AE73+AF66+AF58</f>
        <v>1315.342335921750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-7.9e-12</v>
      </c>
      <c r="AD74" s="15">
        <f>AD71+AD72+AD73-AD63-AD70</f>
        <v>-5.4e-12</v>
      </c>
      <c r="AE74" s="15">
        <f>AE71+AE72+AE73-AE63-AE70</f>
        <v>-1.1e-11</v>
      </c>
      <c r="AF74" s="15">
        <f>AF71+AF72+AF73-AF63-AF70</f>
        <v>-9.999999999999999e-12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-689.400536246482</v>
      </c>
      <c r="AD75" s="15">
        <f>AD63-AD71-AD72</f>
        <v>-659.505061768035</v>
      </c>
      <c r="AE75" s="15">
        <f>AE63-AE71-AE72</f>
        <v>-635.128863206139</v>
      </c>
      <c r="AF75" s="15">
        <f>AF63-AF71-AF72</f>
        <v>-608.724330744910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-30.5994637535179</v>
      </c>
      <c r="AD76" s="15">
        <f>AD56+AD58+AD60</f>
        <v>-29.8954744784475</v>
      </c>
      <c r="AE76" s="15">
        <f>AE56+AE58+AE60</f>
        <v>-24.3761985618959</v>
      </c>
      <c r="AF76" s="15">
        <f>AF56+AF58+AF60</f>
        <v>-26.4045324612286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705</v>
      </c>
      <c r="AB78" s="14"/>
      <c r="AC78" s="15"/>
      <c r="AD78" s="15"/>
      <c r="AE78" s="15"/>
      <c r="AF78" s="15">
        <v>294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710.621538816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2.417080064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0.280648826577499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128.9</v>
      </c>
      <c r="AF83" s="15">
        <f>SUM(AC55:AF55)</f>
        <v>111.275669255090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17.2909916385756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6.38613583340452</v>
      </c>
      <c r="AF85" s="15">
        <v>7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778.929684785630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322.260605425121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0.0961245082487109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0.661864637129655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0.0852781857197308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705</v>
      </c>
      <c r="AD92" t="s" s="44">
        <f>AC114</f>
        <v>15</v>
      </c>
      <c r="AE92" t="s" s="44">
        <f>AD114</f>
        <v>360</v>
      </c>
      <c r="AF92" t="s" s="44">
        <f>AE114</f>
        <v>59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294</v>
      </c>
      <c r="AE93" t="s" s="44">
        <v>61</v>
      </c>
      <c r="AF93" s="15">
        <f>AF87</f>
        <v>322.260605425121</v>
      </c>
      <c r="AG93" t="s" s="44">
        <f>IF(AH93&gt;0,"+","")</f>
        <v>361</v>
      </c>
      <c r="AH93" s="16">
        <f>AF93/AD93-1</f>
        <v>0.0961245082487109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0.661864637129655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  <v>361</v>
      </c>
      <c r="AF97" s="16">
        <f>(AE118+AE119+AG118+AG119+AI118+AI119+AK118+AK119)/AD135</f>
        <v>0.181390505295922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</c>
      <c r="AF98" s="16">
        <f>(AE132+AE133+AG132+AG133+AI132+AI133+AK132+AK133)/AD135</f>
        <v>-0.0154794069686202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-1.01319754703696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0.157735277409582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0.168678526048285</v>
      </c>
      <c r="AD102" s="16">
        <f>P23</f>
        <v>0.753465615656428</v>
      </c>
      <c r="AE102" s="16">
        <f>P24</f>
        <v>-0.0237172531390482</v>
      </c>
      <c r="AF102" s="16">
        <f>P25</f>
        <v>-0.161479834868212</v>
      </c>
      <c r="AG102" s="16">
        <f>P26</f>
        <v>0.157735277409582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367.9</v>
      </c>
      <c r="AD103" t="s" s="44">
        <v>72</v>
      </c>
      <c r="AE103" s="15">
        <f>C23</f>
        <v>645.1</v>
      </c>
      <c r="AF103" t="s" s="44">
        <v>72</v>
      </c>
      <c r="AG103" s="15">
        <f>C24</f>
        <v>629.8</v>
      </c>
      <c r="AH103" t="s" s="44">
        <v>72</v>
      </c>
      <c r="AI103" s="15">
        <f>C25</f>
        <v>528.1</v>
      </c>
      <c r="AJ103" t="s" s="44">
        <v>72</v>
      </c>
      <c r="AK103" s="15">
        <f>C26</f>
        <v>611.4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0.157735277409582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611.4</v>
      </c>
      <c r="AK104" t="s" s="48">
        <f>AL103</f>
        <v>22</v>
      </c>
      <c r="AL104" t="s" s="44">
        <v>77</v>
      </c>
      <c r="AM104" t="s" s="44">
        <f>IF(AN104&gt;0,"+","")</f>
        <v>361</v>
      </c>
      <c r="AN104" s="16">
        <f>AF90</f>
        <v>0.0852781857197308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0.181500951264687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0.035</v>
      </c>
      <c r="AE106" t="s" s="44">
        <v>82</v>
      </c>
      <c r="AF106" t="s" s="44">
        <v>83</v>
      </c>
      <c r="AG106" s="23">
        <f>AF52</f>
        <v>673.169742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108</v>
      </c>
      <c r="AE107" t="s" s="44">
        <v>86</v>
      </c>
      <c r="AF107" t="s" s="44">
        <f>IF(AJ111&gt;AH111,"up","down")</f>
        <v>108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0.0290839902147323</v>
      </c>
      <c r="AD109" s="16">
        <f>(D23+E23)/C23</f>
        <v>0.059680669663618</v>
      </c>
      <c r="AE109" s="16">
        <f>((E24+D24)/C24)</f>
        <v>0.056684661797396</v>
      </c>
      <c r="AF109" s="16">
        <f>(D25+E25)/C25</f>
        <v>0.0263207725809506</v>
      </c>
      <c r="AG109" s="16">
        <f>(D26+E26)/C26</f>
        <v>0.0415439973830553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7.8</v>
      </c>
      <c r="AD110" t="s" s="44">
        <v>72</v>
      </c>
      <c r="AE110" s="15">
        <f>E23</f>
        <v>35.4</v>
      </c>
      <c r="AF110" t="s" s="44">
        <v>72</v>
      </c>
      <c r="AG110" s="15">
        <f>E24</f>
        <v>32.9</v>
      </c>
      <c r="AH110" t="s" s="44">
        <v>72</v>
      </c>
      <c r="AI110" s="15">
        <f>E25</f>
        <v>11</v>
      </c>
      <c r="AJ110" t="s" s="44">
        <v>72</v>
      </c>
      <c r="AK110" s="15">
        <f>E26</f>
        <v>22.6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0.0263207725809506</v>
      </c>
      <c r="AE111" t="s" s="44">
        <v>76</v>
      </c>
      <c r="AF111" s="16">
        <f>AG109</f>
        <v>0.0415439973830553</v>
      </c>
      <c r="AG111" t="s" s="44">
        <v>90</v>
      </c>
      <c r="AH111" s="15">
        <f>AI110</f>
        <v>11</v>
      </c>
      <c r="AI111" t="s" s="44">
        <v>76</v>
      </c>
      <c r="AJ111" s="15">
        <f>AK110</f>
        <v>22.6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0.046057525356255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0.046057525356255</v>
      </c>
      <c r="AE113" t="s" s="44">
        <v>94</v>
      </c>
      <c r="AF113" s="15">
        <f>AF66</f>
        <v>28.1711991278953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360</v>
      </c>
      <c r="AE114" t="s" s="44">
        <f>IF(AF120&lt;0,"negative","positive")</f>
        <v>59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32.6</v>
      </c>
      <c r="AE115" s="15">
        <f>ABS(AF120)</f>
        <v>55.4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32.6</v>
      </c>
      <c r="AD116" s="15">
        <f>ABS(AF120)</f>
        <v>55.4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-55.2</v>
      </c>
      <c r="AD118" t="s" s="44">
        <v>72</v>
      </c>
      <c r="AE118" s="15">
        <f>J23</f>
        <v>212.9</v>
      </c>
      <c r="AF118" t="s" s="44">
        <v>72</v>
      </c>
      <c r="AG118" s="15">
        <f>J24</f>
        <v>-163</v>
      </c>
      <c r="AH118" t="s" s="44">
        <v>72</v>
      </c>
      <c r="AI118" s="15">
        <f>J25</f>
        <v>35.1</v>
      </c>
      <c r="AJ118" t="s" s="44">
        <v>72</v>
      </c>
      <c r="AK118" s="15">
        <f>J26</f>
        <v>60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-0.1</v>
      </c>
      <c r="AD119" t="s" s="44">
        <v>72</v>
      </c>
      <c r="AE119" s="15">
        <f>K23</f>
        <v>-3.8</v>
      </c>
      <c r="AF119" t="s" s="44">
        <v>72</v>
      </c>
      <c r="AG119" s="15">
        <f>K24</f>
        <v>-5.2</v>
      </c>
      <c r="AH119" t="s" s="44">
        <v>72</v>
      </c>
      <c r="AI119" s="15">
        <f>K25</f>
        <v>-2.5</v>
      </c>
      <c r="AJ119" t="s" s="44">
        <v>72</v>
      </c>
      <c r="AK119" s="15">
        <f>K26</f>
        <v>-4.6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32.6</v>
      </c>
      <c r="AE120" t="s" s="44">
        <v>76</v>
      </c>
      <c r="AF120" s="15">
        <f>AK118+AK119</f>
        <v>55.4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-4.6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32.225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-4.6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27.8189173137725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108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468</v>
      </c>
      <c r="AD125" t="s" s="44">
        <v>72</v>
      </c>
      <c r="AE125" s="15">
        <f>F23</f>
        <v>495</v>
      </c>
      <c r="AF125" t="s" s="44">
        <v>72</v>
      </c>
      <c r="AG125" s="15">
        <f>F24</f>
        <v>525</v>
      </c>
      <c r="AH125" t="s" s="44">
        <v>72</v>
      </c>
      <c r="AI125" s="15">
        <f>F25</f>
        <v>543</v>
      </c>
      <c r="AJ125" t="s" s="44">
        <v>72</v>
      </c>
      <c r="AK125" s="15">
        <f>F26</f>
        <v>608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1052</v>
      </c>
      <c r="AD126" t="s" s="44">
        <v>72</v>
      </c>
      <c r="AE126" s="15">
        <f>G23</f>
        <v>976</v>
      </c>
      <c r="AF126" t="s" s="44">
        <v>72</v>
      </c>
      <c r="AG126" s="15">
        <f>G24</f>
        <v>1227</v>
      </c>
      <c r="AH126" t="s" s="44">
        <v>72</v>
      </c>
      <c r="AI126" s="15">
        <f>G25</f>
        <v>1279</v>
      </c>
      <c r="AJ126" t="s" s="44">
        <v>72</v>
      </c>
      <c r="AK126" s="15">
        <f>G26</f>
        <v>1328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111</v>
      </c>
      <c r="AE127" s="15">
        <f>AI125</f>
        <v>543</v>
      </c>
      <c r="AF127" t="s" s="44">
        <v>76</v>
      </c>
      <c r="AG127" s="15">
        <f>AK125</f>
        <v>608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111</v>
      </c>
      <c r="AE128" s="15">
        <f>AI126</f>
        <v>1279</v>
      </c>
      <c r="AF128" t="s" s="44">
        <v>76</v>
      </c>
      <c r="AG128" s="15">
        <f>AK126</f>
        <v>1328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108</v>
      </c>
      <c r="AL128" s="15">
        <f>AE127-AE128</f>
        <v>-736</v>
      </c>
      <c r="AM128" t="s" s="44">
        <v>76</v>
      </c>
      <c r="AN128" s="15">
        <f>AG127-AG128</f>
        <v>-720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-111.275669255090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-608.724330744910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121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-4.568</v>
      </c>
      <c r="AD132" t="s" s="44">
        <v>72</v>
      </c>
      <c r="AE132" s="15">
        <f>-L23</f>
        <v>181.256</v>
      </c>
      <c r="AF132" t="s" s="44">
        <v>72</v>
      </c>
      <c r="AG132" s="15">
        <f>-L24</f>
        <v>-198</v>
      </c>
      <c r="AH132" t="s" s="44">
        <v>72</v>
      </c>
      <c r="AI132" s="15">
        <f>-L25</f>
        <v>-21.6</v>
      </c>
      <c r="AJ132" t="s" s="44">
        <v>72</v>
      </c>
      <c r="AK132" s="15">
        <f>-L26</f>
        <v>-9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0</v>
      </c>
      <c r="AD133" t="s" s="44">
        <v>72</v>
      </c>
      <c r="AE133" s="15">
        <f>-M23</f>
        <v>0.044</v>
      </c>
      <c r="AF133" t="s" s="44">
        <v>72</v>
      </c>
      <c r="AG133" s="15">
        <f>-M24</f>
        <v>0</v>
      </c>
      <c r="AH133" t="s" s="44">
        <v>72</v>
      </c>
      <c r="AI133" s="15">
        <f>-M25</f>
        <v>36.3</v>
      </c>
      <c r="AJ133" t="s" s="44">
        <v>72</v>
      </c>
      <c r="AK133" s="15">
        <f>-M26</f>
        <v>0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705</v>
      </c>
      <c r="AD134" t="s" s="44">
        <f>IF(AE134&gt;0,"paid","(raised)")</f>
        <v>121</v>
      </c>
      <c r="AE134" s="15">
        <f>SUM(AK132:AK133)</f>
        <v>-9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-9</v>
      </c>
      <c r="AK134" t="s" s="48">
        <f>AL103</f>
        <v>22</v>
      </c>
      <c r="AL134" t="s" s="44">
        <v>123</v>
      </c>
      <c r="AM134" s="15">
        <f>AK133</f>
        <v>0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111.275669255090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710.621538816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0.280648826577499</v>
      </c>
      <c r="AI135" t="s" s="44">
        <v>130</v>
      </c>
      <c r="AJ135" t="s" s="44">
        <v>131</v>
      </c>
      <c r="AK135" t="s" s="44">
        <v>132</v>
      </c>
      <c r="AL135" s="15">
        <f>AF84</f>
        <v>17.2909916385756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111.275669255090</v>
      </c>
      <c r="AE136" t="s" s="48">
        <f>AE135</f>
        <v>22</v>
      </c>
      <c r="AF136" t="s" s="44">
        <v>136</v>
      </c>
      <c r="AG136" s="15">
        <f>AD135/AD136</f>
        <v>6.38613583340452</v>
      </c>
      <c r="AH136" t="s" s="44">
        <v>130</v>
      </c>
      <c r="AI136" t="s" s="44">
        <v>137</v>
      </c>
      <c r="AJ136" t="s" s="44">
        <v>138</v>
      </c>
      <c r="AK136" s="15">
        <f>AF85</f>
        <v>7</v>
      </c>
      <c r="AL136" t="s" s="44">
        <v>139</v>
      </c>
      <c r="AM136" t="s" s="44">
        <v>140</v>
      </c>
      <c r="AN136" t="s" s="44">
        <v>141</v>
      </c>
      <c r="AO136" s="16">
        <f>AH93</f>
        <v>0.0961245082487109</v>
      </c>
      <c r="AP136" t="s" s="44">
        <f>IF(AO136&gt;0,"higher","lower")</f>
        <v>363</v>
      </c>
      <c r="AQ136" t="s" s="44">
        <v>142</v>
      </c>
      <c r="AR136" s="15">
        <f>AF93</f>
        <v>322.260605425121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367.9</v>
      </c>
      <c r="AC138" s="15">
        <f>AE103</f>
        <v>645.1</v>
      </c>
      <c r="AD138" s="15">
        <f>AG103</f>
        <v>629.8</v>
      </c>
      <c r="AE138" s="15">
        <f>AI103</f>
        <v>528.1</v>
      </c>
      <c r="AF138" s="15">
        <f>AK103</f>
        <v>611.4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-55.3</v>
      </c>
      <c r="AC139" s="15">
        <f>SUM(AE118:AE119)</f>
        <v>209.1</v>
      </c>
      <c r="AD139" s="15">
        <f>SUM(AG118:AG119)</f>
        <v>-168.2</v>
      </c>
      <c r="AE139" s="15">
        <f>SUM(AI118:AI119)</f>
        <v>32.6</v>
      </c>
      <c r="AF139" s="15">
        <f>SUM(AK118:AK119)</f>
        <v>55.4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-4.568</v>
      </c>
      <c r="AC140" s="15">
        <f>SUM(AE132:AE133)</f>
        <v>181.3</v>
      </c>
      <c r="AD140" s="15">
        <f>SUM(AG132:AG133)</f>
        <v>-198</v>
      </c>
      <c r="AE140" s="15">
        <f>SUM(AI132:AI133)</f>
        <v>14.7</v>
      </c>
      <c r="AF140" s="15">
        <f>SUM(AK132:AK133)</f>
        <v>-9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-584</v>
      </c>
      <c r="AC141" s="15">
        <f>(AE125-AE126)</f>
        <v>-481</v>
      </c>
      <c r="AD141" s="15">
        <f>(AG125-AG126)</f>
        <v>-702</v>
      </c>
      <c r="AE141" s="15">
        <f>(AI125-AI126)</f>
        <v>-736</v>
      </c>
      <c r="AF141" s="15">
        <f>(AK125-AK126)</f>
        <v>-720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322.260605425121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44" customWidth="1"/>
    <col min="2" max="26" width="10.4844" style="344" customWidth="1"/>
    <col min="27" max="27" width="18.9766" style="345" customWidth="1"/>
    <col min="28" max="46" width="9" style="345" customWidth="1"/>
    <col min="47" max="16384" width="16.3516" style="345" customWidth="1"/>
  </cols>
  <sheetData>
    <row r="1" ht="11.65" customHeight="1"/>
    <row r="2" ht="27.65" customHeight="1">
      <c r="B2" t="s" s="2">
        <v>706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5</v>
      </c>
      <c r="D3" t="s" s="3">
        <v>6</v>
      </c>
      <c r="E3" t="s" s="3">
        <v>7</v>
      </c>
      <c r="F3" t="s" s="3">
        <v>2</v>
      </c>
      <c r="G3" t="s" s="3">
        <v>3</v>
      </c>
      <c r="H3" t="s" s="3">
        <v>4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707</v>
      </c>
      <c r="W3" t="s" s="3">
        <v>18</v>
      </c>
      <c r="X3" t="s" s="3">
        <v>157</v>
      </c>
      <c r="Y3" t="s" s="3">
        <v>19</v>
      </c>
      <c r="Z3" t="s" s="3">
        <v>20</v>
      </c>
    </row>
    <row r="4" ht="20.25" customHeight="1">
      <c r="B4" s="6">
        <v>2007</v>
      </c>
      <c r="C4" s="7">
        <v>90</v>
      </c>
      <c r="D4" s="8">
        <v>150</v>
      </c>
      <c r="E4" s="8">
        <v>399</v>
      </c>
      <c r="F4" s="8">
        <v>628</v>
      </c>
      <c r="G4" s="8"/>
      <c r="H4" s="8">
        <v>59</v>
      </c>
      <c r="I4" s="8">
        <v>615</v>
      </c>
      <c r="J4" s="8">
        <v>49</v>
      </c>
      <c r="K4" s="8">
        <v>11</v>
      </c>
      <c r="L4" s="8"/>
      <c r="M4" s="8">
        <v>-20</v>
      </c>
      <c r="N4" s="8"/>
      <c r="O4" s="8"/>
      <c r="P4" s="9"/>
      <c r="Q4" s="55"/>
      <c r="R4" s="9"/>
      <c r="S4" s="9"/>
      <c r="T4" s="9"/>
      <c r="U4" s="9"/>
      <c r="V4" s="8"/>
      <c r="W4" s="8">
        <f>C4-D4</f>
        <v>-60</v>
      </c>
      <c r="X4" s="10"/>
      <c r="Y4" s="11"/>
      <c r="Z4" s="12"/>
    </row>
    <row r="5" ht="20.05" customHeight="1">
      <c r="B5" s="21">
        <v>2008</v>
      </c>
      <c r="C5" s="14">
        <v>110</v>
      </c>
      <c r="D5" s="15">
        <v>356</v>
      </c>
      <c r="E5" s="15">
        <v>644</v>
      </c>
      <c r="F5" s="15">
        <v>1037</v>
      </c>
      <c r="G5" s="15"/>
      <c r="H5" s="15">
        <v>129</v>
      </c>
      <c r="I5" s="15">
        <v>934</v>
      </c>
      <c r="J5" s="15">
        <v>102</v>
      </c>
      <c r="K5" s="15">
        <v>-143</v>
      </c>
      <c r="L5" s="15">
        <v>-1</v>
      </c>
      <c r="M5" s="15">
        <f>140-79</f>
        <v>61</v>
      </c>
      <c r="N5" s="15"/>
      <c r="O5" s="15"/>
      <c r="P5" s="17"/>
      <c r="Q5" s="16"/>
      <c r="R5" s="17"/>
      <c r="S5" s="17"/>
      <c r="T5" s="17"/>
      <c r="U5" s="17"/>
      <c r="V5" s="15"/>
      <c r="W5" s="15">
        <f>C5-D5</f>
        <v>-246</v>
      </c>
      <c r="X5" s="18"/>
      <c r="Y5" s="19"/>
      <c r="Z5" s="20"/>
    </row>
    <row r="6" ht="20.05" customHeight="1">
      <c r="B6" s="21">
        <v>2009</v>
      </c>
      <c r="C6" s="14">
        <v>112</v>
      </c>
      <c r="D6" s="15">
        <v>594</v>
      </c>
      <c r="E6" s="15">
        <v>1006</v>
      </c>
      <c r="F6" s="15">
        <v>1326</v>
      </c>
      <c r="G6" s="15"/>
      <c r="H6" s="15">
        <v>19</v>
      </c>
      <c r="I6" s="15">
        <v>1411</v>
      </c>
      <c r="J6" s="15">
        <v>128</v>
      </c>
      <c r="K6" s="15">
        <v>-400</v>
      </c>
      <c r="L6" s="15">
        <f>272+5-M6</f>
        <v>311</v>
      </c>
      <c r="M6" s="15">
        <v>-34</v>
      </c>
      <c r="N6" s="15"/>
      <c r="O6" s="15"/>
      <c r="P6" s="17"/>
      <c r="Q6" s="16"/>
      <c r="R6" s="17"/>
      <c r="S6" s="17"/>
      <c r="T6" s="17"/>
      <c r="U6" s="17"/>
      <c r="V6" s="15"/>
      <c r="W6" s="15">
        <f>C6-D6</f>
        <v>-482</v>
      </c>
      <c r="X6" s="18"/>
      <c r="Y6" s="19"/>
      <c r="Z6" s="20"/>
    </row>
    <row r="7" ht="20.05" customHeight="1">
      <c r="B7" s="21">
        <v>2010</v>
      </c>
      <c r="C7" s="14">
        <v>42</v>
      </c>
      <c r="D7" s="15">
        <v>832</v>
      </c>
      <c r="E7" s="15">
        <v>1287</v>
      </c>
      <c r="F7" s="15">
        <v>1398</v>
      </c>
      <c r="G7" s="15"/>
      <c r="H7" s="15">
        <v>60</v>
      </c>
      <c r="I7" s="15">
        <v>1375</v>
      </c>
      <c r="J7" s="15">
        <v>-78</v>
      </c>
      <c r="K7" s="15">
        <v>-272</v>
      </c>
      <c r="L7" s="15">
        <f>249+32-M7</f>
        <v>293</v>
      </c>
      <c r="M7" s="15">
        <v>-12</v>
      </c>
      <c r="N7" s="15"/>
      <c r="O7" s="15"/>
      <c r="P7" s="17"/>
      <c r="Q7" s="16"/>
      <c r="R7" s="17"/>
      <c r="S7" s="17"/>
      <c r="T7" s="17"/>
      <c r="U7" s="17"/>
      <c r="V7" s="15"/>
      <c r="W7" s="15">
        <f>C7-D7</f>
        <v>-790</v>
      </c>
      <c r="X7" s="18"/>
      <c r="Y7" s="19"/>
      <c r="Z7" s="20">
        <v>8.996</v>
      </c>
    </row>
    <row r="8" ht="20.05" customHeight="1">
      <c r="B8" s="21">
        <v>2011</v>
      </c>
      <c r="C8" s="14">
        <v>84</v>
      </c>
      <c r="D8" s="15">
        <v>1125</v>
      </c>
      <c r="E8" s="15">
        <v>1552</v>
      </c>
      <c r="F8" s="15">
        <v>1195</v>
      </c>
      <c r="G8" s="15"/>
      <c r="H8" s="15">
        <v>-13</v>
      </c>
      <c r="I8" s="15">
        <v>1234</v>
      </c>
      <c r="J8" s="15">
        <f>73-42</f>
        <v>31</v>
      </c>
      <c r="K8" s="15">
        <v>-248</v>
      </c>
      <c r="L8" s="15">
        <f>218+42-M8</f>
        <v>265</v>
      </c>
      <c r="M8" s="15">
        <v>-5</v>
      </c>
      <c r="N8" s="15"/>
      <c r="O8" s="15"/>
      <c r="P8" s="17"/>
      <c r="Q8" s="16"/>
      <c r="R8" s="17"/>
      <c r="S8" s="17"/>
      <c r="T8" s="17"/>
      <c r="U8" s="17"/>
      <c r="V8" s="15"/>
      <c r="W8" s="15">
        <f>C8-D8</f>
        <v>-1041</v>
      </c>
      <c r="X8" s="18"/>
      <c r="Y8" s="19"/>
      <c r="Z8" s="20">
        <v>9.069000000000001</v>
      </c>
    </row>
    <row r="9" ht="20.05" customHeight="1">
      <c r="B9" s="21">
        <v>2012</v>
      </c>
      <c r="C9" s="14">
        <f>C41*$Z9</f>
        <v>58.758</v>
      </c>
      <c r="D9" s="15">
        <f>D41*$Z9</f>
        <v>1684.396</v>
      </c>
      <c r="E9" s="15">
        <f>E41*$Z9</f>
        <v>2144.667</v>
      </c>
      <c r="F9" s="15">
        <f>F41*$Z9</f>
        <v>1772.533</v>
      </c>
      <c r="G9" s="15"/>
      <c r="H9" s="15">
        <f>H41*$Z9</f>
        <v>-48.965</v>
      </c>
      <c r="I9" s="15">
        <f>I41*$Z9</f>
        <v>1459.157</v>
      </c>
      <c r="J9" s="15">
        <f>J41*$Z9</f>
        <v>68.551</v>
      </c>
      <c r="K9" s="15">
        <f>K41*$Z9</f>
        <v>-137.102</v>
      </c>
      <c r="L9" s="15">
        <f>L41*$Z9</f>
        <v>58.758</v>
      </c>
      <c r="M9" s="15">
        <f>M41*$Z9</f>
        <v>-19.586</v>
      </c>
      <c r="N9" s="15"/>
      <c r="O9" s="15"/>
      <c r="P9" s="17"/>
      <c r="Q9" s="16"/>
      <c r="R9" s="17"/>
      <c r="S9" s="17"/>
      <c r="T9" s="17"/>
      <c r="U9" s="17"/>
      <c r="V9" s="15"/>
      <c r="W9" s="15">
        <f>C9-D9</f>
        <v>-1625.638</v>
      </c>
      <c r="X9" s="18"/>
      <c r="Y9" s="19"/>
      <c r="Z9" s="20">
        <v>9.792999999999999</v>
      </c>
    </row>
    <row r="10" ht="20.05" customHeight="1">
      <c r="B10" s="21">
        <v>2013</v>
      </c>
      <c r="C10" s="14">
        <f>C42*$Z10</f>
        <v>73.026</v>
      </c>
      <c r="D10" s="15">
        <f>D42*$Z10</f>
        <v>2251.635</v>
      </c>
      <c r="E10" s="15">
        <f>E42*$Z10</f>
        <v>2787.159</v>
      </c>
      <c r="F10" s="15">
        <f>F42*$Z10</f>
        <v>2422.029</v>
      </c>
      <c r="G10" s="15"/>
      <c r="H10" s="15">
        <f>H42*$Z10</f>
        <v>-24.342</v>
      </c>
      <c r="I10" s="15">
        <f>I42*$Z10</f>
        <v>2507.226</v>
      </c>
      <c r="J10" s="15">
        <f>J42*$Z10</f>
        <v>-109.539</v>
      </c>
      <c r="K10" s="15">
        <f>K42*$Z10</f>
        <v>-231.249</v>
      </c>
      <c r="L10" s="15">
        <f>L42*$Z10</f>
        <v>352.959</v>
      </c>
      <c r="M10" s="15">
        <f>M42*$Z10</f>
        <v>-12.171</v>
      </c>
      <c r="N10" s="15"/>
      <c r="O10" s="15"/>
      <c r="P10" s="17"/>
      <c r="Q10" s="16"/>
      <c r="R10" s="17"/>
      <c r="S10" s="17"/>
      <c r="T10" s="17"/>
      <c r="U10" s="17"/>
      <c r="V10" s="15"/>
      <c r="W10" s="15">
        <f>C10-D10</f>
        <v>-2178.609</v>
      </c>
      <c r="X10" s="18"/>
      <c r="Y10" s="19"/>
      <c r="Z10" s="20">
        <v>12.171</v>
      </c>
    </row>
    <row r="11" ht="20.05" customHeight="1">
      <c r="B11" s="21">
        <v>2014</v>
      </c>
      <c r="C11" s="14">
        <f>C43*$Z11</f>
        <v>247.76</v>
      </c>
      <c r="D11" s="15">
        <f>D43*$Z11</f>
        <v>2551.928</v>
      </c>
      <c r="E11" s="15">
        <f>E43*$Z11</f>
        <v>2997.896</v>
      </c>
      <c r="F11" s="15">
        <f>F43*$Z11</f>
        <v>2267.004</v>
      </c>
      <c r="G11" s="15"/>
      <c r="H11" s="15">
        <f>H43*$Z11</f>
        <v>-86.71599999999999</v>
      </c>
      <c r="I11" s="15">
        <f>I43*$Z11</f>
        <v>2452.824</v>
      </c>
      <c r="J11" s="15">
        <f>J43*$Z11</f>
        <v>210.596</v>
      </c>
      <c r="K11" s="15">
        <f>K43*$Z11</f>
        <v>-247.76</v>
      </c>
      <c r="L11" s="15">
        <f>L43*$Z11</f>
        <v>213.0736</v>
      </c>
      <c r="M11" s="15">
        <f>M43*$Z11</f>
        <v>-2.4776</v>
      </c>
      <c r="N11" s="15"/>
      <c r="O11" s="15"/>
      <c r="P11" s="17"/>
      <c r="Q11" s="16"/>
      <c r="R11" s="17"/>
      <c r="S11" s="17"/>
      <c r="T11" s="17"/>
      <c r="U11" s="17"/>
      <c r="V11" s="15"/>
      <c r="W11" s="15">
        <f>C11-D11</f>
        <v>-2304.168</v>
      </c>
      <c r="X11" s="18"/>
      <c r="Y11" s="19"/>
      <c r="Z11" s="20">
        <v>12.388</v>
      </c>
    </row>
    <row r="12" ht="20.05" customHeight="1">
      <c r="B12" s="21">
        <v>2015</v>
      </c>
      <c r="C12" s="14">
        <f>C44*$Z12</f>
        <v>55.152</v>
      </c>
      <c r="D12" s="15">
        <f>D44*$Z12</f>
        <v>2302.596</v>
      </c>
      <c r="E12" s="15">
        <f>E44*$Z12</f>
        <v>2578.356</v>
      </c>
      <c r="F12" s="15">
        <f>F44*$Z12</f>
        <v>2219.868</v>
      </c>
      <c r="G12" s="15"/>
      <c r="H12" s="15">
        <f>H44*$Z12</f>
        <v>-248.184</v>
      </c>
      <c r="I12" s="15">
        <f>I44*$Z12</f>
        <v>2495.628</v>
      </c>
      <c r="J12" s="15">
        <f>J44*$Z12</f>
        <v>82.72799999999999</v>
      </c>
      <c r="K12" s="15">
        <f>K44*$Z12</f>
        <v>-5.5152</v>
      </c>
      <c r="L12" s="15">
        <f>L44*$Z12</f>
        <v>-289.548</v>
      </c>
      <c r="M12" s="15">
        <f>M44*$Z12</f>
        <v>0</v>
      </c>
      <c r="N12" s="15"/>
      <c r="O12" s="15"/>
      <c r="P12" s="17"/>
      <c r="Q12" s="16"/>
      <c r="R12" s="17"/>
      <c r="S12" s="17"/>
      <c r="T12" s="17"/>
      <c r="U12" s="17"/>
      <c r="V12" s="15"/>
      <c r="W12" s="15">
        <f>C12-D12</f>
        <v>-2247.444</v>
      </c>
      <c r="X12" s="18"/>
      <c r="Y12" s="19"/>
      <c r="Z12" s="20">
        <v>13.788</v>
      </c>
    </row>
    <row r="13" ht="20.05" customHeight="1">
      <c r="B13" s="21">
        <v>2016</v>
      </c>
      <c r="C13" s="14">
        <f>C45*$Z13</f>
        <v>53.892</v>
      </c>
      <c r="D13" s="15">
        <f>D45*$Z13</f>
        <v>2115.261</v>
      </c>
      <c r="E13" s="15">
        <f>E45*$Z13</f>
        <v>2263.464</v>
      </c>
      <c r="F13" s="15">
        <f>F45*$Z13</f>
        <v>1360.773</v>
      </c>
      <c r="G13" s="15"/>
      <c r="H13" s="15">
        <f>H45*$Z13</f>
        <v>-121.257</v>
      </c>
      <c r="I13" s="15">
        <f>I45*$Z13</f>
        <v>1508.976</v>
      </c>
      <c r="J13" s="15">
        <f>J45*$Z13</f>
        <v>148.203</v>
      </c>
      <c r="K13" s="15">
        <f>K45*$Z13</f>
        <v>-20.2095</v>
      </c>
      <c r="L13" s="15">
        <f>L45*$Z13</f>
        <v>-121.257</v>
      </c>
      <c r="M13" s="15">
        <f>M45*$Z13</f>
        <v>0</v>
      </c>
      <c r="N13" s="15"/>
      <c r="O13" s="15"/>
      <c r="P13" s="17"/>
      <c r="Q13" s="16"/>
      <c r="R13" s="17"/>
      <c r="S13" s="17"/>
      <c r="T13" s="17"/>
      <c r="U13" s="17"/>
      <c r="V13" s="15"/>
      <c r="W13" s="15">
        <f>C13-D13</f>
        <v>-2061.369</v>
      </c>
      <c r="X13" s="18"/>
      <c r="Y13" s="19"/>
      <c r="Z13" s="20">
        <v>13.473</v>
      </c>
    </row>
    <row r="14" ht="20.05" customHeight="1">
      <c r="B14" s="21">
        <v>2017</v>
      </c>
      <c r="C14" s="14">
        <f>C46*$Z14</f>
        <v>66.5</v>
      </c>
      <c r="D14" s="15">
        <f>D46*$Z14</f>
        <v>2234.4</v>
      </c>
      <c r="E14" s="15">
        <f>E46*$Z14</f>
        <v>2500.4</v>
      </c>
      <c r="F14" s="15">
        <f>(F46/4)*$Z14</f>
        <v>349.125</v>
      </c>
      <c r="G14" s="15">
        <f>(G46/4)*$Z14</f>
        <v>23.275</v>
      </c>
      <c r="H14" s="15">
        <f>(H46/4)*$Z14</f>
        <v>33.25</v>
      </c>
      <c r="I14" s="15">
        <f>(I46/4)*$Z14</f>
        <v>362.425</v>
      </c>
      <c r="J14" s="15">
        <f>(J46/4)*$Z14</f>
        <v>6.65</v>
      </c>
      <c r="K14" s="15">
        <f>(K46/4)*$Z14</f>
        <v>-9.975</v>
      </c>
      <c r="L14" s="15">
        <f>(L46/4)*$Z14</f>
        <v>6.65</v>
      </c>
      <c r="M14" s="15">
        <f>(M46/4)*$Z14</f>
        <v>0</v>
      </c>
      <c r="N14" s="15"/>
      <c r="O14" s="15"/>
      <c r="P14" s="17"/>
      <c r="Q14" s="16">
        <f>J14/I14</f>
        <v>0.018348623853211</v>
      </c>
      <c r="R14" s="17"/>
      <c r="S14" s="17"/>
      <c r="T14" s="15">
        <f>J14+K14</f>
        <v>-3.325</v>
      </c>
      <c r="U14" s="15">
        <f>-(L14+M14)</f>
        <v>-6.65</v>
      </c>
      <c r="V14" s="15">
        <v>176.5929984</v>
      </c>
      <c r="W14" s="15">
        <f>C14-D14</f>
        <v>-2167.9</v>
      </c>
      <c r="X14" s="18"/>
      <c r="Y14" s="19"/>
      <c r="Z14" s="20">
        <v>13.3</v>
      </c>
    </row>
    <row r="15" ht="20.05" customHeight="1">
      <c r="B15" s="13"/>
      <c r="C15" s="14">
        <f>C14</f>
        <v>66.5</v>
      </c>
      <c r="D15" s="15">
        <f>D14</f>
        <v>2234.4</v>
      </c>
      <c r="E15" s="15">
        <f>E14</f>
        <v>2500.4</v>
      </c>
      <c r="F15" s="15">
        <f>F14</f>
        <v>349.125</v>
      </c>
      <c r="G15" s="15">
        <f>G14</f>
        <v>23.275</v>
      </c>
      <c r="H15" s="15">
        <f>H14</f>
        <v>33.25</v>
      </c>
      <c r="I15" s="15">
        <f>I14</f>
        <v>362.425</v>
      </c>
      <c r="J15" s="15">
        <f>J14</f>
        <v>6.65</v>
      </c>
      <c r="K15" s="15">
        <f>K14</f>
        <v>-9.975</v>
      </c>
      <c r="L15" s="15">
        <f>L14</f>
        <v>6.65</v>
      </c>
      <c r="M15" s="15">
        <f>M14</f>
        <v>0</v>
      </c>
      <c r="N15" s="15"/>
      <c r="O15" s="15"/>
      <c r="P15" s="16"/>
      <c r="Q15" s="16">
        <f>J15/I15</f>
        <v>0.018348623853211</v>
      </c>
      <c r="R15" s="17"/>
      <c r="S15" s="17"/>
      <c r="T15" s="15">
        <f>J15+K15+T14</f>
        <v>-6.65</v>
      </c>
      <c r="U15" s="15">
        <f>-(L15+M15)+U14</f>
        <v>-13.3</v>
      </c>
      <c r="V15" s="15">
        <f>V14</f>
        <v>176.5929984</v>
      </c>
      <c r="W15" s="15">
        <f>C15-D15</f>
        <v>-2167.9</v>
      </c>
      <c r="X15" s="18"/>
      <c r="Y15" s="19"/>
      <c r="Z15" s="20">
        <v>13.327</v>
      </c>
    </row>
    <row r="16" ht="20.05" customHeight="1">
      <c r="B16" s="13"/>
      <c r="C16" s="14">
        <f>C15</f>
        <v>66.5</v>
      </c>
      <c r="D16" s="15">
        <f>D15</f>
        <v>2234.4</v>
      </c>
      <c r="E16" s="15">
        <f>E15</f>
        <v>2500.4</v>
      </c>
      <c r="F16" s="15">
        <f>F15</f>
        <v>349.125</v>
      </c>
      <c r="G16" s="15">
        <f>G15</f>
        <v>23.275</v>
      </c>
      <c r="H16" s="15">
        <f>H15</f>
        <v>33.25</v>
      </c>
      <c r="I16" s="15">
        <f>I15</f>
        <v>362.425</v>
      </c>
      <c r="J16" s="15">
        <f>J15</f>
        <v>6.65</v>
      </c>
      <c r="K16" s="15">
        <f>K15</f>
        <v>-9.975</v>
      </c>
      <c r="L16" s="15">
        <f>L15</f>
        <v>6.65</v>
      </c>
      <c r="M16" s="15">
        <f>M15</f>
        <v>0</v>
      </c>
      <c r="N16" s="15"/>
      <c r="O16" s="15"/>
      <c r="P16" s="16"/>
      <c r="Q16" s="16">
        <f>J16/I16</f>
        <v>0.018348623853211</v>
      </c>
      <c r="R16" s="17"/>
      <c r="S16" s="17"/>
      <c r="T16" s="15">
        <f>J16+K16+T15</f>
        <v>-9.975</v>
      </c>
      <c r="U16" s="15">
        <f>-(L16+M16)+U15</f>
        <v>-19.95</v>
      </c>
      <c r="V16" s="15">
        <f>V15</f>
        <v>176.5929984</v>
      </c>
      <c r="W16" s="15">
        <f>C16-D16</f>
        <v>-2167.9</v>
      </c>
      <c r="X16" s="18"/>
      <c r="Y16" s="19"/>
      <c r="Z16" s="20">
        <v>13.305</v>
      </c>
    </row>
    <row r="17" ht="20.05" customHeight="1">
      <c r="B17" s="13"/>
      <c r="C17" s="14">
        <f>C16</f>
        <v>66.5</v>
      </c>
      <c r="D17" s="15">
        <f>D16</f>
        <v>2234.4</v>
      </c>
      <c r="E17" s="15">
        <f>E16</f>
        <v>2500.4</v>
      </c>
      <c r="F17" s="15">
        <f>F16</f>
        <v>349.125</v>
      </c>
      <c r="G17" s="15">
        <f>G16</f>
        <v>23.275</v>
      </c>
      <c r="H17" s="15">
        <f>H16</f>
        <v>33.25</v>
      </c>
      <c r="I17" s="15">
        <f>I16</f>
        <v>362.425</v>
      </c>
      <c r="J17" s="15">
        <f>J16</f>
        <v>6.65</v>
      </c>
      <c r="K17" s="15">
        <f>K16</f>
        <v>-9.975</v>
      </c>
      <c r="L17" s="15">
        <f>L16</f>
        <v>6.65</v>
      </c>
      <c r="M17" s="15">
        <f>M16</f>
        <v>0</v>
      </c>
      <c r="N17" s="15"/>
      <c r="O17" s="15"/>
      <c r="P17" s="16"/>
      <c r="Q17" s="16">
        <f>J17/I17</f>
        <v>0.018348623853211</v>
      </c>
      <c r="R17" s="17"/>
      <c r="S17" s="17"/>
      <c r="T17" s="15">
        <f>J17+K17+T16</f>
        <v>-13.3</v>
      </c>
      <c r="U17" s="15">
        <f>-(L17+M17)+U16</f>
        <v>-26.6</v>
      </c>
      <c r="V17" s="15">
        <f>V16</f>
        <v>176.5929984</v>
      </c>
      <c r="W17" s="15">
        <f>C17-D17</f>
        <v>-2167.9</v>
      </c>
      <c r="X17" s="18"/>
      <c r="Y17" s="19"/>
      <c r="Z17" s="20">
        <v>13.557</v>
      </c>
    </row>
    <row r="18" ht="20.05" customHeight="1">
      <c r="B18" s="21">
        <v>2018</v>
      </c>
      <c r="C18" s="14">
        <f>C47*$Z18</f>
        <v>82.566</v>
      </c>
      <c r="D18" s="15">
        <f>D47*$Z18</f>
        <v>2394.414</v>
      </c>
      <c r="E18" s="15">
        <f>E47*$Z18</f>
        <v>2587.068</v>
      </c>
      <c r="F18" s="15">
        <f>(F47/4)*$Z18</f>
        <v>474.7545</v>
      </c>
      <c r="G18" s="15">
        <f>(G47/4)*$Z18</f>
        <v>20.6415</v>
      </c>
      <c r="H18" s="15">
        <f>(H47/4)*$Z18</f>
        <v>-24.08175</v>
      </c>
      <c r="I18" s="15">
        <f>(I47/4)*$Z18</f>
        <v>460.9935</v>
      </c>
      <c r="J18" s="15">
        <f>(J47/4)*$Z18</f>
        <v>-20.6415</v>
      </c>
      <c r="K18" s="15">
        <f>(K47/4)*$Z18</f>
        <v>-6.8805</v>
      </c>
      <c r="L18" s="15">
        <f>(L47/4)*$Z18</f>
        <v>27.522</v>
      </c>
      <c r="M18" s="15">
        <f>(M47/4)*$Z18</f>
        <v>0</v>
      </c>
      <c r="N18" s="15">
        <f>SUM(F15:F18)/4</f>
        <v>380.532375</v>
      </c>
      <c r="O18" s="15"/>
      <c r="P18" s="16"/>
      <c r="Q18" s="16">
        <f>J18/I18</f>
        <v>-0.0447761194029851</v>
      </c>
      <c r="R18" s="16">
        <f>AVERAGE(Q15:Q18)</f>
        <v>0.00256743803916198</v>
      </c>
      <c r="S18" s="15">
        <f>SUM(J15:K18)/4</f>
        <v>-9.37425</v>
      </c>
      <c r="T18" s="15">
        <f>J18+K18+T17</f>
        <v>-40.822</v>
      </c>
      <c r="U18" s="15">
        <f>-(L18+M18)+U17</f>
        <v>-54.122</v>
      </c>
      <c r="V18" s="15">
        <f>V17</f>
        <v>176.5929984</v>
      </c>
      <c r="W18" s="15">
        <f>C18-D18</f>
        <v>-2311.848</v>
      </c>
      <c r="X18" s="18"/>
      <c r="Y18" s="22"/>
      <c r="Z18" s="20">
        <v>13.761</v>
      </c>
    </row>
    <row r="19" ht="20.05" customHeight="1">
      <c r="B19" s="13"/>
      <c r="C19" s="14">
        <f>C18</f>
        <v>82.566</v>
      </c>
      <c r="D19" s="15">
        <f>D18</f>
        <v>2394.414</v>
      </c>
      <c r="E19" s="15">
        <f>E18</f>
        <v>2587.068</v>
      </c>
      <c r="F19" s="15">
        <f>F18</f>
        <v>474.7545</v>
      </c>
      <c r="G19" s="15">
        <f>G18</f>
        <v>20.6415</v>
      </c>
      <c r="H19" s="15">
        <f>H18</f>
        <v>-24.08175</v>
      </c>
      <c r="I19" s="15">
        <f>I18</f>
        <v>460.9935</v>
      </c>
      <c r="J19" s="15">
        <f>J18</f>
        <v>-20.6415</v>
      </c>
      <c r="K19" s="15">
        <f>K18</f>
        <v>-6.8805</v>
      </c>
      <c r="L19" s="15">
        <f>L18</f>
        <v>27.522</v>
      </c>
      <c r="M19" s="15">
        <f>M18</f>
        <v>0</v>
      </c>
      <c r="N19" s="15">
        <f>SUM(F16:F19)/4</f>
        <v>411.93975</v>
      </c>
      <c r="O19" s="15"/>
      <c r="P19" s="16"/>
      <c r="Q19" s="16">
        <f>J19/I19</f>
        <v>-0.0447761194029851</v>
      </c>
      <c r="R19" s="16">
        <f>AVERAGE(Q16:Q19)</f>
        <v>-0.0132137477748871</v>
      </c>
      <c r="S19" s="15">
        <f>SUM(J16:K19)/4</f>
        <v>-15.4235</v>
      </c>
      <c r="T19" s="15">
        <f>J19+K19+T18</f>
        <v>-68.34399999999999</v>
      </c>
      <c r="U19" s="15">
        <f>-(L19+M19)+U18</f>
        <v>-81.64400000000001</v>
      </c>
      <c r="V19" s="15">
        <f>V18</f>
        <v>176.5929984</v>
      </c>
      <c r="W19" s="15">
        <f>C23-D19</f>
        <v>-2323.214</v>
      </c>
      <c r="X19" s="18"/>
      <c r="Y19" s="22"/>
      <c r="Z19" s="20">
        <v>14</v>
      </c>
    </row>
    <row r="20" ht="20.05" customHeight="1">
      <c r="B20" s="13"/>
      <c r="C20" s="14">
        <f>C19</f>
        <v>82.566</v>
      </c>
      <c r="D20" s="15">
        <f>D19</f>
        <v>2394.414</v>
      </c>
      <c r="E20" s="15">
        <f>E19</f>
        <v>2587.068</v>
      </c>
      <c r="F20" s="15">
        <f>F19</f>
        <v>474.7545</v>
      </c>
      <c r="G20" s="15">
        <f>G19</f>
        <v>20.6415</v>
      </c>
      <c r="H20" s="15">
        <f>H19</f>
        <v>-24.08175</v>
      </c>
      <c r="I20" s="15">
        <f>I19</f>
        <v>460.9935</v>
      </c>
      <c r="J20" s="15">
        <f>J19</f>
        <v>-20.6415</v>
      </c>
      <c r="K20" s="15">
        <f>K19</f>
        <v>-6.8805</v>
      </c>
      <c r="L20" s="15">
        <f>L19</f>
        <v>27.522</v>
      </c>
      <c r="M20" s="15">
        <f>M19</f>
        <v>0</v>
      </c>
      <c r="N20" s="15">
        <f>SUM(F17:F20)/4</f>
        <v>443.347125</v>
      </c>
      <c r="O20" s="15"/>
      <c r="P20" s="16"/>
      <c r="Q20" s="16">
        <f>J20/I20</f>
        <v>-0.0447761194029851</v>
      </c>
      <c r="R20" s="16">
        <f>AVERAGE(Q17:Q20)</f>
        <v>-0.0289949335889361</v>
      </c>
      <c r="S20" s="15">
        <f>SUM(J17:K20)/4</f>
        <v>-21.47275</v>
      </c>
      <c r="T20" s="15">
        <f>J20+K20+T19</f>
        <v>-95.866</v>
      </c>
      <c r="U20" s="15">
        <f>-(L20+M20)+U19</f>
        <v>-109.166</v>
      </c>
      <c r="V20" s="15">
        <f>V19</f>
        <v>176.5929984</v>
      </c>
      <c r="W20" s="15">
        <f>C20-D20</f>
        <v>-2311.848</v>
      </c>
      <c r="X20" s="18"/>
      <c r="Y20" s="22"/>
      <c r="Z20" s="20">
        <v>14.902</v>
      </c>
    </row>
    <row r="21" ht="20.05" customHeight="1">
      <c r="B21" s="13"/>
      <c r="C21" s="14">
        <f>C20</f>
        <v>82.566</v>
      </c>
      <c r="D21" s="15">
        <f>D20</f>
        <v>2394.414</v>
      </c>
      <c r="E21" s="15">
        <f>E20</f>
        <v>2587.068</v>
      </c>
      <c r="F21" s="15">
        <f>F20</f>
        <v>474.7545</v>
      </c>
      <c r="G21" s="15">
        <f>G20</f>
        <v>20.6415</v>
      </c>
      <c r="H21" s="15">
        <f>H20</f>
        <v>-24.08175</v>
      </c>
      <c r="I21" s="15">
        <f>I20</f>
        <v>460.9935</v>
      </c>
      <c r="J21" s="15">
        <f>J20</f>
        <v>-20.6415</v>
      </c>
      <c r="K21" s="15">
        <f>K20</f>
        <v>-6.8805</v>
      </c>
      <c r="L21" s="15">
        <f>L20</f>
        <v>27.522</v>
      </c>
      <c r="M21" s="15">
        <f>M20</f>
        <v>0</v>
      </c>
      <c r="N21" s="15">
        <f>SUM(F18:F21)/4</f>
        <v>474.7545</v>
      </c>
      <c r="O21" s="15"/>
      <c r="P21" s="16"/>
      <c r="Q21" s="16">
        <f>J21/I21</f>
        <v>-0.0447761194029851</v>
      </c>
      <c r="R21" s="16">
        <f>AVERAGE(Q18:Q21)</f>
        <v>-0.0447761194029851</v>
      </c>
      <c r="S21" s="15">
        <f>SUM(J18:K21)/4</f>
        <v>-27.522</v>
      </c>
      <c r="T21" s="15">
        <f>J21+K21+T20</f>
        <v>-123.388</v>
      </c>
      <c r="U21" s="15">
        <f>-(L21+M21)+U20</f>
        <v>-136.688</v>
      </c>
      <c r="V21" s="15">
        <f>V20</f>
        <v>176.5929984</v>
      </c>
      <c r="W21" s="15">
        <f>C21-D21</f>
        <v>-2311.848</v>
      </c>
      <c r="X21" s="18"/>
      <c r="Y21" s="22"/>
      <c r="Z21" s="20">
        <v>14.38</v>
      </c>
    </row>
    <row r="22" ht="20.05" customHeight="1">
      <c r="B22" s="21">
        <v>2019</v>
      </c>
      <c r="C22" s="14">
        <f>C48*$Z22</f>
        <v>71.2</v>
      </c>
      <c r="D22" s="15">
        <f>D48*$Z22</f>
        <v>2548.96</v>
      </c>
      <c r="E22" s="15">
        <f>E48*$Z22</f>
        <v>2734.08</v>
      </c>
      <c r="F22" s="15">
        <f>(F48/4)*$Z22</f>
        <v>576.72</v>
      </c>
      <c r="G22" s="15">
        <f>(G48/4)*$Z22</f>
        <v>22.784</v>
      </c>
      <c r="H22" s="15">
        <f>(H48/4)*$Z22</f>
        <v>3.56</v>
      </c>
      <c r="I22" s="15">
        <f>(I48/4)*$Z22</f>
        <v>558.92</v>
      </c>
      <c r="J22" s="15">
        <f>(J48/4)*$Z22</f>
        <v>14.24</v>
      </c>
      <c r="K22" s="15">
        <f>(K48/4)*$Z22</f>
        <v>-10.68</v>
      </c>
      <c r="L22" s="15">
        <f>(L48/4)*$Z22</f>
        <v>-7.12</v>
      </c>
      <c r="M22" s="15">
        <f>(M48/4)*$Z22</f>
        <v>0</v>
      </c>
      <c r="N22" s="15">
        <f>SUM(F19:F22)/4</f>
        <v>500.245875</v>
      </c>
      <c r="O22" s="23"/>
      <c r="P22" s="16"/>
      <c r="Q22" s="16">
        <f>J22/I22</f>
        <v>0.0254777070063694</v>
      </c>
      <c r="R22" s="16">
        <f>AVERAGE(Q19:Q22)</f>
        <v>-0.0272126628006465</v>
      </c>
      <c r="S22" s="15">
        <f>SUM(J19:K22)/4</f>
        <v>-19.7515</v>
      </c>
      <c r="T22" s="15">
        <f>J22+K22+T21</f>
        <v>-119.828</v>
      </c>
      <c r="U22" s="15">
        <f>-(L22+M22)+U21</f>
        <v>-129.568</v>
      </c>
      <c r="V22" s="15">
        <f>V21</f>
        <v>176.5929984</v>
      </c>
      <c r="W22" s="15">
        <f>C22-D22</f>
        <v>-2477.76</v>
      </c>
      <c r="X22" s="18"/>
      <c r="Y22" s="22"/>
      <c r="Z22" s="20">
        <v>14.24</v>
      </c>
    </row>
    <row r="23" ht="20.05" customHeight="1">
      <c r="B23" s="13"/>
      <c r="C23" s="14">
        <f>C22</f>
        <v>71.2</v>
      </c>
      <c r="D23" s="15">
        <f>D22</f>
        <v>2548.96</v>
      </c>
      <c r="E23" s="15">
        <f>E22</f>
        <v>2734.08</v>
      </c>
      <c r="F23" s="15">
        <f>F22</f>
        <v>576.72</v>
      </c>
      <c r="G23" s="15">
        <f>G22</f>
        <v>22.784</v>
      </c>
      <c r="H23" s="15">
        <f>H22</f>
        <v>3.56</v>
      </c>
      <c r="I23" s="15">
        <f>I22</f>
        <v>558.92</v>
      </c>
      <c r="J23" s="15">
        <f>J22</f>
        <v>14.24</v>
      </c>
      <c r="K23" s="15">
        <f>K22</f>
        <v>-10.68</v>
      </c>
      <c r="L23" s="15">
        <f>L22</f>
        <v>-7.12</v>
      </c>
      <c r="M23" s="15">
        <f>M22</f>
        <v>0</v>
      </c>
      <c r="N23" s="15">
        <f>SUM(F20:F23)/4</f>
        <v>525.73725</v>
      </c>
      <c r="O23" s="23"/>
      <c r="P23" s="16"/>
      <c r="Q23" s="16">
        <f>J23/I23</f>
        <v>0.0254777070063694</v>
      </c>
      <c r="R23" s="16">
        <f>AVERAGE(Q20:Q23)</f>
        <v>-0.00964920619830785</v>
      </c>
      <c r="S23" s="15">
        <f>SUM(J20:K23)/4</f>
        <v>-11.981</v>
      </c>
      <c r="T23" s="15">
        <f>J23+K23+T22</f>
        <v>-116.268</v>
      </c>
      <c r="U23" s="15">
        <f>-(L23+M23)+U22</f>
        <v>-122.448</v>
      </c>
      <c r="V23" s="15">
        <f>V22</f>
        <v>176.5929984</v>
      </c>
      <c r="W23" s="15">
        <f>C23-D23</f>
        <v>-2477.76</v>
      </c>
      <c r="X23" s="18"/>
      <c r="Y23" s="24"/>
      <c r="Z23" s="15">
        <v>14.127</v>
      </c>
    </row>
    <row r="24" ht="20.05" customHeight="1">
      <c r="B24" s="13"/>
      <c r="C24" s="14">
        <f>C23</f>
        <v>71.2</v>
      </c>
      <c r="D24" s="15">
        <f>D23</f>
        <v>2548.96</v>
      </c>
      <c r="E24" s="15">
        <f>E23</f>
        <v>2734.08</v>
      </c>
      <c r="F24" s="15">
        <f>F23</f>
        <v>576.72</v>
      </c>
      <c r="G24" s="15">
        <f>G23</f>
        <v>22.784</v>
      </c>
      <c r="H24" s="15">
        <f>H23</f>
        <v>3.56</v>
      </c>
      <c r="I24" s="15">
        <f>I23</f>
        <v>558.92</v>
      </c>
      <c r="J24" s="15">
        <f>J23</f>
        <v>14.24</v>
      </c>
      <c r="K24" s="15">
        <f>K23</f>
        <v>-10.68</v>
      </c>
      <c r="L24" s="15">
        <f>L23</f>
        <v>-7.12</v>
      </c>
      <c r="M24" s="15">
        <f>M23</f>
        <v>0</v>
      </c>
      <c r="N24" s="15">
        <f>SUM(F21:F24)/4</f>
        <v>551.228625</v>
      </c>
      <c r="O24" s="23"/>
      <c r="P24" s="16"/>
      <c r="Q24" s="16">
        <f>J24/I24</f>
        <v>0.0254777070063694</v>
      </c>
      <c r="R24" s="16">
        <f>AVERAGE(Q21:Q24)</f>
        <v>0.00791425040403078</v>
      </c>
      <c r="S24" s="15">
        <f>SUM(J21:K24)/4</f>
        <v>-4.2105</v>
      </c>
      <c r="T24" s="15">
        <f>J24+K24+T23</f>
        <v>-112.708</v>
      </c>
      <c r="U24" s="15">
        <f>-(L24+M24)+U23</f>
        <v>-115.328</v>
      </c>
      <c r="V24" s="15">
        <f>V23</f>
        <v>176.5929984</v>
      </c>
      <c r="W24" s="15">
        <f>C24-D24</f>
        <v>-2477.76</v>
      </c>
      <c r="X24" s="18"/>
      <c r="Y24" s="24"/>
      <c r="Z24" s="15">
        <v>14.195</v>
      </c>
    </row>
    <row r="25" ht="20.05" customHeight="1">
      <c r="B25" s="13"/>
      <c r="C25" s="14">
        <f>C24</f>
        <v>71.2</v>
      </c>
      <c r="D25" s="15">
        <f>D24</f>
        <v>2548.96</v>
      </c>
      <c r="E25" s="15">
        <f>E24</f>
        <v>2734.08</v>
      </c>
      <c r="F25" s="15">
        <f>F24</f>
        <v>576.72</v>
      </c>
      <c r="G25" s="15">
        <f>G24</f>
        <v>22.784</v>
      </c>
      <c r="H25" s="15">
        <f>H24</f>
        <v>3.56</v>
      </c>
      <c r="I25" s="15">
        <f>I24</f>
        <v>558.92</v>
      </c>
      <c r="J25" s="15">
        <f>J24</f>
        <v>14.24</v>
      </c>
      <c r="K25" s="15">
        <f>K24</f>
        <v>-10.68</v>
      </c>
      <c r="L25" s="15">
        <f>L24</f>
        <v>-7.12</v>
      </c>
      <c r="M25" s="15">
        <f>M24</f>
        <v>0</v>
      </c>
      <c r="N25" s="15">
        <f>SUM(F22:F25)/4</f>
        <v>576.72</v>
      </c>
      <c r="O25" s="15"/>
      <c r="P25" s="16"/>
      <c r="Q25" s="16">
        <f>J25/I25</f>
        <v>0.0254777070063694</v>
      </c>
      <c r="R25" s="16">
        <f>AVERAGE(Q22:Q25)</f>
        <v>0.0254777070063694</v>
      </c>
      <c r="S25" s="15">
        <f>SUM(J22:K25)/4</f>
        <v>3.56</v>
      </c>
      <c r="T25" s="15">
        <f>J25+K25+T24</f>
        <v>-109.148</v>
      </c>
      <c r="U25" s="15">
        <f>-(L25+M25)+U24</f>
        <v>-108.208</v>
      </c>
      <c r="V25" s="15">
        <f>V24</f>
        <v>176.5929984</v>
      </c>
      <c r="W25" s="15">
        <f>C25-D25</f>
        <v>-2477.76</v>
      </c>
      <c r="X25" s="18"/>
      <c r="Y25" s="24"/>
      <c r="Z25" s="15">
        <v>13.882</v>
      </c>
    </row>
    <row r="26" ht="20.05" customHeight="1">
      <c r="B26" s="21">
        <v>2020</v>
      </c>
      <c r="C26" s="14">
        <f>C49*$Z26</f>
        <v>58.716</v>
      </c>
      <c r="D26" s="15">
        <f>D49*$Z26</f>
        <v>2740.08</v>
      </c>
      <c r="E26" s="15">
        <f>E49*$Z26</f>
        <v>2789.01</v>
      </c>
      <c r="F26" s="15">
        <f>(F49/4)*$Z26</f>
        <v>440.37</v>
      </c>
      <c r="G26" s="15">
        <f>(G49/4)*$Z26</f>
        <v>28.5425</v>
      </c>
      <c r="H26" s="15">
        <f>(H49/4)*$Z26</f>
        <v>-36.6975</v>
      </c>
      <c r="I26" s="15">
        <f>(I49/4)*$Z26</f>
        <v>444.4475</v>
      </c>
      <c r="J26" s="15">
        <f>(J49/4)*$Z26</f>
        <v>20.3875</v>
      </c>
      <c r="K26" s="15">
        <f>(K49/4)*$Z26</f>
        <v>-2.4465</v>
      </c>
      <c r="L26" s="15">
        <f>(L49/4)*$Z26</f>
        <v>-20.3875</v>
      </c>
      <c r="M26" s="15">
        <f>(M49/4)*$Z26</f>
        <v>0</v>
      </c>
      <c r="N26" s="15">
        <f>SUM(F23:F26)/4</f>
        <v>542.6325000000001</v>
      </c>
      <c r="O26" s="15"/>
      <c r="P26" s="16"/>
      <c r="Q26" s="16">
        <f>J26/I26</f>
        <v>0.0458715596330275</v>
      </c>
      <c r="R26" s="16">
        <f>AVERAGE(Q23:Q26)</f>
        <v>0.0305761701630339</v>
      </c>
      <c r="S26" s="15">
        <f>SUM(J23:K26)/4</f>
        <v>7.15525</v>
      </c>
      <c r="T26" s="15">
        <f>J26+K26+T25</f>
        <v>-91.20699999999999</v>
      </c>
      <c r="U26" s="15">
        <f>-(L26+M26)+U25</f>
        <v>-87.8205</v>
      </c>
      <c r="V26" s="15">
        <f>V25</f>
        <v>176.5929984</v>
      </c>
      <c r="W26" s="15">
        <f>C26-D26</f>
        <v>-2681.364</v>
      </c>
      <c r="X26" s="18"/>
      <c r="Y26" s="24"/>
      <c r="Z26" s="15">
        <v>16.31</v>
      </c>
    </row>
    <row r="27" ht="20.05" customHeight="1">
      <c r="B27" s="13"/>
      <c r="C27" s="14">
        <f>C26</f>
        <v>58.716</v>
      </c>
      <c r="D27" s="15">
        <f>D26</f>
        <v>2740.08</v>
      </c>
      <c r="E27" s="15">
        <f>E26</f>
        <v>2789.01</v>
      </c>
      <c r="F27" s="15">
        <f>F26</f>
        <v>440.37</v>
      </c>
      <c r="G27" s="15">
        <f>G26</f>
        <v>28.5425</v>
      </c>
      <c r="H27" s="15">
        <f>H26</f>
        <v>-36.6975</v>
      </c>
      <c r="I27" s="15">
        <f>I26</f>
        <v>444.4475</v>
      </c>
      <c r="J27" s="15">
        <f>J26</f>
        <v>20.3875</v>
      </c>
      <c r="K27" s="15">
        <f>K26</f>
        <v>-2.4465</v>
      </c>
      <c r="L27" s="15">
        <f>L26</f>
        <v>-20.3875</v>
      </c>
      <c r="M27" s="15">
        <f>M26</f>
        <v>0</v>
      </c>
      <c r="N27" s="15">
        <f>SUM(F24:F27)/4</f>
        <v>508.545</v>
      </c>
      <c r="O27" s="15"/>
      <c r="P27" s="16"/>
      <c r="Q27" s="16">
        <f>J27/I27</f>
        <v>0.0458715596330275</v>
      </c>
      <c r="R27" s="16">
        <f>AVERAGE(Q24:Q27)</f>
        <v>0.0356746333196985</v>
      </c>
      <c r="S27" s="25">
        <f>SUM(J24:K27)/4</f>
        <v>10.7505</v>
      </c>
      <c r="T27" s="15">
        <f>J27+K27+T26</f>
        <v>-73.26600000000001</v>
      </c>
      <c r="U27" s="15">
        <f>-(L27+M27)+U26</f>
        <v>-67.43300000000001</v>
      </c>
      <c r="V27" s="15">
        <f>V26</f>
        <v>176.5929984</v>
      </c>
      <c r="W27" s="15">
        <f>C27-D27</f>
        <v>-2681.364</v>
      </c>
      <c r="X27" s="18"/>
      <c r="Y27" s="24"/>
      <c r="Z27" s="15">
        <v>14.255</v>
      </c>
    </row>
    <row r="28" ht="20.05" customHeight="1">
      <c r="B28" s="13"/>
      <c r="C28" s="14">
        <f>C27</f>
        <v>58.716</v>
      </c>
      <c r="D28" s="15">
        <f>D27</f>
        <v>2740.08</v>
      </c>
      <c r="E28" s="15">
        <f>E27</f>
        <v>2789.01</v>
      </c>
      <c r="F28" s="15">
        <f>F27</f>
        <v>440.37</v>
      </c>
      <c r="G28" s="15">
        <f>G27</f>
        <v>28.5425</v>
      </c>
      <c r="H28" s="15">
        <f>H27</f>
        <v>-36.6975</v>
      </c>
      <c r="I28" s="15">
        <f>I27</f>
        <v>444.4475</v>
      </c>
      <c r="J28" s="15">
        <f>J27</f>
        <v>20.3875</v>
      </c>
      <c r="K28" s="15">
        <f>K27</f>
        <v>-2.4465</v>
      </c>
      <c r="L28" s="15">
        <f>L27</f>
        <v>-20.3875</v>
      </c>
      <c r="M28" s="15">
        <f>M27</f>
        <v>0</v>
      </c>
      <c r="N28" s="15">
        <f>SUM(F25:F28)/4</f>
        <v>474.4575</v>
      </c>
      <c r="O28" s="15"/>
      <c r="P28" s="16"/>
      <c r="Q28" s="16">
        <f>J28/I28</f>
        <v>0.0458715596330275</v>
      </c>
      <c r="R28" s="16">
        <f>AVERAGE(Q25:Q28)</f>
        <v>0.040773096476363</v>
      </c>
      <c r="S28" s="25">
        <f>SUM(J25:K28)/4</f>
        <v>14.34575</v>
      </c>
      <c r="T28" s="15">
        <f>J28+K28+T27</f>
        <v>-55.325</v>
      </c>
      <c r="U28" s="15">
        <f>-(L28+M28)+U27</f>
        <v>-47.0455</v>
      </c>
      <c r="V28" s="15">
        <f>V27</f>
        <v>176.5929984</v>
      </c>
      <c r="W28" s="15">
        <f>C28-D28</f>
        <v>-2681.364</v>
      </c>
      <c r="X28" s="18"/>
      <c r="Y28" s="24"/>
      <c r="Z28" s="15">
        <v>14.79</v>
      </c>
    </row>
    <row r="29" ht="20.05" customHeight="1">
      <c r="B29" s="13"/>
      <c r="C29" s="14">
        <f>C28</f>
        <v>58.716</v>
      </c>
      <c r="D29" s="15">
        <f>D28</f>
        <v>2740.08</v>
      </c>
      <c r="E29" s="15">
        <f>E28</f>
        <v>2789.01</v>
      </c>
      <c r="F29" s="15">
        <f>F28</f>
        <v>440.37</v>
      </c>
      <c r="G29" s="15">
        <f>G28</f>
        <v>28.5425</v>
      </c>
      <c r="H29" s="15">
        <f>H28</f>
        <v>-36.6975</v>
      </c>
      <c r="I29" s="15">
        <f>I28</f>
        <v>444.4475</v>
      </c>
      <c r="J29" s="15">
        <f>J28</f>
        <v>20.3875</v>
      </c>
      <c r="K29" s="15">
        <f>K28</f>
        <v>-2.4465</v>
      </c>
      <c r="L29" s="15">
        <f>L28</f>
        <v>-20.3875</v>
      </c>
      <c r="M29" s="15">
        <f>M28</f>
        <v>0</v>
      </c>
      <c r="N29" s="15">
        <f>SUM(F26:F29)/4</f>
        <v>440.37</v>
      </c>
      <c r="O29" s="15"/>
      <c r="P29" s="16"/>
      <c r="Q29" s="16">
        <f>J29/I29</f>
        <v>0.0458715596330275</v>
      </c>
      <c r="R29" s="16">
        <f>AVERAGE(Q26:Q29)</f>
        <v>0.0458715596330275</v>
      </c>
      <c r="S29" s="25">
        <f>SUM(J26:K29)/4</f>
        <v>17.941</v>
      </c>
      <c r="T29" s="15">
        <f>J29+K29+T28</f>
        <v>-37.384</v>
      </c>
      <c r="U29" s="15">
        <f>-(L29+M29)+U28</f>
        <v>-26.658</v>
      </c>
      <c r="V29" s="15">
        <f>V28</f>
        <v>176.5929984</v>
      </c>
      <c r="W29" s="15">
        <f>C29-D29</f>
        <v>-2681.364</v>
      </c>
      <c r="X29" s="15"/>
      <c r="Y29" s="24"/>
      <c r="Z29" s="15">
        <v>14.1</v>
      </c>
    </row>
    <row r="30" ht="20.05" customHeight="1">
      <c r="B30" s="21">
        <v>2021</v>
      </c>
      <c r="C30" s="14">
        <f>C50*$Z30</f>
        <v>52.5816</v>
      </c>
      <c r="D30" s="15">
        <f>D50*$Z30</f>
        <v>2366.172</v>
      </c>
      <c r="E30" s="15">
        <f>E50*$Z30</f>
        <v>2409.99</v>
      </c>
      <c r="F30" s="15">
        <f>F50*$Z30</f>
        <v>321.332</v>
      </c>
      <c r="G30" s="15">
        <f>(G53/4)*Z30</f>
        <v>25.5605</v>
      </c>
      <c r="H30" s="15">
        <f>H50*$Z30</f>
        <v>-2.9212</v>
      </c>
      <c r="I30" s="15">
        <f>I50*$Z30</f>
        <v>335.938</v>
      </c>
      <c r="J30" s="15">
        <f>J50*$Z30</f>
        <v>67.1876</v>
      </c>
      <c r="K30" s="15">
        <f>K50*$Z30</f>
        <v>-4.3818</v>
      </c>
      <c r="L30" s="15">
        <f>L50*$Z30</f>
        <v>-43.818</v>
      </c>
      <c r="M30" s="15">
        <f>M50*$Z30</f>
        <v>0</v>
      </c>
      <c r="N30" s="15">
        <f>SUM(F27:F30)/4</f>
        <v>410.6105</v>
      </c>
      <c r="O30" s="15"/>
      <c r="P30" s="16"/>
      <c r="Q30" s="16">
        <f>J30/I30</f>
        <v>0.2</v>
      </c>
      <c r="R30" s="16">
        <f>AVERAGE(Q27:Q30)</f>
        <v>0.08440366972477061</v>
      </c>
      <c r="S30" s="25">
        <f>SUM(J27:K30)/4</f>
        <v>29.1572</v>
      </c>
      <c r="T30" s="15">
        <f>J30+K30+T29</f>
        <v>25.4218</v>
      </c>
      <c r="U30" s="15">
        <f>-(L30+M30)+U29</f>
        <v>17.16</v>
      </c>
      <c r="V30" s="15">
        <f>V29</f>
        <v>176.5929984</v>
      </c>
      <c r="W30" s="15">
        <f>C30-D30</f>
        <v>-2313.5904</v>
      </c>
      <c r="X30" s="15"/>
      <c r="Y30" s="15"/>
      <c r="Z30" s="15">
        <v>14.606</v>
      </c>
    </row>
    <row r="31" ht="20.05" customHeight="1">
      <c r="B31" s="13"/>
      <c r="C31" s="14">
        <f>C51*$Z31</f>
        <v>57.8</v>
      </c>
      <c r="D31" s="15">
        <f>D51*$Z31</f>
        <v>2398.7</v>
      </c>
      <c r="E31" s="15">
        <f>E51*$Z31</f>
        <v>2384.25</v>
      </c>
      <c r="F31" s="15">
        <f>(F51-F50)*Z31</f>
        <v>361.25</v>
      </c>
      <c r="G31" s="15">
        <f>G30</f>
        <v>25.5605</v>
      </c>
      <c r="H31" s="15">
        <f>(H51-H50)*$Z31</f>
        <v>-54.91</v>
      </c>
      <c r="I31" s="15">
        <f>(I51-I50)*$Z31</f>
        <v>346.8</v>
      </c>
      <c r="J31" s="15">
        <f>(J51-J50)*$Z31</f>
        <v>-8.67</v>
      </c>
      <c r="K31" s="15">
        <f>(K51-K50)*$Z31</f>
        <v>-7.225</v>
      </c>
      <c r="L31" s="15">
        <f>(L51-L50)*$Z31</f>
        <v>0</v>
      </c>
      <c r="M31" s="15">
        <f>(M51-M50)*$Z31</f>
        <v>0</v>
      </c>
      <c r="N31" s="15">
        <f>SUM(F28:F31)/4</f>
        <v>390.8305</v>
      </c>
      <c r="O31" s="15"/>
      <c r="P31" s="16">
        <f>F31/F30-1</f>
        <v>0.124226656542143</v>
      </c>
      <c r="Q31" s="16">
        <f>J31/I31</f>
        <v>-0.025</v>
      </c>
      <c r="R31" s="16">
        <f>AVERAGE(Q28:Q31)</f>
        <v>0.0666857798165138</v>
      </c>
      <c r="S31" s="25">
        <f>SUM(J28:K31)/4</f>
        <v>20.6982</v>
      </c>
      <c r="T31" s="15">
        <f>J31+K31+T30</f>
        <v>9.5268</v>
      </c>
      <c r="U31" s="15">
        <f>-(L31+M31)+U30</f>
        <v>17.16</v>
      </c>
      <c r="V31" s="15">
        <f>V30</f>
        <v>176.5929984</v>
      </c>
      <c r="W31" s="15">
        <f>C31-D31</f>
        <v>-2340.9</v>
      </c>
      <c r="X31" s="15"/>
      <c r="Y31" s="15"/>
      <c r="Z31" s="15">
        <v>14.45</v>
      </c>
    </row>
    <row r="32" ht="20.05" customHeight="1">
      <c r="B32" s="13"/>
      <c r="C32" s="14">
        <f>C52*$Z32</f>
        <v>57.312</v>
      </c>
      <c r="D32" s="15">
        <f>D52*$Z32</f>
        <v>2335.464</v>
      </c>
      <c r="E32" s="15">
        <f>E52*$Z32</f>
        <v>2321.136</v>
      </c>
      <c r="F32" s="15">
        <f>(F52-F51)*Z32</f>
        <v>429.84</v>
      </c>
      <c r="G32" s="15">
        <f>G31</f>
        <v>25.5605</v>
      </c>
      <c r="H32" s="15">
        <f>(H52-H51)*$Z32</f>
        <v>0</v>
      </c>
      <c r="I32" s="15">
        <f>(I52-I51)*$Z32</f>
        <v>415.512</v>
      </c>
      <c r="J32" s="15">
        <f>(J52-J51)*$Z32</f>
        <v>42.984</v>
      </c>
      <c r="K32" s="15">
        <f>(K52-K51)*$Z32</f>
        <v>-11.4624</v>
      </c>
      <c r="L32" s="15">
        <f>(L52-L51)*$Z32</f>
        <v>-28.656</v>
      </c>
      <c r="M32" s="15">
        <f>(M52-M51)*$Z32</f>
        <v>0</v>
      </c>
      <c r="N32" s="15">
        <f>SUM(F29:F32)/4</f>
        <v>388.198</v>
      </c>
      <c r="O32" s="15"/>
      <c r="P32" s="16">
        <f>F32/F31-1</f>
        <v>0.189868512110727</v>
      </c>
      <c r="Q32" s="16">
        <f>J32/I32</f>
        <v>0.103448275862069</v>
      </c>
      <c r="R32" s="16">
        <f>AVERAGE(Q29:Q32)</f>
        <v>0.0810799588737741</v>
      </c>
      <c r="S32" s="25">
        <f>SUM(J29:K32)/4</f>
        <v>24.09335</v>
      </c>
      <c r="T32" s="15">
        <f>J32+K32+T31</f>
        <v>41.0484</v>
      </c>
      <c r="U32" s="15">
        <f>-(L32+M32)+U31</f>
        <v>45.816</v>
      </c>
      <c r="V32" s="15">
        <f>V31</f>
        <v>176.5929984</v>
      </c>
      <c r="W32" s="15">
        <f>C32-D32</f>
        <v>-2278.152</v>
      </c>
      <c r="X32" s="15"/>
      <c r="Y32" s="15"/>
      <c r="Z32" s="15">
        <v>14.328</v>
      </c>
    </row>
    <row r="33" ht="20.05" customHeight="1">
      <c r="B33" s="13"/>
      <c r="C33" s="14">
        <f>C53*$Z33</f>
        <v>57.1</v>
      </c>
      <c r="D33" s="15">
        <f>D53*$Z33</f>
        <v>2383.925</v>
      </c>
      <c r="E33" s="15">
        <f>E53*$Z33</f>
        <v>2383.925</v>
      </c>
      <c r="F33" s="15">
        <f>(F53-F52)*Z33</f>
        <v>456.8</v>
      </c>
      <c r="G33" s="15">
        <f>G32</f>
        <v>25.5605</v>
      </c>
      <c r="H33" s="15">
        <f>(H53-H52)*$Z33</f>
        <v>-28.55</v>
      </c>
      <c r="I33" s="15">
        <f>(I53-I52)*$Z33</f>
        <v>413.975</v>
      </c>
      <c r="J33" s="15">
        <f>(J53-J52)*$Z33</f>
        <v>71.375</v>
      </c>
      <c r="K33" s="15">
        <f>(K53-K52)*$Z33</f>
        <v>-19.985</v>
      </c>
      <c r="L33" s="15">
        <f>(L53-L52)*$Z33</f>
        <v>-57.1</v>
      </c>
      <c r="M33" s="15">
        <f>(M53-M52)*$Z33</f>
        <v>0</v>
      </c>
      <c r="N33" s="15">
        <f>SUM(F30:F33)/4</f>
        <v>392.3055</v>
      </c>
      <c r="O33" s="15"/>
      <c r="P33" s="16">
        <f>F33/F32-1</f>
        <v>0.0627210124697562</v>
      </c>
      <c r="Q33" s="16">
        <f>J33/I33</f>
        <v>0.172413793103448</v>
      </c>
      <c r="R33" s="16">
        <f>AVERAGE(Q30:Q33)</f>
        <v>0.112715517241379</v>
      </c>
      <c r="S33" s="25">
        <f>SUM(J30:K33)/4</f>
        <v>32.4556</v>
      </c>
      <c r="T33" s="15">
        <f>J33+K33+T32</f>
        <v>92.4384</v>
      </c>
      <c r="U33" s="15">
        <f>-(L33+M33)+U32</f>
        <v>102.916</v>
      </c>
      <c r="V33" s="15">
        <f>V32</f>
        <v>176.5929984</v>
      </c>
      <c r="W33" s="15">
        <f>C33-D33</f>
        <v>-2326.825</v>
      </c>
      <c r="X33" s="15"/>
      <c r="Y33" s="15"/>
      <c r="Z33" s="15">
        <v>14.275</v>
      </c>
    </row>
    <row r="34" ht="20.05" customHeight="1">
      <c r="B34" s="21">
        <v>2022</v>
      </c>
      <c r="C34" s="14">
        <f>C54*$Z34</f>
        <v>57.308</v>
      </c>
      <c r="D34" s="15">
        <f>D54*$Z34</f>
        <v>2292.32</v>
      </c>
      <c r="E34" s="15">
        <f>E54*$Z34</f>
        <v>2320.974</v>
      </c>
      <c r="F34" s="15">
        <f>F54*$Z34</f>
        <v>501.445</v>
      </c>
      <c r="G34" s="15">
        <f>(G57/3)*Z34</f>
        <v>21.4905</v>
      </c>
      <c r="H34" s="15">
        <f>H54*$Z34</f>
        <v>42.981</v>
      </c>
      <c r="I34" s="15">
        <f>I54*$Z34</f>
        <v>444.137</v>
      </c>
      <c r="J34" s="15">
        <f>J54*$Z34</f>
        <v>42.981</v>
      </c>
      <c r="K34" s="15">
        <f>K54*$Z34</f>
        <v>-5.7308</v>
      </c>
      <c r="L34" s="15">
        <f>L54*$Z34</f>
        <v>-28.654</v>
      </c>
      <c r="M34" s="15">
        <f>M54*$Z34</f>
        <v>0</v>
      </c>
      <c r="N34" s="15">
        <f>SUM(F31:F34)/4</f>
        <v>437.33375</v>
      </c>
      <c r="O34" s="15"/>
      <c r="P34" s="16">
        <f>F34/F33-1</f>
        <v>0.097734238178634</v>
      </c>
      <c r="Q34" s="16">
        <f>J34/I34</f>
        <v>0.09677419354838709</v>
      </c>
      <c r="R34" s="16">
        <f>AVERAGE(Q31:Q34)</f>
        <v>0.086909065628476</v>
      </c>
      <c r="S34" s="25">
        <f>SUM(J31:K34)/4</f>
        <v>26.0667</v>
      </c>
      <c r="T34" s="15">
        <f>J34+K34+T33</f>
        <v>129.6886</v>
      </c>
      <c r="U34" s="15">
        <f>-(L34+M34)+U33</f>
        <v>131.57</v>
      </c>
      <c r="V34" s="15">
        <f>V33</f>
        <v>176.5929984</v>
      </c>
      <c r="W34" s="15">
        <f>C34-D34</f>
        <v>-2235.012</v>
      </c>
      <c r="X34" s="15"/>
      <c r="Y34" s="15"/>
      <c r="Z34" s="15">
        <v>14.327</v>
      </c>
    </row>
    <row r="35" ht="20.05" customHeight="1">
      <c r="B35" s="13"/>
      <c r="C35" s="14">
        <f>C55*$Z35</f>
        <v>58.64</v>
      </c>
      <c r="D35" s="15">
        <f>D55*$Z35</f>
        <v>2330.94</v>
      </c>
      <c r="E35" s="15">
        <f>E55*$Z35</f>
        <v>2389.58</v>
      </c>
      <c r="F35" s="15">
        <f>(F55-F54)*Z35</f>
        <v>527.76</v>
      </c>
      <c r="G35" s="15">
        <f>G34</f>
        <v>21.4905</v>
      </c>
      <c r="H35" s="15">
        <f>(H55-H54)*$Z35</f>
        <v>43.98</v>
      </c>
      <c r="I35" s="15">
        <f>(I55-I54)*$Z35</f>
        <v>498.44</v>
      </c>
      <c r="J35" s="15">
        <f>(J55-J54)*$Z35</f>
        <v>43.98</v>
      </c>
      <c r="K35" s="15">
        <f>(K55-K54)*$Z35</f>
        <v>-8.795999999999999</v>
      </c>
      <c r="L35" s="15">
        <f>(L55-L54)*$Z35</f>
        <v>-43.98</v>
      </c>
      <c r="M35" s="15">
        <f>(M55-M54)*$Z35</f>
        <v>0</v>
      </c>
      <c r="N35" s="15">
        <f>SUM(F32:F35)/4</f>
        <v>478.96125</v>
      </c>
      <c r="O35" s="15"/>
      <c r="P35" s="16">
        <f>F35/F34-1</f>
        <v>0.0524783376043235</v>
      </c>
      <c r="Q35" s="16">
        <f>J35/I35</f>
        <v>0.08823529411764711</v>
      </c>
      <c r="R35" s="16">
        <f>AVERAGE(Q32:Q35)</f>
        <v>0.115217889157888</v>
      </c>
      <c r="S35" s="25">
        <f>SUM(J32:K35)/4</f>
        <v>38.83645</v>
      </c>
      <c r="T35" s="15">
        <f>J35+K35+T34</f>
        <v>164.8726</v>
      </c>
      <c r="U35" s="15">
        <f>-(L35+M35)+U34</f>
        <v>175.55</v>
      </c>
      <c r="V35" s="15">
        <f>V34</f>
        <v>176.5929984</v>
      </c>
      <c r="W35" s="15">
        <f>C35-D35</f>
        <v>-2272.3</v>
      </c>
      <c r="X35" s="15"/>
      <c r="Y35" s="15"/>
      <c r="Z35" s="15">
        <v>14.66</v>
      </c>
    </row>
    <row r="36" ht="20.05" customHeight="1">
      <c r="B36" s="13"/>
      <c r="C36" s="14">
        <f>C56*$Z36</f>
        <v>78.52500000000001</v>
      </c>
      <c r="D36" s="15">
        <f>D56*$Z36</f>
        <v>2559.915</v>
      </c>
      <c r="E36" s="15">
        <f>E56*$Z36</f>
        <v>2764.08</v>
      </c>
      <c r="F36" s="15">
        <f>(F56-F55)*Z36</f>
        <v>691.02</v>
      </c>
      <c r="G36" s="15">
        <f>G35</f>
        <v>21.4905</v>
      </c>
      <c r="H36" s="15">
        <f>(H56-H55)*$Z36</f>
        <v>141.345</v>
      </c>
      <c r="I36" s="15">
        <f>(I56-I55)*$Z36</f>
        <v>659.61</v>
      </c>
      <c r="J36" s="15">
        <f>(J56-J55)*$Z36</f>
        <v>172.755</v>
      </c>
      <c r="K36" s="15">
        <f>(K56-K55)*$Z36</f>
        <v>-15.705</v>
      </c>
      <c r="L36" s="15">
        <f>(L56-L55)*$Z36</f>
        <v>-141.345</v>
      </c>
      <c r="M36" s="15">
        <f>(M56-M55)*$Z36</f>
        <v>0</v>
      </c>
      <c r="N36" s="15">
        <f>SUM(F33:F36)/4</f>
        <v>544.25625</v>
      </c>
      <c r="O36" s="15"/>
      <c r="P36" s="16">
        <f>F36/F35-1</f>
        <v>0.309345156889495</v>
      </c>
      <c r="Q36" s="16">
        <f>J36/I36</f>
        <v>0.261904761904762</v>
      </c>
      <c r="R36" s="16">
        <f>AVERAGE(Q33:Q36)</f>
        <v>0.154832010668561</v>
      </c>
      <c r="S36" s="25">
        <f>SUM(J33:K36)/4</f>
        <v>70.21854999999999</v>
      </c>
      <c r="T36" s="15">
        <f>J36+K36+T35</f>
        <v>321.9226</v>
      </c>
      <c r="U36" s="15">
        <f>-(L36+M36)+U35</f>
        <v>316.895</v>
      </c>
      <c r="V36" s="15">
        <f>V35</f>
        <v>176.5929984</v>
      </c>
      <c r="W36" s="15">
        <f>C36-D36</f>
        <v>-2481.39</v>
      </c>
      <c r="X36" s="15"/>
      <c r="Y36" s="15"/>
      <c r="Z36" s="15">
        <v>15.705</v>
      </c>
    </row>
    <row r="37" ht="20.05" customHeight="1">
      <c r="B37" s="13"/>
      <c r="C37" s="14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23">
        <f>AVERAGE(AC65:AF65)</f>
        <v>704.8910068497</v>
      </c>
      <c r="P37" s="17"/>
      <c r="Q37" s="17"/>
      <c r="R37" s="17"/>
      <c r="S37" s="25"/>
      <c r="T37" s="17"/>
      <c r="U37" s="17"/>
      <c r="V37" s="17"/>
      <c r="W37" s="26"/>
      <c r="X37" s="15">
        <v>100</v>
      </c>
      <c r="Y37" s="15">
        <v>2477.746202942560</v>
      </c>
      <c r="Z37" s="17"/>
    </row>
    <row r="38" ht="20.05" customHeight="1">
      <c r="B38" s="21">
        <v>2023</v>
      </c>
      <c r="C38" s="14"/>
      <c r="D38" s="15"/>
      <c r="E38" s="15"/>
      <c r="F38" s="15"/>
      <c r="G38" s="15"/>
      <c r="H38" s="15"/>
      <c r="I38" s="15"/>
      <c r="J38" s="16"/>
      <c r="K38" s="15"/>
      <c r="L38" s="15"/>
      <c r="M38" s="15"/>
      <c r="N38" s="15">
        <f>SUM(N27:N36)</f>
        <v>4465.86825</v>
      </c>
      <c r="O38" s="15">
        <f>SUM(O27:O36)</f>
        <v>0</v>
      </c>
      <c r="P38" s="17"/>
      <c r="Q38" s="17"/>
      <c r="R38" s="17"/>
      <c r="S38" s="17"/>
      <c r="T38" s="17"/>
      <c r="U38" s="17"/>
      <c r="V38" s="17"/>
      <c r="W38" s="26"/>
      <c r="X38" s="15"/>
      <c r="Y38" s="15">
        <f>AF100</f>
        <v>224.385850228723</v>
      </c>
      <c r="Z38" s="15"/>
    </row>
    <row r="39" ht="20.05" customHeight="1">
      <c r="B39" s="13"/>
      <c r="C39" s="1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26"/>
      <c r="O39" s="17"/>
      <c r="P39" s="17"/>
      <c r="Q39" s="17"/>
      <c r="R39" s="17"/>
      <c r="S39" s="17"/>
      <c r="T39" s="17"/>
      <c r="U39" s="17"/>
      <c r="V39" s="17"/>
      <c r="W39" s="26"/>
      <c r="X39" s="15"/>
      <c r="Y39" s="15"/>
      <c r="Z39" s="15"/>
    </row>
    <row r="40" ht="20.05" customHeight="1">
      <c r="B40" s="13"/>
      <c r="C40" s="14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20.05" customHeight="1">
      <c r="B41" s="21">
        <v>2012</v>
      </c>
      <c r="C41" s="14">
        <v>6</v>
      </c>
      <c r="D41" s="15">
        <v>172</v>
      </c>
      <c r="E41" s="15">
        <v>219</v>
      </c>
      <c r="F41" s="15">
        <v>181</v>
      </c>
      <c r="G41" s="15"/>
      <c r="H41" s="15">
        <v>-5</v>
      </c>
      <c r="I41" s="15">
        <v>149</v>
      </c>
      <c r="J41" s="15">
        <v>7</v>
      </c>
      <c r="K41" s="15">
        <v>-14</v>
      </c>
      <c r="L41" s="15">
        <f>-5+9-M41</f>
        <v>6</v>
      </c>
      <c r="M41" s="15">
        <v>-2</v>
      </c>
      <c r="N41" s="26"/>
      <c r="O41" s="17"/>
      <c r="P41" s="17"/>
      <c r="Q41" s="17"/>
      <c r="R41" s="17"/>
      <c r="S41" s="17"/>
      <c r="T41" s="17"/>
      <c r="U41" s="17"/>
      <c r="V41" s="17"/>
      <c r="W41" s="26"/>
      <c r="X41" s="15"/>
      <c r="Y41" s="15"/>
      <c r="Z41" s="15"/>
    </row>
    <row r="42" ht="20.05" customHeight="1">
      <c r="B42" s="21">
        <v>2013</v>
      </c>
      <c r="C42" s="14">
        <v>6</v>
      </c>
      <c r="D42" s="15">
        <v>185</v>
      </c>
      <c r="E42" s="15">
        <v>229</v>
      </c>
      <c r="F42" s="15">
        <v>199</v>
      </c>
      <c r="G42" s="15"/>
      <c r="H42" s="15">
        <v>-2</v>
      </c>
      <c r="I42" s="15">
        <v>206</v>
      </c>
      <c r="J42" s="15">
        <v>-9</v>
      </c>
      <c r="K42" s="15">
        <v>-19</v>
      </c>
      <c r="L42" s="15">
        <f>19+9-M42</f>
        <v>29</v>
      </c>
      <c r="M42" s="15">
        <v>-1</v>
      </c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21">
        <v>2014</v>
      </c>
      <c r="C43" s="14">
        <v>20</v>
      </c>
      <c r="D43" s="15">
        <v>206</v>
      </c>
      <c r="E43" s="15">
        <v>242</v>
      </c>
      <c r="F43" s="15">
        <v>183</v>
      </c>
      <c r="G43" s="15"/>
      <c r="H43" s="15">
        <v>-7</v>
      </c>
      <c r="I43" s="15">
        <v>198</v>
      </c>
      <c r="J43" s="15">
        <v>17</v>
      </c>
      <c r="K43" s="15">
        <v>-20</v>
      </c>
      <c r="L43" s="15">
        <f>7+10-M43</f>
        <v>17.2</v>
      </c>
      <c r="M43" s="15">
        <v>-0.2</v>
      </c>
      <c r="N43" s="26"/>
      <c r="O43" s="17"/>
      <c r="P43" s="17"/>
      <c r="Q43" s="17"/>
      <c r="R43" s="17"/>
      <c r="S43" s="17"/>
      <c r="T43" s="17"/>
      <c r="U43" s="17"/>
      <c r="V43" s="17"/>
      <c r="W43" s="26"/>
      <c r="X43" s="15"/>
      <c r="Y43" s="15"/>
      <c r="Z43" s="15"/>
    </row>
    <row r="44" ht="20.05" customHeight="1">
      <c r="B44" s="21">
        <v>2015</v>
      </c>
      <c r="C44" s="14">
        <v>4</v>
      </c>
      <c r="D44" s="15">
        <v>167</v>
      </c>
      <c r="E44" s="15">
        <v>187</v>
      </c>
      <c r="F44" s="15">
        <v>161</v>
      </c>
      <c r="G44" s="15"/>
      <c r="H44" s="15">
        <v>-18</v>
      </c>
      <c r="I44" s="15">
        <v>181</v>
      </c>
      <c r="J44" s="15">
        <v>6</v>
      </c>
      <c r="K44" s="15">
        <v>-0.4</v>
      </c>
      <c r="L44" s="15">
        <f>-30+9</f>
        <v>-21</v>
      </c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26"/>
      <c r="X44" s="15"/>
      <c r="Y44" s="15"/>
      <c r="Z44" s="15"/>
    </row>
    <row r="45" ht="20.05" customHeight="1">
      <c r="B45" s="21">
        <v>2016</v>
      </c>
      <c r="C45" s="14">
        <v>4</v>
      </c>
      <c r="D45" s="15">
        <v>157</v>
      </c>
      <c r="E45" s="15">
        <v>168</v>
      </c>
      <c r="F45" s="15">
        <v>101</v>
      </c>
      <c r="G45" s="15"/>
      <c r="H45" s="15">
        <v>-9</v>
      </c>
      <c r="I45" s="15">
        <v>112</v>
      </c>
      <c r="J45" s="15">
        <v>11</v>
      </c>
      <c r="K45" s="15">
        <v>-1.5</v>
      </c>
      <c r="L45" s="15">
        <f>-16+7</f>
        <v>-9</v>
      </c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26"/>
      <c r="X45" s="15"/>
      <c r="Y45" s="15"/>
      <c r="Z45" s="15"/>
    </row>
    <row r="46" ht="20.05" customHeight="1">
      <c r="B46" s="21">
        <v>2017</v>
      </c>
      <c r="C46" s="14">
        <v>5</v>
      </c>
      <c r="D46" s="15">
        <v>168</v>
      </c>
      <c r="E46" s="15">
        <v>188</v>
      </c>
      <c r="F46" s="15">
        <v>105</v>
      </c>
      <c r="G46" s="15">
        <v>7</v>
      </c>
      <c r="H46" s="15">
        <v>10</v>
      </c>
      <c r="I46" s="15">
        <v>109</v>
      </c>
      <c r="J46" s="15">
        <v>2</v>
      </c>
      <c r="K46" s="15">
        <v>-3</v>
      </c>
      <c r="L46" s="15">
        <v>2</v>
      </c>
      <c r="M46" s="15"/>
      <c r="N46" s="26"/>
      <c r="O46" s="17"/>
      <c r="P46" s="17"/>
      <c r="Q46" s="17"/>
      <c r="R46" s="17"/>
      <c r="S46" s="17"/>
      <c r="T46" s="17"/>
      <c r="U46" s="17"/>
      <c r="V46" s="17"/>
      <c r="W46" s="26"/>
      <c r="X46" s="15"/>
      <c r="Y46" s="15"/>
      <c r="Z46" s="15"/>
    </row>
    <row r="47" ht="20.05" customHeight="1">
      <c r="B47" s="21">
        <v>2018</v>
      </c>
      <c r="C47" s="14">
        <v>6</v>
      </c>
      <c r="D47" s="15">
        <v>174</v>
      </c>
      <c r="E47" s="15">
        <v>188</v>
      </c>
      <c r="F47" s="15">
        <v>138</v>
      </c>
      <c r="G47" s="15">
        <v>6</v>
      </c>
      <c r="H47" s="15">
        <v>-7</v>
      </c>
      <c r="I47" s="15">
        <v>134</v>
      </c>
      <c r="J47" s="15">
        <v>-6</v>
      </c>
      <c r="K47" s="15">
        <v>-2</v>
      </c>
      <c r="L47" s="15">
        <v>8</v>
      </c>
      <c r="M47" s="15"/>
      <c r="N47" s="26"/>
      <c r="O47" s="17"/>
      <c r="P47" s="17"/>
      <c r="Q47" s="17"/>
      <c r="R47" s="17"/>
      <c r="S47" s="17"/>
      <c r="T47" s="17"/>
      <c r="U47" s="17"/>
      <c r="V47" s="17"/>
      <c r="W47" s="26"/>
      <c r="X47" s="15"/>
      <c r="Y47" s="15"/>
      <c r="Z47" s="15"/>
    </row>
    <row r="48" ht="20.05" customHeight="1">
      <c r="B48" s="21">
        <v>2019</v>
      </c>
      <c r="C48" s="14">
        <v>5</v>
      </c>
      <c r="D48" s="15">
        <v>179</v>
      </c>
      <c r="E48" s="15">
        <v>192</v>
      </c>
      <c r="F48" s="15">
        <v>162</v>
      </c>
      <c r="G48" s="15">
        <v>6.4</v>
      </c>
      <c r="H48" s="15">
        <v>1</v>
      </c>
      <c r="I48" s="15">
        <v>157</v>
      </c>
      <c r="J48" s="15">
        <v>4</v>
      </c>
      <c r="K48" s="15">
        <v>-3</v>
      </c>
      <c r="L48" s="15">
        <v>-2</v>
      </c>
      <c r="M48" s="15"/>
      <c r="N48" s="26"/>
      <c r="O48" s="17"/>
      <c r="P48" s="17"/>
      <c r="Q48" s="17"/>
      <c r="R48" s="17"/>
      <c r="S48" s="17"/>
      <c r="T48" s="17"/>
      <c r="U48" s="17"/>
      <c r="V48" s="17"/>
      <c r="W48" s="26"/>
      <c r="X48" s="15"/>
      <c r="Y48" s="15"/>
      <c r="Z48" s="15"/>
    </row>
    <row r="49" ht="20.05" customHeight="1">
      <c r="B49" s="21">
        <v>2020</v>
      </c>
      <c r="C49" s="14">
        <v>3.6</v>
      </c>
      <c r="D49" s="15">
        <v>168</v>
      </c>
      <c r="E49" s="15">
        <v>171</v>
      </c>
      <c r="F49" s="15">
        <v>108</v>
      </c>
      <c r="G49" s="15">
        <v>7</v>
      </c>
      <c r="H49" s="15">
        <v>-9</v>
      </c>
      <c r="I49" s="15">
        <v>109</v>
      </c>
      <c r="J49" s="15">
        <v>5</v>
      </c>
      <c r="K49" s="15">
        <v>-0.6</v>
      </c>
      <c r="L49" s="15">
        <v>-5</v>
      </c>
      <c r="M49" s="15"/>
      <c r="N49" s="26"/>
      <c r="O49" s="17"/>
      <c r="P49" s="17"/>
      <c r="Q49" s="17"/>
      <c r="R49" s="17"/>
      <c r="S49" s="17"/>
      <c r="T49" s="17"/>
      <c r="U49" s="17"/>
      <c r="V49" s="17"/>
      <c r="W49" s="26"/>
      <c r="X49" s="15"/>
      <c r="Y49" s="15"/>
      <c r="Z49" s="15"/>
    </row>
    <row r="50" ht="20.05" customHeight="1">
      <c r="B50" s="21">
        <v>2021</v>
      </c>
      <c r="C50" s="14">
        <v>3.6</v>
      </c>
      <c r="D50" s="15">
        <v>162</v>
      </c>
      <c r="E50" s="15">
        <v>165</v>
      </c>
      <c r="F50" s="15">
        <v>22</v>
      </c>
      <c r="G50" s="15"/>
      <c r="H50" s="15">
        <v>-0.2</v>
      </c>
      <c r="I50" s="15">
        <v>23</v>
      </c>
      <c r="J50" s="15">
        <v>4.6</v>
      </c>
      <c r="K50" s="15">
        <v>-0.3</v>
      </c>
      <c r="L50" s="15">
        <v>-3</v>
      </c>
      <c r="M50" s="15"/>
      <c r="N50" s="26"/>
      <c r="O50" s="17"/>
      <c r="P50" s="17"/>
      <c r="Q50" s="17"/>
      <c r="R50" s="17"/>
      <c r="S50" s="17"/>
      <c r="T50" s="17"/>
      <c r="U50" s="17"/>
      <c r="V50" s="17"/>
      <c r="W50" s="17"/>
      <c r="X50" s="15"/>
      <c r="Y50" s="15"/>
      <c r="Z50" s="15"/>
    </row>
    <row r="51" ht="20.05" customHeight="1">
      <c r="B51" s="13"/>
      <c r="C51" s="14">
        <v>4</v>
      </c>
      <c r="D51" s="15">
        <v>166</v>
      </c>
      <c r="E51" s="15">
        <v>165</v>
      </c>
      <c r="F51" s="15">
        <v>47</v>
      </c>
      <c r="G51" s="15"/>
      <c r="H51" s="15">
        <v>-4</v>
      </c>
      <c r="I51" s="15">
        <v>47</v>
      </c>
      <c r="J51" s="15">
        <v>4</v>
      </c>
      <c r="K51" s="15">
        <v>-0.8</v>
      </c>
      <c r="L51" s="15">
        <v>-3</v>
      </c>
      <c r="M51" s="15"/>
      <c r="N51" s="26"/>
      <c r="O51" s="17"/>
      <c r="P51" s="17"/>
      <c r="Q51" s="17"/>
      <c r="R51" s="17"/>
      <c r="S51" s="17"/>
      <c r="T51" s="17"/>
      <c r="U51" s="17"/>
      <c r="V51" s="17"/>
      <c r="W51" s="17"/>
      <c r="X51" s="15"/>
      <c r="Y51" s="15"/>
      <c r="Z51" s="15"/>
    </row>
    <row r="52" ht="20.05" customHeight="1">
      <c r="B52" s="13"/>
      <c r="C52" s="14">
        <v>4</v>
      </c>
      <c r="D52" s="15">
        <v>163</v>
      </c>
      <c r="E52" s="15">
        <v>162</v>
      </c>
      <c r="F52" s="15">
        <v>77</v>
      </c>
      <c r="G52" s="15"/>
      <c r="H52" s="15">
        <v>-4</v>
      </c>
      <c r="I52" s="15">
        <v>76</v>
      </c>
      <c r="J52" s="15">
        <v>7</v>
      </c>
      <c r="K52" s="15">
        <v>-1.6</v>
      </c>
      <c r="L52" s="15">
        <v>-5</v>
      </c>
      <c r="M52" s="15"/>
      <c r="N52" s="26"/>
      <c r="O52" s="17"/>
      <c r="P52" s="17"/>
      <c r="Q52" s="17"/>
      <c r="R52" s="17"/>
      <c r="S52" s="17"/>
      <c r="T52" s="17"/>
      <c r="U52" s="17"/>
      <c r="V52" s="17"/>
      <c r="W52" s="17"/>
      <c r="X52" s="15"/>
      <c r="Y52" s="15"/>
      <c r="Z52" s="15"/>
    </row>
    <row r="53" ht="20.05" customHeight="1">
      <c r="B53" s="13"/>
      <c r="C53" s="14">
        <v>4</v>
      </c>
      <c r="D53" s="15">
        <v>167</v>
      </c>
      <c r="E53" s="15">
        <v>167</v>
      </c>
      <c r="F53" s="15">
        <v>109</v>
      </c>
      <c r="G53" s="15">
        <v>7</v>
      </c>
      <c r="H53" s="15">
        <v>-6</v>
      </c>
      <c r="I53" s="15">
        <v>105</v>
      </c>
      <c r="J53" s="15">
        <v>12</v>
      </c>
      <c r="K53" s="15">
        <v>-3</v>
      </c>
      <c r="L53" s="15">
        <v>-9</v>
      </c>
      <c r="M53" s="15"/>
      <c r="N53" s="26"/>
      <c r="O53" s="17"/>
      <c r="P53" s="17"/>
      <c r="Q53" s="17"/>
      <c r="R53" s="17"/>
      <c r="S53" s="17"/>
      <c r="T53" s="17"/>
      <c r="U53" s="17"/>
      <c r="V53" s="17"/>
      <c r="W53" s="17"/>
      <c r="X53" s="15"/>
      <c r="Y53" s="15"/>
      <c r="Z53" s="15"/>
    </row>
    <row r="54" ht="20.05" customHeight="1">
      <c r="B54" s="21">
        <v>2022</v>
      </c>
      <c r="C54" s="14">
        <v>4</v>
      </c>
      <c r="D54" s="15">
        <v>160</v>
      </c>
      <c r="E54" s="15">
        <v>162</v>
      </c>
      <c r="F54" s="15">
        <v>35</v>
      </c>
      <c r="G54" s="15"/>
      <c r="H54" s="15">
        <v>3</v>
      </c>
      <c r="I54" s="15">
        <v>31</v>
      </c>
      <c r="J54" s="15">
        <v>3</v>
      </c>
      <c r="K54" s="15">
        <v>-0.4</v>
      </c>
      <c r="L54" s="15">
        <v>-2</v>
      </c>
      <c r="M54" s="15"/>
      <c r="N54" s="26"/>
      <c r="O54" s="17"/>
      <c r="P54" s="17"/>
      <c r="Q54" s="17"/>
      <c r="R54" s="17"/>
      <c r="S54" s="17"/>
      <c r="T54" s="17"/>
      <c r="U54" s="17"/>
      <c r="V54" s="17"/>
      <c r="W54" s="17"/>
      <c r="X54" s="15"/>
      <c r="Y54" s="15"/>
      <c r="Z54" s="15"/>
    </row>
    <row r="55" ht="20.05" customHeight="1">
      <c r="B55" s="13"/>
      <c r="C55" s="14">
        <v>4</v>
      </c>
      <c r="D55" s="15">
        <v>159</v>
      </c>
      <c r="E55" s="15">
        <v>163</v>
      </c>
      <c r="F55" s="15">
        <v>71</v>
      </c>
      <c r="G55" s="15"/>
      <c r="H55" s="15">
        <v>6</v>
      </c>
      <c r="I55" s="15">
        <v>65</v>
      </c>
      <c r="J55" s="15">
        <v>6</v>
      </c>
      <c r="K55" s="15">
        <v>-1</v>
      </c>
      <c r="L55" s="15">
        <v>-5</v>
      </c>
      <c r="M55" s="15"/>
      <c r="N55" s="26"/>
      <c r="O55" s="17"/>
      <c r="P55" s="17"/>
      <c r="Q55" s="17"/>
      <c r="R55" s="17"/>
      <c r="S55" s="17"/>
      <c r="T55" s="17"/>
      <c r="U55" s="17"/>
      <c r="V55" s="17"/>
      <c r="W55" s="17"/>
      <c r="X55" s="15"/>
      <c r="Y55" s="15"/>
      <c r="Z55" s="15"/>
    </row>
    <row r="56" ht="20.05" customHeight="1">
      <c r="B56" s="13"/>
      <c r="C56" s="14">
        <v>5</v>
      </c>
      <c r="D56" s="15">
        <v>163</v>
      </c>
      <c r="E56" s="15">
        <v>176</v>
      </c>
      <c r="F56" s="15">
        <v>115</v>
      </c>
      <c r="G56" s="15"/>
      <c r="H56" s="15">
        <v>15</v>
      </c>
      <c r="I56" s="15">
        <v>107</v>
      </c>
      <c r="J56" s="15">
        <f>23-6</f>
        <v>17</v>
      </c>
      <c r="K56" s="15">
        <v>-2</v>
      </c>
      <c r="L56" s="15">
        <v>-14</v>
      </c>
      <c r="M56" s="15"/>
      <c r="N56" s="26"/>
      <c r="O56" s="17"/>
      <c r="P56" s="17"/>
      <c r="Q56" s="17"/>
      <c r="R56" s="17"/>
      <c r="S56" s="17"/>
      <c r="T56" s="17"/>
      <c r="U56" s="17"/>
      <c r="V56" s="17"/>
      <c r="W56" s="17"/>
      <c r="X56" s="15"/>
      <c r="Y56" s="15"/>
      <c r="Z56" s="15"/>
    </row>
    <row r="57" ht="20.05" customHeight="1">
      <c r="B57" s="13"/>
      <c r="C57" s="14"/>
      <c r="D57" s="15"/>
      <c r="E57" s="15"/>
      <c r="F57" s="15"/>
      <c r="G57" s="15">
        <v>4.5</v>
      </c>
      <c r="H57" s="15"/>
      <c r="I57" s="15"/>
      <c r="J57" s="15"/>
      <c r="K57" s="15"/>
      <c r="L57" s="15"/>
      <c r="M57" s="15"/>
      <c r="N57" s="26"/>
      <c r="O57" s="17"/>
      <c r="P57" s="17"/>
      <c r="Q57" s="17"/>
      <c r="R57" s="17"/>
      <c r="S57" s="17"/>
      <c r="T57" s="17"/>
      <c r="U57" s="17"/>
      <c r="V57" s="17"/>
      <c r="W57" s="17"/>
      <c r="X57" s="15"/>
      <c r="Y57" s="15"/>
      <c r="Z57" s="15"/>
    </row>
    <row r="59" ht="27.65" customHeight="1">
      <c r="AA59" t="s" s="2">
        <v>157</v>
      </c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ht="20.25" customHeight="1">
      <c r="AA60" t="s" s="28">
        <f>B$3</f>
        <v>22</v>
      </c>
      <c r="AB60" t="s" s="29">
        <v>23</v>
      </c>
      <c r="AC60" t="s" s="29">
        <v>24</v>
      </c>
      <c r="AD60" t="s" s="29">
        <v>25</v>
      </c>
      <c r="AE60" t="s" s="29">
        <v>26</v>
      </c>
      <c r="AF60" t="s" s="29">
        <v>23</v>
      </c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</row>
    <row r="61" ht="20.25" customHeight="1">
      <c r="AA61" t="s" s="31">
        <v>15</v>
      </c>
      <c r="AB61" s="32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</row>
    <row r="62" ht="20.05" customHeight="1">
      <c r="AA62" t="s" s="33">
        <v>27</v>
      </c>
      <c r="AB62" s="34"/>
      <c r="AC62" s="16">
        <f>AVERAGE(P33:P36)</f>
        <v>0.130569686285552</v>
      </c>
      <c r="AD62" s="35"/>
      <c r="AE62" s="35"/>
      <c r="AF62" s="35">
        <f>AVERAGE(AC64:AF64)</f>
        <v>0.0125</v>
      </c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</row>
    <row r="63" ht="20.05" customHeight="1">
      <c r="AA63" s="36"/>
      <c r="AB63" s="37"/>
      <c r="AC63" s="35">
        <f>P33</f>
        <v>0.0627210124697562</v>
      </c>
      <c r="AD63" s="35">
        <f>P34</f>
        <v>0.097734238178634</v>
      </c>
      <c r="AE63" s="35">
        <f>P35</f>
        <v>0.0524783376043235</v>
      </c>
      <c r="AF63" s="35">
        <f>P36</f>
        <v>0.309345156889495</v>
      </c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</row>
    <row r="64" ht="20.05" customHeight="1">
      <c r="AA64" t="s" s="33">
        <v>13</v>
      </c>
      <c r="AB64" s="37"/>
      <c r="AC64" s="35">
        <v>0.01</v>
      </c>
      <c r="AD64" s="35">
        <v>-0.01</v>
      </c>
      <c r="AE64" s="35">
        <v>0.02</v>
      </c>
      <c r="AF64" s="35">
        <v>0.03</v>
      </c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</row>
    <row r="65" ht="20.05" customHeight="1">
      <c r="AA65" t="s" s="33">
        <v>28</v>
      </c>
      <c r="AB65" s="38">
        <f>F36</f>
        <v>691.02</v>
      </c>
      <c r="AC65" s="23">
        <f>F36*(1+AC64)</f>
        <v>697.9302</v>
      </c>
      <c r="AD65" s="23">
        <f>AC65*(1+AD64)</f>
        <v>690.9508980000001</v>
      </c>
      <c r="AE65" s="23">
        <f>AD65*(1+AE64)</f>
        <v>704.76991596</v>
      </c>
      <c r="AF65" s="23">
        <f>AE65*(1+AF64)</f>
        <v>725.9130134388</v>
      </c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</row>
    <row r="66" ht="20.05" customHeight="1">
      <c r="AA66" t="s" s="33">
        <v>14</v>
      </c>
      <c r="AB66" s="37"/>
      <c r="AC66" s="35">
        <f>AVERAGE(R36)</f>
        <v>0.154832010668561</v>
      </c>
      <c r="AD66" s="35">
        <f>AC66</f>
        <v>0.154832010668561</v>
      </c>
      <c r="AE66" s="35">
        <f>AD66</f>
        <v>0.154832010668561</v>
      </c>
      <c r="AF66" s="35">
        <f>AE66</f>
        <v>0.154832010668561</v>
      </c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</row>
    <row r="67" ht="20.05" customHeight="1">
      <c r="AA67" t="s" s="33">
        <v>29</v>
      </c>
      <c r="AB67" s="14"/>
      <c r="AC67" s="15">
        <f>AVERAGE(K34:K36)</f>
        <v>-10.0772666666667</v>
      </c>
      <c r="AD67" s="15">
        <f>AC67</f>
        <v>-10.0772666666667</v>
      </c>
      <c r="AE67" s="15">
        <f>AD67</f>
        <v>-10.0772666666667</v>
      </c>
      <c r="AF67" s="15">
        <f>AE67</f>
        <v>-10.0772666666667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30</v>
      </c>
      <c r="AB68" s="14"/>
      <c r="AC68" s="15">
        <f>(AC65*AC66)+AC67</f>
        <v>97.98466950564421</v>
      </c>
      <c r="AD68" s="15">
        <f>(AD65*AD66)+AD67</f>
        <v>96.9040501439211</v>
      </c>
      <c r="AE68" s="15">
        <f>(AE65*AE66)+AE67</f>
        <v>99.0436764801329</v>
      </c>
      <c r="AF68" s="15">
        <f>(AF65*AF66)+AF67</f>
        <v>102.317304774537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31</v>
      </c>
      <c r="AB69" s="14"/>
      <c r="AC69" s="15">
        <f>-D36/20</f>
        <v>-127.99575</v>
      </c>
      <c r="AD69" s="15">
        <f>-AC84/20</f>
        <v>-121.5959625</v>
      </c>
      <c r="AE69" s="15">
        <f>-AD84/20</f>
        <v>-115.516164375</v>
      </c>
      <c r="AF69" s="15">
        <f>-AE84/20</f>
        <v>-109.740356156250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32</v>
      </c>
      <c r="AB70" s="39"/>
      <c r="AC70" s="40">
        <v>0</v>
      </c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33</v>
      </c>
      <c r="AB71" s="14"/>
      <c r="AC71" s="15">
        <f>IF(AC79&gt;0,AC79*$AC$70,0)</f>
        <v>0</v>
      </c>
      <c r="AD71" s="15">
        <f>IF(AD79&gt;0,AD79*$AC$70,0)</f>
        <v>0</v>
      </c>
      <c r="AE71" s="15">
        <f>IF(AE79&gt;0,AE79*$AC$70,0)</f>
        <v>0</v>
      </c>
      <c r="AF71" s="15">
        <f>IF(AF79&gt;0,AF79*$AC$70,0)</f>
        <v>0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34</v>
      </c>
      <c r="AB72" s="14"/>
      <c r="AC72" s="15">
        <f>AC68+AC69+AC71</f>
        <v>-30.0110804943558</v>
      </c>
      <c r="AD72" s="15">
        <f>AD68+AD69+AD71</f>
        <v>-24.6919123560789</v>
      </c>
      <c r="AE72" s="15">
        <f>AE68+AE69+AE71</f>
        <v>-16.4724878948671</v>
      </c>
      <c r="AF72" s="15">
        <f>AF68+AF69+AF71</f>
        <v>-7.423051381713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35</v>
      </c>
      <c r="AB73" s="14"/>
      <c r="AC73" s="15">
        <f>-MIN(0,AC72)</f>
        <v>30.0110804943558</v>
      </c>
      <c r="AD73" s="15">
        <f>-MIN(AC85,AD72)</f>
        <v>24.6919123560789</v>
      </c>
      <c r="AE73" s="15">
        <f>-MIN(AD85,AE72)</f>
        <v>16.4724878948671</v>
      </c>
      <c r="AF73" s="15">
        <f>-MIN(AE85,AF72)</f>
        <v>7.423051381713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36</v>
      </c>
      <c r="AB74" s="14"/>
      <c r="AC74" s="15">
        <f>C36</f>
        <v>78.52500000000001</v>
      </c>
      <c r="AD74" s="15">
        <f>AC76</f>
        <v>78.52500000000001</v>
      </c>
      <c r="AE74" s="15">
        <f>AD76</f>
        <v>78.52500000000001</v>
      </c>
      <c r="AF74" s="15">
        <f>AE76</f>
        <v>78.52500000000001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37</v>
      </c>
      <c r="AB75" s="14"/>
      <c r="AC75" s="15">
        <f>AC68+AC69+AC71+AC73</f>
        <v>0</v>
      </c>
      <c r="AD75" s="15">
        <f>AD68+AD69+AD71+AD73</f>
        <v>0</v>
      </c>
      <c r="AE75" s="15">
        <f>AE68+AE69+AE71+AE73</f>
        <v>0</v>
      </c>
      <c r="AF75" s="15">
        <f>AF68+AF69+AF71+AF73</f>
        <v>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38</v>
      </c>
      <c r="AB76" s="14"/>
      <c r="AC76" s="15">
        <f>AC74+AC75</f>
        <v>78.52500000000001</v>
      </c>
      <c r="AD76" s="15">
        <f>AD74+AD75</f>
        <v>78.52500000000001</v>
      </c>
      <c r="AE76" s="15">
        <f>AE74+AE75</f>
        <v>78.52500000000001</v>
      </c>
      <c r="AF76" s="15">
        <f>AF74+AF75</f>
        <v>78.52500000000001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41">
        <v>4</v>
      </c>
      <c r="AB77" s="14"/>
      <c r="AC77" s="15"/>
      <c r="AD77" s="15"/>
      <c r="AE77" s="15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ht="20.05" customHeight="1">
      <c r="AA78" t="s" s="33">
        <v>3</v>
      </c>
      <c r="AB78" s="14"/>
      <c r="AC78" s="15">
        <f>-AVERAGE(G34:G36)</f>
        <v>-21.4905</v>
      </c>
      <c r="AD78" s="15">
        <f>AC78</f>
        <v>-21.4905</v>
      </c>
      <c r="AE78" s="15">
        <f>AD78</f>
        <v>-21.4905</v>
      </c>
      <c r="AF78" s="15">
        <f>AE78</f>
        <v>-21.4905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</v>
      </c>
      <c r="AB79" s="14"/>
      <c r="AC79" s="15">
        <f>(AC65*AC66)+AC78</f>
        <v>86.5714361723109</v>
      </c>
      <c r="AD79" s="15">
        <f>(AD65*AD66)+AD78</f>
        <v>85.4908168105878</v>
      </c>
      <c r="AE79" s="15">
        <f>(AE65*AE66)+AE78</f>
        <v>87.63044314679961</v>
      </c>
      <c r="AF79" s="15">
        <f>(AF65*AF66)+AF78</f>
        <v>90.9040714412035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41">
        <v>39</v>
      </c>
      <c r="AB80" s="14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40</v>
      </c>
      <c r="AB81" s="14"/>
      <c r="AC81" s="15">
        <f>E36-C36-AC67</f>
        <v>2695.632266666670</v>
      </c>
      <c r="AD81" s="15">
        <f>AC81-AD67</f>
        <v>2705.709533333340</v>
      </c>
      <c r="AE81" s="15">
        <f>AD81-AE67</f>
        <v>2715.786800000010</v>
      </c>
      <c r="AF81" s="15">
        <f>AE81-AF67</f>
        <v>2725.864066666680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41</v>
      </c>
      <c r="AB82" s="14"/>
      <c r="AC82" s="15">
        <f>0-AC78</f>
        <v>21.4905</v>
      </c>
      <c r="AD82" s="15">
        <f>AC82-AD78</f>
        <v>42.981</v>
      </c>
      <c r="AE82" s="15">
        <f>AD82-AE78</f>
        <v>64.47150000000001</v>
      </c>
      <c r="AF82" s="15">
        <f>AE82-AF78</f>
        <v>85.962</v>
      </c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ht="20.05" customHeight="1">
      <c r="AA83" t="s" s="33">
        <v>42</v>
      </c>
      <c r="AB83" s="14"/>
      <c r="AC83" s="15">
        <f>AC81-AC82</f>
        <v>2674.141766666670</v>
      </c>
      <c r="AD83" s="15">
        <f>AD81-AD82</f>
        <v>2662.728533333340</v>
      </c>
      <c r="AE83" s="15">
        <f>AE81-AE82</f>
        <v>2651.315300000010</v>
      </c>
      <c r="AF83" s="15">
        <f>AF81-AF82</f>
        <v>2639.902066666680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6</v>
      </c>
      <c r="AB84" s="14"/>
      <c r="AC84" s="15">
        <f>D36+AC69</f>
        <v>2431.91925</v>
      </c>
      <c r="AD84" s="15">
        <f>AC84+AD69</f>
        <v>2310.3232875</v>
      </c>
      <c r="AE84" s="15">
        <f>AD84+AE69</f>
        <v>2194.807123125</v>
      </c>
      <c r="AF84" s="15">
        <f>AE84+AF69</f>
        <v>2085.066766968750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35</v>
      </c>
      <c r="AB85" s="14"/>
      <c r="AC85" s="15">
        <f>AC73</f>
        <v>30.0110804943558</v>
      </c>
      <c r="AD85" s="15">
        <f>AC85+AD73</f>
        <v>54.7029928504347</v>
      </c>
      <c r="AE85" s="15">
        <f>AD85+AE73</f>
        <v>71.1754807453018</v>
      </c>
      <c r="AF85" s="15">
        <f>AE85+AF73</f>
        <v>78.59853212701481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11</v>
      </c>
      <c r="AB86" s="14"/>
      <c r="AC86" s="15">
        <f>(E36-D36)+AC79+AC71</f>
        <v>290.736436172311</v>
      </c>
      <c r="AD86" s="15">
        <f>AC86+AD79+AD71</f>
        <v>376.227252982899</v>
      </c>
      <c r="AE86" s="15">
        <f>AD86+AE79+AE71</f>
        <v>463.857696129699</v>
      </c>
      <c r="AF86" s="15">
        <f>AE86+AF79+AF71</f>
        <v>554.761767570903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43</v>
      </c>
      <c r="AB87" s="14"/>
      <c r="AC87" s="15">
        <f>AC84+AC85+AC86-AC76-AC83</f>
        <v>-3.2e-12</v>
      </c>
      <c r="AD87" s="15">
        <f>AD84+AD85+AD86-AD76-AD83</f>
        <v>-6.3e-12</v>
      </c>
      <c r="AE87" s="15">
        <f>AE84+AE85+AE86-AE76-AE83</f>
        <v>-9.2e-12</v>
      </c>
      <c r="AF87" s="15">
        <f>AF84+AF85+AF86-AF76-AF83</f>
        <v>-1.22e-11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18</v>
      </c>
      <c r="AB88" s="14"/>
      <c r="AC88" s="15">
        <f>AC76-AC84-AC85</f>
        <v>-2383.405330494360</v>
      </c>
      <c r="AD88" s="15">
        <f>AD76-AD84-AD85</f>
        <v>-2286.501280350430</v>
      </c>
      <c r="AE88" s="15">
        <f>AE76-AE84-AE85</f>
        <v>-2187.4576038703</v>
      </c>
      <c r="AF88" s="15">
        <f>AF76-AF84-AF85</f>
        <v>-2085.140299095760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44</v>
      </c>
      <c r="AB89" s="14"/>
      <c r="AC89" s="15">
        <f>AC69+AC71+AC73</f>
        <v>-97.98466950564421</v>
      </c>
      <c r="AD89" s="15">
        <f>AD69+AD71+AD73</f>
        <v>-96.9040501439211</v>
      </c>
      <c r="AE89" s="15">
        <f>AE69+AE71+AE73</f>
        <v>-99.0436764801329</v>
      </c>
      <c r="AF89" s="15">
        <f>AF69+AF71+AF73</f>
        <v>-102.317304774537</v>
      </c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ht="20.05" customHeight="1">
      <c r="AA90" t="s" s="33">
        <v>45</v>
      </c>
      <c r="AB90" s="14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ht="20.05" customHeight="1">
      <c r="AA91" t="s" s="33">
        <f>X$3</f>
        <v>708</v>
      </c>
      <c r="AB91" s="14"/>
      <c r="AC91" s="15"/>
      <c r="AD91" s="15"/>
      <c r="AE91" s="15"/>
      <c r="AF91" s="15">
        <v>100</v>
      </c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ht="20.05" customHeight="1">
      <c r="AA92" t="s" s="33">
        <v>46</v>
      </c>
      <c r="AB92" s="14"/>
      <c r="AC92" s="15"/>
      <c r="AD92" s="15"/>
      <c r="AE92" s="15"/>
      <c r="AF92" s="15">
        <v>176.5929984</v>
      </c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</row>
    <row r="93" ht="20.05" customHeight="1">
      <c r="AA93" t="s" s="33">
        <v>47</v>
      </c>
      <c r="AB93" s="14"/>
      <c r="AC93" s="15"/>
      <c r="AD93" s="15"/>
      <c r="AE93" s="15"/>
      <c r="AF93" s="15">
        <f>AF92/AF91</f>
        <v>1.765929984</v>
      </c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</row>
    <row r="94" ht="20.05" customHeight="1">
      <c r="AA94" t="s" s="33">
        <v>48</v>
      </c>
      <c r="AB94" s="14"/>
      <c r="AC94" s="15"/>
      <c r="AD94" s="15"/>
      <c r="AE94" s="15"/>
      <c r="AF94" s="43">
        <f>AF92/(AF76+AF83)</f>
        <v>0.064961462665444</v>
      </c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</row>
    <row r="95" ht="20.05" customHeight="1">
      <c r="AA95" t="s" s="33">
        <v>49</v>
      </c>
      <c r="AB95" s="14"/>
      <c r="AC95" s="15"/>
      <c r="AD95" s="15"/>
      <c r="AE95" s="15"/>
      <c r="AF95" s="16">
        <f>-(AC71+AD71+AE71+AF71)/AF92</f>
        <v>0</v>
      </c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ht="20.05" customHeight="1">
      <c r="AA96" t="s" s="33">
        <v>50</v>
      </c>
      <c r="AB96" s="14"/>
      <c r="AC96" s="15"/>
      <c r="AD96" s="15"/>
      <c r="AE96" s="15">
        <f>SUM(J33:K36)</f>
        <v>280.8742</v>
      </c>
      <c r="AF96" s="15">
        <f>SUM(AC68:AF68)</f>
        <v>396.249700904235</v>
      </c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</row>
    <row r="97" ht="20.05" customHeight="1">
      <c r="AA97" t="s" s="33">
        <v>51</v>
      </c>
      <c r="AB97" s="14"/>
      <c r="AC97" s="15"/>
      <c r="AD97" s="15"/>
      <c r="AE97" s="15"/>
      <c r="AF97" s="15">
        <f>AF83/AF96</f>
        <v>6.66221844620316</v>
      </c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</row>
    <row r="98" ht="20.05" customHeight="1">
      <c r="AA98" t="s" s="33">
        <v>52</v>
      </c>
      <c r="AB98" s="14"/>
      <c r="AC98" s="15"/>
      <c r="AD98" s="15"/>
      <c r="AE98" s="15">
        <f>AF92/AF96</f>
        <v>0.445660900177383</v>
      </c>
      <c r="AF98" s="15">
        <v>1</v>
      </c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</row>
    <row r="99" ht="20.05" customHeight="1">
      <c r="AA99" t="s" s="33">
        <v>53</v>
      </c>
      <c r="AB99" s="14"/>
      <c r="AC99" s="15"/>
      <c r="AD99" s="15"/>
      <c r="AE99" s="15"/>
      <c r="AF99" s="15">
        <f>AF96*AF98</f>
        <v>396.249700904235</v>
      </c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</row>
    <row r="100" ht="20.05" customHeight="1">
      <c r="AA100" t="s" s="33">
        <v>54</v>
      </c>
      <c r="AB100" s="14"/>
      <c r="AC100" s="15"/>
      <c r="AD100" s="15"/>
      <c r="AE100" s="15"/>
      <c r="AF100" s="15">
        <f>(AF99/AF93)</f>
        <v>224.385850228723</v>
      </c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</row>
    <row r="101" ht="20.05" customHeight="1">
      <c r="AA101" t="s" s="33">
        <v>55</v>
      </c>
      <c r="AB101" s="38"/>
      <c r="AC101" s="23"/>
      <c r="AD101" s="23"/>
      <c r="AE101" s="23"/>
      <c r="AF101" s="16">
        <f>AF100/AF91-1</f>
        <v>1.24385850228723</v>
      </c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</row>
    <row r="102" ht="20.05" customHeight="1">
      <c r="AA102" t="s" s="33">
        <v>56</v>
      </c>
      <c r="AB102" s="38"/>
      <c r="AC102" s="23"/>
      <c r="AD102" s="23"/>
      <c r="AE102" s="23"/>
      <c r="AF102" s="16">
        <f>F36/F32-1</f>
        <v>0.607621440536013</v>
      </c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</row>
    <row r="103" ht="20.05" customHeight="1">
      <c r="AA103" t="s" s="33">
        <v>57</v>
      </c>
      <c r="AB103" s="38"/>
      <c r="AC103" s="23"/>
      <c r="AD103" s="23"/>
      <c r="AE103" s="23"/>
      <c r="AF103" s="16">
        <f>O38/N38-1</f>
        <v>-1</v>
      </c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</row>
    <row r="104" ht="20.05" customHeight="1">
      <c r="AA104" s="36"/>
      <c r="AB104" s="38"/>
      <c r="AC104" s="23"/>
      <c r="AD104" s="23"/>
      <c r="AE104" s="23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</row>
    <row r="105" ht="20.05" customHeight="1">
      <c r="AA105" s="36"/>
      <c r="AB105" s="38"/>
      <c r="AC105" t="s" s="44">
        <f>$AA91</f>
        <v>708</v>
      </c>
      <c r="AD105" t="s" s="44">
        <f>AC127</f>
        <v>15</v>
      </c>
      <c r="AE105" t="s" s="44">
        <f>AD127</f>
        <v>360</v>
      </c>
      <c r="AF105" t="s" s="44">
        <f>AE127</f>
        <v>59</v>
      </c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</row>
    <row r="106" ht="20.05" customHeight="1">
      <c r="AA106" s="36"/>
      <c r="AB106" s="45"/>
      <c r="AC106" t="s" s="44">
        <v>60</v>
      </c>
      <c r="AD106" s="15">
        <f>AF91</f>
        <v>100</v>
      </c>
      <c r="AE106" t="s" s="44">
        <v>61</v>
      </c>
      <c r="AF106" s="15">
        <f>AF100</f>
        <v>224.385850228723</v>
      </c>
      <c r="AG106" t="s" s="44">
        <f>IF(AH106&gt;0,"+","")</f>
        <v>361</v>
      </c>
      <c r="AH106" s="16">
        <f>AF106/AD106-1</f>
        <v>1.24385850228723</v>
      </c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46"/>
      <c r="AC107" s="47">
        <f>TODAY()</f>
        <v>44942</v>
      </c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A108" s="36"/>
      <c r="AB108" s="34"/>
      <c r="AC108" t="s" s="44">
        <v>62</v>
      </c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32.05" customHeight="1">
      <c r="AA109" s="36"/>
      <c r="AB109" s="34"/>
      <c r="AC109" t="s" s="44">
        <v>63</v>
      </c>
      <c r="AD109" t="s" s="44">
        <v>64</v>
      </c>
      <c r="AE109" t="s" s="44">
        <f>IF(AF109&gt;0,"+","")</f>
        <v>361</v>
      </c>
      <c r="AF109" s="16">
        <f>AK116/AC116-1</f>
        <v>0.607621440536013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t="s" s="44">
        <v>63</v>
      </c>
      <c r="AD110" t="s" s="44">
        <v>65</v>
      </c>
      <c r="AE110" t="s" s="44">
        <f>IF(AF110&gt;0,"+","")</f>
        <v>361</v>
      </c>
      <c r="AF110" s="16">
        <f>(AE131+AE132+AG131+AG132+AI131+AI132+AK131+AK132)/AD148</f>
        <v>1.59051719232828</v>
      </c>
      <c r="AG110" t="s" s="44">
        <v>66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68.05" customHeight="1">
      <c r="AA111" s="36"/>
      <c r="AB111" s="34"/>
      <c r="AC111" t="s" s="44">
        <v>63</v>
      </c>
      <c r="AD111" t="s" s="44">
        <v>67</v>
      </c>
      <c r="AE111" t="s" s="44">
        <f>IF(AF111&gt;0,"+","")</f>
        <v>361</v>
      </c>
      <c r="AF111" s="16">
        <f>(AE145+AE146+AG145+AG146+AI145+AI146+AK145+AK146)/AD148</f>
        <v>1.53504953455731</v>
      </c>
      <c r="AG111" t="s" s="44">
        <f>AG110</f>
        <v>66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68</v>
      </c>
      <c r="AD112" t="s" s="44">
        <v>69</v>
      </c>
      <c r="AE112" s="16">
        <f>AN141/AD148</f>
        <v>-14.0514630958325</v>
      </c>
      <c r="AF112" t="s" s="44">
        <f>AG111</f>
        <v>66</v>
      </c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20.05" customHeight="1">
      <c r="AA113" s="36"/>
      <c r="AB113" s="34"/>
      <c r="AC113" t="s" s="44">
        <v>28</v>
      </c>
      <c r="AD113" t="s" s="44">
        <f>AD117</f>
        <v>362</v>
      </c>
      <c r="AE113" s="16">
        <f>AE117</f>
        <v>0.309345156889495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68.05" customHeight="1">
      <c r="AA114" s="36"/>
      <c r="AB114" s="34"/>
      <c r="AC114" t="s" s="44">
        <v>70</v>
      </c>
      <c r="AD114" t="s" s="44">
        <v>71</v>
      </c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s="16">
        <f>P32</f>
        <v>0.189868512110727</v>
      </c>
      <c r="AD115" s="16">
        <f>P33</f>
        <v>0.0627210124697562</v>
      </c>
      <c r="AE115" s="16">
        <f>P34</f>
        <v>0.097734238178634</v>
      </c>
      <c r="AF115" s="16">
        <f>P35</f>
        <v>0.0524783376043235</v>
      </c>
      <c r="AG115" s="16">
        <f>P36</f>
        <v>0.309345156889495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32.05" customHeight="1">
      <c r="AA116" s="36"/>
      <c r="AB116" s="34"/>
      <c r="AC116" s="15">
        <f>F32</f>
        <v>429.84</v>
      </c>
      <c r="AD116" t="s" s="44">
        <v>72</v>
      </c>
      <c r="AE116" s="15">
        <f>F33</f>
        <v>456.8</v>
      </c>
      <c r="AF116" t="s" s="44">
        <v>72</v>
      </c>
      <c r="AG116" s="15">
        <f>F34</f>
        <v>501.445</v>
      </c>
      <c r="AH116" t="s" s="44">
        <v>72</v>
      </c>
      <c r="AI116" s="15">
        <f>F35</f>
        <v>527.76</v>
      </c>
      <c r="AJ116" t="s" s="44">
        <v>72</v>
      </c>
      <c r="AK116" s="15">
        <f>F36</f>
        <v>691.02</v>
      </c>
      <c r="AL116" t="s" s="48">
        <f>AA$60</f>
        <v>22</v>
      </c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v>2</v>
      </c>
      <c r="AD117" t="s" s="44">
        <f>IF(AE117&lt;0,"declined","grew")</f>
        <v>362</v>
      </c>
      <c r="AE117" s="16">
        <f>AK116/AI116-1</f>
        <v>0.309345156889495</v>
      </c>
      <c r="AF117" t="s" s="44">
        <v>73</v>
      </c>
      <c r="AG117" t="s" s="44">
        <v>74</v>
      </c>
      <c r="AH117" t="s" s="44">
        <v>75</v>
      </c>
      <c r="AI117" t="s" s="44">
        <v>76</v>
      </c>
      <c r="AJ117" s="15">
        <f>AK116</f>
        <v>691.02</v>
      </c>
      <c r="AK117" t="s" s="48">
        <f>AL116</f>
        <v>22</v>
      </c>
      <c r="AL117" t="s" s="44">
        <v>77</v>
      </c>
      <c r="AM117" t="s" s="44">
        <f>IF(AN117&gt;0,"+","")</f>
      </c>
      <c r="AN117" s="16">
        <f>AF103</f>
        <v>-1</v>
      </c>
      <c r="AO117" t="s" s="44">
        <v>78</v>
      </c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v>79</v>
      </c>
      <c r="AD118" s="16">
        <f>AVERAGE(AD115:AG115)</f>
        <v>0.130569686285552</v>
      </c>
      <c r="AE118" t="s" s="44">
        <v>80</v>
      </c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56.05" customHeight="1">
      <c r="AA119" s="36"/>
      <c r="AB119" s="34"/>
      <c r="AC119" t="s" s="44">
        <v>81</v>
      </c>
      <c r="AD119" s="35">
        <f>AF62</f>
        <v>0.0125</v>
      </c>
      <c r="AE119" t="s" s="44">
        <v>82</v>
      </c>
      <c r="AF119" t="s" s="44">
        <v>83</v>
      </c>
      <c r="AG119" s="23">
        <f>AF65</f>
        <v>725.9130134388</v>
      </c>
      <c r="AH119" t="s" s="48">
        <f>AL116</f>
        <v>22</v>
      </c>
      <c r="AI119" t="s" s="44">
        <v>84</v>
      </c>
      <c r="AJ119" t="s" s="44">
        <f>AG117</f>
        <v>74</v>
      </c>
      <c r="AK119" t="s" s="44">
        <f>AH117</f>
        <v>75</v>
      </c>
      <c r="AL119" t="s" s="44">
        <v>85</v>
      </c>
      <c r="AM119" s="17"/>
      <c r="AN119" s="17"/>
      <c r="AO119" s="17"/>
      <c r="AP119" s="17"/>
      <c r="AQ119" s="17"/>
      <c r="AR119" s="17"/>
      <c r="AS119" s="17"/>
      <c r="AT119" s="17"/>
    </row>
    <row r="120" ht="20.05" customHeight="1">
      <c r="AA120" s="36"/>
      <c r="AB120" s="34"/>
      <c r="AC120" t="s" s="44">
        <v>14</v>
      </c>
      <c r="AD120" t="s" s="44">
        <f>IF(AF124&lt;AD124,"down","up")</f>
        <v>108</v>
      </c>
      <c r="AE120" t="s" s="44">
        <v>86</v>
      </c>
      <c r="AF120" t="s" s="44">
        <f>IF(AJ124&gt;AH124,"up","down")</f>
        <v>108</v>
      </c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f>AC114</f>
        <v>70</v>
      </c>
      <c r="AD121" t="s" s="44">
        <v>88</v>
      </c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20.05" customHeight="1">
      <c r="AA122" s="36"/>
      <c r="AB122" s="34"/>
      <c r="AC122" s="16">
        <f>(G32+H32)/F32</f>
        <v>0.05946514982319</v>
      </c>
      <c r="AD122" s="16">
        <f>(G33+H33)/F33</f>
        <v>-0.00654443957968476</v>
      </c>
      <c r="AE122" s="16">
        <f>((H34+G34)/F34)</f>
        <v>0.128571428571429</v>
      </c>
      <c r="AF122" s="16">
        <f>(G35+H35)/F35</f>
        <v>0.124053547066849</v>
      </c>
      <c r="AG122" s="16">
        <f>(G36+H36)/F36</f>
        <v>0.235645133281236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32.05" customHeight="1">
      <c r="AA123" s="36"/>
      <c r="AB123" s="34"/>
      <c r="AC123" s="15">
        <f>H32</f>
        <v>0</v>
      </c>
      <c r="AD123" t="s" s="44">
        <v>72</v>
      </c>
      <c r="AE123" s="15">
        <f>H33</f>
        <v>-28.55</v>
      </c>
      <c r="AF123" t="s" s="44">
        <v>72</v>
      </c>
      <c r="AG123" s="15">
        <f>H34</f>
        <v>42.981</v>
      </c>
      <c r="AH123" t="s" s="44">
        <v>72</v>
      </c>
      <c r="AI123" s="15">
        <f>H35</f>
        <v>43.98</v>
      </c>
      <c r="AJ123" t="s" s="44">
        <v>72</v>
      </c>
      <c r="AK123" s="15">
        <f>H36</f>
        <v>141.345</v>
      </c>
      <c r="AL123" t="s" s="48">
        <f>AL116</f>
        <v>22</v>
      </c>
      <c r="AM123" s="17"/>
      <c r="AN123" s="17"/>
      <c r="AO123" s="17"/>
      <c r="AP123" s="17"/>
      <c r="AQ123" s="17"/>
      <c r="AR123" s="17"/>
      <c r="AS123" s="17"/>
      <c r="AT123" s="17"/>
    </row>
    <row r="124" ht="44.05" customHeight="1">
      <c r="AA124" s="36"/>
      <c r="AB124" s="34"/>
      <c r="AC124" t="s" s="44">
        <v>89</v>
      </c>
      <c r="AD124" s="16">
        <f>AF122</f>
        <v>0.124053547066849</v>
      </c>
      <c r="AE124" t="s" s="44">
        <v>76</v>
      </c>
      <c r="AF124" s="16">
        <f>AG122</f>
        <v>0.235645133281236</v>
      </c>
      <c r="AG124" t="s" s="44">
        <v>90</v>
      </c>
      <c r="AH124" s="15">
        <f>AI123</f>
        <v>43.98</v>
      </c>
      <c r="AI124" t="s" s="44">
        <v>76</v>
      </c>
      <c r="AJ124" s="15">
        <f>AK123</f>
        <v>141.345</v>
      </c>
      <c r="AK124" t="s" s="48">
        <f>AH119</f>
        <v>22</v>
      </c>
      <c r="AL124" t="s" s="44">
        <v>73</v>
      </c>
      <c r="AM124" t="s" s="44">
        <f>AJ119</f>
        <v>74</v>
      </c>
      <c r="AN124" t="s" s="44">
        <v>91</v>
      </c>
      <c r="AO124" s="17"/>
      <c r="AP124" s="17"/>
      <c r="AQ124" s="17"/>
      <c r="AR124" s="17"/>
      <c r="AS124" s="17"/>
      <c r="AT124" s="17"/>
    </row>
    <row r="125" ht="68.05" customHeight="1">
      <c r="AA125" s="36"/>
      <c r="AB125" s="34"/>
      <c r="AC125" t="s" s="44">
        <v>92</v>
      </c>
      <c r="AD125" s="16">
        <f>AVERAGE(AD122:AG122)</f>
        <v>0.120431417334957</v>
      </c>
      <c r="AE125" t="s" s="44">
        <v>78</v>
      </c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44.05" customHeight="1">
      <c r="AA126" s="36"/>
      <c r="AB126" s="34"/>
      <c r="AC126" t="s" s="44">
        <v>93</v>
      </c>
      <c r="AD126" s="35">
        <f>AC66</f>
        <v>0.154832010668561</v>
      </c>
      <c r="AE126" t="s" s="44">
        <v>94</v>
      </c>
      <c r="AF126" s="15">
        <f>AF79</f>
        <v>90.9040714412035</v>
      </c>
      <c r="AG126" t="s" s="48">
        <f>AK124</f>
        <v>22</v>
      </c>
      <c r="AH126" t="s" s="44">
        <v>95</v>
      </c>
      <c r="AI126" t="s" s="44">
        <f>AM124</f>
        <v>74</v>
      </c>
      <c r="AJ126" t="s" s="44">
        <f>AH117</f>
        <v>75</v>
      </c>
      <c r="AK126" t="s" s="44">
        <f>AL119</f>
        <v>85</v>
      </c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A127" s="36"/>
      <c r="AB127" s="34"/>
      <c r="AC127" t="s" s="44">
        <v>15</v>
      </c>
      <c r="AD127" t="s" s="44">
        <f>IF(AD129&gt;AC129,"more","less")</f>
        <v>360</v>
      </c>
      <c r="AE127" t="s" s="44">
        <f>IF(AF133&lt;0,"negative","positive")</f>
        <v>59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8.35" customHeight="1" hidden="1">
      <c r="AA128" s="36"/>
      <c r="AB128" s="34"/>
      <c r="AC128" s="17"/>
      <c r="AD128" s="15">
        <f>ABS(AD133)</f>
        <v>35.184</v>
      </c>
      <c r="AE128" s="15">
        <f>ABS(AF133)</f>
        <v>157.05</v>
      </c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8.35" customHeight="1" hidden="1">
      <c r="AA129" s="36"/>
      <c r="AB129" s="34"/>
      <c r="AC129" s="15">
        <f>ABS(AD133)</f>
        <v>35.184</v>
      </c>
      <c r="AD129" s="15">
        <f>ABS(AF133)</f>
        <v>157.05</v>
      </c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56.05" customHeight="1">
      <c r="AA130" s="36"/>
      <c r="AB130" s="34"/>
      <c r="AC130" t="s" s="44">
        <f>AC121</f>
        <v>70</v>
      </c>
      <c r="AD130" t="s" s="44">
        <v>96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32.05" customHeight="1">
      <c r="AA131" s="36"/>
      <c r="AB131" s="34"/>
      <c r="AC131" s="15">
        <f>J32</f>
        <v>42.984</v>
      </c>
      <c r="AD131" t="s" s="44">
        <v>72</v>
      </c>
      <c r="AE131" s="15">
        <f>J33</f>
        <v>71.375</v>
      </c>
      <c r="AF131" t="s" s="44">
        <v>72</v>
      </c>
      <c r="AG131" s="15">
        <f>J34</f>
        <v>42.981</v>
      </c>
      <c r="AH131" t="s" s="44">
        <v>72</v>
      </c>
      <c r="AI131" s="15">
        <f>J35</f>
        <v>43.98</v>
      </c>
      <c r="AJ131" t="s" s="44">
        <v>72</v>
      </c>
      <c r="AK131" s="15">
        <f>J36</f>
        <v>172.755</v>
      </c>
      <c r="AL131" t="s" s="48">
        <f>AL116</f>
        <v>22</v>
      </c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K32</f>
        <v>-11.4624</v>
      </c>
      <c r="AD132" t="s" s="44">
        <v>72</v>
      </c>
      <c r="AE132" s="15">
        <f>K33</f>
        <v>-19.985</v>
      </c>
      <c r="AF132" t="s" s="44">
        <v>72</v>
      </c>
      <c r="AG132" s="15">
        <f>K34</f>
        <v>-5.7308</v>
      </c>
      <c r="AH132" t="s" s="44">
        <v>72</v>
      </c>
      <c r="AI132" s="15">
        <f>K35</f>
        <v>-8.795999999999999</v>
      </c>
      <c r="AJ132" t="s" s="44">
        <v>72</v>
      </c>
      <c r="AK132" s="15">
        <f>K36</f>
        <v>-15.705</v>
      </c>
      <c r="AL132" t="s" s="48">
        <f>AL131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44.05" customHeight="1">
      <c r="AA133" s="36"/>
      <c r="AB133" s="34"/>
      <c r="AC133" t="s" s="44">
        <v>97</v>
      </c>
      <c r="AD133" s="15">
        <f>AI131+AI132</f>
        <v>35.184</v>
      </c>
      <c r="AE133" t="s" s="44">
        <v>76</v>
      </c>
      <c r="AF133" s="15">
        <f>AK131+AK132</f>
        <v>157.05</v>
      </c>
      <c r="AG133" t="s" s="48">
        <f>AG126</f>
        <v>22</v>
      </c>
      <c r="AH133" t="s" s="44">
        <v>84</v>
      </c>
      <c r="AI133" t="s" s="44">
        <f>AI126</f>
        <v>74</v>
      </c>
      <c r="AJ133" t="s" s="44">
        <v>98</v>
      </c>
      <c r="AK133" s="15">
        <f>AK132</f>
        <v>-15.705</v>
      </c>
      <c r="AL133" t="s" s="48">
        <f>AL116</f>
        <v>22</v>
      </c>
      <c r="AM133" t="s" s="44">
        <v>99</v>
      </c>
      <c r="AN133" s="17"/>
      <c r="AO133" s="17"/>
      <c r="AP133" s="17"/>
      <c r="AQ133" s="17"/>
      <c r="AR133" s="17"/>
      <c r="AS133" s="17"/>
      <c r="AT133" s="17"/>
    </row>
    <row r="134" ht="56.05" customHeight="1">
      <c r="AA134" s="36"/>
      <c r="AB134" s="34"/>
      <c r="AC134" t="s" s="44">
        <v>100</v>
      </c>
      <c r="AD134" s="15">
        <f>(AE131+AE132+AG131+AG132+AI131+AI132+AK131+AK132)/4</f>
        <v>70.21854999999999</v>
      </c>
      <c r="AE134" t="s" s="48">
        <f>AL116</f>
        <v>22</v>
      </c>
      <c r="AF134" t="s" s="44">
        <v>78</v>
      </c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v>101</v>
      </c>
      <c r="AD135" s="15">
        <f>AC67</f>
        <v>-10.0772666666667</v>
      </c>
      <c r="AE135" t="s" s="48">
        <f>AE134</f>
        <v>22</v>
      </c>
      <c r="AF135" t="s" s="44">
        <v>102</v>
      </c>
      <c r="AG135" t="s" s="44">
        <v>103</v>
      </c>
      <c r="AH135" t="s" s="44">
        <f>IF(AG119&gt;AJ117,"higher","lower")</f>
        <v>363</v>
      </c>
      <c r="AI135" t="s" s="44">
        <v>105</v>
      </c>
      <c r="AJ135" s="15">
        <f>SUM(AC68:AF68)/4</f>
        <v>99.06242522605881</v>
      </c>
      <c r="AK135" t="s" s="48">
        <f>AE135</f>
        <v>22</v>
      </c>
      <c r="AL135" t="s" s="44">
        <v>106</v>
      </c>
      <c r="AM135" t="s" s="44">
        <v>107</v>
      </c>
      <c r="AN135" s="17"/>
      <c r="AO135" s="17"/>
      <c r="AP135" s="17"/>
      <c r="AQ135" s="17"/>
      <c r="AR135" s="17"/>
      <c r="AS135" s="17"/>
      <c r="AT135" s="17"/>
    </row>
    <row r="136" ht="20.05" customHeight="1">
      <c r="AA136" s="36"/>
      <c r="AB136" s="34"/>
      <c r="AC136" t="s" s="44">
        <v>18</v>
      </c>
      <c r="AD136" t="s" s="44">
        <f>AK141</f>
        <v>87</v>
      </c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32.05" customHeight="1">
      <c r="AA137" s="36"/>
      <c r="AB137" s="34"/>
      <c r="AC137" t="s" s="44">
        <f>AC114</f>
        <v>70</v>
      </c>
      <c r="AD137" t="s" s="44">
        <v>109</v>
      </c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32.05" customHeight="1">
      <c r="AA138" s="36"/>
      <c r="AB138" s="34"/>
      <c r="AC138" s="15">
        <f>C32</f>
        <v>57.312</v>
      </c>
      <c r="AD138" t="s" s="44">
        <v>72</v>
      </c>
      <c r="AE138" s="15">
        <f>C33</f>
        <v>57.1</v>
      </c>
      <c r="AF138" t="s" s="44">
        <v>72</v>
      </c>
      <c r="AG138" s="15">
        <f>C34</f>
        <v>57.308</v>
      </c>
      <c r="AH138" t="s" s="44">
        <v>72</v>
      </c>
      <c r="AI138" s="15">
        <f>C35</f>
        <v>58.64</v>
      </c>
      <c r="AJ138" t="s" s="44">
        <v>72</v>
      </c>
      <c r="AK138" s="15">
        <f>C36</f>
        <v>78.52500000000001</v>
      </c>
      <c r="AL138" t="s" s="48">
        <f>AL116</f>
        <v>22</v>
      </c>
      <c r="AM138" s="17"/>
      <c r="AN138" s="17"/>
      <c r="AO138" s="17"/>
      <c r="AP138" s="17"/>
      <c r="AQ138" s="17"/>
      <c r="AR138" s="17"/>
      <c r="AS138" s="17"/>
      <c r="AT138" s="17"/>
    </row>
    <row r="139" ht="32.05" customHeight="1">
      <c r="AA139" s="36"/>
      <c r="AB139" s="34"/>
      <c r="AC139" s="15">
        <f>D32</f>
        <v>2335.464</v>
      </c>
      <c r="AD139" t="s" s="44">
        <v>72</v>
      </c>
      <c r="AE139" s="15">
        <f>D33</f>
        <v>2383.925</v>
      </c>
      <c r="AF139" t="s" s="44">
        <v>72</v>
      </c>
      <c r="AG139" s="15">
        <f>D34</f>
        <v>2292.32</v>
      </c>
      <c r="AH139" t="s" s="44">
        <v>72</v>
      </c>
      <c r="AI139" s="15">
        <f>D35</f>
        <v>2330.94</v>
      </c>
      <c r="AJ139" t="s" s="44">
        <v>72</v>
      </c>
      <c r="AK139" s="15">
        <f>D36</f>
        <v>2559.915</v>
      </c>
      <c r="AL139" t="s" s="48">
        <f>AL138</f>
        <v>22</v>
      </c>
      <c r="AM139" s="17"/>
      <c r="AN139" s="17"/>
      <c r="AO139" s="17"/>
      <c r="AP139" s="17"/>
      <c r="AQ139" s="17"/>
      <c r="AR139" s="17"/>
      <c r="AS139" s="17"/>
      <c r="AT139" s="17"/>
    </row>
    <row r="140" ht="32.05" customHeight="1">
      <c r="AA140" s="36"/>
      <c r="AB140" s="34"/>
      <c r="AC140" t="s" s="44">
        <v>110</v>
      </c>
      <c r="AD140" t="s" s="44">
        <f>IF(AG140&lt;AE140,"declined","increased")</f>
        <v>111</v>
      </c>
      <c r="AE140" s="15">
        <f>AI138</f>
        <v>58.64</v>
      </c>
      <c r="AF140" t="s" s="44">
        <v>76</v>
      </c>
      <c r="AG140" s="15">
        <f>AK138</f>
        <v>78.52500000000001</v>
      </c>
      <c r="AH140" t="s" s="48">
        <f>AK135</f>
        <v>22</v>
      </c>
      <c r="AI140" t="s" s="44">
        <v>84</v>
      </c>
      <c r="AJ140" t="s" s="44">
        <f>AG117</f>
        <v>74</v>
      </c>
      <c r="AK140" t="s" s="44">
        <f>AN124</f>
        <v>91</v>
      </c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32.05" customHeight="1">
      <c r="AA141" s="36"/>
      <c r="AB141" s="34"/>
      <c r="AC141" t="s" s="44">
        <v>112</v>
      </c>
      <c r="AD141" t="s" s="44">
        <f>IF(AG141&lt;AE141,"declined","increased")</f>
        <v>111</v>
      </c>
      <c r="AE141" s="15">
        <f>AI139</f>
        <v>2330.94</v>
      </c>
      <c r="AF141" t="s" s="44">
        <v>76</v>
      </c>
      <c r="AG141" s="15">
        <f>AK139</f>
        <v>2559.915</v>
      </c>
      <c r="AH141" t="s" s="48">
        <f>AH140</f>
        <v>22</v>
      </c>
      <c r="AI141" t="s" s="44">
        <v>113</v>
      </c>
      <c r="AJ141" t="s" s="44">
        <v>114</v>
      </c>
      <c r="AK141" t="s" s="44">
        <f>IF(AN141&lt;AL141,"down","up")</f>
        <v>87</v>
      </c>
      <c r="AL141" s="15">
        <f>AE140-AE141</f>
        <v>-2272.3</v>
      </c>
      <c r="AM141" t="s" s="44">
        <v>76</v>
      </c>
      <c r="AN141" s="15">
        <f>AG140-AG141</f>
        <v>-2481.39</v>
      </c>
      <c r="AO141" t="s" s="48">
        <f>AH141</f>
        <v>22</v>
      </c>
      <c r="AP141" t="s" s="44">
        <v>115</v>
      </c>
      <c r="AQ141" s="17"/>
      <c r="AR141" s="17"/>
      <c r="AS141" s="17"/>
      <c r="AT141" s="17"/>
    </row>
    <row r="142" ht="56.05" customHeight="1">
      <c r="AA142" s="36"/>
      <c r="AB142" s="34"/>
      <c r="AC142" t="s" s="44">
        <v>116</v>
      </c>
      <c r="AD142" s="15">
        <f>SUM(AC71:AF71)</f>
        <v>0</v>
      </c>
      <c r="AE142" t="s" s="48">
        <f>AH141</f>
        <v>22</v>
      </c>
      <c r="AF142" t="s" s="44">
        <v>117</v>
      </c>
      <c r="AG142" t="s" s="44">
        <f>IF(AH142&gt;0,"+","")</f>
      </c>
      <c r="AH142" s="15">
        <f>AC69+AD69+AE69+AF69+AC73+AD73+AE73+AF73</f>
        <v>-396.249700904235</v>
      </c>
      <c r="AI142" t="s" s="48">
        <f>AO141</f>
        <v>22</v>
      </c>
      <c r="AJ142" t="s" s="44">
        <v>118</v>
      </c>
      <c r="AK142" t="s" s="44">
        <v>119</v>
      </c>
      <c r="AL142" s="15">
        <f>AF88</f>
        <v>-2085.140299095760</v>
      </c>
      <c r="AM142" t="s" s="48">
        <f>AH141</f>
        <v>22</v>
      </c>
      <c r="AN142" t="s" s="44">
        <v>120</v>
      </c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t="s" s="44">
        <v>17</v>
      </c>
      <c r="AD143" t="s" s="44">
        <f>AD147</f>
        <v>374</v>
      </c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68.05" customHeight="1">
      <c r="AA144" s="36"/>
      <c r="AB144" s="34"/>
      <c r="AC144" t="s" s="44">
        <f>AC114</f>
        <v>70</v>
      </c>
      <c r="AD144" t="s" s="44">
        <v>122</v>
      </c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32.05" customHeight="1">
      <c r="AA145" s="36"/>
      <c r="AB145" s="34"/>
      <c r="AC145" s="15">
        <f>-L32</f>
        <v>28.656</v>
      </c>
      <c r="AD145" t="s" s="44">
        <v>72</v>
      </c>
      <c r="AE145" s="15">
        <f>-L33</f>
        <v>57.1</v>
      </c>
      <c r="AF145" t="s" s="44">
        <v>72</v>
      </c>
      <c r="AG145" s="15">
        <f>-L34</f>
        <v>28.654</v>
      </c>
      <c r="AH145" t="s" s="44">
        <v>72</v>
      </c>
      <c r="AI145" s="15">
        <f>-L35</f>
        <v>43.98</v>
      </c>
      <c r="AJ145" t="s" s="44">
        <v>72</v>
      </c>
      <c r="AK145" s="15">
        <f>-L36</f>
        <v>141.345</v>
      </c>
      <c r="AL145" t="s" s="48">
        <f>AL116</f>
        <v>22</v>
      </c>
      <c r="AM145" s="17"/>
      <c r="AN145" s="17"/>
      <c r="AO145" s="17"/>
      <c r="AP145" s="17"/>
      <c r="AQ145" s="17"/>
      <c r="AR145" s="17"/>
      <c r="AS145" s="17"/>
      <c r="AT145" s="17"/>
    </row>
    <row r="146" ht="32.05" customHeight="1">
      <c r="AA146" s="36"/>
      <c r="AB146" s="34"/>
      <c r="AC146" s="15">
        <f>-M32</f>
        <v>0</v>
      </c>
      <c r="AD146" t="s" s="44">
        <v>72</v>
      </c>
      <c r="AE146" s="15">
        <f>-M33</f>
        <v>0</v>
      </c>
      <c r="AF146" t="s" s="44">
        <v>72</v>
      </c>
      <c r="AG146" s="15">
        <f>-M34</f>
        <v>0</v>
      </c>
      <c r="AH146" t="s" s="44">
        <v>72</v>
      </c>
      <c r="AI146" s="15">
        <f>-M35</f>
        <v>0</v>
      </c>
      <c r="AJ146" t="s" s="44">
        <v>72</v>
      </c>
      <c r="AK146" s="15">
        <f>-M36</f>
        <v>0</v>
      </c>
      <c r="AL146" t="s" s="48">
        <f>AL145</f>
        <v>22</v>
      </c>
      <c r="AM146" s="17"/>
      <c r="AN146" s="17"/>
      <c r="AO146" s="17"/>
      <c r="AP146" s="17"/>
      <c r="AQ146" s="17"/>
      <c r="AR146" s="17"/>
      <c r="AS146" s="17"/>
      <c r="AT146" s="17"/>
    </row>
    <row r="147" ht="44.05" customHeight="1">
      <c r="AA147" s="36"/>
      <c r="AB147" s="34"/>
      <c r="AC147" t="s" s="44">
        <f>AC105</f>
        <v>708</v>
      </c>
      <c r="AD147" t="s" s="44">
        <f>IF(AE147&gt;0,"paid","(raised)")</f>
        <v>374</v>
      </c>
      <c r="AE147" s="15">
        <f>SUM(AK145:AK146)</f>
        <v>141.345</v>
      </c>
      <c r="AF147" t="s" s="48">
        <f>AL116</f>
        <v>22</v>
      </c>
      <c r="AG147" t="s" s="44">
        <f>AF117</f>
        <v>73</v>
      </c>
      <c r="AH147" t="s" s="44">
        <f>AG117</f>
        <v>74</v>
      </c>
      <c r="AI147" t="s" s="44">
        <f>AH117</f>
        <v>75</v>
      </c>
      <c r="AJ147" s="15">
        <f>AK145</f>
        <v>141.345</v>
      </c>
      <c r="AK147" t="s" s="48">
        <f>AL116</f>
        <v>22</v>
      </c>
      <c r="AL147" t="s" s="44">
        <v>123</v>
      </c>
      <c r="AM147" s="15">
        <f>AK146</f>
        <v>0</v>
      </c>
      <c r="AN147" t="s" s="48">
        <f>AL116</f>
        <v>22</v>
      </c>
      <c r="AO147" t="s" s="44">
        <v>124</v>
      </c>
      <c r="AP147" t="s" s="44">
        <v>125</v>
      </c>
      <c r="AQ147" t="s" s="44">
        <f>IF(AR147&gt;0,"pay","raise")</f>
        <v>364</v>
      </c>
      <c r="AR147" s="15">
        <f>-SUM(AC89:AF89)</f>
        <v>396.249700904235</v>
      </c>
      <c r="AS147" t="s" s="48">
        <f>AL116</f>
        <v>22</v>
      </c>
      <c r="AT147" t="s" s="44">
        <v>126</v>
      </c>
    </row>
    <row r="148" ht="56.05" customHeight="1">
      <c r="AA148" s="36"/>
      <c r="AB148" s="34"/>
      <c r="AC148" t="s" s="44">
        <v>127</v>
      </c>
      <c r="AD148" s="15">
        <f>AF92</f>
        <v>176.5929984</v>
      </c>
      <c r="AE148" t="s" s="48">
        <f>AL116</f>
        <v>22</v>
      </c>
      <c r="AF148" t="s" s="44">
        <v>128</v>
      </c>
      <c r="AG148" t="s" s="44">
        <v>129</v>
      </c>
      <c r="AH148" s="43">
        <f>AF94</f>
        <v>0.064961462665444</v>
      </c>
      <c r="AI148" t="s" s="44">
        <v>130</v>
      </c>
      <c r="AJ148" t="s" s="44">
        <v>131</v>
      </c>
      <c r="AK148" t="s" s="44">
        <v>132</v>
      </c>
      <c r="AL148" s="15">
        <f>AF97</f>
        <v>6.66221844620316</v>
      </c>
      <c r="AM148" t="s" s="44">
        <v>133</v>
      </c>
      <c r="AN148" s="16">
        <f>-AD142/AD148</f>
        <v>0</v>
      </c>
      <c r="AO148" t="s" s="44">
        <v>134</v>
      </c>
      <c r="AP148" s="17"/>
      <c r="AQ148" s="17"/>
      <c r="AR148" s="17"/>
      <c r="AS148" s="17"/>
      <c r="AT148" s="17"/>
    </row>
    <row r="149" ht="56.05" customHeight="1">
      <c r="AA149" s="36"/>
      <c r="AB149" s="34"/>
      <c r="AC149" t="s" s="44">
        <v>135</v>
      </c>
      <c r="AD149" s="15">
        <f>AF96</f>
        <v>396.249700904235</v>
      </c>
      <c r="AE149" t="s" s="48">
        <f>AE148</f>
        <v>22</v>
      </c>
      <c r="AF149" t="s" s="44">
        <v>136</v>
      </c>
      <c r="AG149" s="15">
        <f>AD148/AD149</f>
        <v>0.445660900177383</v>
      </c>
      <c r="AH149" t="s" s="44">
        <v>130</v>
      </c>
      <c r="AI149" t="s" s="44">
        <v>137</v>
      </c>
      <c r="AJ149" t="s" s="44">
        <v>138</v>
      </c>
      <c r="AK149" s="15">
        <f>AF98</f>
        <v>1</v>
      </c>
      <c r="AL149" t="s" s="44">
        <v>139</v>
      </c>
      <c r="AM149" t="s" s="44">
        <v>140</v>
      </c>
      <c r="AN149" t="s" s="44">
        <v>141</v>
      </c>
      <c r="AO149" s="16">
        <f>AH106</f>
        <v>1.24385850228723</v>
      </c>
      <c r="AP149" t="s" s="44">
        <f>IF(AO149&gt;0,"higher","lower")</f>
        <v>363</v>
      </c>
      <c r="AQ149" t="s" s="44">
        <v>142</v>
      </c>
      <c r="AR149" s="15">
        <f>AF106</f>
        <v>224.385850228723</v>
      </c>
      <c r="AS149" t="s" s="44">
        <v>143</v>
      </c>
      <c r="AT149" s="17"/>
    </row>
    <row r="150" ht="20.05" customHeight="1">
      <c r="AA150" s="36"/>
      <c r="AB150" s="34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ht="20.05" customHeight="1">
      <c r="AA151" t="s" s="33">
        <v>28</v>
      </c>
      <c r="AB151" s="14">
        <f>AC116</f>
        <v>429.84</v>
      </c>
      <c r="AC151" s="15">
        <f>AE116</f>
        <v>456.8</v>
      </c>
      <c r="AD151" s="15">
        <f>AG116</f>
        <v>501.445</v>
      </c>
      <c r="AE151" s="15">
        <f>AI116</f>
        <v>527.76</v>
      </c>
      <c r="AF151" s="15">
        <f>AK116</f>
        <v>691.02</v>
      </c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ht="20.05" customHeight="1">
      <c r="AA152" t="s" s="33">
        <v>144</v>
      </c>
      <c r="AB152" s="14">
        <f>SUM(AC131:AC132)</f>
        <v>31.5216</v>
      </c>
      <c r="AC152" s="15">
        <f>SUM(AE131:AE132)</f>
        <v>51.39</v>
      </c>
      <c r="AD152" s="15">
        <f>SUM(AG131:AG132)</f>
        <v>37.2502</v>
      </c>
      <c r="AE152" s="15">
        <f>SUM(AI131:AI132)</f>
        <v>35.184</v>
      </c>
      <c r="AF152" s="15">
        <f>SUM(AK131:AK132)</f>
        <v>157.05</v>
      </c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ht="20.05" customHeight="1">
      <c r="AA153" t="s" s="33">
        <v>145</v>
      </c>
      <c r="AB153" s="14">
        <f>SUM(AC145:AC146)</f>
        <v>28.656</v>
      </c>
      <c r="AC153" s="15">
        <f>SUM(AE145:AE146)</f>
        <v>57.1</v>
      </c>
      <c r="AD153" s="15">
        <f>SUM(AG145:AG146)</f>
        <v>28.654</v>
      </c>
      <c r="AE153" s="15">
        <f>SUM(AI145:AI146)</f>
        <v>43.98</v>
      </c>
      <c r="AF153" s="15">
        <f>SUM(AK145:AK146)</f>
        <v>141.345</v>
      </c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ht="20.05" customHeight="1">
      <c r="AA154" t="s" s="33">
        <v>146</v>
      </c>
      <c r="AB154" s="14">
        <f>(AC138-AC139)</f>
        <v>-2278.152</v>
      </c>
      <c r="AC154" s="15">
        <f>(AE138-AE139)</f>
        <v>-2326.825</v>
      </c>
      <c r="AD154" s="15">
        <f>(AG138-AG139)</f>
        <v>-2235.012</v>
      </c>
      <c r="AE154" s="15">
        <f>(AI138-AI139)</f>
        <v>-2272.3</v>
      </c>
      <c r="AF154" s="15">
        <f>(AK138-AK139)</f>
        <v>-2481.39</v>
      </c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ht="20.05" customHeight="1">
      <c r="AA155" s="36"/>
      <c r="AB155" s="34"/>
      <c r="AC155" s="17"/>
      <c r="AD155" s="17"/>
      <c r="AE155" s="17"/>
      <c r="AF155" s="15">
        <f>AR149</f>
        <v>224.385850228723</v>
      </c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ht="20.05" customHeight="1">
      <c r="AA156" s="36"/>
      <c r="AB156" s="34"/>
      <c r="AC156" s="17"/>
      <c r="AD156" s="17"/>
      <c r="AE156" s="17"/>
      <c r="AF156" s="17"/>
      <c r="AG156" s="15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</sheetData>
  <mergeCells count="2">
    <mergeCell ref="B2:Z2"/>
    <mergeCell ref="AA59:AT59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46" customWidth="1"/>
    <col min="2" max="26" width="10.4844" style="346" customWidth="1"/>
    <col min="27" max="27" width="18.9766" style="347" customWidth="1"/>
    <col min="28" max="46" width="9" style="347" customWidth="1"/>
    <col min="47" max="16384" width="16.3516" style="347" customWidth="1"/>
  </cols>
  <sheetData>
    <row r="1" ht="11.65" customHeight="1"/>
    <row r="2" ht="27.65" customHeight="1">
      <c r="B2" t="s" s="2">
        <v>709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710</v>
      </c>
      <c r="W3" t="s" s="3">
        <v>18</v>
      </c>
      <c r="X3" t="s" s="3">
        <v>173</v>
      </c>
      <c r="Y3" t="s" s="3">
        <v>19</v>
      </c>
      <c r="Z3" t="s" s="3">
        <v>20</v>
      </c>
    </row>
    <row r="4" ht="20.25" customHeight="1">
      <c r="B4" s="6">
        <v>2017</v>
      </c>
      <c r="C4" s="7">
        <v>9921.799999999999</v>
      </c>
      <c r="D4" s="8">
        <v>558.6</v>
      </c>
      <c r="E4" s="8">
        <v>1303.4</v>
      </c>
      <c r="F4" s="8">
        <v>19165.3</v>
      </c>
      <c r="G4" s="8">
        <v>49303.1</v>
      </c>
      <c r="H4" s="8">
        <v>92913.8</v>
      </c>
      <c r="I4" s="8">
        <v>11389.455</v>
      </c>
      <c r="J4" s="8">
        <v>3605.497</v>
      </c>
      <c r="K4" s="8">
        <v>-1016.12</v>
      </c>
      <c r="L4" s="8">
        <v>-1679.125</v>
      </c>
      <c r="M4" s="8">
        <v>-455.525</v>
      </c>
      <c r="N4" s="8"/>
      <c r="O4" s="8"/>
      <c r="P4" s="9"/>
      <c r="Q4" s="9"/>
      <c r="R4" s="9"/>
      <c r="S4" s="9"/>
      <c r="T4" s="8">
        <f>J4+K4</f>
        <v>2589.377</v>
      </c>
      <c r="U4" s="8">
        <f>-(L4+M4)</f>
        <v>2134.65</v>
      </c>
      <c r="V4" s="8">
        <v>37331.9102464</v>
      </c>
      <c r="W4" s="8">
        <f>F4-G4</f>
        <v>-30137.8</v>
      </c>
      <c r="X4" s="10"/>
      <c r="Y4" s="11"/>
      <c r="Z4" s="12">
        <v>13.3</v>
      </c>
    </row>
    <row r="5" ht="20.05" customHeight="1">
      <c r="B5" s="13"/>
      <c r="C5" s="14">
        <v>8862.455</v>
      </c>
      <c r="D5" s="15">
        <v>559.734</v>
      </c>
      <c r="E5" s="15">
        <v>-599.715</v>
      </c>
      <c r="F5" s="15">
        <v>12074.262</v>
      </c>
      <c r="G5" s="15">
        <v>42739.689</v>
      </c>
      <c r="H5" s="15">
        <v>84026.735</v>
      </c>
      <c r="I5" s="15">
        <v>8350.031849999999</v>
      </c>
      <c r="J5" s="15">
        <v>1001.92386</v>
      </c>
      <c r="K5" s="15">
        <v>-1428.6544</v>
      </c>
      <c r="L5" s="15">
        <v>-1682.53375</v>
      </c>
      <c r="M5" s="15">
        <v>-456.44975</v>
      </c>
      <c r="N5" s="15"/>
      <c r="O5" s="15"/>
      <c r="P5" s="16"/>
      <c r="Q5" s="17"/>
      <c r="R5" s="17"/>
      <c r="S5" s="17"/>
      <c r="T5" s="15">
        <f>J5+K5+T4</f>
        <v>2162.64646</v>
      </c>
      <c r="U5" s="15">
        <f>-(L5+M5)+U4</f>
        <v>4273.6335</v>
      </c>
      <c r="V5" s="15">
        <f>V4</f>
        <v>37331.9102464</v>
      </c>
      <c r="W5" s="15">
        <f>F5-G5</f>
        <v>-30665.427</v>
      </c>
      <c r="X5" s="18"/>
      <c r="Y5" s="19"/>
      <c r="Z5" s="20">
        <v>13.327</v>
      </c>
    </row>
    <row r="6" ht="20.05" customHeight="1">
      <c r="B6" s="13"/>
      <c r="C6" s="14">
        <v>10018.665</v>
      </c>
      <c r="D6" s="15">
        <v>558.8099999999999</v>
      </c>
      <c r="E6" s="15">
        <v>651.9450000000001</v>
      </c>
      <c r="F6" s="15">
        <v>12719.58</v>
      </c>
      <c r="G6" s="15">
        <v>42057.105</v>
      </c>
      <c r="H6" s="15">
        <v>83914.634999999995</v>
      </c>
      <c r="I6" s="15">
        <v>8935.3719</v>
      </c>
      <c r="J6" s="15">
        <v>2662.99575</v>
      </c>
      <c r="K6" s="15">
        <v>-642.6315</v>
      </c>
      <c r="L6" s="15">
        <v>-1679.75625</v>
      </c>
      <c r="M6" s="15">
        <v>-455.69625</v>
      </c>
      <c r="N6" s="15"/>
      <c r="O6" s="15"/>
      <c r="P6" s="16"/>
      <c r="Q6" s="17"/>
      <c r="R6" s="17"/>
      <c r="S6" s="17"/>
      <c r="T6" s="15">
        <f>J6+K6+T5</f>
        <v>4183.01071</v>
      </c>
      <c r="U6" s="15">
        <f>-(L6+M6)+U5</f>
        <v>6409.086</v>
      </c>
      <c r="V6" s="15">
        <f>V5</f>
        <v>37331.9102464</v>
      </c>
      <c r="W6" s="15">
        <f>F6-G6</f>
        <v>-29337.525</v>
      </c>
      <c r="X6" s="18"/>
      <c r="Y6" s="19"/>
      <c r="Z6" s="20">
        <v>13.305</v>
      </c>
    </row>
    <row r="7" ht="20.05" customHeight="1">
      <c r="B7" s="13"/>
      <c r="C7" s="14">
        <v>19074.699</v>
      </c>
      <c r="D7" s="15">
        <v>569.394</v>
      </c>
      <c r="E7" s="15">
        <v>2047.107</v>
      </c>
      <c r="F7" s="15">
        <v>15454.98</v>
      </c>
      <c r="G7" s="15">
        <v>52506.261</v>
      </c>
      <c r="H7" s="15">
        <v>110936.931</v>
      </c>
      <c r="I7" s="15">
        <v>19194.94959</v>
      </c>
      <c r="J7" s="15">
        <v>2469.81426</v>
      </c>
      <c r="K7" s="15">
        <v>-1177.83216</v>
      </c>
      <c r="L7" s="15">
        <v>-1711.57125</v>
      </c>
      <c r="M7" s="15">
        <v>-464.32725</v>
      </c>
      <c r="N7" s="15"/>
      <c r="O7" s="15"/>
      <c r="P7" s="16"/>
      <c r="Q7" s="17"/>
      <c r="R7" s="17"/>
      <c r="S7" s="17"/>
      <c r="T7" s="15">
        <f>J7+K7+T6</f>
        <v>5474.99281</v>
      </c>
      <c r="U7" s="15">
        <f>-(L7+M7)+U6</f>
        <v>8584.9845</v>
      </c>
      <c r="V7" s="15">
        <f>V6</f>
        <v>37331.9102464</v>
      </c>
      <c r="W7" s="15">
        <f>F7-G7</f>
        <v>-37051.281</v>
      </c>
      <c r="X7" s="18"/>
      <c r="Y7" s="19"/>
      <c r="Z7" s="20">
        <v>13.557</v>
      </c>
    </row>
    <row r="8" ht="20.05" customHeight="1">
      <c r="B8" s="21">
        <v>2018</v>
      </c>
      <c r="C8" s="14">
        <v>12990.384</v>
      </c>
      <c r="D8" s="15">
        <v>612.3645</v>
      </c>
      <c r="E8" s="15">
        <v>1486.188</v>
      </c>
      <c r="F8" s="15">
        <v>16471.917</v>
      </c>
      <c r="G8" s="15">
        <v>44076.483</v>
      </c>
      <c r="H8" s="15">
        <v>88964.865000000005</v>
      </c>
      <c r="I8" s="15">
        <v>11598.73407</v>
      </c>
      <c r="J8" s="15">
        <v>3068.01495</v>
      </c>
      <c r="K8" s="15">
        <v>-865.5669</v>
      </c>
      <c r="L8" s="15">
        <v>154.81125</v>
      </c>
      <c r="M8" s="15">
        <v>-189.21375</v>
      </c>
      <c r="N8" s="15">
        <f>SUM(C5:C8)/4</f>
        <v>12736.55075</v>
      </c>
      <c r="O8" s="15"/>
      <c r="P8" s="16"/>
      <c r="Q8" s="16"/>
      <c r="R8" s="16"/>
      <c r="S8" s="15">
        <f>SUM(J5:K8)/4</f>
        <v>1272.015965</v>
      </c>
      <c r="T8" s="15">
        <f>J8+K8+T7</f>
        <v>7677.44086</v>
      </c>
      <c r="U8" s="15">
        <f>-(L11+M11)+U7</f>
        <v>8620.934499999999</v>
      </c>
      <c r="V8" s="15">
        <f>V7</f>
        <v>37331.9102464</v>
      </c>
      <c r="W8" s="15">
        <f>F8-G8</f>
        <v>-27604.566</v>
      </c>
      <c r="X8" s="18"/>
      <c r="Y8" s="22"/>
      <c r="Z8" s="20">
        <v>13.761</v>
      </c>
    </row>
    <row r="9" ht="20.05" customHeight="1">
      <c r="B9" s="13"/>
      <c r="C9" s="14">
        <v>13636</v>
      </c>
      <c r="D9" s="15">
        <v>623</v>
      </c>
      <c r="E9" s="15">
        <v>1456</v>
      </c>
      <c r="F9" s="15">
        <v>19180</v>
      </c>
      <c r="G9" s="15">
        <v>45080</v>
      </c>
      <c r="H9" s="15">
        <v>90538</v>
      </c>
      <c r="I9" s="15">
        <v>15477.14</v>
      </c>
      <c r="J9" s="15">
        <v>4053.42</v>
      </c>
      <c r="K9" s="15">
        <v>-561.4</v>
      </c>
      <c r="L9" s="15">
        <v>157.5</v>
      </c>
      <c r="M9" s="15">
        <v>-192.5</v>
      </c>
      <c r="N9" s="15">
        <f>SUM(C6:C9)/4</f>
        <v>13929.937</v>
      </c>
      <c r="O9" s="15"/>
      <c r="P9" s="16"/>
      <c r="Q9" s="16"/>
      <c r="R9" s="16"/>
      <c r="S9" s="15">
        <f>SUM(J6:K9)/4</f>
        <v>2251.7036</v>
      </c>
      <c r="T9" s="15">
        <f>J9+K9+T8</f>
        <v>11169.46086</v>
      </c>
      <c r="U9" s="15">
        <f>-(L15+M15)+U8</f>
        <v>9158.861999999999</v>
      </c>
      <c r="V9" s="15">
        <f>V8</f>
        <v>37331.9102464</v>
      </c>
      <c r="W9" s="15">
        <f>F13-G9</f>
        <v>-32167.922</v>
      </c>
      <c r="X9" s="18"/>
      <c r="Y9" s="22"/>
      <c r="Z9" s="20">
        <v>14</v>
      </c>
    </row>
    <row r="10" ht="20.05" customHeight="1">
      <c r="B10" s="13"/>
      <c r="C10" s="14">
        <v>14469.842</v>
      </c>
      <c r="D10" s="15">
        <v>663.139</v>
      </c>
      <c r="E10" s="15">
        <v>1266.67</v>
      </c>
      <c r="F10" s="15">
        <v>24603.202</v>
      </c>
      <c r="G10" s="15">
        <v>49847.19</v>
      </c>
      <c r="H10" s="15">
        <v>99262.221999999994</v>
      </c>
      <c r="I10" s="15">
        <v>12824.95924</v>
      </c>
      <c r="J10" s="15">
        <v>3201.24764</v>
      </c>
      <c r="K10" s="15">
        <v>322.6283</v>
      </c>
      <c r="L10" s="15">
        <v>167.6475</v>
      </c>
      <c r="M10" s="15">
        <v>-204.9025</v>
      </c>
      <c r="N10" s="15">
        <f>SUM(C7:C10)/4</f>
        <v>15042.73125</v>
      </c>
      <c r="O10" s="15"/>
      <c r="P10" s="16"/>
      <c r="Q10" s="16"/>
      <c r="R10" s="16"/>
      <c r="S10" s="15">
        <f>SUM(J7:K10)/4</f>
        <v>2627.5815225</v>
      </c>
      <c r="T10" s="15">
        <f>J10+K10+T9</f>
        <v>14693.3368</v>
      </c>
      <c r="U10" s="15">
        <f>-(L19+M19)+U9</f>
        <v>10145.862</v>
      </c>
      <c r="V10" s="15">
        <f>V9</f>
        <v>37331.9102464</v>
      </c>
      <c r="W10" s="15">
        <f>F10-G10</f>
        <v>-25243.988</v>
      </c>
      <c r="X10" s="18"/>
      <c r="Y10" s="22"/>
      <c r="Z10" s="20">
        <v>14.902</v>
      </c>
    </row>
    <row r="11" ht="20.05" customHeight="1">
      <c r="B11" s="13"/>
      <c r="C11" s="14">
        <v>14106.78</v>
      </c>
      <c r="D11" s="15">
        <v>639.91</v>
      </c>
      <c r="E11" s="15">
        <v>977.84</v>
      </c>
      <c r="F11" s="15">
        <v>18909.7</v>
      </c>
      <c r="G11" s="15">
        <v>68118.06</v>
      </c>
      <c r="H11" s="15">
        <v>114162.82</v>
      </c>
      <c r="I11" s="15">
        <v>14148.482</v>
      </c>
      <c r="J11" s="15">
        <v>2756.2146</v>
      </c>
      <c r="K11" s="15">
        <v>-9241.5946</v>
      </c>
      <c r="L11" s="15">
        <v>161.775</v>
      </c>
      <c r="M11" s="15">
        <v>-197.725</v>
      </c>
      <c r="N11" s="15">
        <f>SUM(C8:C11)/4</f>
        <v>13800.7515</v>
      </c>
      <c r="O11" s="15"/>
      <c r="P11" s="16"/>
      <c r="Q11" s="16"/>
      <c r="R11" s="16"/>
      <c r="S11" s="15">
        <f>SUM(J8:K11)/4</f>
        <v>683.2409975</v>
      </c>
      <c r="T11" s="15">
        <f>J11+K11+T10</f>
        <v>8207.9568</v>
      </c>
      <c r="U11" s="15">
        <f>-(L11+M11)+U10</f>
        <v>10181.812</v>
      </c>
      <c r="V11" s="15">
        <f>V10</f>
        <v>37331.9102464</v>
      </c>
      <c r="W11" s="15">
        <f>F11-G11</f>
        <v>-49208.36</v>
      </c>
      <c r="X11" s="18"/>
      <c r="Y11" s="22"/>
      <c r="Z11" s="20">
        <v>14.38</v>
      </c>
    </row>
    <row r="12" ht="20.05" customHeight="1">
      <c r="B12" s="21">
        <v>2019</v>
      </c>
      <c r="C12" s="14">
        <v>12474.24</v>
      </c>
      <c r="D12" s="15">
        <v>868.64</v>
      </c>
      <c r="E12" s="15">
        <v>1181.92</v>
      </c>
      <c r="F12" s="15">
        <v>12388.8</v>
      </c>
      <c r="G12" s="15">
        <v>60007.36</v>
      </c>
      <c r="H12" s="15">
        <v>106913.92</v>
      </c>
      <c r="I12" s="15">
        <v>11745.152</v>
      </c>
      <c r="J12" s="15">
        <v>3181.216</v>
      </c>
      <c r="K12" s="15">
        <v>-10771.136</v>
      </c>
      <c r="L12" s="15">
        <v>-206.48</v>
      </c>
      <c r="M12" s="15">
        <v>-345.32</v>
      </c>
      <c r="N12" s="15">
        <f>SUM(C9:C12)/4</f>
        <v>13671.7155</v>
      </c>
      <c r="O12" s="23"/>
      <c r="P12" s="16"/>
      <c r="Q12" s="16">
        <f>(E12+D12)/C12</f>
        <v>0.164383561643836</v>
      </c>
      <c r="R12" s="16">
        <f>AVERAGE(Q9:Q12)</f>
        <v>0.164383561643836</v>
      </c>
      <c r="S12" s="15">
        <f>SUM(J9:K12)/4</f>
        <v>-1764.851015</v>
      </c>
      <c r="T12" s="15">
        <f>J12+K12+T11</f>
        <v>618.0368</v>
      </c>
      <c r="U12" s="15">
        <f>-(L12+M12)+U11</f>
        <v>10733.612</v>
      </c>
      <c r="V12" s="15">
        <f>V11</f>
        <v>37331.9102464</v>
      </c>
      <c r="W12" s="15">
        <f>F12-G12</f>
        <v>-47618.56</v>
      </c>
      <c r="X12" s="18"/>
      <c r="Y12" s="22"/>
      <c r="Z12" s="20">
        <v>14.24</v>
      </c>
    </row>
    <row r="13" ht="20.05" customHeight="1">
      <c r="B13" s="13"/>
      <c r="C13" s="14">
        <v>12897.951</v>
      </c>
      <c r="D13" s="15">
        <v>861.747</v>
      </c>
      <c r="E13" s="15">
        <v>0</v>
      </c>
      <c r="F13" s="15">
        <v>12912.078</v>
      </c>
      <c r="G13" s="15">
        <v>57468.636</v>
      </c>
      <c r="H13" s="15">
        <v>102321.861</v>
      </c>
      <c r="I13" s="15">
        <v>16008.7164</v>
      </c>
      <c r="J13" s="15">
        <v>2406.81699</v>
      </c>
      <c r="K13" s="15">
        <v>-769.07388</v>
      </c>
      <c r="L13" s="15">
        <v>-204.8415</v>
      </c>
      <c r="M13" s="15">
        <v>-342.57975</v>
      </c>
      <c r="N13" s="15">
        <f>SUM(C10:C13)/4</f>
        <v>13487.20325</v>
      </c>
      <c r="O13" s="23"/>
      <c r="P13" s="16">
        <f>C13/C12-1</f>
        <v>0.0339668789441281</v>
      </c>
      <c r="Q13" s="16">
        <f>(E13+D13)/C13</f>
        <v>0.0668127053669222</v>
      </c>
      <c r="R13" s="16">
        <f>AVERAGE(Q10:Q13)</f>
        <v>0.115598133505379</v>
      </c>
      <c r="S13" s="15">
        <f>SUM(J10:K13)/4</f>
        <v>-2228.4202375</v>
      </c>
      <c r="T13" s="15">
        <f>J13+K13+T12</f>
        <v>2255.77991</v>
      </c>
      <c r="U13" s="15">
        <f>-(L13+M13)+U12</f>
        <v>11281.03325</v>
      </c>
      <c r="V13" s="15">
        <f>V12</f>
        <v>37331.9102464</v>
      </c>
      <c r="W13" s="15">
        <f>F13-G13</f>
        <v>-44556.558</v>
      </c>
      <c r="X13" s="18"/>
      <c r="Y13" s="24"/>
      <c r="Z13" s="15">
        <v>14.127</v>
      </c>
    </row>
    <row r="14" ht="20.05" customHeight="1">
      <c r="B14" s="13"/>
      <c r="C14" s="14">
        <v>14521.485</v>
      </c>
      <c r="D14" s="15">
        <v>865.895</v>
      </c>
      <c r="E14" s="15">
        <v>1320.135</v>
      </c>
      <c r="F14" s="15">
        <v>13683.98</v>
      </c>
      <c r="G14" s="15">
        <v>57404.58</v>
      </c>
      <c r="H14" s="15">
        <v>103935.79</v>
      </c>
      <c r="I14" s="15">
        <v>13041.5143</v>
      </c>
      <c r="J14" s="15">
        <v>6721.98547</v>
      </c>
      <c r="K14" s="15">
        <v>-965.8278</v>
      </c>
      <c r="L14" s="15">
        <v>-205.8275</v>
      </c>
      <c r="M14" s="15">
        <v>-344.22875</v>
      </c>
      <c r="N14" s="15">
        <f>SUM(C11:C14)/4</f>
        <v>13500.114</v>
      </c>
      <c r="O14" s="23"/>
      <c r="P14" s="16">
        <f>C14/C13-1</f>
        <v>0.125875342525336</v>
      </c>
      <c r="Q14" s="16">
        <f>(E14+D14)/C14</f>
        <v>0.150537634408602</v>
      </c>
      <c r="R14" s="16">
        <f>AVERAGE(Q11:Q14)</f>
        <v>0.127244633806453</v>
      </c>
      <c r="S14" s="15">
        <f>SUM(J11:K14)/4</f>
        <v>-1670.349805</v>
      </c>
      <c r="T14" s="15">
        <f>J14+K14+T13</f>
        <v>8011.93758</v>
      </c>
      <c r="U14" s="15">
        <f>-(L14+M14)+U13</f>
        <v>11831.0895</v>
      </c>
      <c r="V14" s="15">
        <f>V13</f>
        <v>37331.9102464</v>
      </c>
      <c r="W14" s="15">
        <f>F14-G14</f>
        <v>-43720.6</v>
      </c>
      <c r="X14" s="18"/>
      <c r="Y14" s="24"/>
      <c r="Z14" s="15">
        <v>14.195</v>
      </c>
    </row>
    <row r="15" ht="20.05" customHeight="1">
      <c r="B15" s="13"/>
      <c r="C15" s="14">
        <v>14395.634</v>
      </c>
      <c r="D15" s="15">
        <v>846.802</v>
      </c>
      <c r="E15" s="15">
        <v>-874.566</v>
      </c>
      <c r="F15" s="15">
        <v>14437.28</v>
      </c>
      <c r="G15" s="15">
        <v>57471.48</v>
      </c>
      <c r="H15" s="15">
        <v>102365.868</v>
      </c>
      <c r="I15" s="15">
        <v>12663.99332</v>
      </c>
      <c r="J15" s="15">
        <v>-787.609152</v>
      </c>
      <c r="K15" s="15">
        <v>-845.27498</v>
      </c>
      <c r="L15" s="15">
        <v>-201.289</v>
      </c>
      <c r="M15" s="15">
        <v>-336.6385</v>
      </c>
      <c r="N15" s="15">
        <f>SUM(C12:C15)/4</f>
        <v>13572.3275</v>
      </c>
      <c r="O15" s="15"/>
      <c r="P15" s="16">
        <f>C15/C14-1</f>
        <v>-0.00866653789195802</v>
      </c>
      <c r="Q15" s="16">
        <f>(E15+D15)/C15</f>
        <v>-0.00192864030858245</v>
      </c>
      <c r="R15" s="16">
        <f>AVERAGE(Q12:Q15)</f>
        <v>0.0949513152776944</v>
      </c>
      <c r="S15" s="15">
        <f>SUM(J12:K15)/4</f>
        <v>-457.225838</v>
      </c>
      <c r="T15" s="15">
        <f>J15+K15+T14</f>
        <v>6379.053448</v>
      </c>
      <c r="U15" s="15">
        <f>-(L15+M15)+U14</f>
        <v>12369.017</v>
      </c>
      <c r="V15" s="15">
        <f>V14</f>
        <v>37331.9102464</v>
      </c>
      <c r="W15" s="15">
        <f>F15-G15</f>
        <v>-43034.2</v>
      </c>
      <c r="X15" s="18"/>
      <c r="Y15" s="24"/>
      <c r="Z15" s="15">
        <v>13.882</v>
      </c>
    </row>
    <row r="16" ht="20.05" customHeight="1">
      <c r="B16" s="21">
        <v>2020</v>
      </c>
      <c r="C16" s="14">
        <v>14254.94</v>
      </c>
      <c r="D16" s="15">
        <v>2972.4975</v>
      </c>
      <c r="E16" s="15">
        <v>913.36</v>
      </c>
      <c r="F16" s="15">
        <v>21953.26</v>
      </c>
      <c r="G16" s="15">
        <v>75906.740000000005</v>
      </c>
      <c r="H16" s="15">
        <v>129436.16</v>
      </c>
      <c r="I16" s="15">
        <v>13419.868</v>
      </c>
      <c r="J16" s="15">
        <v>2824.5658</v>
      </c>
      <c r="K16" s="15">
        <v>1642.0908</v>
      </c>
      <c r="L16" s="15">
        <v>-864.4299999999999</v>
      </c>
      <c r="M16" s="15">
        <v>-277.27</v>
      </c>
      <c r="N16" s="15">
        <f>SUM(C13:C16)/4</f>
        <v>14017.5025</v>
      </c>
      <c r="O16" s="15"/>
      <c r="P16" s="16">
        <f>C16/C15-1</f>
        <v>-0.00977337990115614</v>
      </c>
      <c r="Q16" s="16">
        <f>(E16+D16)/C16</f>
        <v>0.272597254004577</v>
      </c>
      <c r="R16" s="16">
        <f>AVERAGE(Q13:Q16)</f>
        <v>0.12200473836788</v>
      </c>
      <c r="S16" s="15">
        <f>SUM(J13:K16)/4</f>
        <v>2556.918312</v>
      </c>
      <c r="T16" s="15">
        <f>J16+K16+T15</f>
        <v>10845.710048</v>
      </c>
      <c r="U16" s="15">
        <f>-(L16+M16)+U15</f>
        <v>13510.717</v>
      </c>
      <c r="V16" s="15">
        <f>V15</f>
        <v>37331.9102464</v>
      </c>
      <c r="W16" s="15">
        <f>F16-G16</f>
        <v>-53953.48</v>
      </c>
      <c r="X16" s="18"/>
      <c r="Y16" s="24"/>
      <c r="Z16" s="15">
        <v>16.31</v>
      </c>
    </row>
    <row r="17" ht="20.05" customHeight="1">
      <c r="B17" s="13"/>
      <c r="C17" s="14">
        <v>8481.725</v>
      </c>
      <c r="D17" s="15">
        <v>2597.97375</v>
      </c>
      <c r="E17" s="15">
        <v>-399.14</v>
      </c>
      <c r="F17" s="15">
        <v>17661.945</v>
      </c>
      <c r="G17" s="15">
        <v>62066.27</v>
      </c>
      <c r="H17" s="15">
        <v>107710.78</v>
      </c>
      <c r="I17" s="15">
        <v>10655.6125</v>
      </c>
      <c r="J17" s="15">
        <v>-362.9323</v>
      </c>
      <c r="K17" s="15">
        <v>1012.6752</v>
      </c>
      <c r="L17" s="15">
        <v>-755.515</v>
      </c>
      <c r="M17" s="15">
        <v>-242.335</v>
      </c>
      <c r="N17" s="15">
        <f>SUM(C14:C17)/4</f>
        <v>12913.446</v>
      </c>
      <c r="O17" s="15"/>
      <c r="P17" s="16">
        <f>C17/C16-1</f>
        <v>-0.404997495605032</v>
      </c>
      <c r="Q17" s="16">
        <f>(E17+D17)/C17</f>
        <v>0.259243697478992</v>
      </c>
      <c r="R17" s="16">
        <f>AVERAGE(Q14:Q17)</f>
        <v>0.170112486395897</v>
      </c>
      <c r="S17" s="25">
        <f>SUM(J14:K17)/4</f>
        <v>2309.9182595</v>
      </c>
      <c r="T17" s="15">
        <f>J17+K17+T16</f>
        <v>11495.452948</v>
      </c>
      <c r="U17" s="15">
        <f>-(L17+M17)+U16</f>
        <v>14508.567</v>
      </c>
      <c r="V17" s="15">
        <f>V16</f>
        <v>37331.9102464</v>
      </c>
      <c r="W17" s="15">
        <f>F17-G17</f>
        <v>-44404.325</v>
      </c>
      <c r="X17" s="18"/>
      <c r="Y17" s="24"/>
      <c r="Z17" s="15">
        <v>14.255</v>
      </c>
    </row>
    <row r="18" ht="20.05" customHeight="1">
      <c r="B18" s="13"/>
      <c r="C18" s="14">
        <v>10086.78</v>
      </c>
      <c r="D18" s="15">
        <v>2695.4775</v>
      </c>
      <c r="E18" s="15">
        <v>828.24</v>
      </c>
      <c r="F18" s="15">
        <v>17674.05</v>
      </c>
      <c r="G18" s="15">
        <v>63005.4</v>
      </c>
      <c r="H18" s="15">
        <v>110939.79</v>
      </c>
      <c r="I18" s="15">
        <v>9897.394050000001</v>
      </c>
      <c r="J18" s="15">
        <v>3004.55892</v>
      </c>
      <c r="K18" s="15">
        <v>-983.0913</v>
      </c>
      <c r="L18" s="15">
        <v>-783.87</v>
      </c>
      <c r="M18" s="15">
        <v>-251.43</v>
      </c>
      <c r="N18" s="15">
        <f>SUM(C15:C18)/4</f>
        <v>11804.76975</v>
      </c>
      <c r="O18" s="15"/>
      <c r="P18" s="16">
        <f>C18/C17-1</f>
        <v>0.189236859247382</v>
      </c>
      <c r="Q18" s="16">
        <f>(E18+D18)/C18</f>
        <v>0.349340175953079</v>
      </c>
      <c r="R18" s="16">
        <f>AVERAGE(Q15:Q18)</f>
        <v>0.219813121782016</v>
      </c>
      <c r="S18" s="25">
        <f>SUM(J15:K18)/4</f>
        <v>1376.245747</v>
      </c>
      <c r="T18" s="15">
        <f>J18+K18+T17</f>
        <v>13516.920568</v>
      </c>
      <c r="U18" s="15">
        <f>-(L18+M18)+U17</f>
        <v>15543.867</v>
      </c>
      <c r="V18" s="15">
        <f>V17</f>
        <v>37331.9102464</v>
      </c>
      <c r="W18" s="15">
        <f>F18-G18</f>
        <v>-45331.35</v>
      </c>
      <c r="X18" s="18"/>
      <c r="Y18" s="24"/>
      <c r="Z18" s="15">
        <v>14.79</v>
      </c>
    </row>
    <row r="19" ht="20.05" customHeight="1">
      <c r="B19" s="13"/>
      <c r="C19" s="14">
        <v>10363.5</v>
      </c>
      <c r="D19" s="15">
        <v>2569.725</v>
      </c>
      <c r="E19" s="15">
        <v>-4230</v>
      </c>
      <c r="F19" s="15">
        <v>16623.9</v>
      </c>
      <c r="G19" s="15">
        <v>64563.9</v>
      </c>
      <c r="H19" s="15">
        <v>106229.4</v>
      </c>
      <c r="I19" s="15">
        <v>9637.4205</v>
      </c>
      <c r="J19" s="15">
        <v>453.0612</v>
      </c>
      <c r="K19" s="15">
        <v>-905.925</v>
      </c>
      <c r="L19" s="15">
        <v>-747.3</v>
      </c>
      <c r="M19" s="15">
        <v>-239.7</v>
      </c>
      <c r="N19" s="15">
        <f>SUM(C16:C19)/4</f>
        <v>10796.73625</v>
      </c>
      <c r="O19" s="15"/>
      <c r="P19" s="16">
        <f>C19/C18-1</f>
        <v>0.0274339283696085</v>
      </c>
      <c r="Q19" s="16">
        <f>(E19+D19)/C19</f>
        <v>-0.160204081632653</v>
      </c>
      <c r="R19" s="16">
        <f>AVERAGE(Q16:Q19)</f>
        <v>0.180244261450999</v>
      </c>
      <c r="S19" s="25">
        <f>SUM(J16:K19)/4</f>
        <v>1671.25083</v>
      </c>
      <c r="T19" s="15">
        <f>J19+K19+T18</f>
        <v>13064.056768</v>
      </c>
      <c r="U19" s="15">
        <f>-(L19+M19)+U18</f>
        <v>16530.867</v>
      </c>
      <c r="V19" s="15">
        <f>V18</f>
        <v>37331.9102464</v>
      </c>
      <c r="W19" s="15">
        <f>F19-G19</f>
        <v>-47940</v>
      </c>
      <c r="X19" s="15"/>
      <c r="Y19" s="24"/>
      <c r="Z19" s="15">
        <v>14.1</v>
      </c>
    </row>
    <row r="20" ht="20.05" customHeight="1">
      <c r="B20" s="21">
        <v>2021</v>
      </c>
      <c r="C20" s="14">
        <v>10707.6586</v>
      </c>
      <c r="D20" s="15">
        <v>2179.9455</v>
      </c>
      <c r="E20" s="15">
        <v>1120.2802</v>
      </c>
      <c r="F20" s="15">
        <v>17191.262</v>
      </c>
      <c r="G20" s="15">
        <v>65756.212</v>
      </c>
      <c r="H20" s="15">
        <v>109910.15</v>
      </c>
      <c r="I20" s="15">
        <v>10443.29</v>
      </c>
      <c r="J20" s="15">
        <v>2321.25855</v>
      </c>
      <c r="K20" s="15">
        <v>-1394.873</v>
      </c>
      <c r="L20" s="15">
        <v>-774.1180000000001</v>
      </c>
      <c r="M20" s="15">
        <v>0</v>
      </c>
      <c r="N20" s="15">
        <f>SUM(C17:C20)/4</f>
        <v>9909.9159</v>
      </c>
      <c r="O20" s="15">
        <v>10792.73855</v>
      </c>
      <c r="P20" s="16">
        <f>C20/C19-1</f>
        <v>0.0332087229217928</v>
      </c>
      <c r="Q20" s="16">
        <f>(E20+D20)/C20</f>
        <v>0.308211703723912</v>
      </c>
      <c r="R20" s="16">
        <f>AVERAGE(Q17:Q20)</f>
        <v>0.189147873880833</v>
      </c>
      <c r="S20" s="25">
        <f>SUM(J17:K20)/4</f>
        <v>786.1830675</v>
      </c>
      <c r="T20" s="15">
        <f>J20+K20+T19</f>
        <v>13990.442318</v>
      </c>
      <c r="U20" s="15">
        <f>-(L20+M20)+U19</f>
        <v>17304.985</v>
      </c>
      <c r="V20" s="15">
        <f>V19</f>
        <v>37331.9102464</v>
      </c>
      <c r="W20" s="15">
        <f>F20-G20</f>
        <v>-48564.95</v>
      </c>
      <c r="X20" s="15"/>
      <c r="Y20" s="15"/>
      <c r="Z20" s="15">
        <v>14.606</v>
      </c>
    </row>
    <row r="21" ht="20.05" customHeight="1">
      <c r="B21" s="13"/>
      <c r="C21" s="14">
        <v>10570.175</v>
      </c>
      <c r="D21" s="15">
        <v>2156.6625</v>
      </c>
      <c r="E21" s="15">
        <v>2089.47</v>
      </c>
      <c r="F21" s="15">
        <v>19478.6</v>
      </c>
      <c r="G21" s="15">
        <v>62958.65</v>
      </c>
      <c r="H21" s="15">
        <v>108822.95</v>
      </c>
      <c r="I21" s="15">
        <v>10386.66</v>
      </c>
      <c r="J21" s="15">
        <v>1438.13625</v>
      </c>
      <c r="K21" s="15">
        <v>1543.26</v>
      </c>
      <c r="L21" s="15">
        <v>-505.75</v>
      </c>
      <c r="M21" s="15">
        <v>0</v>
      </c>
      <c r="N21" s="15">
        <f>SUM(C18:C21)/4</f>
        <v>10432.0284</v>
      </c>
      <c r="O21" s="15">
        <v>11590.3064666667</v>
      </c>
      <c r="P21" s="16">
        <f>C21/C20-1</f>
        <v>-0.0128397444423564</v>
      </c>
      <c r="Q21" s="16">
        <f>(E21+D21)/C21</f>
        <v>0.401708817498291</v>
      </c>
      <c r="R21" s="16">
        <f>AVERAGE(Q18:Q21)</f>
        <v>0.224764153885657</v>
      </c>
      <c r="S21" s="25">
        <f>SUM(J18:K21)/4</f>
        <v>1369.096405</v>
      </c>
      <c r="T21" s="15">
        <f>J21+K21+T20</f>
        <v>16971.838568</v>
      </c>
      <c r="U21" s="15">
        <f>-(L21+M21)+U20</f>
        <v>17810.735</v>
      </c>
      <c r="V21" s="15">
        <f>V20</f>
        <v>37331.9102464</v>
      </c>
      <c r="W21" s="15">
        <f>F21-G21</f>
        <v>-43480.05</v>
      </c>
      <c r="X21" s="15"/>
      <c r="Y21" s="15"/>
      <c r="Z21" s="15">
        <v>14.45</v>
      </c>
    </row>
    <row r="22" ht="20.05" customHeight="1">
      <c r="B22" s="13"/>
      <c r="C22" s="14">
        <v>11314.8216</v>
      </c>
      <c r="D22" s="15">
        <v>2138.454</v>
      </c>
      <c r="E22" s="15">
        <v>1557.4536</v>
      </c>
      <c r="F22" s="15">
        <v>20532.024</v>
      </c>
      <c r="G22" s="15">
        <v>60922.656</v>
      </c>
      <c r="H22" s="15">
        <v>108061.776</v>
      </c>
      <c r="I22" s="15">
        <v>12396.5856</v>
      </c>
      <c r="J22" s="15">
        <v>2560.7718</v>
      </c>
      <c r="K22" s="15">
        <v>-1000.0944</v>
      </c>
      <c r="L22" s="15">
        <v>-343.872</v>
      </c>
      <c r="M22" s="15">
        <v>-171.936</v>
      </c>
      <c r="N22" s="15">
        <f>SUM(C19:C22)/4</f>
        <v>10739.0388</v>
      </c>
      <c r="O22" s="15">
        <v>11422.987254</v>
      </c>
      <c r="P22" s="16">
        <f>C22/C21-1</f>
        <v>0.0704478970310331</v>
      </c>
      <c r="Q22" s="16">
        <f>(E22+D22)/C22</f>
        <v>0.326643028998354</v>
      </c>
      <c r="R22" s="16">
        <f>AVERAGE(Q19:Q22)</f>
        <v>0.219089867146976</v>
      </c>
      <c r="S22" s="25">
        <f>SUM(J19:K22)/4</f>
        <v>1253.89885</v>
      </c>
      <c r="T22" s="15">
        <f>J22+K22+T21</f>
        <v>18532.515968</v>
      </c>
      <c r="U22" s="15">
        <f>-(L22+M22)+U21</f>
        <v>18326.543</v>
      </c>
      <c r="V22" s="15">
        <f>V21</f>
        <v>37331.9102464</v>
      </c>
      <c r="W22" s="15">
        <f>F22-G22</f>
        <v>-40390.632</v>
      </c>
      <c r="X22" s="15"/>
      <c r="Y22" s="15"/>
      <c r="Z22" s="15">
        <v>14.328</v>
      </c>
    </row>
    <row r="23" ht="20.05" customHeight="1">
      <c r="B23" s="13"/>
      <c r="C23" s="14">
        <v>11158.7675</v>
      </c>
      <c r="D23" s="15">
        <v>2130.54375</v>
      </c>
      <c r="E23" s="15">
        <v>492.4875</v>
      </c>
      <c r="F23" s="15">
        <v>21455.325</v>
      </c>
      <c r="G23" s="15">
        <v>60326.15</v>
      </c>
      <c r="H23" s="15">
        <v>107219.525</v>
      </c>
      <c r="I23" s="15">
        <v>11220.15</v>
      </c>
      <c r="J23" s="15">
        <v>1599.156875</v>
      </c>
      <c r="K23" s="15">
        <v>-852.2175</v>
      </c>
      <c r="L23" s="15">
        <v>456.8</v>
      </c>
      <c r="M23" s="15">
        <v>-171.3</v>
      </c>
      <c r="N23" s="15">
        <f>SUM(C20:C23)/4</f>
        <v>10937.855675</v>
      </c>
      <c r="O23" s="15">
        <v>11803.52285625</v>
      </c>
      <c r="P23" s="16">
        <f>C23/C22-1</f>
        <v>-0.0137920071139257</v>
      </c>
      <c r="Q23" s="16">
        <f>(E23+D23)/C23</f>
        <v>0.235064602788794</v>
      </c>
      <c r="R23" s="16">
        <f>AVERAGE(Q20:Q23)</f>
        <v>0.317907038252338</v>
      </c>
      <c r="S23" s="25">
        <f>SUM(J20:K23)/4</f>
        <v>1553.84964375</v>
      </c>
      <c r="T23" s="15">
        <f>J23+K23+T22</f>
        <v>19279.455343</v>
      </c>
      <c r="U23" s="15">
        <f>-(L23+M23)+U22</f>
        <v>18041.043</v>
      </c>
      <c r="V23" s="15">
        <f>V22</f>
        <v>37331.9102464</v>
      </c>
      <c r="W23" s="15">
        <f>F23-G23</f>
        <v>-38870.825</v>
      </c>
      <c r="X23" s="15"/>
      <c r="Y23" s="15"/>
      <c r="Z23" s="15">
        <v>14.275</v>
      </c>
    </row>
    <row r="24" ht="20.05" customHeight="1">
      <c r="B24" s="21">
        <v>2022</v>
      </c>
      <c r="C24" s="14">
        <v>11991.699</v>
      </c>
      <c r="D24" s="15">
        <v>2163.377</v>
      </c>
      <c r="E24" s="15">
        <v>2005.78</v>
      </c>
      <c r="F24" s="15">
        <v>19486.1527</v>
      </c>
      <c r="G24" s="15">
        <v>56777.901</v>
      </c>
      <c r="H24" s="15">
        <v>105862.203</v>
      </c>
      <c r="I24" s="15">
        <v>11713.7552</v>
      </c>
      <c r="J24" s="15">
        <v>2600.3505</v>
      </c>
      <c r="K24" s="15">
        <v>-497.1469</v>
      </c>
      <c r="L24" s="15">
        <v>-4126.176</v>
      </c>
      <c r="M24" s="15">
        <v>0</v>
      </c>
      <c r="N24" s="15">
        <f>SUM(C21:C24)/4</f>
        <v>11258.865775</v>
      </c>
      <c r="O24" s="15">
        <v>12068.1120545</v>
      </c>
      <c r="P24" s="16">
        <f>C24/C23-1</f>
        <v>0.07464368264685151</v>
      </c>
      <c r="Q24" s="16">
        <f>(E24+D24)/C24</f>
        <v>0.347670250896057</v>
      </c>
      <c r="R24" s="16">
        <f>AVERAGE(Q21:Q24)</f>
        <v>0.327771675045374</v>
      </c>
      <c r="S24" s="25">
        <f>SUM(J21:K24)/4</f>
        <v>1848.05415625</v>
      </c>
      <c r="T24" s="15">
        <f>J24+K24+T23</f>
        <v>21382.658943</v>
      </c>
      <c r="U24" s="15">
        <f>-(L24+M24)+U23</f>
        <v>22167.219</v>
      </c>
      <c r="V24" s="15">
        <f>V23</f>
        <v>37331.9102464</v>
      </c>
      <c r="W24" s="15">
        <f>F24-G24</f>
        <v>-37291.7483</v>
      </c>
      <c r="X24" s="15"/>
      <c r="Y24" s="15"/>
      <c r="Z24" s="15">
        <v>14.327</v>
      </c>
    </row>
    <row r="25" ht="20.05" customHeight="1">
      <c r="B25" s="13"/>
      <c r="C25" s="14">
        <v>13240.912</v>
      </c>
      <c r="D25" s="15">
        <v>2163.816</v>
      </c>
      <c r="E25" s="15">
        <v>2027.478</v>
      </c>
      <c r="F25" s="15">
        <v>19717.7</v>
      </c>
      <c r="G25" s="15">
        <v>57188.66</v>
      </c>
      <c r="H25" s="15">
        <v>106079.76</v>
      </c>
      <c r="I25" s="15">
        <v>13047.4</v>
      </c>
      <c r="J25" s="15">
        <v>2518.588</v>
      </c>
      <c r="K25" s="15">
        <v>630.38</v>
      </c>
      <c r="L25" s="15">
        <v>285.87</v>
      </c>
      <c r="M25" s="15">
        <v>-3406.984</v>
      </c>
      <c r="N25" s="15">
        <f>SUM(C22:C25)/4</f>
        <v>11926.550025</v>
      </c>
      <c r="O25" s="15">
        <v>12105.50233</v>
      </c>
      <c r="P25" s="16">
        <f>C25/C24-1</f>
        <v>0.104173145106461</v>
      </c>
      <c r="Q25" s="16">
        <f>(E25+D25)/C25</f>
        <v>0.316541186891054</v>
      </c>
      <c r="R25" s="16">
        <f>AVERAGE(Q22:Q25)</f>
        <v>0.306479767393565</v>
      </c>
      <c r="S25" s="25">
        <f>SUM(J22:K25)/4</f>
        <v>1889.94709375</v>
      </c>
      <c r="T25" s="15">
        <f>J25+K25+T24</f>
        <v>24531.626943</v>
      </c>
      <c r="U25" s="15">
        <f>-(L25+M25)+U24</f>
        <v>25288.333</v>
      </c>
      <c r="V25" s="15">
        <f>V24</f>
        <v>37331.9102464</v>
      </c>
      <c r="W25" s="15">
        <f>F25-G25</f>
        <v>-37470.96</v>
      </c>
      <c r="X25" s="15"/>
      <c r="Y25" s="15"/>
      <c r="Z25" s="15">
        <v>14.66</v>
      </c>
    </row>
    <row r="26" ht="20.05" customHeight="1">
      <c r="B26" s="13"/>
      <c r="C26" s="14">
        <v>14156.487</v>
      </c>
      <c r="D26" s="15">
        <v>2186.136</v>
      </c>
      <c r="E26" s="15">
        <v>1382.04</v>
      </c>
      <c r="F26" s="15">
        <v>25850.43</v>
      </c>
      <c r="G26" s="15">
        <v>61846.29</v>
      </c>
      <c r="H26" s="15">
        <v>115525.98</v>
      </c>
      <c r="I26" s="15">
        <v>14409.3375</v>
      </c>
      <c r="J26" s="15">
        <v>4274.901</v>
      </c>
      <c r="K26" s="15">
        <v>860.634</v>
      </c>
      <c r="L26" s="15">
        <v>-125.64</v>
      </c>
      <c r="M26" s="15">
        <v>0</v>
      </c>
      <c r="N26" s="15">
        <f>SUM(C23:C26)/4</f>
        <v>12636.966375</v>
      </c>
      <c r="O26" s="15">
        <v>15123.0617224733</v>
      </c>
      <c r="P26" s="16">
        <f>C26/C25-1</f>
        <v>0.06914742730712201</v>
      </c>
      <c r="Q26" s="16">
        <f>(E26+D26)/C26</f>
        <v>0.252052362990903</v>
      </c>
      <c r="R26" s="16">
        <f>AVERAGE(Q23:Q26)</f>
        <v>0.287832100891702</v>
      </c>
      <c r="S26" s="25">
        <f>SUM(J23:K26)/4</f>
        <v>2783.66149375</v>
      </c>
      <c r="T26" s="15">
        <f>J26+K26+T25</f>
        <v>29667.161943</v>
      </c>
      <c r="U26" s="15">
        <f>-(L26+M26)+U25</f>
        <v>25413.973</v>
      </c>
      <c r="V26" s="15">
        <f>V25</f>
        <v>37331.9102464</v>
      </c>
      <c r="W26" s="15">
        <f>F26-G26</f>
        <v>-35995.86</v>
      </c>
      <c r="X26" s="15"/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14837.0376037107</v>
      </c>
      <c r="P27" s="17"/>
      <c r="Q27" s="17"/>
      <c r="R27" s="17"/>
      <c r="S27" s="25"/>
      <c r="T27" s="17"/>
      <c r="U27" s="17"/>
      <c r="V27" s="17"/>
      <c r="W27" s="26"/>
      <c r="X27" s="15">
        <v>1540</v>
      </c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77841.22095</v>
      </c>
      <c r="O28" s="15">
        <f>SUM(O20:O26)</f>
        <v>84906.231233889994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AF87</f>
        <v>7105.151209396480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173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0.0585430619866272</v>
      </c>
      <c r="AD49" s="35"/>
      <c r="AE49" s="35"/>
      <c r="AF49" s="35">
        <f>AVERAGE(AC51:AF51)</f>
        <v>0.0225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-0.0137920071139257</v>
      </c>
      <c r="AD50" s="35">
        <f>P24</f>
        <v>0.07464368264685151</v>
      </c>
      <c r="AE50" s="35">
        <f>P25</f>
        <v>0.104173145106461</v>
      </c>
      <c r="AF50" s="35">
        <f>P26</f>
        <v>0.06914742730712201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0.03</v>
      </c>
      <c r="AD51" s="35">
        <v>-0.01</v>
      </c>
      <c r="AE51" s="35">
        <v>0.03</v>
      </c>
      <c r="AF51" s="35">
        <v>0.04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14156.487</v>
      </c>
      <c r="AC52" s="23">
        <f>C26*(1+AC51)</f>
        <v>14581.18161</v>
      </c>
      <c r="AD52" s="23">
        <f>AC52*(1+AD51)</f>
        <v>14435.3697939</v>
      </c>
      <c r="AE52" s="23">
        <f>AD52*(1+AE51)</f>
        <v>14868.430887717</v>
      </c>
      <c r="AF52" s="23">
        <f>AE52*(1+AF51)</f>
        <v>15463.1681232257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0.287832100891702</v>
      </c>
      <c r="AD53" s="35">
        <f>AC53</f>
        <v>0.287832100891702</v>
      </c>
      <c r="AE53" s="35">
        <f>AD53</f>
        <v>0.287832100891702</v>
      </c>
      <c r="AF53" s="35">
        <f>AE53</f>
        <v>0.287832100891702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AVERAGE(K23:K26)</f>
        <v>35.4124</v>
      </c>
      <c r="AD54" s="15">
        <f>AC54</f>
        <v>35.4124</v>
      </c>
      <c r="AE54" s="15">
        <f>AD54</f>
        <v>35.4124</v>
      </c>
      <c r="AF54" s="15">
        <f>AE54</f>
        <v>35.4124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4232.344536289750</v>
      </c>
      <c r="AD55" s="15">
        <f>(AD52*AD53)+AD54</f>
        <v>4190.375214926850</v>
      </c>
      <c r="AE55" s="15">
        <f>(AE52*AE53)+AE54</f>
        <v>4315.024099374660</v>
      </c>
      <c r="AF55" s="15">
        <f>(AF52*AF53)+AF54</f>
        <v>4486.208567349650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-3092.3145</v>
      </c>
      <c r="AD56" s="15">
        <f>-AC71/20</f>
        <v>-2937.698775</v>
      </c>
      <c r="AE56" s="15">
        <f>-AD71/20</f>
        <v>-2790.81383625</v>
      </c>
      <c r="AF56" s="15">
        <f>-AE71/20</f>
        <v>-2651.2731444375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1140.030036289750</v>
      </c>
      <c r="AD59" s="15">
        <f>AD55+AD56+AD58</f>
        <v>1252.676439926850</v>
      </c>
      <c r="AE59" s="15">
        <f>AE55+AE56+AE58</f>
        <v>1524.210263124660</v>
      </c>
      <c r="AF59" s="15">
        <f>AF55+AF56+AF58</f>
        <v>1834.935422912150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25850.43</v>
      </c>
      <c r="AD61" s="15">
        <f>AC63</f>
        <v>26990.4600362898</v>
      </c>
      <c r="AE61" s="15">
        <f>AD63</f>
        <v>28243.1364762167</v>
      </c>
      <c r="AF61" s="15">
        <f>AE63</f>
        <v>29767.3467393414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1140.030036289750</v>
      </c>
      <c r="AD62" s="15">
        <f>AD55+AD56+AD58+AD60</f>
        <v>1252.676439926850</v>
      </c>
      <c r="AE62" s="15">
        <f>AE55+AE56+AE58+AE60</f>
        <v>1524.210263124660</v>
      </c>
      <c r="AF62" s="15">
        <f>AF55+AF56+AF58+AF60</f>
        <v>1834.935422912150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26990.4600362898</v>
      </c>
      <c r="AD63" s="15">
        <f>AD61+AD62</f>
        <v>28243.1364762167</v>
      </c>
      <c r="AE63" s="15">
        <f>AE61+AE62</f>
        <v>29767.3467393414</v>
      </c>
      <c r="AF63" s="15">
        <f>AF61+AF62</f>
        <v>31602.2821622536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-2171.109666666670</v>
      </c>
      <c r="AD65" s="15">
        <f>AC65</f>
        <v>-2171.109666666670</v>
      </c>
      <c r="AE65" s="15">
        <f>AD65</f>
        <v>-2171.109666666670</v>
      </c>
      <c r="AF65" s="15">
        <f>AE65</f>
        <v>-2171.109666666670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2025.822469623080</v>
      </c>
      <c r="AD66" s="15">
        <f>(AD52*AD53)+AD65</f>
        <v>1983.853148260180</v>
      </c>
      <c r="AE66" s="15">
        <f>(AE52*AE53)+AE65</f>
        <v>2108.502032707990</v>
      </c>
      <c r="AF66" s="15">
        <f>(AF52*AF53)+AF65</f>
        <v>2279.686500682980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89640.1376</v>
      </c>
      <c r="AD68" s="15">
        <f>AC68-AD54</f>
        <v>89604.7252</v>
      </c>
      <c r="AE68" s="15">
        <f>AD68-AE54</f>
        <v>89569.3128</v>
      </c>
      <c r="AF68" s="15">
        <f>AE68-AF54</f>
        <v>89533.9004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2171.109666666670</v>
      </c>
      <c r="AD69" s="15">
        <f>AC69-AD65</f>
        <v>4342.219333333340</v>
      </c>
      <c r="AE69" s="15">
        <f>AD69-AE65</f>
        <v>6513.329000000010</v>
      </c>
      <c r="AF69" s="15">
        <f>AE69-AF65</f>
        <v>8684.438666666680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87469.0279333333</v>
      </c>
      <c r="AD70" s="15">
        <f>AD68-AD69</f>
        <v>85262.5058666667</v>
      </c>
      <c r="AE70" s="15">
        <f>AE68-AE69</f>
        <v>83055.9838</v>
      </c>
      <c r="AF70" s="15">
        <f>AF68-AF69</f>
        <v>80849.4617333333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58753.9755</v>
      </c>
      <c r="AD71" s="15">
        <f>AC71+AD56</f>
        <v>55816.276725</v>
      </c>
      <c r="AE71" s="15">
        <f>AD71+AE56</f>
        <v>53025.46288875</v>
      </c>
      <c r="AF71" s="15">
        <f>AE71+AF56</f>
        <v>50374.1897443125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55705.5124696231</v>
      </c>
      <c r="AD73" s="15">
        <f>AC73+AD66+AD58</f>
        <v>57689.3656178833</v>
      </c>
      <c r="AE73" s="15">
        <f>AD73+AE66+AE58</f>
        <v>59797.8676505913</v>
      </c>
      <c r="AF73" s="15">
        <f>AE73+AF66+AF58</f>
        <v>62077.5541512743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0</v>
      </c>
      <c r="AD74" s="15">
        <f>AD71+AD72+AD73-AD63-AD70</f>
        <v>-1e-10</v>
      </c>
      <c r="AE74" s="15">
        <f>AE71+AE72+AE73-AE63-AE70</f>
        <v>-1e-10</v>
      </c>
      <c r="AF74" s="15">
        <f>AF71+AF72+AF73-AF63-AF70</f>
        <v>-1e-10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-31763.5154637102</v>
      </c>
      <c r="AD75" s="15">
        <f>AD63-AD71-AD72</f>
        <v>-27573.1402487833</v>
      </c>
      <c r="AE75" s="15">
        <f>AE63-AE71-AE72</f>
        <v>-23258.1161494086</v>
      </c>
      <c r="AF75" s="15">
        <f>AF63-AF71-AF72</f>
        <v>-18771.9075820589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-3092.3145</v>
      </c>
      <c r="AD76" s="15">
        <f>AD56+AD58+AD60</f>
        <v>-2937.698775</v>
      </c>
      <c r="AE76" s="15">
        <f>AE56+AE58+AE60</f>
        <v>-2790.81383625</v>
      </c>
      <c r="AF76" s="15">
        <f>AF56+AF58+AF60</f>
        <v>-2651.2731444375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711</v>
      </c>
      <c r="AB78" s="14"/>
      <c r="AC78" s="15"/>
      <c r="AD78" s="15"/>
      <c r="AE78" s="15"/>
      <c r="AF78" s="15">
        <v>1540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37331.9102464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24.24150016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0.33198160342505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11134.645975</v>
      </c>
      <c r="AF83" s="15">
        <f>SUM(AC55:AF55)</f>
        <v>17223.9524179409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4.69401330028748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2.16744155699793</v>
      </c>
      <c r="AF85" s="15">
        <v>10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172239.524179409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7105.151209396480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3.61373455155616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0.251145400295131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0.090761812284883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711</v>
      </c>
      <c r="AD92" t="s" s="44">
        <f>AC114</f>
        <v>15</v>
      </c>
      <c r="AE92" t="s" s="44">
        <f>AD114</f>
        <v>360</v>
      </c>
      <c r="AF92" t="s" s="44">
        <f>AE114</f>
        <v>59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1540</v>
      </c>
      <c r="AE93" t="s" s="44">
        <v>61</v>
      </c>
      <c r="AF93" s="15">
        <f>AF87</f>
        <v>7105.151209396480</v>
      </c>
      <c r="AG93" t="s" s="44">
        <f>IF(AH93&gt;0,"+","")</f>
        <v>361</v>
      </c>
      <c r="AH93" s="16">
        <f>AF93/AD93-1</f>
        <v>3.61373455155616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0.251145400295131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  <v>361</v>
      </c>
      <c r="AF97" s="16">
        <f>(AE118+AE119+AG118+AG119+AI118+AI119+AK118+AK119)/AD135</f>
        <v>0.298260814983978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  <v>361</v>
      </c>
      <c r="AF98" s="16">
        <f>(AE132+AE133+AG132+AG133+AI132+AI133+AK132+AK133)/AD135</f>
        <v>0.189849111744381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-0.9642115756310961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0.06914742730712201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0.0704478970310331</v>
      </c>
      <c r="AD102" s="16">
        <f>P23</f>
        <v>-0.0137920071139257</v>
      </c>
      <c r="AE102" s="16">
        <f>P24</f>
        <v>0.07464368264685151</v>
      </c>
      <c r="AF102" s="16">
        <f>P25</f>
        <v>0.104173145106461</v>
      </c>
      <c r="AG102" s="16">
        <f>P26</f>
        <v>0.06914742730712201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11314.8216</v>
      </c>
      <c r="AD103" t="s" s="44">
        <v>72</v>
      </c>
      <c r="AE103" s="15">
        <f>C23</f>
        <v>11158.7675</v>
      </c>
      <c r="AF103" t="s" s="44">
        <v>72</v>
      </c>
      <c r="AG103" s="15">
        <f>C24</f>
        <v>11991.699</v>
      </c>
      <c r="AH103" t="s" s="44">
        <v>72</v>
      </c>
      <c r="AI103" s="15">
        <f>C25</f>
        <v>13240.912</v>
      </c>
      <c r="AJ103" t="s" s="44">
        <v>72</v>
      </c>
      <c r="AK103" s="15">
        <f>C26</f>
        <v>14156.487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0.06914742730712201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14156.487</v>
      </c>
      <c r="AK104" t="s" s="48">
        <f>AL103</f>
        <v>22</v>
      </c>
      <c r="AL104" t="s" s="44">
        <v>77</v>
      </c>
      <c r="AM104" t="s" s="44">
        <f>IF(AN104&gt;0,"+","")</f>
        <v>361</v>
      </c>
      <c r="AN104" s="16">
        <f>AF90</f>
        <v>0.090761812284883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0.0585430619866272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0.0225</v>
      </c>
      <c r="AE106" t="s" s="44">
        <v>82</v>
      </c>
      <c r="AF106" t="s" s="44">
        <v>83</v>
      </c>
      <c r="AG106" s="23">
        <f>AF52</f>
        <v>15463.1681232257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87</v>
      </c>
      <c r="AE107" t="s" s="44">
        <v>86</v>
      </c>
      <c r="AF107" t="s" s="44">
        <f>IF(AJ111&gt;AH111,"up","down")</f>
        <v>87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0.326643028998354</v>
      </c>
      <c r="AD109" s="16">
        <f>(D23+E23)/C23</f>
        <v>0.235064602788794</v>
      </c>
      <c r="AE109" s="16">
        <f>((E24+D24)/C24)</f>
        <v>0.347670250896057</v>
      </c>
      <c r="AF109" s="16">
        <f>(D25+E25)/C25</f>
        <v>0.316541186891054</v>
      </c>
      <c r="AG109" s="16">
        <f>(D26+E26)/C26</f>
        <v>0.252052362990903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1557.4536</v>
      </c>
      <c r="AD110" t="s" s="44">
        <v>72</v>
      </c>
      <c r="AE110" s="15">
        <f>E23</f>
        <v>492.4875</v>
      </c>
      <c r="AF110" t="s" s="44">
        <v>72</v>
      </c>
      <c r="AG110" s="15">
        <f>E24</f>
        <v>2005.78</v>
      </c>
      <c r="AH110" t="s" s="44">
        <v>72</v>
      </c>
      <c r="AI110" s="15">
        <f>E25</f>
        <v>2027.478</v>
      </c>
      <c r="AJ110" t="s" s="44">
        <v>72</v>
      </c>
      <c r="AK110" s="15">
        <f>E26</f>
        <v>1382.04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0.316541186891054</v>
      </c>
      <c r="AE111" t="s" s="44">
        <v>76</v>
      </c>
      <c r="AF111" s="16">
        <f>AG109</f>
        <v>0.252052362990903</v>
      </c>
      <c r="AG111" t="s" s="44">
        <v>90</v>
      </c>
      <c r="AH111" s="15">
        <f>AI110</f>
        <v>2027.478</v>
      </c>
      <c r="AI111" t="s" s="44">
        <v>76</v>
      </c>
      <c r="AJ111" s="15">
        <f>AK110</f>
        <v>1382.04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0.287832100891702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0.287832100891702</v>
      </c>
      <c r="AE113" t="s" s="44">
        <v>94</v>
      </c>
      <c r="AF113" s="15">
        <f>AF66</f>
        <v>2279.686500682980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360</v>
      </c>
      <c r="AE114" t="s" s="44">
        <f>IF(AF120&lt;0,"negative","positive")</f>
        <v>59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3148.968</v>
      </c>
      <c r="AE115" s="15">
        <f>ABS(AF120)</f>
        <v>5135.535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3148.968</v>
      </c>
      <c r="AD116" s="15">
        <f>ABS(AF120)</f>
        <v>5135.535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2560.7718</v>
      </c>
      <c r="AD118" t="s" s="44">
        <v>72</v>
      </c>
      <c r="AE118" s="15">
        <f>J23</f>
        <v>1599.156875</v>
      </c>
      <c r="AF118" t="s" s="44">
        <v>72</v>
      </c>
      <c r="AG118" s="15">
        <f>J24</f>
        <v>2600.3505</v>
      </c>
      <c r="AH118" t="s" s="44">
        <v>72</v>
      </c>
      <c r="AI118" s="15">
        <f>J25</f>
        <v>2518.588</v>
      </c>
      <c r="AJ118" t="s" s="44">
        <v>72</v>
      </c>
      <c r="AK118" s="15">
        <f>J26</f>
        <v>4274.901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-1000.0944</v>
      </c>
      <c r="AD119" t="s" s="44">
        <v>72</v>
      </c>
      <c r="AE119" s="15">
        <f>K23</f>
        <v>-852.2175</v>
      </c>
      <c r="AF119" t="s" s="44">
        <v>72</v>
      </c>
      <c r="AG119" s="15">
        <f>K24</f>
        <v>-497.1469</v>
      </c>
      <c r="AH119" t="s" s="44">
        <v>72</v>
      </c>
      <c r="AI119" s="15">
        <f>K25</f>
        <v>630.38</v>
      </c>
      <c r="AJ119" t="s" s="44">
        <v>72</v>
      </c>
      <c r="AK119" s="15">
        <f>K26</f>
        <v>860.634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3148.968</v>
      </c>
      <c r="AE120" t="s" s="44">
        <v>76</v>
      </c>
      <c r="AF120" s="15">
        <f>AK118+AK119</f>
        <v>5135.535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860.634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2783.66149375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35.4124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4305.988104485230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108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20532.024</v>
      </c>
      <c r="AD125" t="s" s="44">
        <v>72</v>
      </c>
      <c r="AE125" s="15">
        <f>F23</f>
        <v>21455.325</v>
      </c>
      <c r="AF125" t="s" s="44">
        <v>72</v>
      </c>
      <c r="AG125" s="15">
        <f>F24</f>
        <v>19486.1527</v>
      </c>
      <c r="AH125" t="s" s="44">
        <v>72</v>
      </c>
      <c r="AI125" s="15">
        <f>F25</f>
        <v>19717.7</v>
      </c>
      <c r="AJ125" t="s" s="44">
        <v>72</v>
      </c>
      <c r="AK125" s="15">
        <f>F26</f>
        <v>25850.43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60922.656</v>
      </c>
      <c r="AD126" t="s" s="44">
        <v>72</v>
      </c>
      <c r="AE126" s="15">
        <f>G23</f>
        <v>60326.15</v>
      </c>
      <c r="AF126" t="s" s="44">
        <v>72</v>
      </c>
      <c r="AG126" s="15">
        <f>G24</f>
        <v>56777.901</v>
      </c>
      <c r="AH126" t="s" s="44">
        <v>72</v>
      </c>
      <c r="AI126" s="15">
        <f>G25</f>
        <v>57188.66</v>
      </c>
      <c r="AJ126" t="s" s="44">
        <v>72</v>
      </c>
      <c r="AK126" s="15">
        <f>G26</f>
        <v>61846.29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111</v>
      </c>
      <c r="AE127" s="15">
        <f>AI125</f>
        <v>19717.7</v>
      </c>
      <c r="AF127" t="s" s="44">
        <v>76</v>
      </c>
      <c r="AG127" s="15">
        <f>AK125</f>
        <v>25850.43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111</v>
      </c>
      <c r="AE128" s="15">
        <f>AI126</f>
        <v>57188.66</v>
      </c>
      <c r="AF128" t="s" s="44">
        <v>76</v>
      </c>
      <c r="AG128" s="15">
        <f>AK126</f>
        <v>61846.29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108</v>
      </c>
      <c r="AL128" s="15">
        <f>AE127-AE128</f>
        <v>-37470.96</v>
      </c>
      <c r="AM128" t="s" s="44">
        <v>76</v>
      </c>
      <c r="AN128" s="15">
        <f>AG127-AG128</f>
        <v>-35995.86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-11472.1002556875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-18771.9075820589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374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343.872</v>
      </c>
      <c r="AD132" t="s" s="44">
        <v>72</v>
      </c>
      <c r="AE132" s="15">
        <f>-L23</f>
        <v>-456.8</v>
      </c>
      <c r="AF132" t="s" s="44">
        <v>72</v>
      </c>
      <c r="AG132" s="15">
        <f>-L24</f>
        <v>4126.176</v>
      </c>
      <c r="AH132" t="s" s="44">
        <v>72</v>
      </c>
      <c r="AI132" s="15">
        <f>-L25</f>
        <v>-285.87</v>
      </c>
      <c r="AJ132" t="s" s="44">
        <v>72</v>
      </c>
      <c r="AK132" s="15">
        <f>-L26</f>
        <v>125.64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171.936</v>
      </c>
      <c r="AD133" t="s" s="44">
        <v>72</v>
      </c>
      <c r="AE133" s="15">
        <f>-M23</f>
        <v>171.3</v>
      </c>
      <c r="AF133" t="s" s="44">
        <v>72</v>
      </c>
      <c r="AG133" s="15">
        <f>-M24</f>
        <v>0</v>
      </c>
      <c r="AH133" t="s" s="44">
        <v>72</v>
      </c>
      <c r="AI133" s="15">
        <f>-M25</f>
        <v>3406.984</v>
      </c>
      <c r="AJ133" t="s" s="44">
        <v>72</v>
      </c>
      <c r="AK133" s="15">
        <f>-M26</f>
        <v>0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711</v>
      </c>
      <c r="AD134" t="s" s="44">
        <f>IF(AE134&gt;0,"paid","(raised)")</f>
        <v>374</v>
      </c>
      <c r="AE134" s="15">
        <f>SUM(AK132:AK133)</f>
        <v>125.64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125.64</v>
      </c>
      <c r="AK134" t="s" s="48">
        <f>AL103</f>
        <v>22</v>
      </c>
      <c r="AL134" t="s" s="44">
        <v>123</v>
      </c>
      <c r="AM134" s="15">
        <f>AK133</f>
        <v>0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11472.1002556875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37331.9102464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0.33198160342505</v>
      </c>
      <c r="AI135" t="s" s="44">
        <v>130</v>
      </c>
      <c r="AJ135" t="s" s="44">
        <v>131</v>
      </c>
      <c r="AK135" t="s" s="44">
        <v>132</v>
      </c>
      <c r="AL135" s="15">
        <f>AF84</f>
        <v>4.69401330028748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17223.9524179409</v>
      </c>
      <c r="AE136" t="s" s="48">
        <f>AE135</f>
        <v>22</v>
      </c>
      <c r="AF136" t="s" s="44">
        <v>136</v>
      </c>
      <c r="AG136" s="15">
        <f>AD135/AD136</f>
        <v>2.16744155699793</v>
      </c>
      <c r="AH136" t="s" s="44">
        <v>130</v>
      </c>
      <c r="AI136" t="s" s="44">
        <v>137</v>
      </c>
      <c r="AJ136" t="s" s="44">
        <v>138</v>
      </c>
      <c r="AK136" s="15">
        <f>AF85</f>
        <v>10</v>
      </c>
      <c r="AL136" t="s" s="44">
        <v>139</v>
      </c>
      <c r="AM136" t="s" s="44">
        <v>140</v>
      </c>
      <c r="AN136" t="s" s="44">
        <v>141</v>
      </c>
      <c r="AO136" s="16">
        <f>AH93</f>
        <v>3.61373455155616</v>
      </c>
      <c r="AP136" t="s" s="44">
        <f>IF(AO136&gt;0,"higher","lower")</f>
        <v>363</v>
      </c>
      <c r="AQ136" t="s" s="44">
        <v>142</v>
      </c>
      <c r="AR136" s="15">
        <f>AF93</f>
        <v>7105.151209396480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11314.8216</v>
      </c>
      <c r="AC138" s="15">
        <f>AE103</f>
        <v>11158.7675</v>
      </c>
      <c r="AD138" s="15">
        <f>AG103</f>
        <v>11991.699</v>
      </c>
      <c r="AE138" s="15">
        <f>AI103</f>
        <v>13240.912</v>
      </c>
      <c r="AF138" s="15">
        <f>AK103</f>
        <v>14156.487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1560.6774</v>
      </c>
      <c r="AC139" s="15">
        <f>SUM(AE118:AE119)</f>
        <v>746.939375</v>
      </c>
      <c r="AD139" s="15">
        <f>SUM(AG118:AG119)</f>
        <v>2103.2036</v>
      </c>
      <c r="AE139" s="15">
        <f>SUM(AI118:AI119)</f>
        <v>3148.968</v>
      </c>
      <c r="AF139" s="15">
        <f>SUM(AK118:AK119)</f>
        <v>5135.535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515.808</v>
      </c>
      <c r="AC140" s="15">
        <f>SUM(AE132:AE133)</f>
        <v>-285.5</v>
      </c>
      <c r="AD140" s="15">
        <f>SUM(AG132:AG133)</f>
        <v>4126.176</v>
      </c>
      <c r="AE140" s="15">
        <f>SUM(AI132:AI133)</f>
        <v>3121.114</v>
      </c>
      <c r="AF140" s="15">
        <f>SUM(AK132:AK133)</f>
        <v>125.64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-40390.632</v>
      </c>
      <c r="AC141" s="15">
        <f>(AE125-AE126)</f>
        <v>-38870.825</v>
      </c>
      <c r="AD141" s="15">
        <f>(AG125-AG126)</f>
        <v>-37291.7483</v>
      </c>
      <c r="AE141" s="15">
        <f>(AI125-AI126)</f>
        <v>-37470.96</v>
      </c>
      <c r="AF141" s="15">
        <f>(AK125-AK126)</f>
        <v>-35995.86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7105.151209396480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0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48" customWidth="1"/>
    <col min="2" max="28" width="10.4844" style="348" customWidth="1"/>
    <col min="29" max="29" width="18.9766" style="351" customWidth="1"/>
    <col min="30" max="48" width="9" style="351" customWidth="1"/>
    <col min="49" max="16384" width="16.3516" style="351" customWidth="1"/>
  </cols>
  <sheetData>
    <row r="1" ht="11.65" customHeight="1"/>
    <row r="2" ht="27.65" customHeight="1">
      <c r="B2" t="s" s="2">
        <v>712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713</v>
      </c>
      <c r="AA3" t="s" s="3">
        <v>19</v>
      </c>
      <c r="AB3" t="s" s="3">
        <v>20</v>
      </c>
    </row>
    <row r="4" ht="20.25" customHeight="1">
      <c r="B4" s="6">
        <v>2017</v>
      </c>
      <c r="C4" s="7">
        <v>1843.247</v>
      </c>
      <c r="D4" s="8">
        <v>132.6675</v>
      </c>
      <c r="E4" s="8">
        <v>365.617</v>
      </c>
      <c r="F4" s="8">
        <v>3112.2</v>
      </c>
      <c r="G4" s="8">
        <v>8857.799999999999</v>
      </c>
      <c r="H4" s="8">
        <v>17250.1</v>
      </c>
      <c r="I4" s="8">
        <v>1848.7</v>
      </c>
      <c r="J4" s="8">
        <v>450.87</v>
      </c>
      <c r="K4" s="8">
        <v>-292.6</v>
      </c>
      <c r="L4" s="8">
        <v>0</v>
      </c>
      <c r="M4" s="8">
        <v>-239.4</v>
      </c>
      <c r="N4" s="8"/>
      <c r="O4" s="8"/>
      <c r="P4" s="9"/>
      <c r="Q4" s="9"/>
      <c r="R4" s="9"/>
      <c r="S4" s="9"/>
      <c r="T4" s="9"/>
      <c r="U4" s="9"/>
      <c r="V4" s="8">
        <f>-(L4+M4)</f>
        <v>239.4</v>
      </c>
      <c r="W4" s="9"/>
      <c r="X4" s="8">
        <f>F4-G4</f>
        <v>-5745.6</v>
      </c>
      <c r="Y4" s="9"/>
      <c r="Z4" s="349">
        <v>1300</v>
      </c>
      <c r="AA4" s="11"/>
      <c r="AB4" s="12">
        <v>13.3</v>
      </c>
    </row>
    <row r="5" ht="20.05" customHeight="1">
      <c r="B5" s="13"/>
      <c r="C5" s="14">
        <v>1897.89807</v>
      </c>
      <c r="D5" s="15">
        <v>132.936825</v>
      </c>
      <c r="E5" s="15">
        <v>379.95277</v>
      </c>
      <c r="F5" s="15">
        <v>2612.092</v>
      </c>
      <c r="G5" s="15">
        <v>9035.706</v>
      </c>
      <c r="H5" s="15">
        <v>17071.887</v>
      </c>
      <c r="I5" s="15">
        <v>1825.799</v>
      </c>
      <c r="J5" s="15">
        <v>547.7397</v>
      </c>
      <c r="K5" s="15">
        <v>-306.521</v>
      </c>
      <c r="L5" s="15">
        <v>0</v>
      </c>
      <c r="M5" s="15">
        <v>-239.886</v>
      </c>
      <c r="N5" s="15"/>
      <c r="O5" s="15"/>
      <c r="P5" s="16"/>
      <c r="Q5" s="17"/>
      <c r="R5" s="17"/>
      <c r="S5" s="17"/>
      <c r="T5" s="17"/>
      <c r="U5" s="17"/>
      <c r="V5" s="15">
        <f>-(L5+M5)+V4</f>
        <v>479.286</v>
      </c>
      <c r="W5" s="17"/>
      <c r="X5" s="15">
        <f>F5-G5</f>
        <v>-6423.614</v>
      </c>
      <c r="Y5" s="17"/>
      <c r="Z5" s="350">
        <v>1200</v>
      </c>
      <c r="AA5" s="19"/>
      <c r="AB5" s="20">
        <v>13.327</v>
      </c>
    </row>
    <row r="6" ht="20.05" customHeight="1">
      <c r="B6" s="13"/>
      <c r="C6" s="14">
        <v>1862.7</v>
      </c>
      <c r="D6" s="15">
        <v>132.717375</v>
      </c>
      <c r="E6" s="15">
        <v>306.015</v>
      </c>
      <c r="F6" s="15">
        <v>2714.22</v>
      </c>
      <c r="G6" s="15">
        <v>8927.655000000001</v>
      </c>
      <c r="H6" s="15">
        <v>17256.585</v>
      </c>
      <c r="I6" s="15">
        <v>1876.005</v>
      </c>
      <c r="J6" s="15">
        <v>372.54</v>
      </c>
      <c r="K6" s="15">
        <v>-266.1</v>
      </c>
      <c r="L6" s="15">
        <v>0</v>
      </c>
      <c r="M6" s="15">
        <v>-239.49</v>
      </c>
      <c r="N6" s="15"/>
      <c r="O6" s="15"/>
      <c r="P6" s="16"/>
      <c r="Q6" s="17"/>
      <c r="R6" s="17"/>
      <c r="S6" s="17"/>
      <c r="T6" s="17"/>
      <c r="U6" s="17"/>
      <c r="V6" s="15">
        <f>-(L6+M6)+V5</f>
        <v>718.776</v>
      </c>
      <c r="W6" s="17"/>
      <c r="X6" s="15">
        <f>F6-G6</f>
        <v>-6213.435</v>
      </c>
      <c r="Y6" s="17"/>
      <c r="Z6" s="350">
        <v>1125</v>
      </c>
      <c r="AA6" s="19"/>
      <c r="AB6" s="20">
        <v>13.305</v>
      </c>
    </row>
    <row r="7" ht="20.05" customHeight="1">
      <c r="B7" s="13"/>
      <c r="C7" s="14">
        <v>1965.765</v>
      </c>
      <c r="D7" s="15">
        <v>135.231075</v>
      </c>
      <c r="E7" s="15">
        <v>379.596</v>
      </c>
      <c r="F7" s="15">
        <v>2033.55</v>
      </c>
      <c r="G7" s="15">
        <v>9259.431</v>
      </c>
      <c r="H7" s="15">
        <v>17935.911</v>
      </c>
      <c r="I7" s="15">
        <v>1965.765</v>
      </c>
      <c r="J7" s="15">
        <v>596.508</v>
      </c>
      <c r="K7" s="15">
        <v>-1125.231</v>
      </c>
      <c r="L7" s="15">
        <v>0</v>
      </c>
      <c r="M7" s="15">
        <v>-244.026</v>
      </c>
      <c r="N7" s="15"/>
      <c r="O7" s="15"/>
      <c r="P7" s="16"/>
      <c r="Q7" s="17"/>
      <c r="R7" s="17"/>
      <c r="S7" s="17"/>
      <c r="T7" s="17"/>
      <c r="U7" s="17"/>
      <c r="V7" s="15">
        <f>-(L7+M7)+V6</f>
        <v>962.802</v>
      </c>
      <c r="W7" s="17"/>
      <c r="X7" s="15">
        <f>F7-G7</f>
        <v>-7225.881</v>
      </c>
      <c r="Y7" s="17"/>
      <c r="Z7" s="350">
        <v>1300</v>
      </c>
      <c r="AA7" s="19"/>
      <c r="AB7" s="20">
        <v>13.557</v>
      </c>
    </row>
    <row r="8" ht="20.05" customHeight="1">
      <c r="B8" s="21">
        <v>2018</v>
      </c>
      <c r="C8" s="14">
        <v>1431.144</v>
      </c>
      <c r="D8" s="15">
        <v>202.2867</v>
      </c>
      <c r="E8" s="15">
        <v>316.503</v>
      </c>
      <c r="F8" s="15">
        <v>2752.2</v>
      </c>
      <c r="G8" s="15">
        <v>9164.825999999999</v>
      </c>
      <c r="H8" s="15">
        <v>18288.369</v>
      </c>
      <c r="I8" s="15">
        <v>2518.263</v>
      </c>
      <c r="J8" s="15">
        <v>178.893</v>
      </c>
      <c r="K8" s="15">
        <v>-137.61</v>
      </c>
      <c r="L8" s="15">
        <v>0</v>
      </c>
      <c r="M8" s="15">
        <v>-275.22</v>
      </c>
      <c r="N8" s="15">
        <f>SUM(C5:C8)/4</f>
        <v>1789.3767675</v>
      </c>
      <c r="O8" s="15"/>
      <c r="P8" s="16"/>
      <c r="Q8" s="16"/>
      <c r="R8" s="16"/>
      <c r="S8" s="17"/>
      <c r="T8" s="15">
        <f>SUM(J5:K8)/4</f>
        <v>-34.945325</v>
      </c>
      <c r="U8" s="25"/>
      <c r="V8" s="15">
        <f>-(L8+M8)+V7</f>
        <v>1238.022</v>
      </c>
      <c r="W8" s="17"/>
      <c r="X8" s="15">
        <f>F8-G8</f>
        <v>-6412.626</v>
      </c>
      <c r="Y8" s="24"/>
      <c r="Z8" s="350">
        <v>1150</v>
      </c>
      <c r="AA8" s="22"/>
      <c r="AB8" s="20">
        <v>13.761</v>
      </c>
    </row>
    <row r="9" ht="20.05" customHeight="1">
      <c r="B9" s="13"/>
      <c r="C9" s="14">
        <v>1414</v>
      </c>
      <c r="D9" s="15">
        <v>205.8</v>
      </c>
      <c r="E9" s="15">
        <v>238</v>
      </c>
      <c r="F9" s="15">
        <v>2688</v>
      </c>
      <c r="G9" s="15">
        <v>9296</v>
      </c>
      <c r="H9" s="15">
        <v>18074</v>
      </c>
      <c r="I9" s="15">
        <v>1456</v>
      </c>
      <c r="J9" s="15">
        <v>770</v>
      </c>
      <c r="K9" s="15">
        <v>-98</v>
      </c>
      <c r="L9" s="15">
        <v>0</v>
      </c>
      <c r="M9" s="15">
        <v>-280</v>
      </c>
      <c r="N9" s="15">
        <f>SUM(C6:C9)/4</f>
        <v>1668.40225</v>
      </c>
      <c r="O9" s="15"/>
      <c r="P9" s="16"/>
      <c r="Q9" s="16">
        <f>(E9+D9)/C9</f>
        <v>0.313861386138614</v>
      </c>
      <c r="R9" s="16"/>
      <c r="S9" s="17"/>
      <c r="T9" s="15">
        <f>SUM(J6:K9)/4</f>
        <v>72.75</v>
      </c>
      <c r="U9" s="25"/>
      <c r="V9" s="15">
        <f>-(L9+M9)+V8</f>
        <v>1518.022</v>
      </c>
      <c r="W9" s="17"/>
      <c r="X9" s="15">
        <f>F13-G9</f>
        <v>-6583.616</v>
      </c>
      <c r="Y9" s="24"/>
      <c r="Z9" s="350">
        <v>1180</v>
      </c>
      <c r="AA9" s="22"/>
      <c r="AB9" s="20">
        <v>14</v>
      </c>
    </row>
    <row r="10" ht="20.05" customHeight="1">
      <c r="B10" s="13"/>
      <c r="C10" s="14">
        <v>3293.342</v>
      </c>
      <c r="D10" s="15">
        <v>219.0594</v>
      </c>
      <c r="E10" s="15">
        <v>312.942</v>
      </c>
      <c r="F10" s="15">
        <v>3129.42</v>
      </c>
      <c r="G10" s="15">
        <v>9835.32</v>
      </c>
      <c r="H10" s="15">
        <v>19476.914</v>
      </c>
      <c r="I10" s="15">
        <v>2071.378</v>
      </c>
      <c r="J10" s="15">
        <v>372.55</v>
      </c>
      <c r="K10" s="15">
        <v>-268.236</v>
      </c>
      <c r="L10" s="15">
        <v>0</v>
      </c>
      <c r="M10" s="15">
        <v>-298.04</v>
      </c>
      <c r="N10" s="15">
        <f>SUM(C7:C10)/4</f>
        <v>2026.06275</v>
      </c>
      <c r="O10" s="15"/>
      <c r="P10" s="16">
        <f>C10/C9-1</f>
        <v>1.32909618104668</v>
      </c>
      <c r="Q10" s="16">
        <f>(E10+D10)/C10</f>
        <v>0.161538461538462</v>
      </c>
      <c r="R10" s="16"/>
      <c r="S10" s="17"/>
      <c r="T10" s="15">
        <f>SUM(J7:K10)/4</f>
        <v>72.21850000000001</v>
      </c>
      <c r="U10" s="25"/>
      <c r="V10" s="15">
        <f>-(L10+M10)+V9</f>
        <v>1816.062</v>
      </c>
      <c r="W10" s="17"/>
      <c r="X10" s="15">
        <f>F10-G10</f>
        <v>-6705.9</v>
      </c>
      <c r="Y10" s="24"/>
      <c r="Z10" s="350">
        <v>950</v>
      </c>
      <c r="AA10" s="22"/>
      <c r="AB10" s="20">
        <v>14.902</v>
      </c>
    </row>
    <row r="11" ht="20.05" customHeight="1">
      <c r="B11" s="13"/>
      <c r="C11" s="14">
        <v>2128.24</v>
      </c>
      <c r="D11" s="15">
        <v>211.386</v>
      </c>
      <c r="E11" s="15">
        <v>258.84</v>
      </c>
      <c r="F11" s="15">
        <v>2243.28</v>
      </c>
      <c r="G11" s="15">
        <v>9620.219999999999</v>
      </c>
      <c r="H11" s="15">
        <v>18823.42</v>
      </c>
      <c r="I11" s="15">
        <v>2142.62</v>
      </c>
      <c r="J11" s="15">
        <v>704.62</v>
      </c>
      <c r="K11" s="15">
        <v>-230.08</v>
      </c>
      <c r="L11" s="15">
        <v>0</v>
      </c>
      <c r="M11" s="15">
        <v>-287.6</v>
      </c>
      <c r="N11" s="15">
        <f>SUM(C8:C11)/4</f>
        <v>2066.6815</v>
      </c>
      <c r="O11" s="15"/>
      <c r="P11" s="16">
        <f>C11/C10-1</f>
        <v>-0.353774979944385</v>
      </c>
      <c r="Q11" s="16">
        <f>(E11+D11)/C11</f>
        <v>0.220945945945946</v>
      </c>
      <c r="R11" s="16"/>
      <c r="S11" s="17"/>
      <c r="T11" s="15">
        <f>SUM(J8:K11)/4</f>
        <v>323.03425</v>
      </c>
      <c r="U11" s="25"/>
      <c r="V11" s="15">
        <f>-(L11+M11)+V10</f>
        <v>2103.662</v>
      </c>
      <c r="W11" s="17"/>
      <c r="X11" s="15">
        <f>F11-G11</f>
        <v>-7376.94</v>
      </c>
      <c r="Y11" s="24"/>
      <c r="Z11" s="350">
        <v>890</v>
      </c>
      <c r="AA11" s="22"/>
      <c r="AB11" s="20">
        <v>14.38</v>
      </c>
    </row>
    <row r="12" ht="20.05" customHeight="1">
      <c r="B12" s="21">
        <v>2019</v>
      </c>
      <c r="C12" s="14">
        <v>1523.68</v>
      </c>
      <c r="D12" s="15">
        <v>214.312</v>
      </c>
      <c r="E12" s="15">
        <v>384.48</v>
      </c>
      <c r="F12" s="15">
        <v>2605.92</v>
      </c>
      <c r="G12" s="15">
        <v>9526.559999999999</v>
      </c>
      <c r="H12" s="15">
        <v>19010.4</v>
      </c>
      <c r="I12" s="15">
        <v>1879.68</v>
      </c>
      <c r="J12" s="15">
        <v>398.72</v>
      </c>
      <c r="K12" s="15">
        <v>-14.24</v>
      </c>
      <c r="L12" s="15">
        <v>0</v>
      </c>
      <c r="M12" s="15">
        <v>-338.2</v>
      </c>
      <c r="N12" s="15">
        <f>SUM(C9:C12)/4</f>
        <v>2089.8155</v>
      </c>
      <c r="O12" s="23"/>
      <c r="P12" s="16">
        <f>C12/C11-1</f>
        <v>-0.284065706875164</v>
      </c>
      <c r="Q12" s="16">
        <f>(E12+D12)/C12</f>
        <v>0.392990654205607</v>
      </c>
      <c r="R12" s="16">
        <f>AVERAGE(Q9:Q12)</f>
        <v>0.272334111957157</v>
      </c>
      <c r="S12" s="17"/>
      <c r="T12" s="15">
        <f>SUM(J9:K12)/4</f>
        <v>408.8335</v>
      </c>
      <c r="U12" s="25"/>
      <c r="V12" s="15">
        <f>-(L12+M12)+V11</f>
        <v>2441.862</v>
      </c>
      <c r="W12" s="17"/>
      <c r="X12" s="15">
        <f>F12-G12</f>
        <v>-6920.64</v>
      </c>
      <c r="Y12" s="24"/>
      <c r="Z12" s="350">
        <v>945</v>
      </c>
      <c r="AA12" s="22"/>
      <c r="AB12" s="20">
        <v>14.24</v>
      </c>
    </row>
    <row r="13" ht="20.05" customHeight="1">
      <c r="B13" s="13"/>
      <c r="C13" s="14">
        <v>2556.987</v>
      </c>
      <c r="D13" s="15">
        <v>212.61135</v>
      </c>
      <c r="E13" s="15">
        <v>395.556</v>
      </c>
      <c r="F13" s="15">
        <v>2712.384</v>
      </c>
      <c r="G13" s="15">
        <v>9380.328</v>
      </c>
      <c r="H13" s="15">
        <v>18492.243</v>
      </c>
      <c r="I13" s="15">
        <v>2246.193</v>
      </c>
      <c r="J13" s="15">
        <v>734.604</v>
      </c>
      <c r="K13" s="15">
        <v>70.63500000000001</v>
      </c>
      <c r="L13" s="15">
        <v>0</v>
      </c>
      <c r="M13" s="15">
        <v>-335.51625</v>
      </c>
      <c r="N13" s="15">
        <f>SUM(C10:C13)/4</f>
        <v>2375.56225</v>
      </c>
      <c r="O13" s="23"/>
      <c r="P13" s="16">
        <f>C13/C12-1</f>
        <v>0.6781653628058379</v>
      </c>
      <c r="Q13" s="16">
        <f>(E13+D13)/C13</f>
        <v>0.237845303867403</v>
      </c>
      <c r="R13" s="16">
        <f>AVERAGE(Q10:Q13)</f>
        <v>0.253330091389355</v>
      </c>
      <c r="S13" s="17"/>
      <c r="T13" s="15">
        <f>SUM(J10:K13)/4</f>
        <v>442.14325</v>
      </c>
      <c r="U13" s="25"/>
      <c r="V13" s="15">
        <f>-(L13+M13)+V12</f>
        <v>2777.37825</v>
      </c>
      <c r="W13" s="17"/>
      <c r="X13" s="15">
        <f>F13-G13</f>
        <v>-6667.944</v>
      </c>
      <c r="Y13" s="24"/>
      <c r="Z13" s="350">
        <v>870</v>
      </c>
      <c r="AA13" s="24"/>
      <c r="AB13" s="15">
        <v>14.127</v>
      </c>
    </row>
    <row r="14" ht="20.05" customHeight="1">
      <c r="B14" s="13"/>
      <c r="C14" s="14">
        <v>2157.64</v>
      </c>
      <c r="D14" s="15">
        <v>213.63475</v>
      </c>
      <c r="E14" s="15">
        <v>340.68</v>
      </c>
      <c r="F14" s="15">
        <v>2384.76</v>
      </c>
      <c r="G14" s="15">
        <v>9425.48</v>
      </c>
      <c r="H14" s="15">
        <v>18723.205</v>
      </c>
      <c r="I14" s="15">
        <v>2058.275</v>
      </c>
      <c r="J14" s="15">
        <v>42.585</v>
      </c>
      <c r="K14" s="15">
        <v>-170.34</v>
      </c>
      <c r="L14" s="15">
        <v>0</v>
      </c>
      <c r="M14" s="15">
        <v>-337.13125</v>
      </c>
      <c r="N14" s="15">
        <f>SUM(C11:C14)/4</f>
        <v>2091.63675</v>
      </c>
      <c r="O14" s="23"/>
      <c r="P14" s="16">
        <f>C14/C13-1</f>
        <v>-0.156178736927485</v>
      </c>
      <c r="Q14" s="16">
        <f>(E14+D14)/C14</f>
        <v>0.256907894736842</v>
      </c>
      <c r="R14" s="16">
        <f>AVERAGE(Q11:Q14)</f>
        <v>0.27717244968895</v>
      </c>
      <c r="S14" s="17"/>
      <c r="T14" s="15">
        <f>SUM(J11:K14)/4</f>
        <v>384.126</v>
      </c>
      <c r="U14" s="25"/>
      <c r="V14" s="15">
        <f>-(L14+M14)+V13</f>
        <v>3114.5095</v>
      </c>
      <c r="W14" s="17"/>
      <c r="X14" s="15">
        <f>F14-G14</f>
        <v>-7040.72</v>
      </c>
      <c r="Y14" s="24"/>
      <c r="Z14" s="350">
        <v>1160</v>
      </c>
      <c r="AA14" s="24"/>
      <c r="AB14" s="15">
        <v>14.195</v>
      </c>
    </row>
    <row r="15" ht="20.05" customHeight="1">
      <c r="B15" s="13"/>
      <c r="C15" s="14">
        <v>2054.536</v>
      </c>
      <c r="D15" s="15">
        <v>208.9241</v>
      </c>
      <c r="E15" s="15">
        <v>471.988</v>
      </c>
      <c r="F15" s="15">
        <v>3373.326</v>
      </c>
      <c r="G15" s="15">
        <v>9231.530000000001</v>
      </c>
      <c r="H15" s="15">
        <v>18393.65</v>
      </c>
      <c r="I15" s="15">
        <v>2068.418</v>
      </c>
      <c r="J15" s="15">
        <v>596.926</v>
      </c>
      <c r="K15" s="15">
        <v>819.038</v>
      </c>
      <c r="L15" s="15">
        <v>0</v>
      </c>
      <c r="M15" s="15">
        <v>-329.6975</v>
      </c>
      <c r="N15" s="15">
        <f>SUM(C12:C15)/4</f>
        <v>2073.21075</v>
      </c>
      <c r="O15" s="15"/>
      <c r="P15" s="16">
        <f>C15/C14-1</f>
        <v>-0.0477855434641553</v>
      </c>
      <c r="Q15" s="16">
        <f>(E15+D15)/C15</f>
        <v>0.331418918918919</v>
      </c>
      <c r="R15" s="16">
        <f>AVERAGE(Q12:Q15)</f>
        <v>0.304790692932193</v>
      </c>
      <c r="S15" s="17"/>
      <c r="T15" s="15">
        <f>SUM(J12:K15)/4</f>
        <v>619.482</v>
      </c>
      <c r="U15" s="25"/>
      <c r="V15" s="15">
        <f>-(L15+M15)+V14</f>
        <v>3444.207</v>
      </c>
      <c r="W15" s="17"/>
      <c r="X15" s="15">
        <f>F15-G15</f>
        <v>-5858.204</v>
      </c>
      <c r="Y15" s="24"/>
      <c r="Z15" s="350">
        <v>1000</v>
      </c>
      <c r="AA15" s="24"/>
      <c r="AB15" s="15">
        <v>13.882</v>
      </c>
    </row>
    <row r="16" ht="20.05" customHeight="1">
      <c r="B16" s="21">
        <v>2020</v>
      </c>
      <c r="C16" s="14">
        <v>2120.3</v>
      </c>
      <c r="D16" s="15">
        <v>638.264666666666</v>
      </c>
      <c r="E16" s="15">
        <v>48.93</v>
      </c>
      <c r="F16" s="15">
        <v>3930.71</v>
      </c>
      <c r="G16" s="15">
        <v>10373.16</v>
      </c>
      <c r="H16" s="15">
        <v>21154.07</v>
      </c>
      <c r="I16" s="15">
        <v>2169.23</v>
      </c>
      <c r="J16" s="15">
        <v>424.06</v>
      </c>
      <c r="K16" s="15">
        <v>-228.34</v>
      </c>
      <c r="L16" s="15">
        <v>0</v>
      </c>
      <c r="M16" s="15">
        <v>-260.96</v>
      </c>
      <c r="N16" s="15">
        <f>SUM(C13:C16)/4</f>
        <v>2222.36575</v>
      </c>
      <c r="O16" s="15"/>
      <c r="P16" s="16">
        <f>C16/C15-1</f>
        <v>0.0320091738475257</v>
      </c>
      <c r="Q16" s="16">
        <f>(E16+D16)/C16</f>
        <v>0.324102564102564</v>
      </c>
      <c r="R16" s="16">
        <f>AVERAGE(Q13:Q16)</f>
        <v>0.287568670406432</v>
      </c>
      <c r="S16" s="17"/>
      <c r="T16" s="15">
        <f>SUM(J13:K16)/4</f>
        <v>572.292</v>
      </c>
      <c r="U16" s="25"/>
      <c r="V16" s="15">
        <f>-(L16+M16)+V15</f>
        <v>3705.167</v>
      </c>
      <c r="W16" s="17"/>
      <c r="X16" s="15">
        <f>F16-G16</f>
        <v>-6442.45</v>
      </c>
      <c r="Y16" s="24"/>
      <c r="Z16" s="350">
        <v>600</v>
      </c>
      <c r="AA16" s="24"/>
      <c r="AB16" s="15">
        <v>16.31</v>
      </c>
    </row>
    <row r="17" ht="20.05" customHeight="1">
      <c r="B17" s="13"/>
      <c r="C17" s="14">
        <v>1454.01</v>
      </c>
      <c r="D17" s="15">
        <v>192.917666666666</v>
      </c>
      <c r="E17" s="15">
        <v>470.415</v>
      </c>
      <c r="F17" s="15">
        <v>4419.05</v>
      </c>
      <c r="G17" s="15">
        <v>9294.26</v>
      </c>
      <c r="H17" s="15">
        <v>19201.485</v>
      </c>
      <c r="I17" s="15">
        <v>1810.385</v>
      </c>
      <c r="J17" s="15">
        <v>812.535</v>
      </c>
      <c r="K17" s="15">
        <v>42.765</v>
      </c>
      <c r="L17" s="15">
        <v>0</v>
      </c>
      <c r="M17" s="15">
        <v>-228.08</v>
      </c>
      <c r="N17" s="15">
        <f>SUM(C14:C17)/4</f>
        <v>1946.6215</v>
      </c>
      <c r="O17" s="15"/>
      <c r="P17" s="16">
        <f>C17/C16-1</f>
        <v>-0.314243267462152</v>
      </c>
      <c r="Q17" s="16">
        <f>(E17+D17)/C17</f>
        <v>0.456209150326797</v>
      </c>
      <c r="R17" s="16">
        <f>AVERAGE(Q14:Q17)</f>
        <v>0.342159632021281</v>
      </c>
      <c r="S17" s="17"/>
      <c r="T17" s="25">
        <f>SUM(J14:K17)/4</f>
        <v>584.80725</v>
      </c>
      <c r="U17" s="25"/>
      <c r="V17" s="15">
        <f>-(L17+M17)+V16</f>
        <v>3933.247</v>
      </c>
      <c r="W17" s="17"/>
      <c r="X17" s="15">
        <f>F17-G17</f>
        <v>-4875.21</v>
      </c>
      <c r="Y17" s="24"/>
      <c r="Z17" s="350">
        <v>585</v>
      </c>
      <c r="AA17" s="24"/>
      <c r="AB17" s="15">
        <v>14.255</v>
      </c>
    </row>
    <row r="18" ht="20.05" customHeight="1">
      <c r="B18" s="13"/>
      <c r="C18" s="14">
        <v>1626.9</v>
      </c>
      <c r="D18" s="15">
        <v>200.158</v>
      </c>
      <c r="E18" s="15">
        <v>192.27</v>
      </c>
      <c r="F18" s="15">
        <v>4185.57</v>
      </c>
      <c r="G18" s="15">
        <v>9583.92</v>
      </c>
      <c r="H18" s="15">
        <v>19374.9</v>
      </c>
      <c r="I18" s="15">
        <v>1523.37</v>
      </c>
      <c r="J18" s="15">
        <v>384.54</v>
      </c>
      <c r="K18" s="15">
        <v>-59.16</v>
      </c>
      <c r="L18" s="15">
        <v>0</v>
      </c>
      <c r="M18" s="15">
        <v>-236.64</v>
      </c>
      <c r="N18" s="15">
        <f>SUM(C15:C18)/4</f>
        <v>1813.9365</v>
      </c>
      <c r="O18" s="15"/>
      <c r="P18" s="16">
        <f>C18/C17-1</f>
        <v>0.118905647141354</v>
      </c>
      <c r="Q18" s="16">
        <f>(E18+D18)/C18</f>
        <v>0.241212121212121</v>
      </c>
      <c r="R18" s="16">
        <f>AVERAGE(Q15:Q18)</f>
        <v>0.3382356886401</v>
      </c>
      <c r="S18" s="17"/>
      <c r="T18" s="25">
        <f>SUM(J15:K18)/4</f>
        <v>698.091</v>
      </c>
      <c r="U18" s="25"/>
      <c r="V18" s="15">
        <f>-(L18+M18)+V17</f>
        <v>4169.887</v>
      </c>
      <c r="W18" s="17"/>
      <c r="X18" s="15">
        <f>F18-G18</f>
        <v>-5398.35</v>
      </c>
      <c r="Y18" s="24"/>
      <c r="Z18" s="350">
        <v>570</v>
      </c>
      <c r="AA18" s="24"/>
      <c r="AB18" s="15">
        <v>14.79</v>
      </c>
    </row>
    <row r="19" ht="20.05" customHeight="1">
      <c r="B19" s="13"/>
      <c r="C19" s="14">
        <v>1746.99</v>
      </c>
      <c r="D19" s="15">
        <v>190.350000000001</v>
      </c>
      <c r="E19" s="15">
        <v>362.37</v>
      </c>
      <c r="F19" s="15">
        <v>3835.2</v>
      </c>
      <c r="G19" s="15">
        <v>9475.200000000001</v>
      </c>
      <c r="H19" s="15">
        <v>18936.3</v>
      </c>
      <c r="I19" s="15">
        <v>1687.77</v>
      </c>
      <c r="J19" s="15">
        <v>857.28</v>
      </c>
      <c r="K19" s="15">
        <v>-810.75</v>
      </c>
      <c r="L19" s="15">
        <v>0</v>
      </c>
      <c r="M19" s="15">
        <v>-225.6</v>
      </c>
      <c r="N19" s="15">
        <f>SUM(C16:C19)/4</f>
        <v>1737.05</v>
      </c>
      <c r="O19" s="15"/>
      <c r="P19" s="16">
        <f>C19/C18-1</f>
        <v>0.0738152314217223</v>
      </c>
      <c r="Q19" s="16">
        <f>(E19+D19)/C19</f>
        <v>0.316384180790961</v>
      </c>
      <c r="R19" s="16">
        <f>AVERAGE(Q16:Q19)</f>
        <v>0.334477004108111</v>
      </c>
      <c r="S19" s="17"/>
      <c r="T19" s="25">
        <f>SUM(J16:K19)/4</f>
        <v>355.7325</v>
      </c>
      <c r="U19" s="25"/>
      <c r="V19" s="15">
        <f>-(L19+M19)+V18</f>
        <v>4395.487</v>
      </c>
      <c r="W19" s="17"/>
      <c r="X19" s="15">
        <f>F19-G19</f>
        <v>-5640</v>
      </c>
      <c r="Y19" s="24"/>
      <c r="Z19" s="350">
        <v>710</v>
      </c>
      <c r="AA19" s="24"/>
      <c r="AB19" s="15">
        <v>14.1</v>
      </c>
    </row>
    <row r="20" ht="20.05" customHeight="1">
      <c r="B20" s="21">
        <v>2021</v>
      </c>
      <c r="C20" s="14">
        <v>1887.0952</v>
      </c>
      <c r="D20" s="15">
        <v>273.1322</v>
      </c>
      <c r="E20" s="15">
        <v>286.2776</v>
      </c>
      <c r="F20" s="15">
        <v>4659.314</v>
      </c>
      <c r="G20" s="15">
        <v>9639.959999999999</v>
      </c>
      <c r="H20" s="15">
        <v>19718.1</v>
      </c>
      <c r="I20" s="15">
        <v>1885.6346</v>
      </c>
      <c r="J20" s="15">
        <v>559.84798</v>
      </c>
      <c r="K20" s="15">
        <v>159.2054</v>
      </c>
      <c r="L20" s="15">
        <v>0</v>
      </c>
      <c r="M20" s="15">
        <v>0</v>
      </c>
      <c r="N20" s="15">
        <f>SUM(C17:C20)/4</f>
        <v>1678.7488</v>
      </c>
      <c r="O20" s="15"/>
      <c r="P20" s="16">
        <f>C20/C19-1</f>
        <v>0.0801980549402114</v>
      </c>
      <c r="Q20" s="16">
        <f>(E20+D20)/C20</f>
        <v>0.296439628482972</v>
      </c>
      <c r="R20" s="16">
        <f>AVERAGE(Q17:Q20)</f>
        <v>0.327561270203213</v>
      </c>
      <c r="S20" s="17"/>
      <c r="T20" s="25">
        <f>SUM(J17:K20)/4</f>
        <v>486.565845</v>
      </c>
      <c r="U20" s="25"/>
      <c r="V20" s="15">
        <f>-(L20+M20)+V19</f>
        <v>4395.487</v>
      </c>
      <c r="W20" s="17"/>
      <c r="X20" s="15">
        <f>F20-G20</f>
        <v>-4980.646</v>
      </c>
      <c r="Y20" s="15"/>
      <c r="Z20" s="15">
        <v>680</v>
      </c>
      <c r="AA20" s="15"/>
      <c r="AB20" s="15">
        <v>14.606</v>
      </c>
    </row>
    <row r="21" ht="20.05" customHeight="1">
      <c r="B21" s="13"/>
      <c r="C21" s="14">
        <v>1856.825</v>
      </c>
      <c r="D21" s="15">
        <v>186.405</v>
      </c>
      <c r="E21" s="15">
        <v>299.115</v>
      </c>
      <c r="F21" s="15">
        <v>3858.15</v>
      </c>
      <c r="G21" s="15">
        <v>9609.25</v>
      </c>
      <c r="H21" s="15">
        <v>19290.75</v>
      </c>
      <c r="I21" s="15">
        <v>1836.595</v>
      </c>
      <c r="J21" s="15">
        <v>309.3745</v>
      </c>
      <c r="K21" s="15">
        <v>-476.85</v>
      </c>
      <c r="L21" s="15">
        <v>0</v>
      </c>
      <c r="M21" s="15">
        <v>-586.67</v>
      </c>
      <c r="N21" s="15">
        <f>SUM(C18:C21)/4</f>
        <v>1779.45255</v>
      </c>
      <c r="O21" s="15"/>
      <c r="P21" s="16">
        <f>C21/C20-1</f>
        <v>-0.0160406321843222</v>
      </c>
      <c r="Q21" s="16">
        <f>(E21+D21)/C21</f>
        <v>0.26147859922179</v>
      </c>
      <c r="R21" s="16">
        <f>AVERAGE(Q18:Q21)</f>
        <v>0.278878632426961</v>
      </c>
      <c r="S21" s="17"/>
      <c r="T21" s="25">
        <f>SUM(J18:K21)/4</f>
        <v>230.87197</v>
      </c>
      <c r="U21" s="25"/>
      <c r="V21" s="15">
        <f>-(L21+M21)+V20</f>
        <v>4982.157</v>
      </c>
      <c r="W21" s="17"/>
      <c r="X21" s="15">
        <f>F21-G21</f>
        <v>-5751.1</v>
      </c>
      <c r="Y21" s="15"/>
      <c r="Z21" s="15">
        <v>645</v>
      </c>
      <c r="AA21" s="15"/>
      <c r="AB21" s="15">
        <v>14.45</v>
      </c>
    </row>
    <row r="22" ht="20.05" customHeight="1">
      <c r="B22" s="13"/>
      <c r="C22" s="14">
        <v>1803.8952</v>
      </c>
      <c r="D22" s="15">
        <v>157.608</v>
      </c>
      <c r="E22" s="15">
        <v>369.6624</v>
      </c>
      <c r="F22" s="15">
        <v>4670.928</v>
      </c>
      <c r="G22" s="15">
        <v>9599.76</v>
      </c>
      <c r="H22" s="15">
        <v>19572.048</v>
      </c>
      <c r="I22" s="15">
        <v>1848.312</v>
      </c>
      <c r="J22" s="15">
        <v>588.30768</v>
      </c>
      <c r="K22" s="15">
        <v>240.7104</v>
      </c>
      <c r="L22" s="15">
        <v>0</v>
      </c>
      <c r="M22" s="15">
        <v>0</v>
      </c>
      <c r="N22" s="15">
        <f>SUM(C19:C22)/4</f>
        <v>1823.70135</v>
      </c>
      <c r="O22" s="15"/>
      <c r="P22" s="16">
        <f>C22/C21-1</f>
        <v>-0.0285055403713328</v>
      </c>
      <c r="Q22" s="16">
        <f>(E22+D22)/C22</f>
        <v>0.292295472597299</v>
      </c>
      <c r="R22" s="16">
        <f>AVERAGE(Q19:Q22)</f>
        <v>0.291649470273256</v>
      </c>
      <c r="S22" s="17"/>
      <c r="T22" s="25">
        <f>SUM(J19:K22)/4</f>
        <v>356.78149</v>
      </c>
      <c r="U22" s="25"/>
      <c r="V22" s="15">
        <f>-(L22+M22)+V21</f>
        <v>4982.157</v>
      </c>
      <c r="W22" s="17"/>
      <c r="X22" s="15">
        <f>F22-G22</f>
        <v>-4928.832</v>
      </c>
      <c r="Y22" s="15"/>
      <c r="Z22" s="15">
        <v>605</v>
      </c>
      <c r="AA22" s="15"/>
      <c r="AB22" s="15">
        <v>14.328</v>
      </c>
    </row>
    <row r="23" ht="20.05" customHeight="1">
      <c r="B23" s="13"/>
      <c r="C23" s="14">
        <v>1872.88</v>
      </c>
      <c r="D23" s="15">
        <v>211.27</v>
      </c>
      <c r="E23" s="15">
        <v>346.8825</v>
      </c>
      <c r="F23" s="15">
        <v>3968.45</v>
      </c>
      <c r="G23" s="15">
        <v>9421.5</v>
      </c>
      <c r="H23" s="15">
        <v>19399.725</v>
      </c>
      <c r="I23" s="15">
        <v>1887.155</v>
      </c>
      <c r="J23" s="15">
        <v>533.885</v>
      </c>
      <c r="K23" s="15">
        <v>-899.325</v>
      </c>
      <c r="L23" s="15">
        <v>0</v>
      </c>
      <c r="M23" s="15">
        <v>-328.325</v>
      </c>
      <c r="N23" s="15">
        <f>SUM(C20:C23)/4</f>
        <v>1855.17385</v>
      </c>
      <c r="O23" s="15">
        <v>1825.92595625</v>
      </c>
      <c r="P23" s="16">
        <f>C23/C22-1</f>
        <v>0.0382421329132646</v>
      </c>
      <c r="Q23" s="16">
        <f>(E23+D23)/C23</f>
        <v>0.298018292682927</v>
      </c>
      <c r="R23" s="16">
        <f>AVERAGE(Q20:Q23)</f>
        <v>0.287057998246247</v>
      </c>
      <c r="S23" s="17"/>
      <c r="T23" s="25">
        <f>SUM(J20:K23)/4</f>
        <v>253.78899</v>
      </c>
      <c r="U23" s="25"/>
      <c r="V23" s="15">
        <f>-(L23+M23)+V22</f>
        <v>5310.482</v>
      </c>
      <c r="W23" s="17"/>
      <c r="X23" s="15">
        <f>F23-G23</f>
        <v>-5453.05</v>
      </c>
      <c r="Y23" s="15"/>
      <c r="Z23" s="15">
        <v>615</v>
      </c>
      <c r="AA23" s="15"/>
      <c r="AB23" s="15">
        <v>14.275</v>
      </c>
    </row>
    <row r="24" ht="20.05" customHeight="1">
      <c r="B24" s="21">
        <v>2022</v>
      </c>
      <c r="C24" s="14">
        <v>1891.164</v>
      </c>
      <c r="D24" s="15">
        <v>200.578</v>
      </c>
      <c r="E24" s="15">
        <v>340.9826</v>
      </c>
      <c r="F24" s="15">
        <v>3601.8078</v>
      </c>
      <c r="G24" s="15">
        <v>9255.242</v>
      </c>
      <c r="H24" s="15">
        <v>19585.009</v>
      </c>
      <c r="I24" s="15">
        <v>1905.491</v>
      </c>
      <c r="J24" s="15">
        <v>220.6358</v>
      </c>
      <c r="K24" s="15">
        <v>-601.734</v>
      </c>
      <c r="L24" s="15">
        <v>0</v>
      </c>
      <c r="M24" s="15">
        <v>0</v>
      </c>
      <c r="N24" s="15">
        <f>SUM(C21:C24)/4</f>
        <v>1856.19105</v>
      </c>
      <c r="O24" s="15">
        <v>1878.7783085</v>
      </c>
      <c r="P24" s="16">
        <f>C24/C23-1</f>
        <v>0.00976250480543334</v>
      </c>
      <c r="Q24" s="16">
        <f>(E24+D24)/C24</f>
        <v>0.286363636363636</v>
      </c>
      <c r="R24" s="16">
        <f>AVERAGE(Q21:Q24)</f>
        <v>0.284539000216413</v>
      </c>
      <c r="S24" s="35"/>
      <c r="T24" s="25">
        <f>SUM(J21:K24)/4</f>
        <v>-21.248905</v>
      </c>
      <c r="U24" s="15">
        <v>371.1111291092</v>
      </c>
      <c r="V24" s="15">
        <f>-(L24+M24)+V23</f>
        <v>5310.482</v>
      </c>
      <c r="W24" s="15"/>
      <c r="X24" s="15">
        <f>F24-G24</f>
        <v>-5653.4342</v>
      </c>
      <c r="Y24" s="15">
        <v>-4383.5783806534</v>
      </c>
      <c r="Z24" s="15">
        <v>645</v>
      </c>
      <c r="AA24" s="140"/>
      <c r="AB24" s="15">
        <v>14.327</v>
      </c>
    </row>
    <row r="25" ht="20.05" customHeight="1">
      <c r="B25" s="13"/>
      <c r="C25" s="14">
        <v>1996.692</v>
      </c>
      <c r="D25" s="15">
        <v>208.172</v>
      </c>
      <c r="E25" s="15">
        <v>244.822</v>
      </c>
      <c r="F25" s="15">
        <v>3621.02</v>
      </c>
      <c r="G25" s="15">
        <v>10218.02</v>
      </c>
      <c r="H25" s="15">
        <v>20362.74</v>
      </c>
      <c r="I25" s="15">
        <v>1918.994</v>
      </c>
      <c r="J25" s="15">
        <v>636.244</v>
      </c>
      <c r="K25" s="15">
        <v>-637.71</v>
      </c>
      <c r="L25" s="15">
        <v>0</v>
      </c>
      <c r="M25" s="15">
        <v>0</v>
      </c>
      <c r="N25" s="15">
        <f>SUM(C22:C25)/4</f>
        <v>1891.1578</v>
      </c>
      <c r="O25" s="15">
        <v>1966.36779</v>
      </c>
      <c r="P25" s="16">
        <f>C25/C24-1</f>
        <v>0.0558005545790846</v>
      </c>
      <c r="Q25" s="16">
        <f>(E25+D25)/C25</f>
        <v>0.226872246696035</v>
      </c>
      <c r="R25" s="16">
        <f>AVERAGE(Q22:Q25)</f>
        <v>0.275887412084974</v>
      </c>
      <c r="S25" s="35"/>
      <c r="T25" s="25">
        <f>SUM(J22:K25)/4</f>
        <v>20.25347</v>
      </c>
      <c r="U25" s="15">
        <v>379.736801336</v>
      </c>
      <c r="V25" s="15">
        <f>-(L25+M25)+V24</f>
        <v>5310.482</v>
      </c>
      <c r="W25" s="15"/>
      <c r="X25" s="15">
        <f>F25-G25</f>
        <v>-6597</v>
      </c>
      <c r="Y25" s="15">
        <v>-4485.465139972</v>
      </c>
      <c r="Z25" s="15">
        <v>680</v>
      </c>
      <c r="AA25" s="140">
        <v>899.629496586717</v>
      </c>
      <c r="AB25" s="15">
        <v>14.66</v>
      </c>
    </row>
    <row r="26" ht="20.05" customHeight="1">
      <c r="B26" s="13"/>
      <c r="C26" s="14">
        <v>2192.418</v>
      </c>
      <c r="D26" s="15">
        <v>221.4405</v>
      </c>
      <c r="E26" s="15">
        <v>282.69</v>
      </c>
      <c r="F26" s="15">
        <v>3172.41</v>
      </c>
      <c r="G26" s="15">
        <v>10161.135</v>
      </c>
      <c r="H26" s="15">
        <v>21280.275</v>
      </c>
      <c r="I26" s="15">
        <v>2219.1165</v>
      </c>
      <c r="J26" s="15">
        <v>460.1565</v>
      </c>
      <c r="K26" s="15">
        <v>-471.15</v>
      </c>
      <c r="L26" s="15">
        <v>0</v>
      </c>
      <c r="M26" s="15">
        <v>-676.8855</v>
      </c>
      <c r="N26" s="15">
        <f>SUM(C23:C26)/4</f>
        <v>1988.2885</v>
      </c>
      <c r="O26" s="15">
        <v>2126.0722275</v>
      </c>
      <c r="P26" s="16">
        <f>C26/C25-1</f>
        <v>0.09802513357092631</v>
      </c>
      <c r="Q26" s="16">
        <f>(E26+D26)/C26</f>
        <v>0.229942693409742</v>
      </c>
      <c r="R26" s="16">
        <f>AVERAGE(Q23:Q26)</f>
        <v>0.260299217288085</v>
      </c>
      <c r="S26" s="35">
        <f>S27</f>
        <v>0.260299217288085</v>
      </c>
      <c r="T26" s="25">
        <f>SUM(J23:K26)/4</f>
        <v>-189.749425</v>
      </c>
      <c r="U26" s="15">
        <v>110.577368525786</v>
      </c>
      <c r="V26" s="15">
        <f>-(L26+M26)+V25</f>
        <v>5987.3675</v>
      </c>
      <c r="W26" s="15">
        <f>W27</f>
        <v>7240.446431860250</v>
      </c>
      <c r="X26" s="15">
        <f>F26-G26</f>
        <v>-6988.725</v>
      </c>
      <c r="Y26" s="15">
        <v>-6948.663320717490</v>
      </c>
      <c r="Z26" s="15">
        <v>695</v>
      </c>
      <c r="AA26" s="140">
        <v>748.547687124671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2381.070290653670</v>
      </c>
      <c r="P27" s="17"/>
      <c r="Q27" s="17"/>
      <c r="R27" s="17"/>
      <c r="S27" s="35">
        <f>AE53</f>
        <v>0.260299217288085</v>
      </c>
      <c r="T27" s="25"/>
      <c r="U27" s="15">
        <f>SUM(AE55:AH55)/4</f>
        <v>313.269732965062</v>
      </c>
      <c r="V27" s="17"/>
      <c r="W27" s="15">
        <f>-SUM(AE76:AH76)+V26</f>
        <v>7240.446431860250</v>
      </c>
      <c r="X27" s="26"/>
      <c r="Y27" s="15">
        <f>AH75</f>
        <v>-5735.646068139750</v>
      </c>
      <c r="Z27" s="15">
        <v>660</v>
      </c>
      <c r="AA27" s="140">
        <v>899.629496586717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7590.8112</v>
      </c>
      <c r="O28" s="15">
        <f>SUM(O23:O26)</f>
        <v>7797.14428225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874.056304047253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714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0.0504575814671772</v>
      </c>
      <c r="AF49" s="35"/>
      <c r="AG49" s="35"/>
      <c r="AH49" s="35">
        <f>AVERAGE(AE51:AH51)</f>
        <v>0.03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0.0382421329132646</v>
      </c>
      <c r="AF50" s="35">
        <f>P24</f>
        <v>0.00976250480543334</v>
      </c>
      <c r="AG50" s="35">
        <f>P25</f>
        <v>0.0558005545790846</v>
      </c>
      <c r="AH50" s="35">
        <f>P26</f>
        <v>0.09802513357092631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-0.01</v>
      </c>
      <c r="AG51" s="35">
        <v>0.03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2192.418</v>
      </c>
      <c r="AE52" s="23">
        <f>C26*(1+AE51)</f>
        <v>2345.88726</v>
      </c>
      <c r="AF52" s="23">
        <f>AE52*(1+AF51)</f>
        <v>2322.4283874</v>
      </c>
      <c r="AG52" s="23">
        <f>AF52*(1+AG51)</f>
        <v>2392.101239022</v>
      </c>
      <c r="AH52" s="23">
        <f>AG52*(1+AH51)</f>
        <v>2463.864276192660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0.260299217288085</v>
      </c>
      <c r="AF53" s="35">
        <f>AE53</f>
        <v>0.260299217288085</v>
      </c>
      <c r="AG53" s="35">
        <f>AF53</f>
        <v>0.260299217288085</v>
      </c>
      <c r="AH53" s="35">
        <f>AG53</f>
        <v>0.260299217288085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AVERAGE(K5)</f>
        <v>-306.521</v>
      </c>
      <c r="AF54" s="15">
        <f>AE54</f>
        <v>-306.521</v>
      </c>
      <c r="AG54" s="15">
        <f>AF54</f>
        <v>-306.521</v>
      </c>
      <c r="AH54" s="15">
        <f>AG54</f>
        <v>-306.521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304.111617624090</v>
      </c>
      <c r="AF55" s="15">
        <f>(AF52*AF53)+AF54</f>
        <v>298.005291447849</v>
      </c>
      <c r="AG55" s="15">
        <f>(AG52*AG53)+AG54</f>
        <v>316.141080191285</v>
      </c>
      <c r="AH55" s="15">
        <f>(AH52*AH53)+AH54</f>
        <v>334.820942597023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-508.05675</v>
      </c>
      <c r="AF56" s="15">
        <f>-AE71/20</f>
        <v>-482.6539125</v>
      </c>
      <c r="AG56" s="15">
        <f>-AF71/20</f>
        <v>-458.521216875</v>
      </c>
      <c r="AH56" s="15">
        <f>-AG71/20</f>
        <v>-435.595156031250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-203.945132375910</v>
      </c>
      <c r="AF59" s="15">
        <f>AF55+AF56+AF58</f>
        <v>-184.648621052151</v>
      </c>
      <c r="AG59" s="15">
        <f>AG55+AG56+AG58</f>
        <v>-142.380136683715</v>
      </c>
      <c r="AH59" s="15">
        <f>AH55+AH56+AH58</f>
        <v>-100.774213434227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203.945132375910</v>
      </c>
      <c r="AF60" s="15">
        <f>-MIN(AE72,AF59)</f>
        <v>184.648621052151</v>
      </c>
      <c r="AG60" s="15">
        <f>-MIN(AF72,AG59)</f>
        <v>142.380136683715</v>
      </c>
      <c r="AH60" s="15">
        <f>-MIN(AG72,AH59)</f>
        <v>100.774213434227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3172.41</v>
      </c>
      <c r="AF61" s="15">
        <f>AE63</f>
        <v>3172.41</v>
      </c>
      <c r="AG61" s="15">
        <f>AF63</f>
        <v>3172.41</v>
      </c>
      <c r="AH61" s="15">
        <f>AG63</f>
        <v>3172.41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3172.41</v>
      </c>
      <c r="AF63" s="15">
        <f>AF61+AF62</f>
        <v>3172.41</v>
      </c>
      <c r="AG63" s="15">
        <f>AG61+AG62</f>
        <v>3172.41</v>
      </c>
      <c r="AH63" s="15">
        <f>AH61+AH62</f>
        <v>3172.41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-210.0635</v>
      </c>
      <c r="AF65" s="15">
        <f>AE65</f>
        <v>-210.0635</v>
      </c>
      <c r="AG65" s="15">
        <f>AF65</f>
        <v>-210.0635</v>
      </c>
      <c r="AH65" s="15">
        <f>AG65</f>
        <v>-210.0635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400.569117624090</v>
      </c>
      <c r="AF66" s="15">
        <f>(AF52*AF53)+AF65</f>
        <v>394.462791447849</v>
      </c>
      <c r="AG66" s="15">
        <f>(AG52*AG53)+AG65</f>
        <v>412.598580191285</v>
      </c>
      <c r="AH66" s="15">
        <f>(AH52*AH53)+AH65</f>
        <v>431.278442597023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18414.386</v>
      </c>
      <c r="AF68" s="15">
        <f>AE68-AF54</f>
        <v>18720.907</v>
      </c>
      <c r="AG68" s="15">
        <f>AF68-AG54</f>
        <v>19027.428</v>
      </c>
      <c r="AH68" s="15">
        <f>AG68-AH54</f>
        <v>19333.949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210.0635</v>
      </c>
      <c r="AF69" s="15">
        <f>AE69-AF65</f>
        <v>420.127</v>
      </c>
      <c r="AG69" s="15">
        <f>AF69-AG65</f>
        <v>630.1905</v>
      </c>
      <c r="AH69" s="15">
        <f>AG69-AH65</f>
        <v>840.254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18204.3225</v>
      </c>
      <c r="AF70" s="15">
        <f>AF68-AF69</f>
        <v>18300.78</v>
      </c>
      <c r="AG70" s="15">
        <f>AG68-AG69</f>
        <v>18397.2375</v>
      </c>
      <c r="AH70" s="15">
        <f>AH68-AH69</f>
        <v>18493.695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9653.07825</v>
      </c>
      <c r="AF71" s="15">
        <f>AE71+AF56</f>
        <v>9170.424337500001</v>
      </c>
      <c r="AG71" s="15">
        <f>AF71+AG56</f>
        <v>8711.903120625</v>
      </c>
      <c r="AH71" s="15">
        <f>AG71+AH56</f>
        <v>8276.307964593751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203.945132375910</v>
      </c>
      <c r="AF72" s="15">
        <f>AE72+AF60</f>
        <v>388.593753428061</v>
      </c>
      <c r="AG72" s="15">
        <f>AF72+AG60</f>
        <v>530.973890111776</v>
      </c>
      <c r="AH72" s="15">
        <f>AG72+AH60</f>
        <v>631.748103546003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11519.7091176241</v>
      </c>
      <c r="AF73" s="15">
        <f>AE73+AF66+AF58</f>
        <v>11914.1719090719</v>
      </c>
      <c r="AG73" s="15">
        <f>AF73+AG66+AG58</f>
        <v>12326.7704892632</v>
      </c>
      <c r="AH73" s="15">
        <f>AG73+AH66+AH58</f>
        <v>12758.0489318602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9.999999999999999e-12</v>
      </c>
      <c r="AF74" s="15">
        <f>AF71+AF72+AF73-AF63-AF70</f>
        <v>-3.9e-11</v>
      </c>
      <c r="AG74" s="15">
        <f>AG71+AG72+AG73-AG63-AG70</f>
        <v>-2.4e-11</v>
      </c>
      <c r="AH74" s="15">
        <f>AH71+AH72+AH73-AH63-AH70</f>
        <v>-4.7e-11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-6684.613382375910</v>
      </c>
      <c r="AF75" s="15">
        <f>AF63-AF71-AF72</f>
        <v>-6386.608090928060</v>
      </c>
      <c r="AG75" s="15">
        <f>AG63-AG71-AG72</f>
        <v>-6070.467010736780</v>
      </c>
      <c r="AH75" s="15">
        <f>AH63-AH71-AH72</f>
        <v>-5735.646068139750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-304.111617624090</v>
      </c>
      <c r="AF76" s="15">
        <f>AF56+AF58+AF60</f>
        <v>-298.005291447849</v>
      </c>
      <c r="AG76" s="15">
        <f>AG56+AG58+AG60</f>
        <v>-316.141080191285</v>
      </c>
      <c r="AH76" s="15">
        <f>AH56+AH58+AH60</f>
        <v>-334.820942597023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715</v>
      </c>
      <c r="AD78" s="14"/>
      <c r="AE78" s="15"/>
      <c r="AF78" s="15"/>
      <c r="AG78" s="15"/>
      <c r="AH78" s="15">
        <v>660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715</v>
      </c>
      <c r="AD79" s="14"/>
      <c r="AE79" s="15"/>
      <c r="AF79" s="15"/>
      <c r="AG79" s="15"/>
      <c r="AH79" s="15">
        <v>10408200253440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10408.20025344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15.770000384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0.480390926446632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1253.078931860250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14.7586034125921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8.30610106738334</v>
      </c>
      <c r="AH86" s="15">
        <v>11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13783.8682504628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874.056304047253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0.324327733404929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0.215379917857756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0.0271819541829732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715</v>
      </c>
      <c r="AF94" t="s" s="44">
        <v>60</v>
      </c>
      <c r="AG94" s="15">
        <f>AH78</f>
        <v>660</v>
      </c>
      <c r="AH94" t="s" s="44">
        <v>61</v>
      </c>
      <c r="AI94" s="15">
        <f>AH88</f>
        <v>874.056304047253</v>
      </c>
      <c r="AJ94" t="s" s="44">
        <f>IF(AK94&gt;0,"+","")</f>
        <v>361</v>
      </c>
      <c r="AK94" s="16">
        <f>AI94/AG94-1</f>
        <v>0.324327733404929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0.215379917857756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-0.0729230492802197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0.0965787048214958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-0.671463349073262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0.09802513357092631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-0.0285055403713328</v>
      </c>
      <c r="AF103" s="16">
        <f>P23</f>
        <v>0.0382421329132646</v>
      </c>
      <c r="AG103" s="16">
        <f>P24</f>
        <v>0.00976250480543334</v>
      </c>
      <c r="AH103" s="16">
        <f>P25</f>
        <v>0.0558005545790846</v>
      </c>
      <c r="AI103" s="16">
        <f>P26</f>
        <v>0.09802513357092631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1803.8952</v>
      </c>
      <c r="AF104" t="s" s="44">
        <v>72</v>
      </c>
      <c r="AG104" s="15">
        <f>C23</f>
        <v>1872.88</v>
      </c>
      <c r="AH104" t="s" s="44">
        <v>72</v>
      </c>
      <c r="AI104" s="15">
        <f>C24</f>
        <v>1891.164</v>
      </c>
      <c r="AJ104" t="s" s="44">
        <v>72</v>
      </c>
      <c r="AK104" s="15">
        <f>C25</f>
        <v>1996.692</v>
      </c>
      <c r="AL104" t="s" s="44">
        <v>72</v>
      </c>
      <c r="AM104" s="15">
        <f>C26</f>
        <v>2192.418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0.09802513357092631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2192.418</v>
      </c>
      <c r="AM105" t="s" s="44">
        <v>372</v>
      </c>
      <c r="AN105" t="s" s="44">
        <v>373</v>
      </c>
      <c r="AO105" s="16">
        <f>AH91</f>
        <v>0.0271819541829732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0.0504575814671772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</v>
      </c>
      <c r="AG107" t="s" s="44">
        <v>82</v>
      </c>
      <c r="AH107" t="s" s="44">
        <v>83</v>
      </c>
      <c r="AI107" s="23">
        <f>AH52</f>
        <v>2463.864276192660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0.292295472597299</v>
      </c>
      <c r="AF110" s="16">
        <f>(D23+E23)/C23</f>
        <v>0.298018292682927</v>
      </c>
      <c r="AG110" s="16">
        <f>((E24+D24)/C24)</f>
        <v>0.286363636363636</v>
      </c>
      <c r="AH110" s="16">
        <f>(D25+E25)/C25</f>
        <v>0.226872246696035</v>
      </c>
      <c r="AI110" s="16">
        <f>(D26+E26)/C26</f>
        <v>0.229942693409742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369.6624</v>
      </c>
      <c r="AF111" t="s" s="44">
        <v>72</v>
      </c>
      <c r="AG111" s="15">
        <f>E23</f>
        <v>346.8825</v>
      </c>
      <c r="AH111" t="s" s="44">
        <v>72</v>
      </c>
      <c r="AI111" s="15">
        <f>E24</f>
        <v>340.9826</v>
      </c>
      <c r="AJ111" t="s" s="44">
        <v>72</v>
      </c>
      <c r="AK111" s="15">
        <f>E25</f>
        <v>244.822</v>
      </c>
      <c r="AL111" t="s" s="44">
        <v>72</v>
      </c>
      <c r="AM111" s="15">
        <f>E26</f>
        <v>282.69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0.226872246696035</v>
      </c>
      <c r="AG112" t="s" s="44">
        <v>76</v>
      </c>
      <c r="AH112" s="16">
        <f>AI110</f>
        <v>0.229942693409742</v>
      </c>
      <c r="AI112" t="s" s="44">
        <v>90</v>
      </c>
      <c r="AJ112" s="15">
        <f>AK111</f>
        <v>244.822</v>
      </c>
      <c r="AK112" t="s" s="44">
        <v>76</v>
      </c>
      <c r="AL112" s="15">
        <f>AM111</f>
        <v>282.69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0.260299217288085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0.260299217288085</v>
      </c>
      <c r="AG114" t="s" s="44">
        <v>94</v>
      </c>
      <c r="AH114" s="15">
        <f>AH66</f>
        <v>431.278442597023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588.30768</v>
      </c>
      <c r="AF117" t="s" s="44">
        <v>72</v>
      </c>
      <c r="AG117" s="15">
        <f>J23</f>
        <v>533.885</v>
      </c>
      <c r="AH117" t="s" s="44">
        <v>72</v>
      </c>
      <c r="AI117" s="15">
        <f>J24</f>
        <v>220.6358</v>
      </c>
      <c r="AJ117" t="s" s="44">
        <v>72</v>
      </c>
      <c r="AK117" s="15">
        <f>J25</f>
        <v>636.244</v>
      </c>
      <c r="AL117" t="s" s="44">
        <v>72</v>
      </c>
      <c r="AM117" s="15">
        <f>J26</f>
        <v>460.1565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240.7104</v>
      </c>
      <c r="AF118" t="s" s="44">
        <v>72</v>
      </c>
      <c r="AG118" s="15">
        <f>K23</f>
        <v>-899.325</v>
      </c>
      <c r="AH118" t="s" s="44">
        <v>72</v>
      </c>
      <c r="AI118" s="15">
        <f>K24</f>
        <v>-601.734</v>
      </c>
      <c r="AJ118" t="s" s="44">
        <v>72</v>
      </c>
      <c r="AK118" s="15">
        <f>K25</f>
        <v>-637.71</v>
      </c>
      <c r="AL118" t="s" s="44">
        <v>72</v>
      </c>
      <c r="AM118" s="15">
        <f>K26</f>
        <v>-471.15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-1.466</v>
      </c>
      <c r="AG119" t="s" s="44">
        <v>76</v>
      </c>
      <c r="AH119" s="15">
        <f>AM117+AM118</f>
        <v>-10.9935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-471.15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-189.749425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-306.521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313.269732965062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4670.928</v>
      </c>
      <c r="AF124" t="s" s="44">
        <v>72</v>
      </c>
      <c r="AG124" s="15">
        <f>F23</f>
        <v>3968.45</v>
      </c>
      <c r="AH124" t="s" s="44">
        <v>72</v>
      </c>
      <c r="AI124" s="15">
        <f>F24</f>
        <v>3601.8078</v>
      </c>
      <c r="AJ124" t="s" s="44">
        <v>72</v>
      </c>
      <c r="AK124" s="15">
        <f>F25</f>
        <v>3621.02</v>
      </c>
      <c r="AL124" t="s" s="44">
        <v>72</v>
      </c>
      <c r="AM124" s="15">
        <f>F26</f>
        <v>3172.41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9599.76</v>
      </c>
      <c r="AF125" t="s" s="44">
        <v>72</v>
      </c>
      <c r="AG125" s="15">
        <f>G23</f>
        <v>9421.5</v>
      </c>
      <c r="AH125" t="s" s="44">
        <v>72</v>
      </c>
      <c r="AI125" s="15">
        <f>G24</f>
        <v>9255.242</v>
      </c>
      <c r="AJ125" t="s" s="44">
        <v>72</v>
      </c>
      <c r="AK125" s="15">
        <f>G25</f>
        <v>10218.02</v>
      </c>
      <c r="AL125" t="s" s="44">
        <v>72</v>
      </c>
      <c r="AM125" s="15">
        <f>G26</f>
        <v>10161.135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3621.02</v>
      </c>
      <c r="AH126" t="s" s="44">
        <v>76</v>
      </c>
      <c r="AI126" s="15">
        <f>AM124</f>
        <v>3172.41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10218.02</v>
      </c>
      <c r="AH127" t="s" s="44">
        <v>76</v>
      </c>
      <c r="AI127" s="15">
        <f>AM125</f>
        <v>10161.135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-6597</v>
      </c>
      <c r="AO127" t="s" s="44">
        <v>76</v>
      </c>
      <c r="AP127" s="15">
        <f>AI126-AI127</f>
        <v>-6988.725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-1253.078931860250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-5735.646068139750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0</v>
      </c>
      <c r="AH131" t="s" s="44">
        <v>72</v>
      </c>
      <c r="AI131" s="15">
        <f>-L24</f>
        <v>0</v>
      </c>
      <c r="AJ131" t="s" s="44">
        <v>72</v>
      </c>
      <c r="AK131" s="15">
        <f>-L25</f>
        <v>0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328.325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676.8855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715</v>
      </c>
      <c r="AF133" t="s" s="44">
        <f>IF(AG133&gt;0,"paid","(raised)")</f>
        <v>374</v>
      </c>
      <c r="AG133" s="15">
        <f>SUM(AM131:AM132)</f>
        <v>676.8855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676.8855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1253.078931860250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10408.20025344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0.480390926446632</v>
      </c>
      <c r="AK134" t="s" s="44">
        <v>130</v>
      </c>
      <c r="AL134" t="s" s="44">
        <v>131</v>
      </c>
      <c r="AM134" t="s" s="44">
        <v>132</v>
      </c>
      <c r="AN134" s="15">
        <f>AH85</f>
        <v>14.7586034125921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1253.078931860250</v>
      </c>
      <c r="AG135" t="s" s="44">
        <f>AG134</f>
        <v>372</v>
      </c>
      <c r="AH135" t="s" s="44">
        <v>136</v>
      </c>
      <c r="AI135" s="15">
        <f>AF134/AF135</f>
        <v>8.30610106738334</v>
      </c>
      <c r="AJ135" t="s" s="44">
        <v>130</v>
      </c>
      <c r="AK135" t="s" s="44">
        <v>137</v>
      </c>
      <c r="AL135" t="s" s="44">
        <v>138</v>
      </c>
      <c r="AM135" s="15">
        <f>AH86</f>
        <v>11</v>
      </c>
      <c r="AN135" t="s" s="44">
        <v>139</v>
      </c>
      <c r="AO135" t="s" s="44">
        <v>140</v>
      </c>
      <c r="AP135" t="s" s="44">
        <v>141</v>
      </c>
      <c r="AQ135" s="16">
        <f>AK94</f>
        <v>0.324327733404929</v>
      </c>
      <c r="AR135" t="s" s="44">
        <f>IF(AQ135&gt;0,"higher","lower")</f>
        <v>363</v>
      </c>
      <c r="AS135" t="s" s="44">
        <v>142</v>
      </c>
      <c r="AT135" s="15">
        <f>AI94</f>
        <v>874.056304047253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1803.8952</v>
      </c>
      <c r="AE137" s="15">
        <f>AG104</f>
        <v>1872.88</v>
      </c>
      <c r="AF137" s="15">
        <f>AI104</f>
        <v>1891.164</v>
      </c>
      <c r="AG137" s="15">
        <f>AK104</f>
        <v>1996.692</v>
      </c>
      <c r="AH137" s="15">
        <f>AM104</f>
        <v>2192.418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829.0180800000001</v>
      </c>
      <c r="AE138" s="15">
        <f>SUM(AG117:AG118)</f>
        <v>-365.44</v>
      </c>
      <c r="AF138" s="15">
        <f>SUM(AI117:AI118)</f>
        <v>-381.0982</v>
      </c>
      <c r="AG138" s="15">
        <f>SUM(AK117:AK118)</f>
        <v>-1.466</v>
      </c>
      <c r="AH138" s="15">
        <f>SUM(AM117:AM118)</f>
        <v>-10.9935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0</v>
      </c>
      <c r="AE139" s="15">
        <f>SUM(AG131:AG132)</f>
        <v>328.325</v>
      </c>
      <c r="AF139" s="15">
        <f>SUM(AI131:AI132)</f>
        <v>0</v>
      </c>
      <c r="AG139" s="15">
        <f>SUM(AK131:AK132)</f>
        <v>0</v>
      </c>
      <c r="AH139" s="15">
        <f>SUM(AM131:AM132)</f>
        <v>676.8855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-4928.832</v>
      </c>
      <c r="AE140" s="15">
        <f>(AG124-AG125)</f>
        <v>-5453.05</v>
      </c>
      <c r="AF140" s="15">
        <f>(AI124-AI125)</f>
        <v>-5653.4342</v>
      </c>
      <c r="AG140" s="15">
        <f>(AK124-AK125)</f>
        <v>-6597</v>
      </c>
      <c r="AH140" s="15">
        <f>(AM124-AM125)</f>
        <v>-6988.725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874.056304047253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dimension ref="A2:L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2" width="10.4844" style="86" customWidth="1"/>
    <col min="13" max="16384" width="16.3516" style="86" customWidth="1"/>
  </cols>
  <sheetData>
    <row r="1" ht="27.65" customHeight="1">
      <c r="A1" t="s" s="2">
        <v>469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32.25" customHeight="1">
      <c r="A2" t="s" s="3">
        <v>366</v>
      </c>
      <c r="B2" t="s" s="3">
        <v>2</v>
      </c>
      <c r="C2" t="s" s="3">
        <v>3</v>
      </c>
      <c r="D2" t="s" s="3">
        <v>4</v>
      </c>
      <c r="E2" t="s" s="3">
        <v>5</v>
      </c>
      <c r="F2" t="s" s="3">
        <v>6</v>
      </c>
      <c r="G2" t="s" s="3">
        <v>7</v>
      </c>
      <c r="H2" t="s" s="3">
        <v>8</v>
      </c>
      <c r="I2" t="s" s="3">
        <v>9</v>
      </c>
      <c r="J2" t="s" s="3">
        <v>10</v>
      </c>
      <c r="K2" t="s" s="3">
        <v>6</v>
      </c>
      <c r="L2" t="s" s="3">
        <v>11</v>
      </c>
    </row>
    <row r="3" ht="20.25" customHeight="1">
      <c r="A3" s="6">
        <v>2017</v>
      </c>
      <c r="B3" s="87">
        <v>48780</v>
      </c>
      <c r="C3" s="88">
        <v>1910</v>
      </c>
      <c r="D3" s="88">
        <v>6070</v>
      </c>
      <c r="E3" s="8">
        <v>31000</v>
      </c>
      <c r="F3" s="8">
        <v>134000</v>
      </c>
      <c r="G3" s="8">
        <v>280000</v>
      </c>
      <c r="H3" s="8">
        <v>53900</v>
      </c>
      <c r="I3" s="8">
        <v>3861</v>
      </c>
      <c r="J3" s="8">
        <v>-8400</v>
      </c>
      <c r="K3" s="8">
        <v>843</v>
      </c>
      <c r="L3" s="59">
        <v>-1931.75</v>
      </c>
    </row>
    <row r="4" ht="20.05" customHeight="1">
      <c r="A4" s="13"/>
      <c r="B4" s="38">
        <v>49250</v>
      </c>
      <c r="C4" s="23">
        <v>1930</v>
      </c>
      <c r="D4" s="23">
        <v>5270</v>
      </c>
      <c r="E4" s="15">
        <v>32000</v>
      </c>
      <c r="F4" s="15">
        <v>141000</v>
      </c>
      <c r="G4" s="15">
        <v>287000</v>
      </c>
      <c r="H4" s="15">
        <v>56300</v>
      </c>
      <c r="I4" s="15">
        <v>7666</v>
      </c>
      <c r="J4" s="15">
        <v>-1100</v>
      </c>
      <c r="K4" s="15">
        <v>843</v>
      </c>
      <c r="L4" s="26">
        <v>-1931.75</v>
      </c>
    </row>
    <row r="5" ht="20.05" customHeight="1">
      <c r="A5" s="13"/>
      <c r="B5" s="38">
        <v>52170</v>
      </c>
      <c r="C5" s="23">
        <v>3020</v>
      </c>
      <c r="D5" s="23">
        <v>6050</v>
      </c>
      <c r="E5" s="15">
        <v>29000</v>
      </c>
      <c r="F5" s="15">
        <v>142000</v>
      </c>
      <c r="G5" s="15">
        <v>291000</v>
      </c>
      <c r="H5" s="15">
        <v>57700</v>
      </c>
      <c r="I5" s="15">
        <v>3876</v>
      </c>
      <c r="J5" s="15">
        <v>-2900</v>
      </c>
      <c r="K5" s="15">
        <v>843</v>
      </c>
      <c r="L5" s="26">
        <v>-1931.75</v>
      </c>
    </row>
    <row r="6" ht="20.05" customHeight="1">
      <c r="A6" s="13"/>
      <c r="B6" s="38">
        <v>55860</v>
      </c>
      <c r="C6" s="23">
        <v>1010</v>
      </c>
      <c r="D6" s="23">
        <v>5730</v>
      </c>
      <c r="E6" s="15">
        <v>32000</v>
      </c>
      <c r="F6" s="15">
        <v>140000</v>
      </c>
      <c r="G6" s="15">
        <v>296000</v>
      </c>
      <c r="H6" s="15">
        <v>65700</v>
      </c>
      <c r="I6" s="15">
        <v>6068</v>
      </c>
      <c r="J6" s="15">
        <v>-2500</v>
      </c>
      <c r="K6" s="15">
        <v>843</v>
      </c>
      <c r="L6" s="26">
        <v>-1931.75</v>
      </c>
    </row>
    <row r="7" ht="20.05" customHeight="1">
      <c r="A7" s="21">
        <v>2018</v>
      </c>
      <c r="B7" s="38">
        <v>55800</v>
      </c>
      <c r="C7" s="23">
        <v>2230</v>
      </c>
      <c r="D7" s="23">
        <v>6300</v>
      </c>
      <c r="E7" s="15">
        <v>32000</v>
      </c>
      <c r="F7" s="15">
        <v>143000</v>
      </c>
      <c r="G7" s="15">
        <v>306000</v>
      </c>
      <c r="H7" s="15">
        <v>62000</v>
      </c>
      <c r="I7" s="15">
        <v>4980</v>
      </c>
      <c r="J7" s="15">
        <v>-8500</v>
      </c>
      <c r="K7" s="15">
        <v>2225</v>
      </c>
      <c r="L7" s="26">
        <v>-3012.5</v>
      </c>
    </row>
    <row r="8" ht="20.05" customHeight="1">
      <c r="A8" s="13"/>
      <c r="B8" s="38">
        <v>56800</v>
      </c>
      <c r="C8" s="23">
        <v>2270</v>
      </c>
      <c r="D8" s="23">
        <v>6900</v>
      </c>
      <c r="E8" s="15">
        <v>26000</v>
      </c>
      <c r="F8" s="15">
        <v>147000</v>
      </c>
      <c r="G8" s="15">
        <v>309000</v>
      </c>
      <c r="H8" s="15">
        <v>63400</v>
      </c>
      <c r="I8" s="15">
        <v>3173</v>
      </c>
      <c r="J8" s="15">
        <v>200</v>
      </c>
      <c r="K8" s="15">
        <v>2225</v>
      </c>
      <c r="L8" s="26">
        <v>-3012.5</v>
      </c>
    </row>
    <row r="9" ht="20.05" customHeight="1">
      <c r="A9" s="13"/>
      <c r="B9" s="38">
        <v>62280</v>
      </c>
      <c r="C9" s="23">
        <v>2360</v>
      </c>
      <c r="D9" s="23">
        <v>8320</v>
      </c>
      <c r="E9" s="15">
        <v>37000</v>
      </c>
      <c r="F9" s="15">
        <v>165000</v>
      </c>
      <c r="G9" s="15">
        <v>333000</v>
      </c>
      <c r="H9" s="15">
        <v>69800</v>
      </c>
      <c r="I9" s="15">
        <v>13554</v>
      </c>
      <c r="J9" s="15">
        <v>-4300</v>
      </c>
      <c r="K9" s="15">
        <v>2225</v>
      </c>
      <c r="L9" s="26">
        <v>-3012.5</v>
      </c>
    </row>
    <row r="10" ht="20.05" customHeight="1">
      <c r="A10" s="13"/>
      <c r="B10" s="38">
        <v>64320</v>
      </c>
      <c r="C10" s="23">
        <v>2560</v>
      </c>
      <c r="D10" s="23">
        <v>5850</v>
      </c>
      <c r="E10" s="15">
        <v>25000</v>
      </c>
      <c r="F10" s="15">
        <v>171000</v>
      </c>
      <c r="G10" s="15">
        <v>345000</v>
      </c>
      <c r="H10" s="15">
        <v>71700</v>
      </c>
      <c r="I10" s="15">
        <v>4270</v>
      </c>
      <c r="J10" s="15">
        <v>-17100</v>
      </c>
      <c r="K10" s="15">
        <v>2225</v>
      </c>
      <c r="L10" s="26">
        <v>-3012.5</v>
      </c>
    </row>
    <row r="11" ht="20.05" customHeight="1">
      <c r="A11" s="21">
        <v>2019</v>
      </c>
      <c r="B11" s="38">
        <v>59600</v>
      </c>
      <c r="C11" s="23">
        <v>3420</v>
      </c>
      <c r="D11" s="23">
        <v>6700</v>
      </c>
      <c r="E11" s="15">
        <v>30000</v>
      </c>
      <c r="F11" s="15">
        <v>176000</v>
      </c>
      <c r="G11" s="15">
        <v>357000</v>
      </c>
      <c r="H11" s="15">
        <v>69700</v>
      </c>
      <c r="I11" s="15">
        <v>5113</v>
      </c>
      <c r="J11" s="15">
        <v>-7200</v>
      </c>
      <c r="K11" s="15">
        <v>2149.25</v>
      </c>
      <c r="L11" s="26">
        <v>-2717.75</v>
      </c>
    </row>
    <row r="12" ht="20.05" customHeight="1">
      <c r="A12" s="13"/>
      <c r="B12" s="38">
        <v>56600</v>
      </c>
      <c r="C12" s="23">
        <v>3380</v>
      </c>
      <c r="D12" s="23">
        <v>5600</v>
      </c>
      <c r="E12" s="15">
        <v>22000</v>
      </c>
      <c r="F12" s="15">
        <v>173000</v>
      </c>
      <c r="G12" s="15">
        <v>350000</v>
      </c>
      <c r="H12" s="15">
        <v>60300</v>
      </c>
      <c r="I12" s="15">
        <v>600</v>
      </c>
      <c r="J12" s="15">
        <v>-1900</v>
      </c>
      <c r="K12" s="15">
        <v>2149.25</v>
      </c>
      <c r="L12" s="26">
        <v>-2717.75</v>
      </c>
    </row>
    <row r="13" ht="20.05" customHeight="1">
      <c r="A13" s="13"/>
      <c r="B13" s="38">
        <v>60800</v>
      </c>
      <c r="C13" s="15">
        <v>3350</v>
      </c>
      <c r="D13" s="23">
        <v>7330</v>
      </c>
      <c r="E13" s="15">
        <v>26000</v>
      </c>
      <c r="F13" s="15">
        <v>177000</v>
      </c>
      <c r="G13" s="15">
        <v>358000</v>
      </c>
      <c r="H13" s="15">
        <v>73000</v>
      </c>
      <c r="I13" s="15">
        <v>9454</v>
      </c>
      <c r="J13" s="15">
        <v>-3200</v>
      </c>
      <c r="K13" s="15">
        <v>2149.25</v>
      </c>
      <c r="L13" s="26">
        <v>-2717.75</v>
      </c>
    </row>
    <row r="14" ht="20.05" customHeight="1">
      <c r="A14" s="13"/>
      <c r="B14" s="38">
        <v>60000</v>
      </c>
      <c r="C14" s="15">
        <v>3350</v>
      </c>
      <c r="D14" s="23">
        <v>6970</v>
      </c>
      <c r="E14" s="15">
        <v>24000</v>
      </c>
      <c r="F14" s="15">
        <v>165000</v>
      </c>
      <c r="G14" s="15">
        <v>352000</v>
      </c>
      <c r="H14" s="15">
        <v>62400</v>
      </c>
      <c r="I14" s="15">
        <v>693</v>
      </c>
      <c r="J14" s="15">
        <v>-1700</v>
      </c>
      <c r="K14" s="15">
        <v>2149.25</v>
      </c>
      <c r="L14" s="26">
        <v>-2717.75</v>
      </c>
    </row>
    <row r="15" ht="20.05" customHeight="1">
      <c r="A15" s="21">
        <v>2020</v>
      </c>
      <c r="B15" s="38">
        <v>54000</v>
      </c>
      <c r="C15" s="23">
        <v>3700</v>
      </c>
      <c r="D15" s="23">
        <v>5600</v>
      </c>
      <c r="E15" s="15">
        <v>29300</v>
      </c>
      <c r="F15" s="15">
        <v>170900</v>
      </c>
      <c r="G15" s="15">
        <v>366800</v>
      </c>
      <c r="H15" s="15">
        <v>71404</v>
      </c>
      <c r="I15" s="15">
        <v>7070</v>
      </c>
      <c r="J15" s="15">
        <v>-2500</v>
      </c>
      <c r="K15" s="15">
        <v>-1201</v>
      </c>
      <c r="L15" s="26">
        <v>10</v>
      </c>
    </row>
    <row r="16" ht="20.05" customHeight="1">
      <c r="A16" s="13"/>
      <c r="B16" s="38">
        <v>35795</v>
      </c>
      <c r="C16" s="23">
        <v>3680</v>
      </c>
      <c r="D16" s="23">
        <v>7537</v>
      </c>
      <c r="E16" s="15">
        <v>42124</v>
      </c>
      <c r="F16" s="15">
        <v>152017</v>
      </c>
      <c r="G16" s="15">
        <v>343674</v>
      </c>
      <c r="H16" s="15">
        <v>45252</v>
      </c>
      <c r="I16" s="15">
        <v>5124</v>
      </c>
      <c r="J16" s="15">
        <v>15988</v>
      </c>
      <c r="K16" s="15">
        <v>-6666</v>
      </c>
      <c r="L16" s="26">
        <v>-321</v>
      </c>
    </row>
    <row r="17" ht="20.05" customHeight="1">
      <c r="A17" s="13"/>
      <c r="B17" s="38">
        <v>40505</v>
      </c>
      <c r="C17" s="23">
        <v>3570</v>
      </c>
      <c r="D17" s="23">
        <v>3063</v>
      </c>
      <c r="E17" s="15">
        <v>46968</v>
      </c>
      <c r="F17" s="15">
        <v>146239</v>
      </c>
      <c r="G17" s="15">
        <v>341264</v>
      </c>
      <c r="H17" s="15">
        <v>52344</v>
      </c>
      <c r="I17" s="15">
        <v>11881</v>
      </c>
      <c r="J17" s="15">
        <v>1492</v>
      </c>
      <c r="K17" s="15">
        <v>-3902</v>
      </c>
      <c r="L17" s="26">
        <v>-7089</v>
      </c>
    </row>
    <row r="18" ht="20.05" customHeight="1">
      <c r="A18" s="13"/>
      <c r="B18" s="38">
        <v>44800</v>
      </c>
      <c r="C18" s="23">
        <v>4150</v>
      </c>
      <c r="D18" s="23">
        <v>2400</v>
      </c>
      <c r="E18" s="15">
        <v>47600</v>
      </c>
      <c r="F18" s="15">
        <v>142700</v>
      </c>
      <c r="G18" s="15">
        <v>338200</v>
      </c>
      <c r="H18" s="15">
        <v>-5700</v>
      </c>
      <c r="I18" s="15">
        <v>10410</v>
      </c>
      <c r="J18" s="15">
        <v>-1880</v>
      </c>
      <c r="K18" s="15">
        <v>-4123</v>
      </c>
      <c r="L18" s="26">
        <v>-1448</v>
      </c>
    </row>
    <row r="19" ht="20.05" customHeight="1">
      <c r="A19" s="21">
        <v>2021</v>
      </c>
      <c r="B19" s="38">
        <v>51700</v>
      </c>
      <c r="C19" s="15">
        <v>3598</v>
      </c>
      <c r="D19" s="15">
        <v>4657</v>
      </c>
      <c r="E19" s="15">
        <v>56575</v>
      </c>
      <c r="F19" s="15">
        <v>149644</v>
      </c>
      <c r="G19" s="15">
        <v>351978</v>
      </c>
      <c r="H19" s="15">
        <v>67400</v>
      </c>
      <c r="I19" s="15">
        <v>10356</v>
      </c>
      <c r="J19" s="15">
        <v>-1490</v>
      </c>
      <c r="K19" s="15">
        <v>-194</v>
      </c>
      <c r="L19" s="26">
        <v>0</v>
      </c>
    </row>
    <row r="20" ht="20.05" customHeight="1">
      <c r="A20" s="13"/>
      <c r="B20" s="14">
        <v>55700</v>
      </c>
      <c r="C20" s="23">
        <v>2502</v>
      </c>
      <c r="D20" s="23">
        <v>6443</v>
      </c>
      <c r="E20" s="15">
        <v>58000</v>
      </c>
      <c r="F20" s="15">
        <v>150000</v>
      </c>
      <c r="G20" s="15">
        <v>354000</v>
      </c>
      <c r="H20" s="15">
        <v>58500</v>
      </c>
      <c r="I20" s="15">
        <v>7376</v>
      </c>
      <c r="J20" s="15">
        <v>590</v>
      </c>
      <c r="K20" s="15">
        <v>-1950</v>
      </c>
      <c r="L20" s="26">
        <v>-4447</v>
      </c>
    </row>
    <row r="21" ht="20.05" customHeight="1">
      <c r="A21" s="13"/>
      <c r="B21" s="14">
        <v>60002</v>
      </c>
      <c r="C21" s="15">
        <v>4417</v>
      </c>
      <c r="D21" s="15">
        <v>7918</v>
      </c>
      <c r="E21" s="15">
        <v>60538</v>
      </c>
      <c r="F21" s="15">
        <v>152663</v>
      </c>
      <c r="G21" s="15">
        <v>362219</v>
      </c>
      <c r="H21" s="15">
        <v>66116</v>
      </c>
      <c r="I21" s="15">
        <v>10271</v>
      </c>
      <c r="J21" s="15">
        <v>-3326</v>
      </c>
      <c r="K21" s="15">
        <v>-4249</v>
      </c>
      <c r="L21" s="26">
        <v>-102</v>
      </c>
    </row>
    <row r="22" ht="20.05" customHeight="1">
      <c r="A22" s="13"/>
      <c r="B22" s="14">
        <v>66083</v>
      </c>
      <c r="C22" s="15">
        <v>3631</v>
      </c>
      <c r="D22" s="15">
        <v>6568</v>
      </c>
      <c r="E22" s="15">
        <v>63947</v>
      </c>
      <c r="F22" s="15">
        <v>151696</v>
      </c>
      <c r="G22" s="15">
        <v>367311</v>
      </c>
      <c r="H22" s="15">
        <v>78101</v>
      </c>
      <c r="I22" s="15">
        <v>8225</v>
      </c>
      <c r="J22" s="15">
        <v>321</v>
      </c>
      <c r="K22" s="15">
        <v>-2167</v>
      </c>
      <c r="L22" s="26">
        <v>-2046</v>
      </c>
    </row>
    <row r="23" ht="20.05" customHeight="1">
      <c r="A23" s="21">
        <v>2022</v>
      </c>
      <c r="B23" s="14">
        <v>71871</v>
      </c>
      <c r="C23" s="15">
        <v>2906</v>
      </c>
      <c r="D23" s="15">
        <v>9272</v>
      </c>
      <c r="E23" s="15">
        <v>67255</v>
      </c>
      <c r="F23" s="15">
        <v>157855</v>
      </c>
      <c r="G23" s="15">
        <v>383183</v>
      </c>
      <c r="H23" s="15">
        <v>87799</v>
      </c>
      <c r="I23" s="15">
        <v>9103</v>
      </c>
      <c r="J23" s="15">
        <v>-3329</v>
      </c>
      <c r="K23" s="15">
        <v>-2509</v>
      </c>
      <c r="L23" s="26">
        <v>-67</v>
      </c>
    </row>
    <row r="24" ht="20.05" customHeight="1">
      <c r="A24" s="13"/>
      <c r="B24" s="14">
        <v>71821</v>
      </c>
      <c r="C24" s="15">
        <v>3779</v>
      </c>
      <c r="D24" s="15">
        <v>14645</v>
      </c>
      <c r="E24" s="15">
        <v>68234</v>
      </c>
      <c r="F24" s="15">
        <v>160440</v>
      </c>
      <c r="G24" s="15">
        <v>392523</v>
      </c>
      <c r="H24" s="15">
        <v>70808</v>
      </c>
      <c r="I24" s="15">
        <v>11286</v>
      </c>
      <c r="J24" s="15">
        <v>62</v>
      </c>
      <c r="K24" s="15">
        <v>-1035</v>
      </c>
      <c r="L24" s="26">
        <v>-9834</v>
      </c>
    </row>
    <row r="25" ht="20.05" customHeight="1">
      <c r="A25" s="13"/>
      <c r="B25" s="14">
        <v>77662</v>
      </c>
      <c r="C25" s="15">
        <v>2382</v>
      </c>
      <c r="D25" s="15">
        <v>8095</v>
      </c>
      <c r="E25" s="15">
        <v>69578</v>
      </c>
      <c r="F25" s="15">
        <v>174153</v>
      </c>
      <c r="G25" s="15">
        <v>412017</v>
      </c>
      <c r="H25" s="15">
        <v>88921</v>
      </c>
      <c r="I25" s="15">
        <v>11023</v>
      </c>
      <c r="J25" s="15">
        <v>-9374</v>
      </c>
      <c r="K25" s="15">
        <v>1577</v>
      </c>
      <c r="L25" s="26">
        <v>-2338</v>
      </c>
    </row>
  </sheetData>
  <mergeCells count="1">
    <mergeCell ref="A1:L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1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52" customWidth="1"/>
    <col min="2" max="28" width="10.4844" style="352" customWidth="1"/>
    <col min="29" max="29" width="18.9766" style="353" customWidth="1"/>
    <col min="30" max="48" width="9" style="353" customWidth="1"/>
    <col min="49" max="16384" width="16.3516" style="353" customWidth="1"/>
  </cols>
  <sheetData>
    <row r="1" ht="11.65" customHeight="1"/>
    <row r="2" ht="27.65" customHeight="1">
      <c r="B2" t="s" s="2">
        <v>716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717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165</v>
      </c>
      <c r="AA3" t="s" s="3">
        <v>19</v>
      </c>
      <c r="AB3" t="s" s="3">
        <v>20</v>
      </c>
    </row>
    <row r="4" ht="20.25" customHeight="1">
      <c r="B4" s="6">
        <v>2017</v>
      </c>
      <c r="C4" s="7">
        <v>662.34</v>
      </c>
      <c r="D4" s="8">
        <v>146.3</v>
      </c>
      <c r="E4" s="8">
        <v>25.27</v>
      </c>
      <c r="F4" s="8">
        <v>93.09999999999999</v>
      </c>
      <c r="G4" s="8">
        <v>6636.7</v>
      </c>
      <c r="H4" s="8">
        <v>11211.9</v>
      </c>
      <c r="I4" s="8">
        <v>675.9059999999999</v>
      </c>
      <c r="J4" s="8">
        <v>-15.96</v>
      </c>
      <c r="K4" s="8">
        <v>-170.107</v>
      </c>
      <c r="L4" s="8">
        <v>279.3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-279.3</v>
      </c>
      <c r="W4" s="9"/>
      <c r="X4" s="8">
        <f>F4-G4</f>
        <v>-6543.6</v>
      </c>
      <c r="Y4" s="9"/>
      <c r="Z4" s="10"/>
      <c r="AA4" s="11"/>
      <c r="AB4" s="12">
        <v>13.3</v>
      </c>
    </row>
    <row r="5" ht="20.05" customHeight="1">
      <c r="B5" s="13"/>
      <c r="C5" s="14">
        <v>772.966</v>
      </c>
      <c r="D5" s="15">
        <v>146.597</v>
      </c>
      <c r="E5" s="15">
        <v>90.35706</v>
      </c>
      <c r="F5" s="15">
        <v>226.559</v>
      </c>
      <c r="G5" s="15">
        <v>6930.04</v>
      </c>
      <c r="H5" s="15">
        <v>11607.817</v>
      </c>
      <c r="I5" s="15">
        <v>686.0606330000001</v>
      </c>
      <c r="J5" s="15">
        <v>-82.22759000000001</v>
      </c>
      <c r="K5" s="15">
        <v>-216.03067</v>
      </c>
      <c r="L5" s="15">
        <v>279.867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-559.167</v>
      </c>
      <c r="W5" s="17"/>
      <c r="X5" s="15">
        <f>F5-G5</f>
        <v>-6703.481</v>
      </c>
      <c r="Y5" s="17"/>
      <c r="Z5" s="18"/>
      <c r="AA5" s="19"/>
      <c r="AB5" s="20">
        <v>13.327</v>
      </c>
    </row>
    <row r="6" ht="20.05" customHeight="1">
      <c r="B6" s="13"/>
      <c r="C6" s="14">
        <v>747.741</v>
      </c>
      <c r="D6" s="15">
        <v>119.745</v>
      </c>
      <c r="E6" s="15">
        <v>42.8421</v>
      </c>
      <c r="F6" s="15">
        <v>199.575</v>
      </c>
      <c r="G6" s="15">
        <v>7025.04</v>
      </c>
      <c r="H6" s="15">
        <v>11735.01</v>
      </c>
      <c r="I6" s="15">
        <v>809.409675</v>
      </c>
      <c r="J6" s="15">
        <v>252.71517</v>
      </c>
      <c r="K6" s="15">
        <v>-472.899615</v>
      </c>
      <c r="L6" s="15">
        <v>279.405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-838.572</v>
      </c>
      <c r="W6" s="17"/>
      <c r="X6" s="15">
        <f>F6-G6</f>
        <v>-6825.465</v>
      </c>
      <c r="Y6" s="17"/>
      <c r="Z6" s="18"/>
      <c r="AA6" s="19"/>
      <c r="AB6" s="20">
        <v>13.305</v>
      </c>
    </row>
    <row r="7" ht="20.05" customHeight="1">
      <c r="B7" s="13"/>
      <c r="C7" s="14">
        <v>751.0578</v>
      </c>
      <c r="D7" s="15">
        <v>203.355</v>
      </c>
      <c r="E7" s="15">
        <v>54.228</v>
      </c>
      <c r="F7" s="15">
        <v>433.824</v>
      </c>
      <c r="G7" s="15">
        <v>7741.047</v>
      </c>
      <c r="H7" s="15">
        <v>12485.997</v>
      </c>
      <c r="I7" s="15">
        <v>775.677312</v>
      </c>
      <c r="J7" s="15">
        <v>-53.441694</v>
      </c>
      <c r="K7" s="15">
        <v>-110.408208</v>
      </c>
      <c r="L7" s="15">
        <v>284.697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-1123.269</v>
      </c>
      <c r="W7" s="17"/>
      <c r="X7" s="15">
        <f>F7-G7</f>
        <v>-7307.223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799.5141</v>
      </c>
      <c r="D8" s="15">
        <v>151.371</v>
      </c>
      <c r="E8" s="15">
        <v>71.55719999999999</v>
      </c>
      <c r="F8" s="15">
        <v>302.742</v>
      </c>
      <c r="G8" s="15">
        <v>7940.097</v>
      </c>
      <c r="H8" s="15">
        <v>12797.73</v>
      </c>
      <c r="I8" s="15">
        <v>801.220464</v>
      </c>
      <c r="J8" s="15">
        <v>254.99133</v>
      </c>
      <c r="K8" s="15">
        <v>-513.83574</v>
      </c>
      <c r="L8" s="15">
        <v>-61.9245</v>
      </c>
      <c r="M8" s="15">
        <v>0</v>
      </c>
      <c r="N8" s="15">
        <f>SUM(C5:C8)/4</f>
        <v>767.8197249999999</v>
      </c>
      <c r="O8" s="15"/>
      <c r="P8" s="16"/>
      <c r="Q8" s="16"/>
      <c r="R8" s="16"/>
      <c r="S8" s="17"/>
      <c r="T8" s="15">
        <f>SUM(J5:K8)/4</f>
        <v>-235.28425425</v>
      </c>
      <c r="U8" s="25"/>
      <c r="V8" s="15">
        <f>-(L8+M8)+V7</f>
        <v>-1061.3445</v>
      </c>
      <c r="W8" s="17"/>
      <c r="X8" s="15">
        <f>F8-G8</f>
        <v>-7637.355</v>
      </c>
      <c r="Y8" s="24"/>
      <c r="Z8" s="350">
        <v>278</v>
      </c>
      <c r="AA8" s="22"/>
      <c r="AB8" s="20">
        <v>13.761</v>
      </c>
    </row>
    <row r="9" ht="20.05" customHeight="1">
      <c r="B9" s="13"/>
      <c r="C9" s="14">
        <v>611.8</v>
      </c>
      <c r="D9" s="15">
        <v>140</v>
      </c>
      <c r="E9" s="15">
        <v>12.6</v>
      </c>
      <c r="F9" s="15">
        <v>28</v>
      </c>
      <c r="G9" s="15">
        <v>7840</v>
      </c>
      <c r="H9" s="15">
        <v>12908</v>
      </c>
      <c r="I9" s="15">
        <v>629.944</v>
      </c>
      <c r="J9" s="15">
        <v>146.58</v>
      </c>
      <c r="K9" s="15">
        <v>-275.24</v>
      </c>
      <c r="L9" s="15">
        <v>-63</v>
      </c>
      <c r="M9" s="15">
        <v>0</v>
      </c>
      <c r="N9" s="15">
        <f>SUM(C6:C9)/4</f>
        <v>727.528225</v>
      </c>
      <c r="O9" s="15"/>
      <c r="P9" s="16"/>
      <c r="Q9" s="16"/>
      <c r="R9" s="16"/>
      <c r="S9" s="17"/>
      <c r="T9" s="15">
        <f>SUM(J6:K9)/4</f>
        <v>-192.88468925</v>
      </c>
      <c r="U9" s="25"/>
      <c r="V9" s="15">
        <f>-(L9+M9)+V8</f>
        <v>-998.3445</v>
      </c>
      <c r="W9" s="17"/>
      <c r="X9" s="15">
        <f>F13-G9</f>
        <v>-7416.19</v>
      </c>
      <c r="Y9" s="24"/>
      <c r="Z9" s="350">
        <v>185</v>
      </c>
      <c r="AA9" s="22"/>
      <c r="AB9" s="20">
        <v>14</v>
      </c>
    </row>
    <row r="10" ht="20.05" customHeight="1">
      <c r="B10" s="13"/>
      <c r="C10" s="14">
        <v>776.3942</v>
      </c>
      <c r="D10" s="15">
        <v>178.824</v>
      </c>
      <c r="E10" s="15">
        <v>37.255</v>
      </c>
      <c r="F10" s="15">
        <v>74.51000000000001</v>
      </c>
      <c r="G10" s="15">
        <v>8315.316000000001</v>
      </c>
      <c r="H10" s="15">
        <v>13724.742</v>
      </c>
      <c r="I10" s="15">
        <v>776.9008679999999</v>
      </c>
      <c r="J10" s="15">
        <v>471.916536</v>
      </c>
      <c r="K10" s="15">
        <v>-286.803892</v>
      </c>
      <c r="L10" s="15">
        <v>-67.059</v>
      </c>
      <c r="M10" s="15">
        <v>0</v>
      </c>
      <c r="N10" s="15">
        <f>SUM(C7:C10)/4</f>
        <v>734.691525</v>
      </c>
      <c r="O10" s="15"/>
      <c r="P10" s="16"/>
      <c r="Q10" s="16"/>
      <c r="R10" s="16"/>
      <c r="S10" s="17"/>
      <c r="T10" s="15">
        <f>SUM(J7:K10)/4</f>
        <v>-91.560417</v>
      </c>
      <c r="U10" s="25"/>
      <c r="V10" s="15">
        <f>-(L10+M10)+V9</f>
        <v>-931.2855</v>
      </c>
      <c r="W10" s="17"/>
      <c r="X10" s="15">
        <f>F10-G10</f>
        <v>-8240.806</v>
      </c>
      <c r="Y10" s="24"/>
      <c r="Z10" s="350">
        <v>200</v>
      </c>
      <c r="AA10" s="22"/>
      <c r="AB10" s="20">
        <v>14.902</v>
      </c>
    </row>
    <row r="11" ht="20.05" customHeight="1">
      <c r="B11" s="13"/>
      <c r="C11" s="14">
        <v>987.9059999999999</v>
      </c>
      <c r="D11" s="15">
        <v>215.7</v>
      </c>
      <c r="E11" s="15">
        <v>150.99</v>
      </c>
      <c r="F11" s="15">
        <v>215.7</v>
      </c>
      <c r="G11" s="15">
        <v>7851.48</v>
      </c>
      <c r="H11" s="15">
        <v>13172.08</v>
      </c>
      <c r="I11" s="15">
        <v>987.84848</v>
      </c>
      <c r="J11" s="15">
        <v>123.56734</v>
      </c>
      <c r="K11" s="15">
        <v>105.82242</v>
      </c>
      <c r="L11" s="15">
        <v>-64.70999999999999</v>
      </c>
      <c r="M11" s="15">
        <v>0</v>
      </c>
      <c r="N11" s="15">
        <f>SUM(C8:C11)/4</f>
        <v>793.903575</v>
      </c>
      <c r="O11" s="15"/>
      <c r="P11" s="16"/>
      <c r="Q11" s="16"/>
      <c r="R11" s="16"/>
      <c r="S11" s="17"/>
      <c r="T11" s="15">
        <f>SUM(J8:K11)/4</f>
        <v>6.7494985</v>
      </c>
      <c r="U11" s="25"/>
      <c r="V11" s="15">
        <f>-(L11+M11)+V10</f>
        <v>-866.5755</v>
      </c>
      <c r="W11" s="17"/>
      <c r="X11" s="15">
        <f>F11-G11</f>
        <v>-7635.78</v>
      </c>
      <c r="Y11" s="24"/>
      <c r="Z11" s="350">
        <v>202</v>
      </c>
      <c r="AA11" s="22"/>
      <c r="AB11" s="20">
        <v>14.38</v>
      </c>
    </row>
    <row r="12" ht="20.05" customHeight="1">
      <c r="B12" s="21">
        <v>2019</v>
      </c>
      <c r="C12" s="14">
        <v>911.36</v>
      </c>
      <c r="D12" s="15">
        <v>242.08</v>
      </c>
      <c r="E12" s="15">
        <v>82.592</v>
      </c>
      <c r="F12" s="15">
        <v>142.4</v>
      </c>
      <c r="G12" s="15">
        <v>7703.84</v>
      </c>
      <c r="H12" s="15">
        <v>13058.08</v>
      </c>
      <c r="I12" s="15">
        <v>893.90176</v>
      </c>
      <c r="J12" s="15">
        <v>360.24352</v>
      </c>
      <c r="K12" s="15">
        <v>-274.60416</v>
      </c>
      <c r="L12" s="15">
        <v>185.12</v>
      </c>
      <c r="M12" s="15">
        <v>0</v>
      </c>
      <c r="N12" s="15">
        <f>SUM(C9:C12)/4</f>
        <v>821.86505</v>
      </c>
      <c r="O12" s="23"/>
      <c r="P12" s="16"/>
      <c r="Q12" s="16">
        <f>(E12+D12)/C12</f>
        <v>0.35625</v>
      </c>
      <c r="R12" s="16">
        <f>AVERAGE(Q9:Q12)</f>
        <v>0.35625</v>
      </c>
      <c r="S12" s="17"/>
      <c r="T12" s="15">
        <f>SUM(J9:K12)/4</f>
        <v>92.870441</v>
      </c>
      <c r="U12" s="25"/>
      <c r="V12" s="15">
        <f>-(L12+M12)+V11</f>
        <v>-1051.6955</v>
      </c>
      <c r="W12" s="17"/>
      <c r="X12" s="15">
        <f>F12-G12</f>
        <v>-7561.44</v>
      </c>
      <c r="Y12" s="24"/>
      <c r="Z12" s="350">
        <v>189</v>
      </c>
      <c r="AA12" s="22"/>
      <c r="AB12" s="20">
        <v>14.24</v>
      </c>
    </row>
    <row r="13" ht="20.05" customHeight="1">
      <c r="B13" s="13"/>
      <c r="C13" s="14">
        <v>816.5406</v>
      </c>
      <c r="D13" s="15">
        <v>169.524</v>
      </c>
      <c r="E13" s="15">
        <v>12.7143</v>
      </c>
      <c r="F13" s="15">
        <v>423.81</v>
      </c>
      <c r="G13" s="15">
        <v>8151.279</v>
      </c>
      <c r="H13" s="15">
        <v>13477.158</v>
      </c>
      <c r="I13" s="15">
        <v>833.860302</v>
      </c>
      <c r="J13" s="15">
        <v>-127.764588</v>
      </c>
      <c r="K13" s="15">
        <v>-189.005133</v>
      </c>
      <c r="L13" s="15">
        <v>183.651</v>
      </c>
      <c r="M13" s="15">
        <v>0</v>
      </c>
      <c r="N13" s="15">
        <f>SUM(C10:C13)/4</f>
        <v>873.0502</v>
      </c>
      <c r="O13" s="23"/>
      <c r="P13" s="16">
        <f>C13/C12-1</f>
        <v>-0.104041652036517</v>
      </c>
      <c r="Q13" s="16">
        <f>(E13+D13)/C13</f>
        <v>0.22318339100346</v>
      </c>
      <c r="R13" s="16">
        <f>AVERAGE(Q10:Q13)</f>
        <v>0.28971669550173</v>
      </c>
      <c r="S13" s="17"/>
      <c r="T13" s="15">
        <f>SUM(J10:K13)/4</f>
        <v>45.84301075</v>
      </c>
      <c r="U13" s="25"/>
      <c r="V13" s="15">
        <f>-(L13+M13)+V12</f>
        <v>-1235.3465</v>
      </c>
      <c r="W13" s="17"/>
      <c r="X13" s="15">
        <f>F13-G13</f>
        <v>-7727.469</v>
      </c>
      <c r="Y13" s="24"/>
      <c r="Z13" s="350">
        <v>240</v>
      </c>
      <c r="AA13" s="24"/>
      <c r="AB13" s="15">
        <v>14.127</v>
      </c>
    </row>
    <row r="14" ht="20.05" customHeight="1">
      <c r="B14" s="13"/>
      <c r="C14" s="14">
        <v>949.6455</v>
      </c>
      <c r="D14" s="15">
        <v>212.925</v>
      </c>
      <c r="E14" s="15">
        <v>82.331</v>
      </c>
      <c r="F14" s="15">
        <v>809.115</v>
      </c>
      <c r="G14" s="15">
        <v>8531.195</v>
      </c>
      <c r="H14" s="15">
        <v>13953.685</v>
      </c>
      <c r="I14" s="15">
        <v>949.50355</v>
      </c>
      <c r="J14" s="15">
        <v>873.744835</v>
      </c>
      <c r="K14" s="15">
        <v>-745.0671599999999</v>
      </c>
      <c r="L14" s="15">
        <v>184.535</v>
      </c>
      <c r="M14" s="15">
        <v>0</v>
      </c>
      <c r="N14" s="15">
        <f>SUM(C11:C14)/4</f>
        <v>916.363025</v>
      </c>
      <c r="O14" s="23"/>
      <c r="P14" s="16">
        <f>C14/C13-1</f>
        <v>0.163010755374564</v>
      </c>
      <c r="Q14" s="16">
        <f>(E14+D14)/C14</f>
        <v>0.310911808669656</v>
      </c>
      <c r="R14" s="16">
        <f>AVERAGE(Q11:Q14)</f>
        <v>0.296781733224372</v>
      </c>
      <c r="S14" s="17"/>
      <c r="T14" s="15">
        <f>SUM(J11:K14)/4</f>
        <v>31.7342685</v>
      </c>
      <c r="U14" s="25"/>
      <c r="V14" s="15">
        <f>-(L14+M14)+V13</f>
        <v>-1419.8815</v>
      </c>
      <c r="W14" s="17"/>
      <c r="X14" s="15">
        <f>F14-G14</f>
        <v>-7722.08</v>
      </c>
      <c r="Y14" s="24"/>
      <c r="Z14" s="350">
        <v>260</v>
      </c>
      <c r="AA14" s="24"/>
      <c r="AB14" s="15">
        <v>14.195</v>
      </c>
    </row>
    <row r="15" ht="20.05" customHeight="1">
      <c r="B15" s="13"/>
      <c r="C15" s="14">
        <v>780.1684</v>
      </c>
      <c r="D15" s="15">
        <v>208.23</v>
      </c>
      <c r="E15" s="15">
        <v>-115.2206</v>
      </c>
      <c r="F15" s="15">
        <v>97.17400000000001</v>
      </c>
      <c r="G15" s="15">
        <v>8842.834000000001</v>
      </c>
      <c r="H15" s="15">
        <v>13757.062</v>
      </c>
      <c r="I15" s="15">
        <v>780.432158</v>
      </c>
      <c r="J15" s="15">
        <v>-1053.213458</v>
      </c>
      <c r="K15" s="15">
        <v>329.031164</v>
      </c>
      <c r="L15" s="15">
        <v>180.466</v>
      </c>
      <c r="M15" s="15">
        <v>0</v>
      </c>
      <c r="N15" s="15">
        <f>SUM(C12:C15)/4</f>
        <v>864.428625</v>
      </c>
      <c r="O15" s="15"/>
      <c r="P15" s="16">
        <f>C15/C14-1</f>
        <v>-0.178463542448208</v>
      </c>
      <c r="Q15" s="16">
        <f>(E15+D15)/C15</f>
        <v>0.119217081850534</v>
      </c>
      <c r="R15" s="16">
        <f>AVERAGE(Q12:Q15)</f>
        <v>0.252390570380913</v>
      </c>
      <c r="S15" s="17"/>
      <c r="T15" s="15">
        <f>SUM(J12:K15)/4</f>
        <v>-206.658745</v>
      </c>
      <c r="U15" s="25"/>
      <c r="V15" s="15">
        <f>-(L15+M15)+V14</f>
        <v>-1600.3475</v>
      </c>
      <c r="W15" s="17"/>
      <c r="X15" s="15">
        <f>F15-G15</f>
        <v>-8745.66</v>
      </c>
      <c r="Y15" s="24"/>
      <c r="Z15" s="350">
        <v>260</v>
      </c>
      <c r="AA15" s="24"/>
      <c r="AB15" s="15">
        <v>13.882</v>
      </c>
    </row>
    <row r="16" ht="20.05" customHeight="1">
      <c r="B16" s="21">
        <v>2020</v>
      </c>
      <c r="C16" s="14">
        <v>1007.958</v>
      </c>
      <c r="D16" s="15">
        <v>260.96</v>
      </c>
      <c r="E16" s="15">
        <v>35.882</v>
      </c>
      <c r="F16" s="15">
        <v>472.99</v>
      </c>
      <c r="G16" s="15">
        <v>10601.5</v>
      </c>
      <c r="H16" s="15">
        <v>16326.31</v>
      </c>
      <c r="I16" s="15">
        <v>1008.54516</v>
      </c>
      <c r="J16" s="15">
        <v>248.61333</v>
      </c>
      <c r="K16" s="15">
        <v>-82.82218</v>
      </c>
      <c r="L16" s="15">
        <v>-89.705</v>
      </c>
      <c r="M16" s="15">
        <v>0</v>
      </c>
      <c r="N16" s="15">
        <f>SUM(C13:C16)/4</f>
        <v>888.578125</v>
      </c>
      <c r="O16" s="15"/>
      <c r="P16" s="16">
        <f>C16/C15-1</f>
        <v>0.291974912083084</v>
      </c>
      <c r="Q16" s="16">
        <f>(E16+D16)/C16</f>
        <v>0.294498381877023</v>
      </c>
      <c r="R16" s="16">
        <f>AVERAGE(Q13:Q16)</f>
        <v>0.236952665850168</v>
      </c>
      <c r="S16" s="17"/>
      <c r="T16" s="15">
        <f>SUM(J13:K16)/4</f>
        <v>-186.6207975</v>
      </c>
      <c r="U16" s="25"/>
      <c r="V16" s="15">
        <f>-(L16+M16)+V15</f>
        <v>-1510.6425</v>
      </c>
      <c r="W16" s="17"/>
      <c r="X16" s="15">
        <f>F16-G16</f>
        <v>-10128.51</v>
      </c>
      <c r="Y16" s="24"/>
      <c r="Z16" s="350">
        <v>191</v>
      </c>
      <c r="AA16" s="24"/>
      <c r="AB16" s="15">
        <v>16.31</v>
      </c>
    </row>
    <row r="17" ht="20.05" customHeight="1">
      <c r="B17" s="13"/>
      <c r="C17" s="14">
        <v>809.684</v>
      </c>
      <c r="D17" s="15">
        <v>142.55</v>
      </c>
      <c r="E17" s="15">
        <v>-15.6805</v>
      </c>
      <c r="F17" s="15">
        <v>71.27500000000001</v>
      </c>
      <c r="G17" s="15">
        <v>8766.825000000001</v>
      </c>
      <c r="H17" s="15">
        <v>13699.055</v>
      </c>
      <c r="I17" s="15">
        <v>809.17082</v>
      </c>
      <c r="J17" s="15">
        <v>437.699775</v>
      </c>
      <c r="K17" s="15">
        <v>-195.307755</v>
      </c>
      <c r="L17" s="15">
        <v>-78.4025</v>
      </c>
      <c r="M17" s="15">
        <v>0</v>
      </c>
      <c r="N17" s="15">
        <f>SUM(C14:C17)/4</f>
        <v>886.863975</v>
      </c>
      <c r="O17" s="15"/>
      <c r="P17" s="16">
        <f>C17/C16-1</f>
        <v>-0.196708593016773</v>
      </c>
      <c r="Q17" s="16">
        <f>(E17+D17)/C17</f>
        <v>0.15669014084507</v>
      </c>
      <c r="R17" s="16">
        <f>AVERAGE(Q14:Q17)</f>
        <v>0.220329353310571</v>
      </c>
      <c r="S17" s="17"/>
      <c r="T17" s="25">
        <f>SUM(J14:K17)/4</f>
        <v>-46.83036225</v>
      </c>
      <c r="U17" s="25"/>
      <c r="V17" s="15">
        <f>-(L17+M17)+V16</f>
        <v>-1432.24</v>
      </c>
      <c r="W17" s="17"/>
      <c r="X17" s="15">
        <f>F17-G17</f>
        <v>-8695.549999999999</v>
      </c>
      <c r="Y17" s="24"/>
      <c r="Z17" s="350">
        <v>176</v>
      </c>
      <c r="AA17" s="24"/>
      <c r="AB17" s="15">
        <v>14.255</v>
      </c>
    </row>
    <row r="18" ht="20.05" customHeight="1">
      <c r="B18" s="13"/>
      <c r="C18" s="14">
        <v>987.972</v>
      </c>
      <c r="D18" s="15">
        <v>192.27</v>
      </c>
      <c r="E18" s="15">
        <v>10.353</v>
      </c>
      <c r="F18" s="15">
        <v>488.07</v>
      </c>
      <c r="G18" s="15">
        <v>9155.01</v>
      </c>
      <c r="H18" s="15">
        <v>14375.88</v>
      </c>
      <c r="I18" s="15">
        <v>987.972</v>
      </c>
      <c r="J18" s="15">
        <v>477.59868</v>
      </c>
      <c r="K18" s="15">
        <v>-233.99259</v>
      </c>
      <c r="L18" s="15">
        <v>-81.345</v>
      </c>
      <c r="M18" s="15">
        <v>0</v>
      </c>
      <c r="N18" s="15">
        <f>SUM(C15:C18)/4</f>
        <v>896.4456</v>
      </c>
      <c r="O18" s="15"/>
      <c r="P18" s="16">
        <f>C18/C17-1</f>
        <v>0.220194545032383</v>
      </c>
      <c r="Q18" s="16">
        <f>(E18+D18)/C18</f>
        <v>0.205089820359281</v>
      </c>
      <c r="R18" s="16">
        <f>AVERAGE(Q15:Q18)</f>
        <v>0.193873856232977</v>
      </c>
      <c r="S18" s="17"/>
      <c r="T18" s="25">
        <f>SUM(J15:K18)/4</f>
        <v>-18.0982585</v>
      </c>
      <c r="U18" s="25"/>
      <c r="V18" s="15">
        <f>-(L18+M18)+V17</f>
        <v>-1350.895</v>
      </c>
      <c r="W18" s="17"/>
      <c r="X18" s="15">
        <f>F18-G18</f>
        <v>-8666.940000000001</v>
      </c>
      <c r="Y18" s="24"/>
      <c r="Z18" s="15">
        <v>206</v>
      </c>
      <c r="AA18" s="24"/>
      <c r="AB18" s="15">
        <v>14.79</v>
      </c>
    </row>
    <row r="19" ht="20.05" customHeight="1">
      <c r="B19" s="13"/>
      <c r="C19" s="14">
        <v>878.4299999999999</v>
      </c>
      <c r="D19" s="15">
        <v>245.34</v>
      </c>
      <c r="E19" s="15">
        <v>1.41</v>
      </c>
      <c r="F19" s="15">
        <v>98.7</v>
      </c>
      <c r="G19" s="15">
        <v>8262.6</v>
      </c>
      <c r="H19" s="15">
        <v>13536</v>
      </c>
      <c r="I19" s="15">
        <v>878.4299999999999</v>
      </c>
      <c r="J19" s="15">
        <v>-30.174</v>
      </c>
      <c r="K19" s="15">
        <v>-260.85</v>
      </c>
      <c r="L19" s="15">
        <v>-77.55</v>
      </c>
      <c r="M19" s="15">
        <v>0</v>
      </c>
      <c r="N19" s="15">
        <f>SUM(C16:C19)/4</f>
        <v>921.011</v>
      </c>
      <c r="O19" s="15"/>
      <c r="P19" s="16">
        <f>C19/C18-1</f>
        <v>-0.110875611859445</v>
      </c>
      <c r="Q19" s="16">
        <f>(E19+D19)/C19</f>
        <v>0.280898876404494</v>
      </c>
      <c r="R19" s="16">
        <f>AVERAGE(Q16:Q19)</f>
        <v>0.234294304871467</v>
      </c>
      <c r="S19" s="17"/>
      <c r="T19" s="25">
        <f>SUM(J16:K19)/4</f>
        <v>90.191315</v>
      </c>
      <c r="U19" s="25"/>
      <c r="V19" s="15">
        <f>-(L19+M19)+V18</f>
        <v>-1273.345</v>
      </c>
      <c r="W19" s="17"/>
      <c r="X19" s="15">
        <f>F19-G19</f>
        <v>-8163.9</v>
      </c>
      <c r="Y19" s="24"/>
      <c r="Z19" s="15">
        <v>264</v>
      </c>
      <c r="AA19" s="24"/>
      <c r="AB19" s="15">
        <v>14.1</v>
      </c>
    </row>
    <row r="20" ht="20.05" customHeight="1">
      <c r="B20" s="21">
        <v>2021</v>
      </c>
      <c r="C20" s="14">
        <v>1298.4734</v>
      </c>
      <c r="D20" s="15">
        <v>284.817</v>
      </c>
      <c r="E20" s="15">
        <v>46.7392</v>
      </c>
      <c r="F20" s="15">
        <v>43.818</v>
      </c>
      <c r="G20" s="15">
        <v>7931.058</v>
      </c>
      <c r="H20" s="15">
        <v>13671.216</v>
      </c>
      <c r="I20" s="15">
        <v>1238.5888</v>
      </c>
      <c r="J20" s="15">
        <v>477.6162</v>
      </c>
      <c r="K20" s="15">
        <v>-287.7382</v>
      </c>
      <c r="L20" s="15">
        <v>-252.742224</v>
      </c>
      <c r="M20" s="15">
        <v>0</v>
      </c>
      <c r="N20" s="15">
        <f>SUM(C17:C20)/4</f>
        <v>993.63985</v>
      </c>
      <c r="O20" s="15"/>
      <c r="P20" s="16">
        <f>C20/C19-1</f>
        <v>0.478175153398677</v>
      </c>
      <c r="Q20" s="16">
        <f>(E20+D20)/C20</f>
        <v>0.255343082114736</v>
      </c>
      <c r="R20" s="16">
        <f>AVERAGE(Q17:Q20)</f>
        <v>0.224505479930895</v>
      </c>
      <c r="S20" s="17"/>
      <c r="T20" s="25">
        <f>SUM(J17:K20)/4</f>
        <v>96.2130275</v>
      </c>
      <c r="U20" s="25"/>
      <c r="V20" s="15">
        <f>-(L20+M20)+V19</f>
        <v>-1020.602776</v>
      </c>
      <c r="W20" s="17"/>
      <c r="X20" s="15">
        <f>F20-G20</f>
        <v>-7887.24</v>
      </c>
      <c r="Y20" s="15"/>
      <c r="Z20" s="15">
        <v>195</v>
      </c>
      <c r="AA20" s="15"/>
      <c r="AB20" s="15">
        <v>14.606</v>
      </c>
    </row>
    <row r="21" ht="20.05" customHeight="1">
      <c r="B21" s="13"/>
      <c r="C21" s="14">
        <v>869.89</v>
      </c>
      <c r="D21" s="15">
        <v>154.615</v>
      </c>
      <c r="E21" s="15">
        <v>2.89</v>
      </c>
      <c r="F21" s="15">
        <v>72.25</v>
      </c>
      <c r="G21" s="15">
        <v>7701.85</v>
      </c>
      <c r="H21" s="15">
        <v>13380.7</v>
      </c>
      <c r="I21" s="15">
        <v>929.135</v>
      </c>
      <c r="J21" s="15">
        <v>361.25</v>
      </c>
      <c r="K21" s="15">
        <v>-196.52</v>
      </c>
      <c r="L21" s="15">
        <v>-144.8179</v>
      </c>
      <c r="M21" s="15">
        <v>0</v>
      </c>
      <c r="N21" s="15">
        <f>SUM(C18:C21)/4</f>
        <v>1008.69135</v>
      </c>
      <c r="O21" s="15">
        <v>1054.768213</v>
      </c>
      <c r="P21" s="16">
        <f>C21/C20-1</f>
        <v>-0.330067138841658</v>
      </c>
      <c r="Q21" s="16">
        <f>(E21+D21)/C21</f>
        <v>0.181063122923588</v>
      </c>
      <c r="R21" s="16">
        <f>AVERAGE(Q18:Q21)</f>
        <v>0.230598725450525</v>
      </c>
      <c r="S21" s="17"/>
      <c r="T21" s="25">
        <f>SUM(J18:K21)/4</f>
        <v>76.7975225</v>
      </c>
      <c r="U21" s="25"/>
      <c r="V21" s="15">
        <f>-(L21+M21)+V20</f>
        <v>-875.7848760000001</v>
      </c>
      <c r="W21" s="17"/>
      <c r="X21" s="15">
        <f>F21-G21</f>
        <v>-7629.6</v>
      </c>
      <c r="Y21" s="15"/>
      <c r="Z21" s="15">
        <v>178</v>
      </c>
      <c r="AA21" s="15"/>
      <c r="AB21" s="15">
        <v>14.45</v>
      </c>
    </row>
    <row r="22" ht="20.05" customHeight="1">
      <c r="B22" s="13"/>
      <c r="C22" s="14">
        <v>611.8056</v>
      </c>
      <c r="D22" s="15">
        <v>203.4576</v>
      </c>
      <c r="E22" s="15">
        <v>-121.788</v>
      </c>
      <c r="F22" s="15">
        <v>57.312</v>
      </c>
      <c r="G22" s="15">
        <v>7823.088</v>
      </c>
      <c r="H22" s="15">
        <v>13339.368</v>
      </c>
      <c r="I22" s="15">
        <v>607.5072</v>
      </c>
      <c r="J22" s="15">
        <v>216.3528</v>
      </c>
      <c r="K22" s="15">
        <v>-229.248</v>
      </c>
      <c r="L22" s="15">
        <v>11.433744</v>
      </c>
      <c r="M22" s="15">
        <v>0</v>
      </c>
      <c r="N22" s="15">
        <f>SUM(C19:C22)/4</f>
        <v>914.64975</v>
      </c>
      <c r="O22" s="15">
        <v>1088.47437552</v>
      </c>
      <c r="P22" s="16">
        <f>C22/C21-1</f>
        <v>-0.296686247686489</v>
      </c>
      <c r="Q22" s="16">
        <f>(E22+D22)/C22</f>
        <v>0.133489461358314</v>
      </c>
      <c r="R22" s="16">
        <f>AVERAGE(Q19:Q22)</f>
        <v>0.212698635700283</v>
      </c>
      <c r="S22" s="17"/>
      <c r="T22" s="25">
        <f>SUM(J19:K22)/4</f>
        <v>12.6722</v>
      </c>
      <c r="U22" s="25"/>
      <c r="V22" s="15">
        <f>-(L22+M22)+V21</f>
        <v>-887.21862</v>
      </c>
      <c r="W22" s="17"/>
      <c r="X22" s="15">
        <f>F22-G22</f>
        <v>-7765.776</v>
      </c>
      <c r="Y22" s="15"/>
      <c r="Z22" s="15">
        <v>150</v>
      </c>
      <c r="AA22" s="15"/>
      <c r="AB22" s="15">
        <v>14.328</v>
      </c>
    </row>
    <row r="23" ht="20.05" customHeight="1">
      <c r="B23" s="13"/>
      <c r="C23" s="14">
        <v>646.6575</v>
      </c>
      <c r="D23" s="15">
        <v>235.5375</v>
      </c>
      <c r="E23" s="15">
        <v>191.285</v>
      </c>
      <c r="F23" s="15">
        <v>85.65000000000001</v>
      </c>
      <c r="G23" s="15">
        <v>6309.55</v>
      </c>
      <c r="H23" s="15">
        <v>12005.275</v>
      </c>
      <c r="I23" s="15">
        <v>650.9400000000001</v>
      </c>
      <c r="J23" s="15">
        <v>238.3925</v>
      </c>
      <c r="K23" s="15">
        <v>1404.66</v>
      </c>
      <c r="L23" s="15">
        <v>-1613.075</v>
      </c>
      <c r="M23" s="15">
        <v>0</v>
      </c>
      <c r="N23" s="15">
        <f>SUM(C20:C23)/4</f>
        <v>856.706625</v>
      </c>
      <c r="O23" s="15">
        <v>1022.701541</v>
      </c>
      <c r="P23" s="16">
        <f>C23/C22-1</f>
        <v>0.0569656439888749</v>
      </c>
      <c r="Q23" s="16">
        <f>(E23+D23)/C23</f>
        <v>0.660044150110375</v>
      </c>
      <c r="R23" s="16">
        <f>AVERAGE(Q20:Q23)</f>
        <v>0.307484954126753</v>
      </c>
      <c r="S23" s="17"/>
      <c r="T23" s="25">
        <f>SUM(J20:K23)/4</f>
        <v>496.191325</v>
      </c>
      <c r="U23" s="25"/>
      <c r="V23" s="15">
        <f>-(L23+M23)+V22</f>
        <v>725.8563799999999</v>
      </c>
      <c r="W23" s="17"/>
      <c r="X23" s="15">
        <f>F23-G23</f>
        <v>-6223.9</v>
      </c>
      <c r="Y23" s="15"/>
      <c r="Z23" s="15">
        <v>139</v>
      </c>
      <c r="AA23" s="15"/>
      <c r="AB23" s="15">
        <v>14.275</v>
      </c>
    </row>
    <row r="24" ht="20.05" customHeight="1">
      <c r="B24" s="21">
        <v>2022</v>
      </c>
      <c r="C24" s="14">
        <v>414.0503</v>
      </c>
      <c r="D24" s="15">
        <v>144.7027</v>
      </c>
      <c r="E24" s="15">
        <v>27.2213</v>
      </c>
      <c r="F24" s="15">
        <v>501.445</v>
      </c>
      <c r="G24" s="15">
        <v>6203.591</v>
      </c>
      <c r="H24" s="15">
        <v>11934.391</v>
      </c>
      <c r="I24" s="15">
        <v>414.0503</v>
      </c>
      <c r="J24" s="15">
        <v>40.1156</v>
      </c>
      <c r="K24" s="15">
        <v>149.0008</v>
      </c>
      <c r="L24" s="15">
        <v>259.3187</v>
      </c>
      <c r="M24" s="15">
        <v>0</v>
      </c>
      <c r="N24" s="15">
        <f>SUM(C21:C24)/4</f>
        <v>635.60085</v>
      </c>
      <c r="O24" s="15">
        <v>956.6316987500001</v>
      </c>
      <c r="P24" s="16">
        <f>C24/C23-1</f>
        <v>-0.359706954608893</v>
      </c>
      <c r="Q24" s="16">
        <f>(E24+D24)/C24</f>
        <v>0.41522491349481</v>
      </c>
      <c r="R24" s="16">
        <f>AVERAGE(Q21:Q24)</f>
        <v>0.347455411971772</v>
      </c>
      <c r="S24" s="35"/>
      <c r="T24" s="25">
        <f>SUM(J21:K24)/4</f>
        <v>496.000925</v>
      </c>
      <c r="U24" s="15">
        <v>118.596557339674</v>
      </c>
      <c r="V24" s="15">
        <f>-(L24+M24)+V23</f>
        <v>466.53768</v>
      </c>
      <c r="W24" s="15"/>
      <c r="X24" s="15">
        <f>F24-G24</f>
        <v>-5702.146</v>
      </c>
      <c r="Y24" s="15">
        <v>-7282.884856964790</v>
      </c>
      <c r="Z24" s="15">
        <v>125</v>
      </c>
      <c r="AA24" s="15">
        <v>207.922463499949</v>
      </c>
      <c r="AB24" s="15">
        <v>14.327</v>
      </c>
    </row>
    <row r="25" ht="20.05" customHeight="1">
      <c r="B25" s="13"/>
      <c r="C25" s="14">
        <v>369.432</v>
      </c>
      <c r="D25" s="15">
        <v>114.348</v>
      </c>
      <c r="E25" s="15">
        <v>-20.524</v>
      </c>
      <c r="F25" s="15">
        <v>351.84</v>
      </c>
      <c r="G25" s="15">
        <v>6274.48</v>
      </c>
      <c r="H25" s="15">
        <v>12123.82</v>
      </c>
      <c r="I25" s="15">
        <v>369.432</v>
      </c>
      <c r="J25" s="15">
        <v>39.582</v>
      </c>
      <c r="K25" s="15">
        <v>-236.026</v>
      </c>
      <c r="L25" s="15">
        <v>-7.33</v>
      </c>
      <c r="M25" s="15">
        <v>0</v>
      </c>
      <c r="N25" s="15">
        <f>SUM(C22:C25)/4</f>
        <v>510.48635</v>
      </c>
      <c r="O25" s="15">
        <v>789.9247800000001</v>
      </c>
      <c r="P25" s="16">
        <f>C25/C24-1</f>
        <v>-0.107760578847546</v>
      </c>
      <c r="Q25" s="16">
        <f>(E25+D25)/C25</f>
        <v>0.253968253968254</v>
      </c>
      <c r="R25" s="16">
        <f>AVERAGE(Q22:Q25)</f>
        <v>0.365681694732938</v>
      </c>
      <c r="S25" s="35"/>
      <c r="T25" s="25">
        <f>SUM(J22:K25)/4</f>
        <v>405.707425</v>
      </c>
      <c r="U25" s="15">
        <v>121.353076750166</v>
      </c>
      <c r="V25" s="15">
        <f>-(L25+M25)+V24</f>
        <v>473.86768</v>
      </c>
      <c r="W25" s="15"/>
      <c r="X25" s="15">
        <f>F25-G25</f>
        <v>-5922.64</v>
      </c>
      <c r="Y25" s="15">
        <v>-7452.159698688060</v>
      </c>
      <c r="Z25" s="15">
        <v>119</v>
      </c>
      <c r="AA25" s="15">
        <v>160.279540995475</v>
      </c>
      <c r="AB25" s="15">
        <v>14.66</v>
      </c>
    </row>
    <row r="26" ht="20.05" customHeight="1">
      <c r="B26" s="13"/>
      <c r="C26" s="14">
        <v>361.215</v>
      </c>
      <c r="D26" s="15">
        <v>84.807</v>
      </c>
      <c r="E26" s="15">
        <v>32.9805</v>
      </c>
      <c r="F26" s="15">
        <v>78.52500000000001</v>
      </c>
      <c r="G26" s="15">
        <v>6344.82</v>
      </c>
      <c r="H26" s="15">
        <v>12642.525</v>
      </c>
      <c r="I26" s="15">
        <v>361.215</v>
      </c>
      <c r="J26" s="15">
        <v>-414.612</v>
      </c>
      <c r="K26" s="15">
        <v>43.974</v>
      </c>
      <c r="L26" s="15">
        <v>72.24299999999999</v>
      </c>
      <c r="M26" s="15">
        <v>0</v>
      </c>
      <c r="N26" s="15">
        <f>SUM(C23:C26)/4</f>
        <v>447.8387</v>
      </c>
      <c r="O26" s="15">
        <v>708.216975</v>
      </c>
      <c r="P26" s="16">
        <f>C26/C25-1</f>
        <v>-0.0222422529721302</v>
      </c>
      <c r="Q26" s="16">
        <f>(E26+D26)/C26</f>
        <v>0.326086956521739</v>
      </c>
      <c r="R26" s="16">
        <f>AVERAGE(Q23:Q26)</f>
        <v>0.413831068523795</v>
      </c>
      <c r="S26" s="35">
        <f>S27</f>
        <v>0.413831068523795</v>
      </c>
      <c r="T26" s="25">
        <f>SUM(J23:K26)/4</f>
        <v>316.271725</v>
      </c>
      <c r="U26" s="15">
        <v>151.00432884</v>
      </c>
      <c r="V26" s="15">
        <f>-(L26+M26)+V25</f>
        <v>401.62468</v>
      </c>
      <c r="W26" s="15">
        <f>W27</f>
        <v>958.652641484433</v>
      </c>
      <c r="X26" s="15">
        <f>F26-G26</f>
        <v>-6266.295</v>
      </c>
      <c r="Y26" s="15">
        <v>-5605.43726916</v>
      </c>
      <c r="Z26" s="15">
        <v>117</v>
      </c>
      <c r="AA26" s="15">
        <v>160.279540995475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371.1838043457</v>
      </c>
      <c r="P27" s="17"/>
      <c r="Q27" s="17"/>
      <c r="R27" s="17"/>
      <c r="S27" s="35">
        <f>AE53</f>
        <v>0.413831068523795</v>
      </c>
      <c r="T27" s="25"/>
      <c r="U27" s="15">
        <f>SUM(AE55:AH55)/4</f>
        <v>139.256990371108</v>
      </c>
      <c r="V27" s="17"/>
      <c r="W27" s="15">
        <f>-SUM(AE76:AH76)+V26</f>
        <v>958.652641484433</v>
      </c>
      <c r="X27" s="26"/>
      <c r="Y27" s="15">
        <f>AH75</f>
        <v>-5709.267038515570</v>
      </c>
      <c r="Z27" s="15">
        <v>124</v>
      </c>
      <c r="AA27" s="15">
        <v>180.101852186575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8071.93405</v>
      </c>
      <c r="O28" s="15">
        <f>SUM(O17:O26)</f>
        <v>5620.71758327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126.310194125895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165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718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-0.108186035609924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0.0569656439888749</v>
      </c>
      <c r="AF50" s="35">
        <f>P24</f>
        <v>-0.359706954608893</v>
      </c>
      <c r="AG50" s="35">
        <f>P25</f>
        <v>-0.107760578847546</v>
      </c>
      <c r="AH50" s="35">
        <f>P26</f>
        <v>-0.0222422529721302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0.02</v>
      </c>
      <c r="AF51" s="35">
        <v>-0.01</v>
      </c>
      <c r="AG51" s="35">
        <v>0.02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361.215</v>
      </c>
      <c r="AE52" s="23">
        <f>C26*(1+AE51)</f>
        <v>368.4393</v>
      </c>
      <c r="AF52" s="23">
        <f>AE52*(1+AF51)</f>
        <v>364.754907</v>
      </c>
      <c r="AG52" s="23">
        <f>AF52*(1+AG51)</f>
        <v>372.05000514</v>
      </c>
      <c r="AH52" s="23">
        <f>AG52*(1+AH51)</f>
        <v>379.4910052428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0.413831068523795</v>
      </c>
      <c r="AF53" s="35">
        <f>AE53</f>
        <v>0.413831068523795</v>
      </c>
      <c r="AG53" s="35">
        <f>AF53</f>
        <v>0.413831068523795</v>
      </c>
      <c r="AH53" s="35">
        <f>AG53</f>
        <v>0.413831068523795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-14.3504</v>
      </c>
      <c r="AF54" s="15">
        <f>AE54</f>
        <v>-14.3504</v>
      </c>
      <c r="AG54" s="15">
        <f>AF54</f>
        <v>-14.3504</v>
      </c>
      <c r="AH54" s="15">
        <f>AG54</f>
        <v>-14.3504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138.121229205159</v>
      </c>
      <c r="AF55" s="15">
        <f>(AF52*AF53)+AF54</f>
        <v>136.596512913107</v>
      </c>
      <c r="AG55" s="15">
        <f>(AG52*AG53)+AG54</f>
        <v>139.615451171370</v>
      </c>
      <c r="AH55" s="15">
        <f>(AH52*AH53)+AH54</f>
        <v>142.694768194797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-317.241</v>
      </c>
      <c r="AF56" s="15">
        <f>-AE71/20</f>
        <v>-301.37895</v>
      </c>
      <c r="AG56" s="15">
        <f>-AF71/20</f>
        <v>-286.3100025</v>
      </c>
      <c r="AH56" s="15">
        <f>-AG71/20</f>
        <v>-271.994502375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-179.119770794841</v>
      </c>
      <c r="AF59" s="15">
        <f>AF55+AF56+AF58</f>
        <v>-164.782437086893</v>
      </c>
      <c r="AG59" s="15">
        <f>AG55+AG56+AG58</f>
        <v>-146.694551328630</v>
      </c>
      <c r="AH59" s="15">
        <f>AH55+AH56+AH58</f>
        <v>-129.299734180203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179.119770794841</v>
      </c>
      <c r="AF60" s="15">
        <f>-MIN(AE72,AF59)</f>
        <v>164.782437086893</v>
      </c>
      <c r="AG60" s="15">
        <f>-MIN(AF72,AG59)</f>
        <v>146.694551328630</v>
      </c>
      <c r="AH60" s="15">
        <f>-MIN(AG72,AH59)</f>
        <v>129.299734180203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78.52500000000001</v>
      </c>
      <c r="AF61" s="15">
        <f>AE63</f>
        <v>78.52500000000001</v>
      </c>
      <c r="AG61" s="15">
        <f>AF63</f>
        <v>78.52500000000001</v>
      </c>
      <c r="AH61" s="15">
        <f>AG63</f>
        <v>78.52500000000001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78.52500000000001</v>
      </c>
      <c r="AF63" s="15">
        <f>AF61+AF62</f>
        <v>78.52500000000001</v>
      </c>
      <c r="AG63" s="15">
        <f>AG61+AG62</f>
        <v>78.52500000000001</v>
      </c>
      <c r="AH63" s="15">
        <f>AH61+AH62</f>
        <v>78.52500000000001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-114.619233333333</v>
      </c>
      <c r="AF65" s="15">
        <f>AE65</f>
        <v>-114.619233333333</v>
      </c>
      <c r="AG65" s="15">
        <f>AF65</f>
        <v>-114.619233333333</v>
      </c>
      <c r="AH65" s="15">
        <f>AG65</f>
        <v>-114.619233333333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37.8523958718261</v>
      </c>
      <c r="AF66" s="15">
        <f>(AF52*AF53)+AF65</f>
        <v>36.3276795797745</v>
      </c>
      <c r="AG66" s="15">
        <f>(AG52*AG53)+AG65</f>
        <v>39.3466178380366</v>
      </c>
      <c r="AH66" s="15">
        <f>(AH52*AH53)+AH65</f>
        <v>42.425934861464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12578.3504</v>
      </c>
      <c r="AF68" s="15">
        <f>AE68-AF54</f>
        <v>12592.7008</v>
      </c>
      <c r="AG68" s="15">
        <f>AF68-AG54</f>
        <v>12607.0512</v>
      </c>
      <c r="AH68" s="15">
        <f>AG68-AH54</f>
        <v>12621.4016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114.619233333333</v>
      </c>
      <c r="AF69" s="15">
        <f>AE69-AF65</f>
        <v>229.238466666666</v>
      </c>
      <c r="AG69" s="15">
        <f>AF69-AG65</f>
        <v>343.857699999999</v>
      </c>
      <c r="AH69" s="15">
        <f>AG69-AH65</f>
        <v>458.476933333332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12463.7311666667</v>
      </c>
      <c r="AF70" s="15">
        <f>AF68-AF69</f>
        <v>12363.4623333333</v>
      </c>
      <c r="AG70" s="15">
        <f>AG68-AG69</f>
        <v>12263.1935</v>
      </c>
      <c r="AH70" s="15">
        <f>AH68-AH69</f>
        <v>12162.9246666667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6027.579</v>
      </c>
      <c r="AF71" s="15">
        <f>AE71+AF56</f>
        <v>5726.20005</v>
      </c>
      <c r="AG71" s="15">
        <f>AF71+AG56</f>
        <v>5439.8900475</v>
      </c>
      <c r="AH71" s="15">
        <f>AG71+AH56</f>
        <v>5167.895545125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179.119770794841</v>
      </c>
      <c r="AF72" s="15">
        <f>AE72+AF60</f>
        <v>343.902207881734</v>
      </c>
      <c r="AG72" s="15">
        <f>AF72+AG60</f>
        <v>490.596759210364</v>
      </c>
      <c r="AH72" s="15">
        <f>AG72+AH60</f>
        <v>619.896493390567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6335.557395871830</v>
      </c>
      <c r="AF73" s="15">
        <f>AE73+AF66+AF58</f>
        <v>6371.8850754516</v>
      </c>
      <c r="AG73" s="15">
        <f>AF73+AG66+AG58</f>
        <v>6411.231693289640</v>
      </c>
      <c r="AH73" s="15">
        <f>AG73+AH66+AH58</f>
        <v>6453.6576281511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-2.9e-11</v>
      </c>
      <c r="AF74" s="15">
        <f>AF71+AF72+AF73-AF63-AF70</f>
        <v>3.4e-11</v>
      </c>
      <c r="AG74" s="15">
        <f>AG71+AG72+AG73-AG63-AG70</f>
        <v>4e-12</v>
      </c>
      <c r="AH74" s="15">
        <f>AH71+AH72+AH73-AH63-AH70</f>
        <v>-3.3e-11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-6128.173770794840</v>
      </c>
      <c r="AF75" s="15">
        <f>AF63-AF71-AF72</f>
        <v>-5991.577257881730</v>
      </c>
      <c r="AG75" s="15">
        <f>AG63-AG71-AG72</f>
        <v>-5851.961806710360</v>
      </c>
      <c r="AH75" s="15">
        <f>AH63-AH71-AH72</f>
        <v>-5709.267038515570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-138.121229205159</v>
      </c>
      <c r="AF76" s="15">
        <f>AF56+AF58+AF60</f>
        <v>-136.596512913107</v>
      </c>
      <c r="AG76" s="15">
        <f>AG56+AG58+AG60</f>
        <v>-139.615451171370</v>
      </c>
      <c r="AH76" s="15">
        <f>AH56+AH58+AH60</f>
        <v>-142.694768194797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719</v>
      </c>
      <c r="AD78" s="14"/>
      <c r="AE78" s="15"/>
      <c r="AF78" s="15"/>
      <c r="AG78" s="15"/>
      <c r="AH78" s="15">
        <v>124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719</v>
      </c>
      <c r="AD79" s="14"/>
      <c r="AE79" s="15"/>
      <c r="AF79" s="15"/>
      <c r="AG79" s="15"/>
      <c r="AH79" s="15">
        <v>3281040031744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3281.040031744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26.460000256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0.268027081847849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1265.0869</v>
      </c>
      <c r="AH84" s="15">
        <f>SUM(AE55:AH55)</f>
        <v>557.027961484433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21.8353933871713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5.89026091796236</v>
      </c>
      <c r="AH86" s="15">
        <v>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3342.1677689066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126.310194125895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0.0186305977894758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-0.40959187035882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-0.303671518070691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719</v>
      </c>
      <c r="AF93" t="s" s="44">
        <f>AE115</f>
        <v>15</v>
      </c>
      <c r="AG93" t="s" s="44">
        <f>AF115</f>
        <v>485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124</v>
      </c>
      <c r="AG94" t="s" s="44">
        <v>61</v>
      </c>
      <c r="AH94" s="15">
        <f>AH88</f>
        <v>126.310194125895</v>
      </c>
      <c r="AI94" t="s" s="44">
        <f>IF(AJ94&gt;0,"+","")</f>
        <v>361</v>
      </c>
      <c r="AJ94" s="16">
        <f>AH94/AF94-1</f>
        <v>0.0186305977894758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-0.40959187035882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0.385574966400991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0.392815475437808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-1.90985021193698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-0.0222422529721302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-0.296686247686489</v>
      </c>
      <c r="AF103" s="16">
        <f>P23</f>
        <v>0.0569656439888749</v>
      </c>
      <c r="AG103" s="16">
        <f>P24</f>
        <v>-0.359706954608893</v>
      </c>
      <c r="AH103" s="16">
        <f>P25</f>
        <v>-0.107760578847546</v>
      </c>
      <c r="AI103" s="16">
        <f>P26</f>
        <v>-0.0222422529721302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611.8056</v>
      </c>
      <c r="AF104" t="s" s="44">
        <v>72</v>
      </c>
      <c r="AG104" s="15">
        <f>C23</f>
        <v>646.6575</v>
      </c>
      <c r="AH104" t="s" s="44">
        <v>72</v>
      </c>
      <c r="AI104" s="15">
        <f>C24</f>
        <v>414.0503</v>
      </c>
      <c r="AJ104" t="s" s="44">
        <v>72</v>
      </c>
      <c r="AK104" s="15">
        <f>C25</f>
        <v>369.432</v>
      </c>
      <c r="AL104" t="s" s="44">
        <v>72</v>
      </c>
      <c r="AM104" s="15">
        <f>C26</f>
        <v>361.215</v>
      </c>
      <c r="AN104" t="s" s="48">
        <f>AC$47</f>
        <v>718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-0.0222422529721302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361.215</v>
      </c>
      <c r="AM105" t="s" s="48">
        <f>AN104</f>
        <v>718</v>
      </c>
      <c r="AN105" t="s" s="44">
        <v>77</v>
      </c>
      <c r="AO105" t="s" s="44">
        <f>IF(AP105&gt;0,"+","")</f>
      </c>
      <c r="AP105" s="16">
        <f>AH91</f>
        <v>-0.303671518070691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-0.108186035609924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379.4910052428</v>
      </c>
      <c r="AJ107" t="s" s="48">
        <f>AN104</f>
        <v>718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0.133489461358314</v>
      </c>
      <c r="AF110" s="16">
        <f>(D23+E23)/C23</f>
        <v>0.660044150110375</v>
      </c>
      <c r="AG110" s="16">
        <f>((E24+D24)/C24)</f>
        <v>0.41522491349481</v>
      </c>
      <c r="AH110" s="16">
        <f>(D25+E25)/C25</f>
        <v>0.253968253968254</v>
      </c>
      <c r="AI110" s="16">
        <f>(D26+E26)/C26</f>
        <v>0.326086956521739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-121.788</v>
      </c>
      <c r="AF111" t="s" s="44">
        <v>72</v>
      </c>
      <c r="AG111" s="15">
        <f>E23</f>
        <v>191.285</v>
      </c>
      <c r="AH111" t="s" s="44">
        <v>72</v>
      </c>
      <c r="AI111" s="15">
        <f>E24</f>
        <v>27.2213</v>
      </c>
      <c r="AJ111" t="s" s="44">
        <v>72</v>
      </c>
      <c r="AK111" s="15">
        <f>E25</f>
        <v>-20.524</v>
      </c>
      <c r="AL111" t="s" s="44">
        <v>72</v>
      </c>
      <c r="AM111" s="15">
        <f>E26</f>
        <v>32.9805</v>
      </c>
      <c r="AN111" t="s" s="48">
        <f>AN104</f>
        <v>718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0.253968253968254</v>
      </c>
      <c r="AG112" t="s" s="44">
        <v>76</v>
      </c>
      <c r="AH112" s="16">
        <f>AI110</f>
        <v>0.326086956521739</v>
      </c>
      <c r="AI112" t="s" s="44">
        <v>90</v>
      </c>
      <c r="AJ112" s="15">
        <f>AK111</f>
        <v>-20.524</v>
      </c>
      <c r="AK112" t="s" s="44">
        <v>76</v>
      </c>
      <c r="AL112" s="15">
        <f>AM111</f>
        <v>32.9805</v>
      </c>
      <c r="AM112" t="s" s="48">
        <f>AJ107</f>
        <v>718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0.413831068523795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0.413831068523795</v>
      </c>
      <c r="AG114" t="s" s="44">
        <v>94</v>
      </c>
      <c r="AH114" s="15">
        <f>AH66</f>
        <v>42.425934861464</v>
      </c>
      <c r="AI114" t="s" s="48">
        <f>AM112</f>
        <v>718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485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196.444</v>
      </c>
      <c r="AG116" s="15">
        <f>ABS(AH120)</f>
        <v>370.638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216.3528</v>
      </c>
      <c r="AF118" t="s" s="44">
        <v>72</v>
      </c>
      <c r="AG118" s="15">
        <f>J23</f>
        <v>238.3925</v>
      </c>
      <c r="AH118" t="s" s="44">
        <v>72</v>
      </c>
      <c r="AI118" s="15">
        <f>J24</f>
        <v>40.1156</v>
      </c>
      <c r="AJ118" t="s" s="44">
        <v>72</v>
      </c>
      <c r="AK118" s="15">
        <f>J25</f>
        <v>39.582</v>
      </c>
      <c r="AL118" t="s" s="44">
        <v>72</v>
      </c>
      <c r="AM118" s="15">
        <f>J26</f>
        <v>-414.612</v>
      </c>
      <c r="AN118" t="s" s="48">
        <f>AN104</f>
        <v>718</v>
      </c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-229.248</v>
      </c>
      <c r="AF119" t="s" s="44">
        <v>72</v>
      </c>
      <c r="AG119" s="15">
        <f>K23</f>
        <v>1404.66</v>
      </c>
      <c r="AH119" t="s" s="44">
        <v>72</v>
      </c>
      <c r="AI119" s="15">
        <f>K24</f>
        <v>149.0008</v>
      </c>
      <c r="AJ119" t="s" s="44">
        <v>72</v>
      </c>
      <c r="AK119" s="15">
        <f>K25</f>
        <v>-236.026</v>
      </c>
      <c r="AL119" t="s" s="44">
        <v>72</v>
      </c>
      <c r="AM119" s="15">
        <f>K26</f>
        <v>43.974</v>
      </c>
      <c r="AN119" t="s" s="48">
        <f>AN118</f>
        <v>718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-196.444</v>
      </c>
      <c r="AG120" t="s" s="44">
        <v>76</v>
      </c>
      <c r="AH120" s="15">
        <f>AM118+AM119</f>
        <v>-370.638</v>
      </c>
      <c r="AI120" t="s" s="48">
        <f>AI114</f>
        <v>718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43.974</v>
      </c>
      <c r="AN120" t="s" s="48">
        <f>AN104</f>
        <v>718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316.271725</v>
      </c>
      <c r="AG121" t="s" s="48">
        <f>AN104</f>
        <v>718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-14.3504</v>
      </c>
      <c r="AG122" t="s" s="48">
        <f>AG121</f>
        <v>718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139.256990371108</v>
      </c>
      <c r="AM122" t="s" s="48">
        <f>AG122</f>
        <v>718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57.312</v>
      </c>
      <c r="AF125" t="s" s="44">
        <v>72</v>
      </c>
      <c r="AG125" s="15">
        <f>F23</f>
        <v>85.65000000000001</v>
      </c>
      <c r="AH125" t="s" s="44">
        <v>72</v>
      </c>
      <c r="AI125" s="15">
        <f>F24</f>
        <v>501.445</v>
      </c>
      <c r="AJ125" t="s" s="44">
        <v>72</v>
      </c>
      <c r="AK125" s="15">
        <f>F25</f>
        <v>351.84</v>
      </c>
      <c r="AL125" t="s" s="44">
        <v>72</v>
      </c>
      <c r="AM125" s="15">
        <f>F26</f>
        <v>78.52500000000001</v>
      </c>
      <c r="AN125" t="s" s="48">
        <f>AN104</f>
        <v>718</v>
      </c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7823.088</v>
      </c>
      <c r="AF126" t="s" s="44">
        <v>72</v>
      </c>
      <c r="AG126" s="15">
        <f>G23</f>
        <v>6309.55</v>
      </c>
      <c r="AH126" t="s" s="44">
        <v>72</v>
      </c>
      <c r="AI126" s="15">
        <f>G24</f>
        <v>6203.591</v>
      </c>
      <c r="AJ126" t="s" s="44">
        <v>72</v>
      </c>
      <c r="AK126" s="15">
        <f>G25</f>
        <v>6274.48</v>
      </c>
      <c r="AL126" t="s" s="44">
        <v>72</v>
      </c>
      <c r="AM126" s="15">
        <f>G26</f>
        <v>6344.82</v>
      </c>
      <c r="AN126" t="s" s="48">
        <f>AN125</f>
        <v>718</v>
      </c>
      <c r="AO126" s="17"/>
      <c r="AP126" s="17"/>
      <c r="AQ126" s="17"/>
      <c r="AR126" s="17"/>
      <c r="AS126" s="17"/>
      <c r="AT126" s="17"/>
      <c r="AU126" s="17"/>
      <c r="AV126" s="17"/>
    </row>
    <row r="127" ht="20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351.84</v>
      </c>
      <c r="AH127" t="s" s="44">
        <v>76</v>
      </c>
      <c r="AI127" s="15">
        <f>AM125</f>
        <v>78.52500000000001</v>
      </c>
      <c r="AJ127" t="s" s="48">
        <f>AM122</f>
        <v>718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6274.48</v>
      </c>
      <c r="AH128" t="s" s="44">
        <v>76</v>
      </c>
      <c r="AI128" s="15">
        <f>AM126</f>
        <v>6344.82</v>
      </c>
      <c r="AJ128" t="s" s="48">
        <f>AJ127</f>
        <v>718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-5922.64</v>
      </c>
      <c r="AO128" t="s" s="44">
        <v>76</v>
      </c>
      <c r="AP128" s="15">
        <f>AI127-AI128</f>
        <v>-6266.295</v>
      </c>
      <c r="AQ128" t="s" s="48">
        <f>AJ128</f>
        <v>718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718</v>
      </c>
      <c r="AH129" t="s" s="44">
        <v>117</v>
      </c>
      <c r="AI129" t="s" s="44">
        <f>IF(AJ129&gt;0,"+","")</f>
      </c>
      <c r="AJ129" s="15">
        <f>AE56+AF56+AG56+AH56+AE60+AF60+AG60+AH60</f>
        <v>-557.027961484433</v>
      </c>
      <c r="AK129" t="s" s="48">
        <f>AQ128</f>
        <v>718</v>
      </c>
      <c r="AL129" t="s" s="44">
        <v>118</v>
      </c>
      <c r="AM129" t="s" s="44">
        <v>119</v>
      </c>
      <c r="AN129" s="15">
        <f>AH75</f>
        <v>-5709.267038515570</v>
      </c>
      <c r="AO129" t="s" s="48">
        <f>AJ128</f>
        <v>718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-11.433744</v>
      </c>
      <c r="AF132" t="s" s="44">
        <v>72</v>
      </c>
      <c r="AG132" s="15">
        <f>-L23</f>
        <v>1613.075</v>
      </c>
      <c r="AH132" t="s" s="44">
        <v>72</v>
      </c>
      <c r="AI132" s="15">
        <f>-L24</f>
        <v>-259.3187</v>
      </c>
      <c r="AJ132" t="s" s="44">
        <v>72</v>
      </c>
      <c r="AK132" s="15">
        <f>-L25</f>
        <v>7.33</v>
      </c>
      <c r="AL132" t="s" s="44">
        <v>72</v>
      </c>
      <c r="AM132" s="15">
        <f>-L26</f>
        <v>-72.24299999999999</v>
      </c>
      <c r="AN132" t="s" s="48">
        <f>AN104</f>
        <v>718</v>
      </c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0</v>
      </c>
      <c r="AF133" t="s" s="44">
        <v>72</v>
      </c>
      <c r="AG133" s="15">
        <f>-M23</f>
        <v>0</v>
      </c>
      <c r="AH133" t="s" s="44">
        <v>72</v>
      </c>
      <c r="AI133" s="15">
        <f>-M24</f>
        <v>0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t="s" s="48">
        <f>AN132</f>
        <v>718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719</v>
      </c>
      <c r="AF134" t="s" s="44">
        <f>IF(AG134&gt;0,"paid","(raised)")</f>
        <v>121</v>
      </c>
      <c r="AG134" s="15">
        <f>SUM(AM132:AM133)</f>
        <v>-72.24299999999999</v>
      </c>
      <c r="AH134" t="s" s="48">
        <f>AN104</f>
        <v>718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-72.24299999999999</v>
      </c>
      <c r="AM134" t="s" s="48">
        <f>AN104</f>
        <v>718</v>
      </c>
      <c r="AN134" t="s" s="44">
        <v>123</v>
      </c>
      <c r="AO134" s="15">
        <f>AM133</f>
        <v>0</v>
      </c>
      <c r="AP134" t="s" s="48">
        <f>AN104</f>
        <v>718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557.027961484433</v>
      </c>
      <c r="AU134" t="s" s="48">
        <f>AN104</f>
        <v>718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3281.040031744</v>
      </c>
      <c r="AG135" t="s" s="48">
        <f>AN104</f>
        <v>718</v>
      </c>
      <c r="AH135" t="s" s="44">
        <v>128</v>
      </c>
      <c r="AI135" t="s" s="44">
        <v>129</v>
      </c>
      <c r="AJ135" s="43">
        <f>AH82</f>
        <v>0.268027081847849</v>
      </c>
      <c r="AK135" t="s" s="44">
        <v>130</v>
      </c>
      <c r="AL135" t="s" s="44">
        <v>131</v>
      </c>
      <c r="AM135" t="s" s="44">
        <v>132</v>
      </c>
      <c r="AN135" s="15">
        <f>AH85</f>
        <v>21.8353933871713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557.027961484433</v>
      </c>
      <c r="AG136" t="s" s="48">
        <f>AG135</f>
        <v>718</v>
      </c>
      <c r="AH136" t="s" s="44">
        <v>136</v>
      </c>
      <c r="AI136" s="15">
        <f>AF135/AF136</f>
        <v>5.89026091796236</v>
      </c>
      <c r="AJ136" t="s" s="44">
        <v>130</v>
      </c>
      <c r="AK136" t="s" s="44">
        <v>137</v>
      </c>
      <c r="AL136" t="s" s="44">
        <v>138</v>
      </c>
      <c r="AM136" s="15">
        <f>AH86</f>
        <v>6</v>
      </c>
      <c r="AN136" t="s" s="44">
        <v>139</v>
      </c>
      <c r="AO136" t="s" s="44">
        <v>140</v>
      </c>
      <c r="AP136" t="s" s="44">
        <v>141</v>
      </c>
      <c r="AQ136" s="16">
        <f>AJ94</f>
        <v>0.0186305977894758</v>
      </c>
      <c r="AR136" t="s" s="44">
        <f>IF(AQ136&gt;0,"higher","lower")</f>
        <v>363</v>
      </c>
      <c r="AS136" t="s" s="44">
        <v>142</v>
      </c>
      <c r="AT136" s="15">
        <f>AH94</f>
        <v>126.310194125895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719</v>
      </c>
      <c r="AF138" t="s" s="44">
        <f>AE146</f>
        <v>394</v>
      </c>
      <c r="AG138" t="s" s="44">
        <f>AF146</f>
        <v>419</v>
      </c>
      <c r="AH138" s="16">
        <f>AG146</f>
        <v>-0.0222422529721302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124</v>
      </c>
      <c r="AG139" t="s" s="44">
        <f>AG94</f>
        <v>61</v>
      </c>
      <c r="AH139" s="15">
        <f>AH94</f>
        <v>126.310194125895</v>
      </c>
      <c r="AI139" t="s" s="44">
        <f>AI94</f>
        <v>361</v>
      </c>
      <c r="AJ139" s="16">
        <f>AJ94</f>
        <v>0.0186305977894758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</c>
      <c r="AH142" s="16">
        <f>AH97</f>
        <v>-0.40959187035882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0.385574966400991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  <v>361</v>
      </c>
      <c r="AH144" s="16">
        <f>AH99</f>
        <v>0.392815475437808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-1.90985021193698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419</v>
      </c>
      <c r="AG146" s="16">
        <f>AG101</f>
        <v>-0.0222422529721302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-0.296686247686489</v>
      </c>
      <c r="AF148" s="16">
        <f>AF103</f>
        <v>0.0569656439888749</v>
      </c>
      <c r="AG148" s="16">
        <f>AG103</f>
        <v>-0.359706954608893</v>
      </c>
      <c r="AH148" s="16">
        <f>AH103</f>
        <v>-0.107760578847546</v>
      </c>
      <c r="AI148" s="16">
        <f>AI103</f>
        <v>-0.0222422529721302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611.8056</v>
      </c>
      <c r="AF149" t="s" s="44">
        <f>AF104</f>
        <v>72</v>
      </c>
      <c r="AG149" s="15">
        <f>AG104</f>
        <v>646.6575</v>
      </c>
      <c r="AH149" t="s" s="44">
        <f>AH104</f>
        <v>72</v>
      </c>
      <c r="AI149" s="15">
        <f>AI104</f>
        <v>414.0503</v>
      </c>
      <c r="AJ149" t="s" s="44">
        <f>AJ104</f>
        <v>72</v>
      </c>
      <c r="AK149" s="15">
        <f>AK104</f>
        <v>369.432</v>
      </c>
      <c r="AL149" t="s" s="44">
        <f>AL104</f>
        <v>72</v>
      </c>
      <c r="AM149" s="15">
        <f>AM104</f>
        <v>361.215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419</v>
      </c>
      <c r="AG150" s="16">
        <f>AG105</f>
        <v>-0.0222422529721302</v>
      </c>
      <c r="AH150" t="s" s="44">
        <v>408</v>
      </c>
      <c r="AI150" t="s" s="44">
        <v>409</v>
      </c>
      <c r="AJ150" t="s" s="44">
        <v>410</v>
      </c>
      <c r="AK150" s="15">
        <f>AL105</f>
        <v>361.215</v>
      </c>
      <c r="AL150" t="s" s="44">
        <f>AN149</f>
        <v>407</v>
      </c>
      <c r="AM150" t="s" s="44">
        <v>411</v>
      </c>
      <c r="AN150" t="s" s="44">
        <f>AO105</f>
      </c>
      <c r="AO150" s="16">
        <f>AP105</f>
        <v>-0.303671518070691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-0.108186035609924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0.0125</v>
      </c>
      <c r="AG152" t="s" s="44">
        <v>415</v>
      </c>
      <c r="AH152" t="s" s="44">
        <v>416</v>
      </c>
      <c r="AI152" s="23">
        <f>AI107</f>
        <v>379.4910052428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419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0.133489461358314</v>
      </c>
      <c r="AF155" s="16">
        <f>AF110</f>
        <v>0.660044150110375</v>
      </c>
      <c r="AG155" s="16">
        <f>AG110</f>
        <v>0.41522491349481</v>
      </c>
      <c r="AH155" s="16">
        <f>AH110</f>
        <v>0.253968253968254</v>
      </c>
      <c r="AI155" s="16">
        <f>AI110</f>
        <v>0.326086956521739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-121.788</v>
      </c>
      <c r="AF156" t="s" s="44">
        <f>AF111</f>
        <v>72</v>
      </c>
      <c r="AG156" s="15">
        <f>AG111</f>
        <v>191.285</v>
      </c>
      <c r="AH156" t="s" s="44">
        <f>AH111</f>
        <v>72</v>
      </c>
      <c r="AI156" s="15">
        <f>AI111</f>
        <v>27.2213</v>
      </c>
      <c r="AJ156" t="s" s="44">
        <f>AJ111</f>
        <v>72</v>
      </c>
      <c r="AK156" s="15">
        <f>AK111</f>
        <v>-20.524</v>
      </c>
      <c r="AL156" t="s" s="44">
        <f>AL111</f>
        <v>72</v>
      </c>
      <c r="AM156" s="15">
        <f>AM111</f>
        <v>32.9805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0.253968253968254</v>
      </c>
      <c r="AG157" t="s" s="85">
        <v>422</v>
      </c>
      <c r="AH157" s="16">
        <f>AH112</f>
        <v>0.326086956521739</v>
      </c>
      <c r="AI157" t="s" s="85">
        <v>423</v>
      </c>
      <c r="AJ157" s="15">
        <f>AJ112</f>
        <v>-20.524</v>
      </c>
      <c r="AK157" t="s" s="44">
        <v>410</v>
      </c>
      <c r="AL157" s="15">
        <f>AL112</f>
        <v>32.9805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0.413831068523795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0.413831068523795</v>
      </c>
      <c r="AG159" t="s" s="85">
        <v>427</v>
      </c>
      <c r="AH159" s="15">
        <f>AH114</f>
        <v>42.425934861464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524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196.444</v>
      </c>
      <c r="AG161" s="15">
        <f>ABS(AH165)</f>
        <v>370.638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216.3528</v>
      </c>
      <c r="AF163" t="s" s="44">
        <f>AF118</f>
        <v>72</v>
      </c>
      <c r="AG163" s="15">
        <f>AG118</f>
        <v>238.3925</v>
      </c>
      <c r="AH163" t="s" s="44">
        <f>AH118</f>
        <v>72</v>
      </c>
      <c r="AI163" s="15">
        <f>AI118</f>
        <v>40.1156</v>
      </c>
      <c r="AJ163" t="s" s="44">
        <f>AJ118</f>
        <v>72</v>
      </c>
      <c r="AK163" s="15">
        <f>AK118</f>
        <v>39.582</v>
      </c>
      <c r="AL163" t="s" s="44">
        <f>AL118</f>
        <v>72</v>
      </c>
      <c r="AM163" s="15">
        <f>AM118</f>
        <v>-414.612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-229.248</v>
      </c>
      <c r="AF164" t="s" s="44">
        <f>AF119</f>
        <v>72</v>
      </c>
      <c r="AG164" s="15">
        <f>AG119</f>
        <v>1404.66</v>
      </c>
      <c r="AH164" t="s" s="44">
        <f>AH119</f>
        <v>72</v>
      </c>
      <c r="AI164" s="15">
        <f>AI119</f>
        <v>149.0008</v>
      </c>
      <c r="AJ164" t="s" s="44">
        <f>AJ119</f>
        <v>72</v>
      </c>
      <c r="AK164" s="15">
        <f>AK119</f>
        <v>-236.026</v>
      </c>
      <c r="AL164" t="s" s="44">
        <f>AL119</f>
        <v>72</v>
      </c>
      <c r="AM164" s="15">
        <f>AM119</f>
        <v>43.974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-196.444</v>
      </c>
      <c r="AG165" t="s" s="44">
        <v>410</v>
      </c>
      <c r="AH165" s="15">
        <f>AH120</f>
        <v>-370.638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43.974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316.271725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-14.3504</v>
      </c>
      <c r="AG167" t="s" s="44">
        <f>AN149</f>
        <v>407</v>
      </c>
      <c r="AH167" t="s" s="85">
        <v>435</v>
      </c>
      <c r="AI167" s="15">
        <f>AL122</f>
        <v>139.256990371108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419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57.312</v>
      </c>
      <c r="AF170" t="s" s="44">
        <f>AF125</f>
        <v>72</v>
      </c>
      <c r="AG170" s="15">
        <f>AG125</f>
        <v>85.65000000000001</v>
      </c>
      <c r="AH170" t="s" s="44">
        <f>AH125</f>
        <v>72</v>
      </c>
      <c r="AI170" s="15">
        <f>AI125</f>
        <v>501.445</v>
      </c>
      <c r="AJ170" t="s" s="44">
        <f>AJ125</f>
        <v>72</v>
      </c>
      <c r="AK170" s="15">
        <f>AK125</f>
        <v>351.84</v>
      </c>
      <c r="AL170" t="s" s="44">
        <f>AL125</f>
        <v>72</v>
      </c>
      <c r="AM170" s="15">
        <f>AM125</f>
        <v>78.52500000000001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7823.088</v>
      </c>
      <c r="AF171" t="s" s="44">
        <f>AF126</f>
        <v>72</v>
      </c>
      <c r="AG171" s="15">
        <f>AG126</f>
        <v>6309.55</v>
      </c>
      <c r="AH171" t="s" s="44">
        <f>AH126</f>
        <v>72</v>
      </c>
      <c r="AI171" s="15">
        <f>AI126</f>
        <v>6203.591</v>
      </c>
      <c r="AJ171" t="s" s="44">
        <f>AJ126</f>
        <v>72</v>
      </c>
      <c r="AK171" s="15">
        <f>AK126</f>
        <v>6274.48</v>
      </c>
      <c r="AL171" t="s" s="44">
        <f>AL126</f>
        <v>72</v>
      </c>
      <c r="AM171" s="15">
        <f>AM126</f>
        <v>6344.82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516</v>
      </c>
      <c r="AG172" s="15">
        <f>AG127</f>
        <v>351.84</v>
      </c>
      <c r="AH172" t="s" s="44">
        <f>AG165</f>
        <v>410</v>
      </c>
      <c r="AI172" s="15">
        <f>AI127</f>
        <v>78.52500000000001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440</v>
      </c>
      <c r="AG173" s="15">
        <f>AG128</f>
        <v>6274.48</v>
      </c>
      <c r="AH173" t="s" s="44">
        <f>AG165</f>
        <v>410</v>
      </c>
      <c r="AI173" s="15">
        <f>AI128</f>
        <v>6344.82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516</v>
      </c>
      <c r="AN173" s="15">
        <f>AN128</f>
        <v>-5922.64</v>
      </c>
      <c r="AO173" t="s" s="44">
        <f>AH173</f>
        <v>410</v>
      </c>
      <c r="AP173" s="15">
        <f>AP128</f>
        <v>-6266.295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-557.027961484433</v>
      </c>
      <c r="AJ174" t="s" s="44">
        <f>AG174</f>
        <v>407</v>
      </c>
      <c r="AK174" t="s" s="85">
        <v>446</v>
      </c>
      <c r="AL174" s="15">
        <f>AN129</f>
        <v>-5709.267038515570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32.05" customHeight="1">
      <c r="AC175" s="36"/>
      <c r="AD175" s="38"/>
      <c r="AE175" t="s" s="44">
        <v>448</v>
      </c>
      <c r="AF175" t="s" s="44">
        <f>IF(AF130="(raised)","(yang dihimpun)","(yang dibayarkan)")</f>
        <v>525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-11.433744</v>
      </c>
      <c r="AF177" t="s" s="44">
        <f>AF132</f>
        <v>72</v>
      </c>
      <c r="AG177" s="15">
        <f>AG132</f>
        <v>1613.075</v>
      </c>
      <c r="AH177" t="s" s="44">
        <f>AH132</f>
        <v>72</v>
      </c>
      <c r="AI177" s="15">
        <f>AI132</f>
        <v>-259.3187</v>
      </c>
      <c r="AJ177" t="s" s="44">
        <f>AJ132</f>
        <v>72</v>
      </c>
      <c r="AK177" s="15">
        <f>AK132</f>
        <v>7.33</v>
      </c>
      <c r="AL177" t="s" s="44">
        <f>AL132</f>
        <v>72</v>
      </c>
      <c r="AM177" s="15">
        <f>AM132</f>
        <v>-72.24299999999999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0</v>
      </c>
      <c r="AF178" t="s" s="44">
        <f>AF133</f>
        <v>72</v>
      </c>
      <c r="AG178" s="15">
        <f>AG133</f>
        <v>0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0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719</v>
      </c>
      <c r="AF179" t="s" s="44">
        <f>IF(AF175="(yang dihimpun)","(menghimpun)","(membayarkan)")</f>
        <v>526</v>
      </c>
      <c r="AG179" s="15">
        <f>AG134</f>
        <v>-72.24299999999999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-72.24299999999999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557.027961484433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3281.040031744</v>
      </c>
      <c r="AG180" t="s" s="44">
        <f>AN149</f>
        <v>407</v>
      </c>
      <c r="AH180" t="s" s="85">
        <v>458</v>
      </c>
      <c r="AI180" s="40">
        <f>AJ135</f>
        <v>0.268027081847849</v>
      </c>
      <c r="AJ180" t="s" s="44">
        <v>459</v>
      </c>
      <c r="AK180" t="s" s="85">
        <v>460</v>
      </c>
      <c r="AL180" s="15">
        <f>AN135</f>
        <v>21.8353933871713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557.027961484433</v>
      </c>
      <c r="AG181" t="s" s="44">
        <f>AN149</f>
        <v>407</v>
      </c>
      <c r="AH181" t="s" s="85">
        <v>463</v>
      </c>
      <c r="AI181" s="15">
        <f>AI136</f>
        <v>5.89026091796236</v>
      </c>
      <c r="AJ181" t="s" s="44">
        <v>464</v>
      </c>
      <c r="AK181" t="s" s="85">
        <v>465</v>
      </c>
      <c r="AL181" s="15">
        <f>AM136</f>
        <v>6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0.0186305977894758</v>
      </c>
      <c r="AQ181" t="s" s="85">
        <v>468</v>
      </c>
      <c r="AR181" s="15">
        <f>AT136</f>
        <v>126.310194125895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611.8056</v>
      </c>
      <c r="AE183" s="15">
        <f>AG104</f>
        <v>646.6575</v>
      </c>
      <c r="AF183" s="15">
        <f>AI104</f>
        <v>414.0503</v>
      </c>
      <c r="AG183" s="15">
        <f>AK104</f>
        <v>369.432</v>
      </c>
      <c r="AH183" s="15">
        <f>AM104</f>
        <v>361.215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-12.8952</v>
      </c>
      <c r="AE184" s="15">
        <f>SUM(AG118:AG119)</f>
        <v>1643.0525</v>
      </c>
      <c r="AF184" s="15">
        <f>SUM(AI118:AI119)</f>
        <v>189.1164</v>
      </c>
      <c r="AG184" s="15">
        <f>SUM(AK118:AK119)</f>
        <v>-196.444</v>
      </c>
      <c r="AH184" s="15">
        <f>SUM(AM118:AM119)</f>
        <v>-370.638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-11.433744</v>
      </c>
      <c r="AE185" s="15">
        <f>SUM(AG132:AG133)</f>
        <v>1613.075</v>
      </c>
      <c r="AF185" s="15">
        <f>SUM(AI132:AI133)</f>
        <v>-259.3187</v>
      </c>
      <c r="AG185" s="15">
        <f>SUM(AK132:AK133)</f>
        <v>7.33</v>
      </c>
      <c r="AH185" s="15">
        <f>SUM(AM132:AM133)</f>
        <v>-72.24299999999999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-7765.776</v>
      </c>
      <c r="AE186" s="15">
        <f>(AG125-AG126)</f>
        <v>-6223.9</v>
      </c>
      <c r="AF186" s="15">
        <f>(AI125-AI126)</f>
        <v>-5702.146</v>
      </c>
      <c r="AG186" s="15">
        <f>(AK125-AK126)</f>
        <v>-5922.64</v>
      </c>
      <c r="AH186" s="15">
        <f>(AM125-AM126)</f>
        <v>-6266.295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126.310194125895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54" customWidth="1"/>
    <col min="2" max="28" width="10.4844" style="354" customWidth="1"/>
    <col min="29" max="29" width="18.9766" style="355" customWidth="1"/>
    <col min="30" max="48" width="9" style="355" customWidth="1"/>
    <col min="49" max="16384" width="16.3516" style="355" customWidth="1"/>
  </cols>
  <sheetData>
    <row r="1" ht="11.65" customHeight="1"/>
    <row r="2" ht="27.65" customHeight="1">
      <c r="B2" t="s" s="2">
        <v>720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269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25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2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2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2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2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2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25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25"/>
      <c r="AA15" s="24"/>
      <c r="AB15" s="15">
        <v>13.882</v>
      </c>
    </row>
    <row r="16" ht="20.05" customHeight="1">
      <c r="B16" s="21">
        <v>2020</v>
      </c>
      <c r="C16" s="14">
        <v>13.5</v>
      </c>
      <c r="D16" s="15">
        <v>0</v>
      </c>
      <c r="E16" s="15">
        <v>-5</v>
      </c>
      <c r="F16" s="15"/>
      <c r="G16" s="15"/>
      <c r="H16" s="15"/>
      <c r="I16" s="15">
        <v>12.4</v>
      </c>
      <c r="J16" s="15">
        <v>-2.8</v>
      </c>
      <c r="K16" s="15">
        <v>-0.5</v>
      </c>
      <c r="L16" s="15">
        <v>-1.1</v>
      </c>
      <c r="M16" s="15">
        <v>0</v>
      </c>
      <c r="N16" s="15">
        <f>SUM(C13:C16)/4</f>
        <v>3.375</v>
      </c>
      <c r="O16" s="15"/>
      <c r="P16" s="16"/>
      <c r="Q16" s="16">
        <f>J16/I16</f>
        <v>-0.225806451612903</v>
      </c>
      <c r="R16" s="16">
        <f>AVERAGE(Q13:Q16)</f>
        <v>-0.225806451612903</v>
      </c>
      <c r="S16" s="17"/>
      <c r="T16" s="15">
        <f>SUM(J13:K16)/4</f>
        <v>-0.825</v>
      </c>
      <c r="U16" s="25"/>
      <c r="V16" s="15">
        <f>-(L16+M16)+V15</f>
        <v>1.1</v>
      </c>
      <c r="W16" s="17"/>
      <c r="X16" s="15">
        <f>F16-G16</f>
        <v>0</v>
      </c>
      <c r="Y16" s="24"/>
      <c r="Z16" s="15">
        <v>50</v>
      </c>
      <c r="AA16" s="24"/>
      <c r="AB16" s="15">
        <v>16.31</v>
      </c>
    </row>
    <row r="17" ht="20.05" customHeight="1">
      <c r="B17" s="13"/>
      <c r="C17" s="14">
        <v>6.5</v>
      </c>
      <c r="D17" s="15">
        <v>0</v>
      </c>
      <c r="E17" s="15">
        <v>-6</v>
      </c>
      <c r="F17" s="15"/>
      <c r="G17" s="15"/>
      <c r="H17" s="15"/>
      <c r="I17" s="15">
        <v>6.6</v>
      </c>
      <c r="J17" s="15">
        <v>-3.2</v>
      </c>
      <c r="K17" s="15">
        <v>0</v>
      </c>
      <c r="L17" s="15">
        <v>0</v>
      </c>
      <c r="M17" s="15">
        <v>0</v>
      </c>
      <c r="N17" s="15">
        <f>SUM(C14:C17)/4</f>
        <v>5</v>
      </c>
      <c r="O17" s="15"/>
      <c r="P17" s="16">
        <f>C17/C16-1</f>
        <v>-0.518518518518519</v>
      </c>
      <c r="Q17" s="16">
        <f>J17/I17</f>
        <v>-0.484848484848485</v>
      </c>
      <c r="R17" s="16">
        <f>AVERAGE(Q14:Q17)</f>
        <v>-0.355327468230694</v>
      </c>
      <c r="S17" s="17"/>
      <c r="T17" s="25">
        <f>SUM(J14:K17)/4</f>
        <v>-1.625</v>
      </c>
      <c r="U17" s="25"/>
      <c r="V17" s="15">
        <f>-(L17+M17)+V16</f>
        <v>1.1</v>
      </c>
      <c r="W17" s="17"/>
      <c r="X17" s="15">
        <f>F17-G17</f>
        <v>0</v>
      </c>
      <c r="Y17" s="24"/>
      <c r="Z17" s="15">
        <v>50</v>
      </c>
      <c r="AA17" s="24"/>
      <c r="AB17" s="15">
        <v>14.255</v>
      </c>
    </row>
    <row r="18" ht="20.05" customHeight="1">
      <c r="B18" s="13"/>
      <c r="C18" s="14">
        <v>10</v>
      </c>
      <c r="D18" s="15">
        <v>0</v>
      </c>
      <c r="E18" s="15">
        <v>-4</v>
      </c>
      <c r="F18" s="15"/>
      <c r="G18" s="15"/>
      <c r="H18" s="15"/>
      <c r="I18" s="15">
        <v>10</v>
      </c>
      <c r="J18" s="15">
        <v>-0.5</v>
      </c>
      <c r="K18" s="15">
        <v>-0.2</v>
      </c>
      <c r="L18" s="15">
        <v>0</v>
      </c>
      <c r="M18" s="15">
        <v>0</v>
      </c>
      <c r="N18" s="15">
        <f>SUM(C15:C18)/4</f>
        <v>7.5</v>
      </c>
      <c r="O18" s="15"/>
      <c r="P18" s="16">
        <f>C18/C17-1</f>
        <v>0.538461538461538</v>
      </c>
      <c r="Q18" s="16">
        <f>J18/I18</f>
        <v>-0.05</v>
      </c>
      <c r="R18" s="16">
        <f>AVERAGE(Q15:Q18)</f>
        <v>-0.253551645487129</v>
      </c>
      <c r="S18" s="17"/>
      <c r="T18" s="25">
        <f>SUM(J15:K18)/4</f>
        <v>-1.8</v>
      </c>
      <c r="U18" s="25"/>
      <c r="V18" s="15">
        <f>-(L18+M18)+V17</f>
        <v>1.1</v>
      </c>
      <c r="W18" s="17"/>
      <c r="X18" s="15">
        <f>F18-G18</f>
        <v>0</v>
      </c>
      <c r="Y18" s="24"/>
      <c r="Z18" s="15">
        <v>50</v>
      </c>
      <c r="AA18" s="24"/>
      <c r="AB18" s="15">
        <v>14.79</v>
      </c>
    </row>
    <row r="19" ht="20.05" customHeight="1">
      <c r="B19" s="13"/>
      <c r="C19" s="14">
        <v>12</v>
      </c>
      <c r="D19" s="15">
        <v>0</v>
      </c>
      <c r="E19" s="15">
        <v>-14</v>
      </c>
      <c r="F19" s="15">
        <v>9</v>
      </c>
      <c r="G19" s="15">
        <v>67</v>
      </c>
      <c r="H19" s="15">
        <v>436</v>
      </c>
      <c r="I19" s="15">
        <v>16</v>
      </c>
      <c r="J19" s="15">
        <v>3.5</v>
      </c>
      <c r="K19" s="15">
        <v>-1.9</v>
      </c>
      <c r="L19" s="15">
        <v>-0.6</v>
      </c>
      <c r="M19" s="15">
        <v>0</v>
      </c>
      <c r="N19" s="15">
        <f>SUM(C16:C19)/4</f>
        <v>10.5</v>
      </c>
      <c r="O19" s="15"/>
      <c r="P19" s="16">
        <f>C19/C18-1</f>
        <v>0.2</v>
      </c>
      <c r="Q19" s="16">
        <f>J19/I19</f>
        <v>0.21875</v>
      </c>
      <c r="R19" s="16">
        <f>AVERAGE(Q16:Q19)</f>
        <v>-0.135476234115347</v>
      </c>
      <c r="S19" s="17"/>
      <c r="T19" s="25">
        <f>SUM(J16:K19)/4</f>
        <v>-1.4</v>
      </c>
      <c r="U19" s="25"/>
      <c r="V19" s="15">
        <f>-(L19+M19)+V18</f>
        <v>1.7</v>
      </c>
      <c r="W19" s="17"/>
      <c r="X19" s="15">
        <f>F19-G19</f>
        <v>-58</v>
      </c>
      <c r="Y19" s="24"/>
      <c r="Z19" s="15">
        <v>50</v>
      </c>
      <c r="AA19" s="24"/>
      <c r="AB19" s="15">
        <v>14.1</v>
      </c>
    </row>
    <row r="20" ht="20.05" customHeight="1">
      <c r="B20" s="21">
        <v>2021</v>
      </c>
      <c r="C20" s="14">
        <v>11</v>
      </c>
      <c r="D20" s="15">
        <v>0</v>
      </c>
      <c r="E20" s="15">
        <v>-4.3</v>
      </c>
      <c r="F20" s="15">
        <v>6.6</v>
      </c>
      <c r="G20" s="15">
        <v>66.5</v>
      </c>
      <c r="H20" s="15">
        <v>431</v>
      </c>
      <c r="I20" s="15">
        <v>11</v>
      </c>
      <c r="J20" s="15">
        <v>-1.3</v>
      </c>
      <c r="K20" s="15">
        <v>-0.3</v>
      </c>
      <c r="L20" s="15">
        <v>-1.1</v>
      </c>
      <c r="M20" s="15">
        <v>0</v>
      </c>
      <c r="N20" s="15">
        <f>SUM(C17:C20)/4</f>
        <v>9.875</v>
      </c>
      <c r="O20" s="15"/>
      <c r="P20" s="16">
        <f>C20/C19-1</f>
        <v>-0.0833333333333333</v>
      </c>
      <c r="Q20" s="16">
        <f>J20/I20</f>
        <v>-0.118181818181818</v>
      </c>
      <c r="R20" s="16">
        <f>AVERAGE(Q17:Q20)</f>
        <v>-0.108570075757576</v>
      </c>
      <c r="S20" s="17"/>
      <c r="T20" s="25">
        <f>SUM(J17:K20)/4</f>
        <v>-0.975</v>
      </c>
      <c r="U20" s="25"/>
      <c r="V20" s="15">
        <f>-(L20+M20)+V19</f>
        <v>2.8</v>
      </c>
      <c r="W20" s="17"/>
      <c r="X20" s="15">
        <f>F20-G20</f>
        <v>-59.9</v>
      </c>
      <c r="Y20" s="15"/>
      <c r="Z20" s="15">
        <v>50</v>
      </c>
      <c r="AA20" s="15"/>
      <c r="AB20" s="15">
        <v>14.606</v>
      </c>
    </row>
    <row r="21" ht="20.05" customHeight="1">
      <c r="B21" s="13"/>
      <c r="C21" s="14">
        <v>11</v>
      </c>
      <c r="D21" s="15">
        <v>0</v>
      </c>
      <c r="E21" s="15">
        <v>-3.7</v>
      </c>
      <c r="F21" s="15">
        <v>5.8</v>
      </c>
      <c r="G21" s="15">
        <v>66.5</v>
      </c>
      <c r="H21" s="15">
        <v>427</v>
      </c>
      <c r="I21" s="15">
        <v>11</v>
      </c>
      <c r="J21" s="15">
        <v>-0.7</v>
      </c>
      <c r="K21" s="15">
        <v>-0.3</v>
      </c>
      <c r="L21" s="15">
        <v>0</v>
      </c>
      <c r="M21" s="15">
        <v>0</v>
      </c>
      <c r="N21" s="15">
        <f>SUM(C18:C21)/4</f>
        <v>11</v>
      </c>
      <c r="O21" s="15"/>
      <c r="P21" s="16">
        <f>C21/C20-1</f>
        <v>0</v>
      </c>
      <c r="Q21" s="16">
        <f>J21/I21</f>
        <v>-0.0636363636363636</v>
      </c>
      <c r="R21" s="16">
        <f>AVERAGE(Q18:Q21)</f>
        <v>-0.0032670454545454</v>
      </c>
      <c r="S21" s="17"/>
      <c r="T21" s="25">
        <f>SUM(J18:K21)/4</f>
        <v>-0.425</v>
      </c>
      <c r="U21" s="25"/>
      <c r="V21" s="15">
        <f>-(L21+M21)+V20</f>
        <v>2.8</v>
      </c>
      <c r="W21" s="17"/>
      <c r="X21" s="15">
        <f>F21-G21</f>
        <v>-60.7</v>
      </c>
      <c r="Y21" s="15"/>
      <c r="Z21" s="15">
        <v>50</v>
      </c>
      <c r="AA21" s="15"/>
      <c r="AB21" s="15">
        <v>14.45</v>
      </c>
    </row>
    <row r="22" ht="20.05" customHeight="1">
      <c r="B22" s="13"/>
      <c r="C22" s="14">
        <v>10</v>
      </c>
      <c r="D22" s="15">
        <v>0</v>
      </c>
      <c r="E22" s="15">
        <v>-4</v>
      </c>
      <c r="F22" s="15">
        <v>5.1</v>
      </c>
      <c r="G22" s="15">
        <v>66.8</v>
      </c>
      <c r="H22" s="15">
        <v>424</v>
      </c>
      <c r="I22" s="15">
        <v>10</v>
      </c>
      <c r="J22" s="15">
        <v>-0.3</v>
      </c>
      <c r="K22" s="15">
        <v>-0.1</v>
      </c>
      <c r="L22" s="15">
        <v>0</v>
      </c>
      <c r="M22" s="15">
        <v>0</v>
      </c>
      <c r="N22" s="15">
        <f>SUM(C19:C22)/4</f>
        <v>11</v>
      </c>
      <c r="O22" s="15"/>
      <c r="P22" s="16">
        <f>C22/C21-1</f>
        <v>-0.0909090909090909</v>
      </c>
      <c r="Q22" s="16">
        <f>J22/I22</f>
        <v>-0.03</v>
      </c>
      <c r="R22" s="16">
        <f>AVERAGE(Q19:Q22)</f>
        <v>0.0017329545454546</v>
      </c>
      <c r="S22" s="17"/>
      <c r="T22" s="25">
        <f>SUM(J19:K22)/4</f>
        <v>-0.35</v>
      </c>
      <c r="U22" s="25"/>
      <c r="V22" s="15">
        <f>-(L22+M22)+V21</f>
        <v>2.8</v>
      </c>
      <c r="W22" s="17"/>
      <c r="X22" s="15">
        <f>F22-G22</f>
        <v>-61.7</v>
      </c>
      <c r="Y22" s="15"/>
      <c r="Z22" s="15">
        <v>50</v>
      </c>
      <c r="AA22" s="15"/>
      <c r="AB22" s="15">
        <v>14.328</v>
      </c>
    </row>
    <row r="23" ht="20.05" customHeight="1">
      <c r="B23" s="13"/>
      <c r="C23" s="14">
        <v>15</v>
      </c>
      <c r="D23" s="15">
        <v>0</v>
      </c>
      <c r="E23" s="15">
        <v>0</v>
      </c>
      <c r="F23" s="15">
        <v>7.8</v>
      </c>
      <c r="G23" s="15">
        <v>67</v>
      </c>
      <c r="H23" s="15">
        <v>424</v>
      </c>
      <c r="I23" s="15">
        <v>15</v>
      </c>
      <c r="J23" s="15">
        <v>2.9</v>
      </c>
      <c r="K23" s="15">
        <v>-0.3</v>
      </c>
      <c r="L23" s="15">
        <v>0</v>
      </c>
      <c r="M23" s="15">
        <v>0</v>
      </c>
      <c r="N23" s="15">
        <f>SUM(C20:C23)/4</f>
        <v>11.75</v>
      </c>
      <c r="O23" s="15"/>
      <c r="P23" s="16">
        <f>C23/C22-1</f>
        <v>0.5</v>
      </c>
      <c r="Q23" s="16">
        <f>J23/I23</f>
        <v>0.193333333333333</v>
      </c>
      <c r="R23" s="16">
        <f>AVERAGE(Q20:Q23)</f>
        <v>-0.00462121212121215</v>
      </c>
      <c r="S23" s="17"/>
      <c r="T23" s="25">
        <f>SUM(J20:K23)/4</f>
        <v>-0.1</v>
      </c>
      <c r="U23" s="25"/>
      <c r="V23" s="15">
        <f>-(L23+M23)+V22</f>
        <v>2.8</v>
      </c>
      <c r="W23" s="17"/>
      <c r="X23" s="15">
        <f>F23-G23</f>
        <v>-59.2</v>
      </c>
      <c r="Y23" s="15"/>
      <c r="Z23" s="15">
        <v>50</v>
      </c>
      <c r="AA23" s="15"/>
      <c r="AB23" s="15">
        <v>14.275</v>
      </c>
    </row>
    <row r="24" ht="20.05" customHeight="1">
      <c r="B24" s="21">
        <v>2022</v>
      </c>
      <c r="C24" s="14">
        <v>13.2</v>
      </c>
      <c r="D24" s="15">
        <v>2.7</v>
      </c>
      <c r="E24" s="15">
        <v>-2.4</v>
      </c>
      <c r="F24" s="15">
        <v>13.9</v>
      </c>
      <c r="G24" s="15">
        <v>68.3</v>
      </c>
      <c r="H24" s="15">
        <v>423</v>
      </c>
      <c r="I24" s="15">
        <v>14.5</v>
      </c>
      <c r="J24" s="15">
        <v>6.7</v>
      </c>
      <c r="K24" s="15">
        <v>-0.5</v>
      </c>
      <c r="L24" s="15">
        <v>0</v>
      </c>
      <c r="M24" s="15">
        <v>0</v>
      </c>
      <c r="N24" s="15">
        <f>SUM(C21:C24)/4</f>
        <v>12.3</v>
      </c>
      <c r="O24" s="15"/>
      <c r="P24" s="16">
        <f>C24/C23-1</f>
        <v>-0.12</v>
      </c>
      <c r="Q24" s="16">
        <f>J24/I24</f>
        <v>0.462068965517241</v>
      </c>
      <c r="R24" s="16">
        <f>AVERAGE(Q21:Q24)</f>
        <v>0.140441483803553</v>
      </c>
      <c r="S24" s="35"/>
      <c r="T24" s="25">
        <f>SUM(J21:K24)/4</f>
        <v>1.85</v>
      </c>
      <c r="U24" s="15"/>
      <c r="V24" s="15">
        <f>-(L24+M24)+V23</f>
        <v>2.8</v>
      </c>
      <c r="W24" s="15"/>
      <c r="X24" s="15">
        <f>F24-G24</f>
        <v>-54.4</v>
      </c>
      <c r="Y24" s="15"/>
      <c r="Z24" s="15">
        <v>73</v>
      </c>
      <c r="AA24" s="17"/>
      <c r="AB24" s="15">
        <v>14.327</v>
      </c>
    </row>
    <row r="25" ht="20.05" customHeight="1">
      <c r="B25" s="13"/>
      <c r="C25" s="14">
        <v>13.4</v>
      </c>
      <c r="D25" s="15">
        <v>2.5</v>
      </c>
      <c r="E25" s="15">
        <v>-2</v>
      </c>
      <c r="F25" s="15">
        <v>12</v>
      </c>
      <c r="G25" s="15">
        <v>66.5</v>
      </c>
      <c r="H25" s="15">
        <v>419</v>
      </c>
      <c r="I25" s="15">
        <v>13.1</v>
      </c>
      <c r="J25" s="15">
        <v>-0.4</v>
      </c>
      <c r="K25" s="15">
        <v>-0.4</v>
      </c>
      <c r="L25" s="15">
        <v>-1.1</v>
      </c>
      <c r="M25" s="15">
        <v>0</v>
      </c>
      <c r="N25" s="15">
        <f>SUM(C22:C25)/4</f>
        <v>12.9</v>
      </c>
      <c r="O25" s="15"/>
      <c r="P25" s="16">
        <f>C25/C24-1</f>
        <v>0.0151515151515152</v>
      </c>
      <c r="Q25" s="16">
        <f>J25/I25</f>
        <v>-0.0305343511450382</v>
      </c>
      <c r="R25" s="16">
        <f>AVERAGE(Q22:Q25)</f>
        <v>0.148716986926384</v>
      </c>
      <c r="S25" s="35"/>
      <c r="T25" s="25">
        <f>SUM(J22:K25)/4</f>
        <v>1.9</v>
      </c>
      <c r="U25" s="15">
        <v>5.71634888172868</v>
      </c>
      <c r="V25" s="15">
        <f>-(L25+M25)+V24</f>
        <v>3.9</v>
      </c>
      <c r="W25" s="15"/>
      <c r="X25" s="15">
        <f>F25-G25</f>
        <v>-54.5</v>
      </c>
      <c r="Y25" s="15">
        <v>-31.1346044730853</v>
      </c>
      <c r="Z25" s="15">
        <v>76</v>
      </c>
      <c r="AA25" s="17"/>
      <c r="AB25" s="15">
        <v>14.66</v>
      </c>
    </row>
    <row r="26" ht="20.05" customHeight="1">
      <c r="B26" s="13"/>
      <c r="C26" s="14">
        <v>15.1</v>
      </c>
      <c r="D26" s="15">
        <v>2.2</v>
      </c>
      <c r="E26" s="15">
        <v>-0.9</v>
      </c>
      <c r="F26" s="15">
        <v>12</v>
      </c>
      <c r="G26" s="15">
        <v>66</v>
      </c>
      <c r="H26" s="15">
        <v>418</v>
      </c>
      <c r="I26" s="15">
        <v>15.5</v>
      </c>
      <c r="J26" s="15">
        <v>2.1</v>
      </c>
      <c r="K26" s="15">
        <v>-1</v>
      </c>
      <c r="L26" s="15">
        <v>-1.1</v>
      </c>
      <c r="M26" s="15">
        <v>0</v>
      </c>
      <c r="N26" s="15">
        <f>SUM(C23:C26)/4</f>
        <v>14.175</v>
      </c>
      <c r="O26" s="15">
        <v>13.534</v>
      </c>
      <c r="P26" s="16">
        <f>C26/C25-1</f>
        <v>0.126865671641791</v>
      </c>
      <c r="Q26" s="16">
        <f>J26/I26</f>
        <v>0.135483870967742</v>
      </c>
      <c r="R26" s="16">
        <f>AVERAGE(Q23:Q26)</f>
        <v>0.190087954668319</v>
      </c>
      <c r="S26" s="35">
        <f>S27</f>
        <v>0.135483870967742</v>
      </c>
      <c r="T26" s="25">
        <f>SUM(J23:K26)/4</f>
        <v>2.275</v>
      </c>
      <c r="U26" s="15">
        <v>2.11075394015033</v>
      </c>
      <c r="V26" s="15">
        <f>-(L26+M26)+V25</f>
        <v>5</v>
      </c>
      <c r="W26" s="15">
        <f>W27</f>
        <v>12.4913253299355</v>
      </c>
      <c r="X26" s="15">
        <f>F26-G26</f>
        <v>-54</v>
      </c>
      <c r="Y26" s="15">
        <v>-46.0569842393987</v>
      </c>
      <c r="Z26" s="15">
        <v>86</v>
      </c>
      <c r="AA26" s="15">
        <v>81.56557260794339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16.775659835</v>
      </c>
      <c r="P27" s="17"/>
      <c r="Q27" s="17"/>
      <c r="R27" s="17"/>
      <c r="S27" s="35">
        <f>AE53</f>
        <v>0.135483870967742</v>
      </c>
      <c r="T27" s="25"/>
      <c r="U27" s="15">
        <f>SUM(AE55:AH55)/4</f>
        <v>1.87283133248387</v>
      </c>
      <c r="V27" s="17"/>
      <c r="W27" s="15">
        <f>-SUM(AE76:AH76)+V26</f>
        <v>12.4913253299355</v>
      </c>
      <c r="X27" s="26"/>
      <c r="Y27" s="15">
        <f>AH75</f>
        <v>-46.5086746700645</v>
      </c>
      <c r="Z27" s="15">
        <v>60</v>
      </c>
      <c r="AA27" s="15">
        <v>82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14.175</v>
      </c>
      <c r="O28" s="15">
        <f>SUM(O26)</f>
        <v>13.534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57.8972497462267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269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0.130504296698327</v>
      </c>
      <c r="AF49" s="35"/>
      <c r="AG49" s="35"/>
      <c r="AH49" s="35">
        <f>AVERAGE(AE51:AH51)</f>
        <v>0.035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0.5</v>
      </c>
      <c r="AF50" s="35">
        <f>P24</f>
        <v>-0.12</v>
      </c>
      <c r="AG50" s="35">
        <f>P25</f>
        <v>0.0151515151515152</v>
      </c>
      <c r="AH50" s="35">
        <f>P26</f>
        <v>0.126865671641791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15.1</v>
      </c>
      <c r="AE52" s="23">
        <f>C26*(1+AE51)</f>
        <v>16.61</v>
      </c>
      <c r="AF52" s="23">
        <f>AE52*(1+AF51)</f>
        <v>16.4439</v>
      </c>
      <c r="AG52" s="23">
        <f>AF52*(1+AG51)</f>
        <v>16.772778</v>
      </c>
      <c r="AH52" s="23">
        <f>AG52*(1+AH51)</f>
        <v>17.27596134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0.135483870967742</v>
      </c>
      <c r="AF53" s="35">
        <f>AE53</f>
        <v>0.135483870967742</v>
      </c>
      <c r="AG53" s="35">
        <f>AF53</f>
        <v>0.135483870967742</v>
      </c>
      <c r="AH53" s="35">
        <f>AG53</f>
        <v>0.135483870967742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-0.4</v>
      </c>
      <c r="AF54" s="15">
        <f>AE54</f>
        <v>-0.4</v>
      </c>
      <c r="AG54" s="15">
        <f>AF54</f>
        <v>-0.4</v>
      </c>
      <c r="AH54" s="15">
        <f>AG54</f>
        <v>-0.4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1.85038709677419</v>
      </c>
      <c r="AF55" s="15">
        <f>(AF52*AF53)+AF54</f>
        <v>1.82788322580645</v>
      </c>
      <c r="AG55" s="15">
        <f>(AG52*AG53)+AG54</f>
        <v>1.87244089032258</v>
      </c>
      <c r="AH55" s="15">
        <f>(AH52*AH53)+AH54</f>
        <v>1.94061411703226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-3.3</v>
      </c>
      <c r="AF56" s="15">
        <f>-AE71/20</f>
        <v>-3.135</v>
      </c>
      <c r="AG56" s="15">
        <f>-AF71/20</f>
        <v>-2.97825</v>
      </c>
      <c r="AH56" s="15">
        <f>-AG71/20</f>
        <v>-2.8293375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-1.44961290322581</v>
      </c>
      <c r="AF59" s="15">
        <f>AF55+AF56+AF58</f>
        <v>-1.30711677419355</v>
      </c>
      <c r="AG59" s="15">
        <f>AG55+AG56+AG58</f>
        <v>-1.10580910967742</v>
      </c>
      <c r="AH59" s="15">
        <f>AH55+AH56+AH58</f>
        <v>-0.88872338296774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1.44961290322581</v>
      </c>
      <c r="AF60" s="15">
        <f>-MIN(AE72,AF59)</f>
        <v>1.30711677419355</v>
      </c>
      <c r="AG60" s="15">
        <f>-MIN(AF72,AG59)</f>
        <v>1.10580910967742</v>
      </c>
      <c r="AH60" s="15">
        <f>-MIN(AG72,AH59)</f>
        <v>0.88872338296774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12</v>
      </c>
      <c r="AF61" s="15">
        <f>AE63</f>
        <v>12</v>
      </c>
      <c r="AG61" s="15">
        <f>AF63</f>
        <v>12</v>
      </c>
      <c r="AH61" s="15">
        <f>AG63</f>
        <v>12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12</v>
      </c>
      <c r="AF63" s="15">
        <f>AF61+AF62</f>
        <v>12</v>
      </c>
      <c r="AG63" s="15">
        <f>AG61+AG62</f>
        <v>12</v>
      </c>
      <c r="AH63" s="15">
        <f>AH61+AH62</f>
        <v>12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-2.46666666666667</v>
      </c>
      <c r="AF65" s="15">
        <f>AE65</f>
        <v>-2.46666666666667</v>
      </c>
      <c r="AG65" s="15">
        <f>AF65</f>
        <v>-2.46666666666667</v>
      </c>
      <c r="AH65" s="15">
        <f>AG65</f>
        <v>-2.46666666666667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-0.216279569892475</v>
      </c>
      <c r="AF66" s="15">
        <f>(AF52*AF53)+AF65</f>
        <v>-0.238783440860217</v>
      </c>
      <c r="AG66" s="15">
        <f>(AG52*AG53)+AG65</f>
        <v>-0.194225776344088</v>
      </c>
      <c r="AH66" s="15">
        <f>(AH52*AH53)+AH65</f>
        <v>-0.126052549634411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406.4</v>
      </c>
      <c r="AF68" s="15">
        <f>AE68-AF54</f>
        <v>406.8</v>
      </c>
      <c r="AG68" s="15">
        <f>AF68-AG54</f>
        <v>407.2</v>
      </c>
      <c r="AH68" s="15">
        <f>AG68-AH54</f>
        <v>407.6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2.46666666666667</v>
      </c>
      <c r="AF69" s="15">
        <f>AE69-AF65</f>
        <v>4.93333333333334</v>
      </c>
      <c r="AG69" s="15">
        <f>AF69-AG65</f>
        <v>7.40000000000001</v>
      </c>
      <c r="AH69" s="15">
        <f>AG69-AH65</f>
        <v>9.86666666666668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403.933333333333</v>
      </c>
      <c r="AF70" s="15">
        <f>AF68-AF69</f>
        <v>401.866666666667</v>
      </c>
      <c r="AG70" s="15">
        <f>AG68-AG69</f>
        <v>399.8</v>
      </c>
      <c r="AH70" s="15">
        <f>AH68-AH69</f>
        <v>397.733333333333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62.7</v>
      </c>
      <c r="AF71" s="15">
        <f>AE71+AF56</f>
        <v>59.565</v>
      </c>
      <c r="AG71" s="15">
        <f>AF71+AG56</f>
        <v>56.58675</v>
      </c>
      <c r="AH71" s="15">
        <f>AG71+AH56</f>
        <v>53.7574125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1.44961290322581</v>
      </c>
      <c r="AF72" s="15">
        <f>AE72+AF60</f>
        <v>2.75672967741936</v>
      </c>
      <c r="AG72" s="15">
        <f>AF72+AG60</f>
        <v>3.86253878709678</v>
      </c>
      <c r="AH72" s="15">
        <f>AG72+AH60</f>
        <v>4.75126217006452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351.783720430108</v>
      </c>
      <c r="AF73" s="15">
        <f>AE73+AF66+AF58</f>
        <v>351.544936989248</v>
      </c>
      <c r="AG73" s="15">
        <f>AF73+AG66+AG58</f>
        <v>351.350711212904</v>
      </c>
      <c r="AH73" s="15">
        <f>AG73+AH66+AH58</f>
        <v>351.224658663270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8.1e-13</v>
      </c>
      <c r="AF74" s="15">
        <f>AF71+AF72+AF73-AF63-AF70</f>
        <v>3.6e-13</v>
      </c>
      <c r="AG74" s="15">
        <f>AG71+AG72+AG73-AG63-AG70</f>
        <v>7.8e-13</v>
      </c>
      <c r="AH74" s="15">
        <f>AH71+AH72+AH73-AH63-AH70</f>
        <v>1.52e-12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-52.1496129032258</v>
      </c>
      <c r="AF75" s="15">
        <f>AF63-AF71-AF72</f>
        <v>-50.3217296774194</v>
      </c>
      <c r="AG75" s="15">
        <f>AG63-AG71-AG72</f>
        <v>-48.4492887870968</v>
      </c>
      <c r="AH75" s="15">
        <f>AH63-AH71-AH72</f>
        <v>-46.5086746700645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-1.85038709677419</v>
      </c>
      <c r="AF76" s="15">
        <f>AF56+AF58+AF60</f>
        <v>-1.82788322580645</v>
      </c>
      <c r="AG76" s="15">
        <f>AG56+AG58+AG60</f>
        <v>-1.87244089032258</v>
      </c>
      <c r="AH76" s="15">
        <f>AH56+AH58+AH60</f>
        <v>-1.94061411703226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721</v>
      </c>
      <c r="AD78" s="14"/>
      <c r="AE78" s="15"/>
      <c r="AF78" s="15"/>
      <c r="AG78" s="15"/>
      <c r="AH78" s="15">
        <v>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721</v>
      </c>
      <c r="AD79" s="14"/>
      <c r="AE79" s="15"/>
      <c r="AF79" s="15"/>
      <c r="AG79" s="15"/>
      <c r="AH79" s="15">
        <v>621072015360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621.07201536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10.351200256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1.51579567692808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7.49132532993548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53.0925191226155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82.9054924204378</v>
      </c>
      <c r="AH86" s="15">
        <v>80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599.306026394838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57.8972497462267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-0.0350458375628883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0.51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-0.0452204585537919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721</v>
      </c>
      <c r="AF94" t="s" s="44">
        <v>60</v>
      </c>
      <c r="AG94" s="15">
        <f>AH78</f>
        <v>60</v>
      </c>
      <c r="AH94" t="s" s="44">
        <v>61</v>
      </c>
      <c r="AI94" s="15">
        <f>AH88</f>
        <v>57.8972497462267</v>
      </c>
      <c r="AJ94" t="s" s="44">
        <f>IF(AK94&gt;0,"+","")</f>
      </c>
      <c r="AK94" s="16">
        <f>AI94/AG94-1</f>
        <v>-0.0350458375628883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0.51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0.0146520850641213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0.00354226232319417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-0.0869464388420388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0.126865671641791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-0.0909090909090909</v>
      </c>
      <c r="AF103" s="16">
        <f>P23</f>
        <v>0.5</v>
      </c>
      <c r="AG103" s="16">
        <f>P24</f>
        <v>-0.12</v>
      </c>
      <c r="AH103" s="16">
        <f>P25</f>
        <v>0.0151515151515152</v>
      </c>
      <c r="AI103" s="16">
        <f>P26</f>
        <v>0.126865671641791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10</v>
      </c>
      <c r="AF104" t="s" s="44">
        <v>72</v>
      </c>
      <c r="AG104" s="15">
        <f>C23</f>
        <v>15</v>
      </c>
      <c r="AH104" t="s" s="44">
        <v>72</v>
      </c>
      <c r="AI104" s="15">
        <f>C24</f>
        <v>13.2</v>
      </c>
      <c r="AJ104" t="s" s="44">
        <v>72</v>
      </c>
      <c r="AK104" s="15">
        <f>C25</f>
        <v>13.4</v>
      </c>
      <c r="AL104" t="s" s="44">
        <v>72</v>
      </c>
      <c r="AM104" s="15">
        <f>C26</f>
        <v>15.1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0.126865671641791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15.1</v>
      </c>
      <c r="AM105" t="s" s="44">
        <v>372</v>
      </c>
      <c r="AN105" t="s" s="44">
        <v>373</v>
      </c>
      <c r="AO105" s="16">
        <f>AH91</f>
        <v>-0.0452204585537919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0.130504296698327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0.035</v>
      </c>
      <c r="AG107" t="s" s="44">
        <v>82</v>
      </c>
      <c r="AH107" t="s" s="44">
        <v>83</v>
      </c>
      <c r="AI107" s="23">
        <f>AH52</f>
        <v>17.27596134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-0.4</v>
      </c>
      <c r="AF110" s="16">
        <f>(D23+E23)/C23</f>
        <v>0</v>
      </c>
      <c r="AG110" s="16">
        <f>((E24+D24)/C24)</f>
        <v>0.0227272727272727</v>
      </c>
      <c r="AH110" s="16">
        <f>(D25+E25)/C25</f>
        <v>0.0373134328358209</v>
      </c>
      <c r="AI110" s="16">
        <f>(D26+E26)/C26</f>
        <v>0.0860927152317881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-4</v>
      </c>
      <c r="AF111" t="s" s="44">
        <v>72</v>
      </c>
      <c r="AG111" s="15">
        <f>E23</f>
        <v>0</v>
      </c>
      <c r="AH111" t="s" s="44">
        <v>72</v>
      </c>
      <c r="AI111" s="15">
        <f>E24</f>
        <v>-2.4</v>
      </c>
      <c r="AJ111" t="s" s="44">
        <v>72</v>
      </c>
      <c r="AK111" s="15">
        <f>E25</f>
        <v>-2</v>
      </c>
      <c r="AL111" t="s" s="44">
        <v>72</v>
      </c>
      <c r="AM111" s="15">
        <f>E26</f>
        <v>-0.9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0.0373134328358209</v>
      </c>
      <c r="AG112" t="s" s="44">
        <v>76</v>
      </c>
      <c r="AH112" s="16">
        <f>AI110</f>
        <v>0.0860927152317881</v>
      </c>
      <c r="AI112" t="s" s="44">
        <v>90</v>
      </c>
      <c r="AJ112" s="15">
        <f>AK111</f>
        <v>-2</v>
      </c>
      <c r="AK112" t="s" s="44">
        <v>76</v>
      </c>
      <c r="AL112" s="15">
        <f>AM111</f>
        <v>-0.9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0.0365333551987204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0.135483870967742</v>
      </c>
      <c r="AG114" t="s" s="44">
        <v>94</v>
      </c>
      <c r="AH114" s="15">
        <f>AH66</f>
        <v>-0.126052549634411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-0.3</v>
      </c>
      <c r="AF117" t="s" s="44">
        <v>72</v>
      </c>
      <c r="AG117" s="15">
        <f>J23</f>
        <v>2.9</v>
      </c>
      <c r="AH117" t="s" s="44">
        <v>72</v>
      </c>
      <c r="AI117" s="15">
        <f>J24</f>
        <v>6.7</v>
      </c>
      <c r="AJ117" t="s" s="44">
        <v>72</v>
      </c>
      <c r="AK117" s="15">
        <f>J25</f>
        <v>-0.4</v>
      </c>
      <c r="AL117" t="s" s="44">
        <v>72</v>
      </c>
      <c r="AM117" s="15">
        <f>J26</f>
        <v>2.1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-0.1</v>
      </c>
      <c r="AF118" t="s" s="44">
        <v>72</v>
      </c>
      <c r="AG118" s="15">
        <f>K23</f>
        <v>-0.3</v>
      </c>
      <c r="AH118" t="s" s="44">
        <v>72</v>
      </c>
      <c r="AI118" s="15">
        <f>K24</f>
        <v>-0.5</v>
      </c>
      <c r="AJ118" t="s" s="44">
        <v>72</v>
      </c>
      <c r="AK118" s="15">
        <f>K25</f>
        <v>-0.4</v>
      </c>
      <c r="AL118" t="s" s="44">
        <v>72</v>
      </c>
      <c r="AM118" s="15">
        <f>K26</f>
        <v>-1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-0.8</v>
      </c>
      <c r="AG119" t="s" s="44">
        <v>76</v>
      </c>
      <c r="AH119" s="15">
        <f>AM117+AM118</f>
        <v>1.1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2.275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-0.4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1.87283133248387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5.1</v>
      </c>
      <c r="AF124" t="s" s="44">
        <v>72</v>
      </c>
      <c r="AG124" s="15">
        <f>F23</f>
        <v>7.8</v>
      </c>
      <c r="AH124" t="s" s="44">
        <v>72</v>
      </c>
      <c r="AI124" s="15">
        <f>F24</f>
        <v>13.9</v>
      </c>
      <c r="AJ124" t="s" s="44">
        <v>72</v>
      </c>
      <c r="AK124" s="15">
        <f>F25</f>
        <v>12</v>
      </c>
      <c r="AL124" t="s" s="44">
        <v>72</v>
      </c>
      <c r="AM124" s="15">
        <f>F26</f>
        <v>12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66.8</v>
      </c>
      <c r="AF125" t="s" s="44">
        <v>72</v>
      </c>
      <c r="AG125" s="15">
        <f>G23</f>
        <v>67</v>
      </c>
      <c r="AH125" t="s" s="44">
        <v>72</v>
      </c>
      <c r="AI125" s="15">
        <f>G24</f>
        <v>68.3</v>
      </c>
      <c r="AJ125" t="s" s="44">
        <v>72</v>
      </c>
      <c r="AK125" s="15">
        <f>G25</f>
        <v>66.5</v>
      </c>
      <c r="AL125" t="s" s="44">
        <v>72</v>
      </c>
      <c r="AM125" s="15">
        <f>G26</f>
        <v>66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12</v>
      </c>
      <c r="AH126" t="s" s="44">
        <v>76</v>
      </c>
      <c r="AI126" s="15">
        <f>AM124</f>
        <v>12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66.5</v>
      </c>
      <c r="AH127" t="s" s="44">
        <v>76</v>
      </c>
      <c r="AI127" s="15">
        <f>AM125</f>
        <v>66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-54.5</v>
      </c>
      <c r="AO127" t="s" s="44">
        <v>76</v>
      </c>
      <c r="AP127" s="15">
        <f>AI126-AI127</f>
        <v>-54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-7.49132532993548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-46.5086746700645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0</v>
      </c>
      <c r="AH131" t="s" s="44">
        <v>72</v>
      </c>
      <c r="AI131" s="15">
        <f>-L24</f>
        <v>0</v>
      </c>
      <c r="AJ131" t="s" s="44">
        <v>72</v>
      </c>
      <c r="AK131" s="15">
        <f>-L25</f>
        <v>1.1</v>
      </c>
      <c r="AL131" t="s" s="44">
        <v>72</v>
      </c>
      <c r="AM131" s="15">
        <f>-L26</f>
        <v>1.1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721</v>
      </c>
      <c r="AF133" t="s" s="44">
        <f>IF(AG133&gt;0,"paid","(raised)")</f>
        <v>374</v>
      </c>
      <c r="AG133" s="15">
        <f>SUM(AM131:AM132)</f>
        <v>1.1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1.1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7.49132532993548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621.07201536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1.51579567692808</v>
      </c>
      <c r="AK134" t="s" s="44">
        <v>130</v>
      </c>
      <c r="AL134" t="s" s="44">
        <v>131</v>
      </c>
      <c r="AM134" t="s" s="44">
        <v>132</v>
      </c>
      <c r="AN134" s="15">
        <f>AH85</f>
        <v>53.0925191226155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7.49132532993548</v>
      </c>
      <c r="AG135" t="s" s="44">
        <f>AG134</f>
        <v>372</v>
      </c>
      <c r="AH135" t="s" s="44">
        <v>136</v>
      </c>
      <c r="AI135" s="15">
        <f>AF134/AF135</f>
        <v>82.9054924204378</v>
      </c>
      <c r="AJ135" t="s" s="44">
        <v>130</v>
      </c>
      <c r="AK135" t="s" s="44">
        <v>137</v>
      </c>
      <c r="AL135" t="s" s="44">
        <v>138</v>
      </c>
      <c r="AM135" s="15">
        <f>AH86</f>
        <v>80</v>
      </c>
      <c r="AN135" t="s" s="44">
        <v>139</v>
      </c>
      <c r="AO135" t="s" s="44">
        <v>140</v>
      </c>
      <c r="AP135" t="s" s="44">
        <v>141</v>
      </c>
      <c r="AQ135" s="16">
        <f>AK94</f>
        <v>-0.0350458375628883</v>
      </c>
      <c r="AR135" t="s" s="44">
        <f>IF(AQ135&gt;0,"higher","lower")</f>
        <v>104</v>
      </c>
      <c r="AS135" t="s" s="44">
        <v>142</v>
      </c>
      <c r="AT135" s="15">
        <f>AI94</f>
        <v>57.8972497462267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10</v>
      </c>
      <c r="AE137" s="15">
        <f>AG104</f>
        <v>15</v>
      </c>
      <c r="AF137" s="15">
        <f>AI104</f>
        <v>13.2</v>
      </c>
      <c r="AG137" s="15">
        <f>AK104</f>
        <v>13.4</v>
      </c>
      <c r="AH137" s="15">
        <f>AM104</f>
        <v>15.1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-0.4</v>
      </c>
      <c r="AE138" s="15">
        <f>SUM(AG117:AG118)</f>
        <v>2.6</v>
      </c>
      <c r="AF138" s="15">
        <f>SUM(AI117:AI118)</f>
        <v>6.2</v>
      </c>
      <c r="AG138" s="15">
        <f>SUM(AK117:AK118)</f>
        <v>-0.8</v>
      </c>
      <c r="AH138" s="15">
        <f>SUM(AM117:AM118)</f>
        <v>1.1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0</v>
      </c>
      <c r="AE139" s="15">
        <f>SUM(AG131:AG132)</f>
        <v>0</v>
      </c>
      <c r="AF139" s="15">
        <f>SUM(AI131:AI132)</f>
        <v>0</v>
      </c>
      <c r="AG139" s="15">
        <f>SUM(AK131:AK132)</f>
        <v>1.1</v>
      </c>
      <c r="AH139" s="15">
        <f>SUM(AM131:AM132)</f>
        <v>1.1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-61.7</v>
      </c>
      <c r="AE140" s="15">
        <f>(AG124-AG125)</f>
        <v>-59.2</v>
      </c>
      <c r="AF140" s="15">
        <f>(AI124-AI125)</f>
        <v>-54.4</v>
      </c>
      <c r="AG140" s="15">
        <f>(AK124-AK125)</f>
        <v>-54.5</v>
      </c>
      <c r="AH140" s="15">
        <f>(AM124-AM125)</f>
        <v>-54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57.8972497462267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56" customWidth="1"/>
    <col min="2" max="27" width="10.4844" style="356" customWidth="1"/>
    <col min="28" max="28" width="18.9766" style="357" customWidth="1"/>
    <col min="29" max="47" width="9" style="357" customWidth="1"/>
    <col min="48" max="16384" width="16.3516" style="357" customWidth="1"/>
  </cols>
  <sheetData>
    <row r="1" ht="11.65" customHeight="1"/>
    <row r="2" ht="27.65" customHeight="1">
      <c r="B2" t="s" s="2">
        <v>722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186</v>
      </c>
      <c r="AA3" t="s" s="3">
        <v>19</v>
      </c>
    </row>
    <row r="4" ht="20.25" customHeight="1">
      <c r="B4" s="6">
        <v>2017</v>
      </c>
      <c r="C4" s="7">
        <v>4547</v>
      </c>
      <c r="D4" s="8">
        <v>189</v>
      </c>
      <c r="E4" s="8">
        <v>884</v>
      </c>
      <c r="F4" s="8">
        <v>4006</v>
      </c>
      <c r="G4" s="8">
        <v>8235</v>
      </c>
      <c r="H4" s="8">
        <v>19553</v>
      </c>
      <c r="I4" s="8">
        <v>3660</v>
      </c>
      <c r="J4" s="8">
        <v>373</v>
      </c>
      <c r="K4" s="8">
        <v>78</v>
      </c>
      <c r="L4" s="8">
        <v>-317.75</v>
      </c>
      <c r="M4" s="8">
        <v>-153</v>
      </c>
      <c r="N4" s="59"/>
      <c r="O4" s="9"/>
      <c r="P4" s="9"/>
      <c r="Q4" s="9"/>
      <c r="R4" s="9"/>
      <c r="S4" s="9"/>
      <c r="T4" s="9"/>
      <c r="U4" s="9"/>
      <c r="V4" s="8">
        <f>-(L4+M4)</f>
        <v>470.75</v>
      </c>
      <c r="W4" s="9"/>
      <c r="X4" s="8">
        <f>F4-G4</f>
        <v>-4229</v>
      </c>
      <c r="Y4" s="9"/>
      <c r="Z4" s="8"/>
      <c r="AA4" s="9"/>
    </row>
    <row r="5" ht="20.05" customHeight="1">
      <c r="B5" s="13"/>
      <c r="C5" s="14">
        <v>4420</v>
      </c>
      <c r="D5" s="15">
        <v>212</v>
      </c>
      <c r="E5" s="15">
        <v>863</v>
      </c>
      <c r="F5" s="15">
        <v>2820</v>
      </c>
      <c r="G5" s="15">
        <v>6689</v>
      </c>
      <c r="H5" s="15">
        <v>18670</v>
      </c>
      <c r="I5" s="15">
        <v>3665</v>
      </c>
      <c r="J5" s="15">
        <v>1166</v>
      </c>
      <c r="K5" s="15">
        <v>-679</v>
      </c>
      <c r="L5" s="15">
        <v>-317.75</v>
      </c>
      <c r="M5" s="15">
        <v>-153</v>
      </c>
      <c r="N5" s="26"/>
      <c r="O5" s="17"/>
      <c r="P5" s="17"/>
      <c r="Q5" s="17"/>
      <c r="R5" s="17"/>
      <c r="S5" s="17"/>
      <c r="T5" s="17"/>
      <c r="U5" s="17"/>
      <c r="V5" s="15">
        <f>-(L5+M5)+V4</f>
        <v>941.5</v>
      </c>
      <c r="W5" s="17"/>
      <c r="X5" s="15">
        <f>F5-G5</f>
        <v>-3869</v>
      </c>
      <c r="Y5" s="17"/>
      <c r="Z5" s="15"/>
      <c r="AA5" s="17"/>
    </row>
    <row r="6" ht="20.05" customHeight="1">
      <c r="B6" s="13"/>
      <c r="C6" s="14">
        <v>4320</v>
      </c>
      <c r="D6" s="15">
        <v>172</v>
      </c>
      <c r="E6" s="15">
        <v>917</v>
      </c>
      <c r="F6" s="15">
        <v>3124</v>
      </c>
      <c r="G6" s="15">
        <v>6591</v>
      </c>
      <c r="H6" s="15">
        <v>19500</v>
      </c>
      <c r="I6" s="15">
        <v>3873</v>
      </c>
      <c r="J6" s="15">
        <v>849</v>
      </c>
      <c r="K6" s="15">
        <v>-431</v>
      </c>
      <c r="L6" s="15">
        <v>-317.75</v>
      </c>
      <c r="M6" s="15">
        <v>-153</v>
      </c>
      <c r="N6" s="26"/>
      <c r="O6" s="17"/>
      <c r="P6" s="17"/>
      <c r="Q6" s="17"/>
      <c r="R6" s="17"/>
      <c r="S6" s="17"/>
      <c r="T6" s="17"/>
      <c r="U6" s="17"/>
      <c r="V6" s="15">
        <f>-(L6+M6)+V5</f>
        <v>1412.25</v>
      </c>
      <c r="W6" s="17"/>
      <c r="X6" s="15">
        <f>F6-G6</f>
        <v>-3467</v>
      </c>
      <c r="Y6" s="17"/>
      <c r="Z6" s="15"/>
      <c r="AA6" s="17"/>
    </row>
    <row r="7" ht="20.05" customHeight="1">
      <c r="B7" s="13"/>
      <c r="C7" s="14">
        <v>6184</v>
      </c>
      <c r="D7" s="15">
        <v>216</v>
      </c>
      <c r="E7" s="15">
        <v>1883</v>
      </c>
      <c r="F7" s="15">
        <v>3555</v>
      </c>
      <c r="G7" s="15">
        <v>8187</v>
      </c>
      <c r="H7" s="15">
        <v>21987</v>
      </c>
      <c r="I7" s="15">
        <v>5214</v>
      </c>
      <c r="J7" s="15">
        <v>27</v>
      </c>
      <c r="K7" s="15">
        <v>496</v>
      </c>
      <c r="L7" s="15">
        <v>-317.75</v>
      </c>
      <c r="M7" s="15">
        <v>-153</v>
      </c>
      <c r="N7" s="26"/>
      <c r="O7" s="17"/>
      <c r="P7" s="17"/>
      <c r="Q7" s="17"/>
      <c r="R7" s="17"/>
      <c r="S7" s="17"/>
      <c r="T7" s="17"/>
      <c r="U7" s="17"/>
      <c r="V7" s="15">
        <f>-(L7+M7)+V6</f>
        <v>1883</v>
      </c>
      <c r="W7" s="17"/>
      <c r="X7" s="15">
        <f>F7-G7</f>
        <v>-4632</v>
      </c>
      <c r="Y7" s="17"/>
      <c r="Z7" s="15"/>
      <c r="AA7" s="17"/>
    </row>
    <row r="8" ht="20.05" customHeight="1">
      <c r="B8" s="21">
        <v>2018</v>
      </c>
      <c r="C8" s="14">
        <v>5749</v>
      </c>
      <c r="D8" s="15">
        <v>236</v>
      </c>
      <c r="E8" s="15">
        <v>1474</v>
      </c>
      <c r="F8" s="15">
        <v>7931</v>
      </c>
      <c r="G8" s="15">
        <v>8490</v>
      </c>
      <c r="H8" s="15">
        <v>23620</v>
      </c>
      <c r="I8" s="15">
        <v>7186</v>
      </c>
      <c r="J8" s="15">
        <v>4410</v>
      </c>
      <c r="K8" s="15">
        <v>-40</v>
      </c>
      <c r="L8" s="15">
        <v>-15.6</v>
      </c>
      <c r="M8" s="15">
        <v>0</v>
      </c>
      <c r="N8" s="15">
        <f>SUM(C5:C8)/4</f>
        <v>5168.25</v>
      </c>
      <c r="O8" s="17"/>
      <c r="P8" s="16"/>
      <c r="Q8" s="16">
        <f>((D8+E8)/C8)</f>
        <v>0.297443033571056</v>
      </c>
      <c r="R8" s="16"/>
      <c r="S8" s="17"/>
      <c r="T8" s="15">
        <f>SUM(J5:K8)/4</f>
        <v>1449.5</v>
      </c>
      <c r="U8" s="17"/>
      <c r="V8" s="15">
        <f>-(L8+M8)+V7</f>
        <v>1898.6</v>
      </c>
      <c r="W8" s="17"/>
      <c r="X8" s="15">
        <f>F8-G8</f>
        <v>-559</v>
      </c>
      <c r="Y8" s="24"/>
      <c r="Z8" s="15">
        <v>2940</v>
      </c>
      <c r="AA8" s="24"/>
    </row>
    <row r="9" ht="20.05" customHeight="1">
      <c r="B9" s="13"/>
      <c r="C9" s="14">
        <v>4743</v>
      </c>
      <c r="D9" s="15">
        <v>238</v>
      </c>
      <c r="E9" s="15">
        <v>1232</v>
      </c>
      <c r="F9" s="15">
        <v>4558</v>
      </c>
      <c r="G9" s="15">
        <v>7681</v>
      </c>
      <c r="H9" s="15">
        <v>20635</v>
      </c>
      <c r="I9" s="15">
        <v>4329</v>
      </c>
      <c r="J9" s="15">
        <v>234</v>
      </c>
      <c r="K9" s="15">
        <v>-151</v>
      </c>
      <c r="L9" s="15">
        <v>-179.4</v>
      </c>
      <c r="M9" s="15">
        <v>-3391.8</v>
      </c>
      <c r="N9" s="15">
        <f>SUM(C6:C9)/4</f>
        <v>5249</v>
      </c>
      <c r="O9" s="17"/>
      <c r="P9" s="16"/>
      <c r="Q9" s="16">
        <f>((D9+E9)/C9)</f>
        <v>0.309930423782416</v>
      </c>
      <c r="R9" s="16"/>
      <c r="S9" s="17"/>
      <c r="T9" s="15">
        <f>SUM(J6:K9)/4</f>
        <v>1348.5</v>
      </c>
      <c r="U9" s="17"/>
      <c r="V9" s="15">
        <f>-(L9+M9)+V8</f>
        <v>5469.8</v>
      </c>
      <c r="W9" s="17"/>
      <c r="X9" s="15">
        <f>F9-G9</f>
        <v>-3123</v>
      </c>
      <c r="Y9" s="24"/>
      <c r="Z9" s="15">
        <v>3970</v>
      </c>
      <c r="AA9" s="24"/>
    </row>
    <row r="10" ht="20.05" customHeight="1">
      <c r="B10" s="13"/>
      <c r="C10" s="14">
        <v>5544</v>
      </c>
      <c r="D10" s="15">
        <v>122</v>
      </c>
      <c r="E10" s="15">
        <v>1288</v>
      </c>
      <c r="F10" s="15">
        <v>6059</v>
      </c>
      <c r="G10" s="15">
        <v>7548</v>
      </c>
      <c r="H10" s="15">
        <v>22470</v>
      </c>
      <c r="I10" s="15">
        <v>6235</v>
      </c>
      <c r="J10" s="15">
        <v>2035</v>
      </c>
      <c r="K10" s="15">
        <v>-667</v>
      </c>
      <c r="L10" s="15">
        <v>235.2</v>
      </c>
      <c r="M10" s="15">
        <v>0</v>
      </c>
      <c r="N10" s="15">
        <f>SUM(C7:C10)/4</f>
        <v>5555</v>
      </c>
      <c r="O10" s="17"/>
      <c r="P10" s="16"/>
      <c r="Q10" s="16">
        <f>((D10+E10)/C10)</f>
        <v>0.254329004329004</v>
      </c>
      <c r="R10" s="16"/>
      <c r="S10" s="17"/>
      <c r="T10" s="15">
        <f>SUM(J7:K10)/4</f>
        <v>1586</v>
      </c>
      <c r="U10" s="17"/>
      <c r="V10" s="15">
        <f>-(L10+M10)+V9</f>
        <v>5234.6</v>
      </c>
      <c r="W10" s="17"/>
      <c r="X10" s="15">
        <f>F10-G10</f>
        <v>-1489</v>
      </c>
      <c r="Y10" s="24"/>
      <c r="Z10" s="15">
        <v>4320</v>
      </c>
      <c r="AA10" s="24"/>
    </row>
    <row r="11" ht="20.05" customHeight="1">
      <c r="B11" s="13"/>
      <c r="C11" s="14">
        <v>5131</v>
      </c>
      <c r="D11" s="15">
        <v>462</v>
      </c>
      <c r="E11" s="15">
        <v>1127</v>
      </c>
      <c r="F11" s="15">
        <v>6301</v>
      </c>
      <c r="G11" s="15">
        <v>7903</v>
      </c>
      <c r="H11" s="15">
        <v>24173</v>
      </c>
      <c r="I11" s="15">
        <v>5979</v>
      </c>
      <c r="J11" s="15">
        <v>1009</v>
      </c>
      <c r="K11" s="15">
        <v>-719</v>
      </c>
      <c r="L11" s="15">
        <v>-53.2</v>
      </c>
      <c r="M11" s="15">
        <v>0</v>
      </c>
      <c r="N11" s="15">
        <f>SUM(C8:C11)/4</f>
        <v>5291.75</v>
      </c>
      <c r="O11" s="17"/>
      <c r="P11" s="16"/>
      <c r="Q11" s="16">
        <f>((D11+E11)/C11)</f>
        <v>0.30968622100955</v>
      </c>
      <c r="R11" s="16"/>
      <c r="S11" s="17"/>
      <c r="T11" s="15">
        <f>SUM(J8:K11)/4</f>
        <v>1527.75</v>
      </c>
      <c r="U11" s="17"/>
      <c r="V11" s="15">
        <f>-(L11+M11)+V10</f>
        <v>5287.8</v>
      </c>
      <c r="W11" s="17"/>
      <c r="X11" s="15">
        <f>F11-G11</f>
        <v>-1602</v>
      </c>
      <c r="Y11" s="24"/>
      <c r="Z11" s="15">
        <v>4300</v>
      </c>
      <c r="AA11" s="24"/>
    </row>
    <row r="12" ht="20.05" customHeight="1">
      <c r="B12" s="21">
        <v>2019</v>
      </c>
      <c r="C12" s="14">
        <v>5337</v>
      </c>
      <c r="D12" s="15">
        <v>209</v>
      </c>
      <c r="E12" s="15">
        <v>1151</v>
      </c>
      <c r="F12" s="15">
        <v>6261</v>
      </c>
      <c r="G12" s="15">
        <v>7269</v>
      </c>
      <c r="H12" s="15">
        <v>24827</v>
      </c>
      <c r="I12" s="15">
        <v>5419</v>
      </c>
      <c r="J12" s="15">
        <v>1093</v>
      </c>
      <c r="K12" s="15">
        <v>-1099</v>
      </c>
      <c r="L12" s="15">
        <v>-65</v>
      </c>
      <c r="M12" s="15">
        <v>0</v>
      </c>
      <c r="N12" s="15">
        <f>SUM(C9:C12)/4</f>
        <v>5188.75</v>
      </c>
      <c r="O12" s="23"/>
      <c r="P12" s="16"/>
      <c r="Q12" s="16">
        <f>((D12+E12)/C12)</f>
        <v>0.254824807944538</v>
      </c>
      <c r="R12" s="16">
        <f>AVERAGE(Q9:Q12)</f>
        <v>0.282192614266377</v>
      </c>
      <c r="S12" s="17"/>
      <c r="T12" s="15">
        <f>SUM(J9:K12)/4</f>
        <v>433.75</v>
      </c>
      <c r="U12" s="17"/>
      <c r="V12" s="15">
        <f>-(L12+M12)+V11</f>
        <v>5352.8</v>
      </c>
      <c r="W12" s="17"/>
      <c r="X12" s="15">
        <f>F12-G12</f>
        <v>-1008</v>
      </c>
      <c r="Y12" s="24"/>
      <c r="Z12" s="15">
        <v>4200</v>
      </c>
      <c r="AA12" s="24"/>
    </row>
    <row r="13" ht="20.05" customHeight="1">
      <c r="B13" s="13"/>
      <c r="C13" s="14">
        <v>5278</v>
      </c>
      <c r="D13" s="15">
        <v>212</v>
      </c>
      <c r="E13" s="15">
        <v>875</v>
      </c>
      <c r="F13" s="15">
        <v>5287</v>
      </c>
      <c r="G13" s="15">
        <v>7164</v>
      </c>
      <c r="H13" s="15">
        <v>23412</v>
      </c>
      <c r="I13" s="15">
        <v>5193</v>
      </c>
      <c r="J13" s="15">
        <v>982</v>
      </c>
      <c r="K13" s="15">
        <v>49</v>
      </c>
      <c r="L13" s="15">
        <v>-31.7</v>
      </c>
      <c r="M13" s="15">
        <v>-1927.8</v>
      </c>
      <c r="N13" s="15">
        <f>SUM(C10:C13)/4</f>
        <v>5322.5</v>
      </c>
      <c r="O13" s="23"/>
      <c r="P13" s="16"/>
      <c r="Q13" s="16">
        <f>((D13+E13)/C13)</f>
        <v>0.205949223190603</v>
      </c>
      <c r="R13" s="16">
        <f>AVERAGE(Q10:Q13)</f>
        <v>0.256197314118424</v>
      </c>
      <c r="S13" s="17"/>
      <c r="T13" s="15">
        <f>SUM(J10:K13)/4</f>
        <v>670.75</v>
      </c>
      <c r="U13" s="17"/>
      <c r="V13" s="15">
        <f>-(L13+M13)+V12</f>
        <v>7312.3</v>
      </c>
      <c r="W13" s="17"/>
      <c r="X13" s="15">
        <f>F13-G13</f>
        <v>-1877</v>
      </c>
      <c r="Y13" s="24"/>
      <c r="Z13" s="15">
        <v>2960</v>
      </c>
      <c r="AA13" s="24"/>
    </row>
    <row r="14" ht="20.05" customHeight="1">
      <c r="B14" s="13"/>
      <c r="C14" s="14">
        <v>5639</v>
      </c>
      <c r="D14" s="15">
        <v>252</v>
      </c>
      <c r="E14" s="15">
        <v>1099</v>
      </c>
      <c r="F14" s="15">
        <v>4240</v>
      </c>
      <c r="G14" s="15">
        <v>7897</v>
      </c>
      <c r="H14" s="15">
        <v>25231</v>
      </c>
      <c r="I14" s="15">
        <v>7678</v>
      </c>
      <c r="J14" s="15">
        <v>1730</v>
      </c>
      <c r="K14" s="15">
        <v>-2759</v>
      </c>
      <c r="L14" s="15">
        <v>-45.3</v>
      </c>
      <c r="M14" s="15">
        <v>0</v>
      </c>
      <c r="N14" s="15">
        <f>SUM(C11:C14)/4</f>
        <v>5346.25</v>
      </c>
      <c r="O14" s="23"/>
      <c r="P14" s="16"/>
      <c r="Q14" s="16">
        <f>((D14+E14)/C14)</f>
        <v>0.239581486079092</v>
      </c>
      <c r="R14" s="16">
        <f>AVERAGE(Q11:Q14)</f>
        <v>0.252510434555946</v>
      </c>
      <c r="S14" s="17"/>
      <c r="T14" s="15">
        <f>SUM(J11:K14)/4</f>
        <v>71.5</v>
      </c>
      <c r="U14" s="17"/>
      <c r="V14" s="15">
        <f>-(L14+M14)+V13</f>
        <v>7357.6</v>
      </c>
      <c r="W14" s="17"/>
      <c r="X14" s="15">
        <f>F14-G14</f>
        <v>-3657</v>
      </c>
      <c r="Y14" s="24"/>
      <c r="Z14" s="15">
        <v>2260</v>
      </c>
      <c r="AA14" s="24"/>
    </row>
    <row r="15" ht="20.05" customHeight="1">
      <c r="B15" s="13"/>
      <c r="C15" s="14">
        <v>5534</v>
      </c>
      <c r="D15" s="15">
        <v>277</v>
      </c>
      <c r="E15" s="15">
        <v>915</v>
      </c>
      <c r="F15" s="15">
        <v>4757</v>
      </c>
      <c r="G15" s="15">
        <v>7675</v>
      </c>
      <c r="H15" s="15">
        <v>26098</v>
      </c>
      <c r="I15" s="15">
        <v>3458</v>
      </c>
      <c r="J15" s="15">
        <v>298</v>
      </c>
      <c r="K15" s="15">
        <v>24</v>
      </c>
      <c r="L15" s="15">
        <v>-7.9</v>
      </c>
      <c r="M15" s="15">
        <v>237.5</v>
      </c>
      <c r="N15" s="15">
        <f>SUM(C12:C15)/4</f>
        <v>5447</v>
      </c>
      <c r="O15" s="15"/>
      <c r="P15" s="16"/>
      <c r="Q15" s="16">
        <f>((D15+E15)/C15)</f>
        <v>0.21539573545356</v>
      </c>
      <c r="R15" s="16">
        <f>AVERAGE(Q12:Q15)</f>
        <v>0.228937813166948</v>
      </c>
      <c r="S15" s="17"/>
      <c r="T15" s="15">
        <f>SUM(J12:K15)/4</f>
        <v>79.5</v>
      </c>
      <c r="U15" s="17"/>
      <c r="V15" s="15">
        <f>-(L15+M15)+V14</f>
        <v>7128</v>
      </c>
      <c r="W15" s="17"/>
      <c r="X15" s="15">
        <f>F15-G15</f>
        <v>-2918</v>
      </c>
      <c r="Y15" s="24"/>
      <c r="Z15" s="15">
        <v>2660</v>
      </c>
      <c r="AA15" s="24"/>
    </row>
    <row r="16" ht="20.05" customHeight="1">
      <c r="B16" s="21">
        <v>2020</v>
      </c>
      <c r="C16" s="14">
        <v>5122</v>
      </c>
      <c r="D16" s="15">
        <v>290</v>
      </c>
      <c r="E16" s="15">
        <v>909</v>
      </c>
      <c r="F16" s="15">
        <v>7509</v>
      </c>
      <c r="G16" s="15">
        <v>7802</v>
      </c>
      <c r="H16" s="15">
        <v>27728</v>
      </c>
      <c r="I16" s="15">
        <v>5113</v>
      </c>
      <c r="J16" s="15">
        <v>1147</v>
      </c>
      <c r="K16" s="15">
        <v>1560</v>
      </c>
      <c r="L16" s="15">
        <v>-12.8</v>
      </c>
      <c r="M16" s="15">
        <v>-5</v>
      </c>
      <c r="N16" s="15">
        <f>SUM(C13:C16)/4</f>
        <v>5393.25</v>
      </c>
      <c r="O16" s="15">
        <v>5490.55</v>
      </c>
      <c r="P16" s="16"/>
      <c r="Q16" s="16">
        <f>((D16+E16)/C16)</f>
        <v>0.234088246778602</v>
      </c>
      <c r="R16" s="16">
        <f>AVERAGE(Q13:Q16)</f>
        <v>0.223753672875464</v>
      </c>
      <c r="S16" s="17"/>
      <c r="T16" s="15">
        <f>SUM(J13:K16)/4</f>
        <v>757.75</v>
      </c>
      <c r="U16" s="17"/>
      <c r="V16" s="15">
        <f>-(L16+M16)+V15</f>
        <v>7145.8</v>
      </c>
      <c r="W16" s="17"/>
      <c r="X16" s="15">
        <f>F16-G16</f>
        <v>-293</v>
      </c>
      <c r="Y16" s="24"/>
      <c r="Z16" s="15">
        <v>2180</v>
      </c>
      <c r="AA16" s="17"/>
    </row>
    <row r="17" ht="20.05" customHeight="1">
      <c r="B17" s="13"/>
      <c r="C17" s="14">
        <v>3890</v>
      </c>
      <c r="D17" s="15">
        <v>491</v>
      </c>
      <c r="E17" s="15">
        <v>391</v>
      </c>
      <c r="F17" s="15">
        <v>8644</v>
      </c>
      <c r="G17" s="15">
        <v>10925</v>
      </c>
      <c r="H17" s="15">
        <v>26892</v>
      </c>
      <c r="I17" s="15">
        <v>4716</v>
      </c>
      <c r="J17" s="15">
        <v>919</v>
      </c>
      <c r="K17" s="15">
        <v>287</v>
      </c>
      <c r="L17" s="15">
        <v>-12.7</v>
      </c>
      <c r="M17" s="15">
        <v>-7.5</v>
      </c>
      <c r="N17" s="15">
        <f>SUM(C14:C17)/4</f>
        <v>5046.25</v>
      </c>
      <c r="O17" s="15">
        <v>5243.766666666670</v>
      </c>
      <c r="P17" s="16"/>
      <c r="Q17" s="16">
        <f>((D17+E17)/C17)</f>
        <v>0.226735218508997</v>
      </c>
      <c r="R17" s="16">
        <f>AVERAGE(Q14:Q17)</f>
        <v>0.228950171705063</v>
      </c>
      <c r="S17" s="17"/>
      <c r="T17" s="15">
        <f>SUM(J14:K17)/4</f>
        <v>801.5</v>
      </c>
      <c r="U17" s="17"/>
      <c r="V17" s="15">
        <f>-(L17+M17)+V16</f>
        <v>7166</v>
      </c>
      <c r="W17" s="17"/>
      <c r="X17" s="15">
        <f>F17-G17</f>
        <v>-2281</v>
      </c>
      <c r="Y17" s="24"/>
      <c r="Z17" s="15">
        <v>2020</v>
      </c>
      <c r="AA17" s="15">
        <v>6443.052228078560</v>
      </c>
    </row>
    <row r="18" ht="20.05" customHeight="1">
      <c r="B18" s="13"/>
      <c r="C18" s="14">
        <v>3837</v>
      </c>
      <c r="D18" s="15">
        <v>346</v>
      </c>
      <c r="E18" s="15">
        <v>441</v>
      </c>
      <c r="F18" s="15">
        <v>5389</v>
      </c>
      <c r="G18" s="15">
        <v>7926</v>
      </c>
      <c r="H18" s="15">
        <v>24506</v>
      </c>
      <c r="I18" s="15">
        <v>3912</v>
      </c>
      <c r="J18" s="15">
        <v>1401</v>
      </c>
      <c r="K18" s="15">
        <v>-1005</v>
      </c>
      <c r="L18" s="15">
        <v>-12.8</v>
      </c>
      <c r="M18" s="15">
        <v>-3661.2</v>
      </c>
      <c r="N18" s="15">
        <f>SUM(C15:C18)/4</f>
        <v>4595.75</v>
      </c>
      <c r="O18" s="15">
        <v>4953.95</v>
      </c>
      <c r="P18" s="16"/>
      <c r="Q18" s="16">
        <f>((D18+E18)/C18)</f>
        <v>0.205108157414647</v>
      </c>
      <c r="R18" s="16">
        <f>AVERAGE(Q15:Q18)</f>
        <v>0.220331839538952</v>
      </c>
      <c r="S18" s="17"/>
      <c r="T18" s="15">
        <f>SUM(J15:K18)/4</f>
        <v>1157.75</v>
      </c>
      <c r="U18" s="17"/>
      <c r="V18" s="15">
        <f>-(L18+M18)+V17</f>
        <v>10840</v>
      </c>
      <c r="W18" s="17"/>
      <c r="X18" s="15">
        <f>F18-G18</f>
        <v>-2537</v>
      </c>
      <c r="Y18" s="24"/>
      <c r="Z18" s="15">
        <v>1970</v>
      </c>
      <c r="AA18" s="15">
        <v>4741.1824374921</v>
      </c>
    </row>
    <row r="19" ht="20.05" customHeight="1">
      <c r="B19" s="13"/>
      <c r="C19" s="14">
        <v>4476.19</v>
      </c>
      <c r="D19" s="15">
        <v>392.17</v>
      </c>
      <c r="E19" s="15">
        <v>666.92</v>
      </c>
      <c r="F19" s="15">
        <v>4341</v>
      </c>
      <c r="G19" s="15">
        <v>7117</v>
      </c>
      <c r="H19" s="15">
        <v>24056</v>
      </c>
      <c r="I19" s="15">
        <v>4286.4</v>
      </c>
      <c r="J19" s="15">
        <v>-313.4</v>
      </c>
      <c r="K19" s="15">
        <v>-728.4</v>
      </c>
      <c r="L19" s="15">
        <v>-11.3</v>
      </c>
      <c r="M19" s="15">
        <v>0.1</v>
      </c>
      <c r="N19" s="15">
        <f>SUM(C16:C19)/4</f>
        <v>4331.2975</v>
      </c>
      <c r="O19" s="15">
        <v>4722.8025</v>
      </c>
      <c r="P19" s="16"/>
      <c r="Q19" s="16">
        <f>((D19+E19)/C19)</f>
        <v>0.236605237936727</v>
      </c>
      <c r="R19" s="16">
        <f>AVERAGE(Q16:Q19)</f>
        <v>0.225634215159743</v>
      </c>
      <c r="S19" s="17"/>
      <c r="T19" s="15">
        <f>SUM(J16:K19)/4</f>
        <v>816.8</v>
      </c>
      <c r="U19" s="17"/>
      <c r="V19" s="15">
        <f>-(L19+M19)+V18</f>
        <v>10851.2</v>
      </c>
      <c r="W19" s="17"/>
      <c r="X19" s="15">
        <f>F19-G19</f>
        <v>-2776</v>
      </c>
      <c r="Y19" s="24"/>
      <c r="Z19" s="15">
        <v>2810</v>
      </c>
      <c r="AA19" s="15">
        <v>7374.0925589837</v>
      </c>
    </row>
    <row r="20" ht="20.05" customHeight="1">
      <c r="B20" s="21">
        <v>2021</v>
      </c>
      <c r="C20" s="14">
        <v>3994.9</v>
      </c>
      <c r="D20" s="15">
        <v>329.9</v>
      </c>
      <c r="E20" s="15">
        <v>510.5</v>
      </c>
      <c r="F20" s="15">
        <v>4433</v>
      </c>
      <c r="G20" s="15">
        <v>6960</v>
      </c>
      <c r="H20" s="15">
        <v>24526</v>
      </c>
      <c r="I20" s="15">
        <v>3715.2</v>
      </c>
      <c r="J20" s="15">
        <v>353.4</v>
      </c>
      <c r="K20" s="15">
        <v>-167.6</v>
      </c>
      <c r="L20" s="15">
        <v>-104</v>
      </c>
      <c r="M20" s="15">
        <v>0</v>
      </c>
      <c r="N20" s="15">
        <f>SUM(C17:C20)/4</f>
        <v>4049.5225</v>
      </c>
      <c r="O20" s="15">
        <v>4585.933325</v>
      </c>
      <c r="P20" s="16"/>
      <c r="Q20" s="16">
        <f>((D20+E20)/C20)</f>
        <v>0.210368219479837</v>
      </c>
      <c r="R20" s="16">
        <f>AVERAGE(Q17:Q20)</f>
        <v>0.219704208335052</v>
      </c>
      <c r="S20" s="17"/>
      <c r="T20" s="15">
        <f>SUM(J17:K20)/4</f>
        <v>186.5</v>
      </c>
      <c r="U20" s="17"/>
      <c r="V20" s="15">
        <f>-(L20+M20)+V19</f>
        <v>10955.2</v>
      </c>
      <c r="W20" s="17"/>
      <c r="X20" s="15">
        <f>F20-G20</f>
        <v>-2527</v>
      </c>
      <c r="Y20" s="15"/>
      <c r="Z20" s="15">
        <v>2540.44751</v>
      </c>
      <c r="AA20" s="15">
        <v>4954.068572573550</v>
      </c>
    </row>
    <row r="21" ht="20.05" customHeight="1">
      <c r="B21" s="13"/>
      <c r="C21" s="14">
        <v>6296.4</v>
      </c>
      <c r="D21" s="15">
        <v>222.6</v>
      </c>
      <c r="E21" s="15">
        <v>1298.3</v>
      </c>
      <c r="F21" s="15">
        <v>2475</v>
      </c>
      <c r="G21" s="15">
        <v>9536</v>
      </c>
      <c r="H21" s="15">
        <v>27044</v>
      </c>
      <c r="I21" s="15">
        <v>4751.3</v>
      </c>
      <c r="J21" s="15">
        <v>1878.3</v>
      </c>
      <c r="K21" s="15">
        <v>-2986.9</v>
      </c>
      <c r="L21" s="15">
        <v>-1</v>
      </c>
      <c r="M21" s="15">
        <v>-854</v>
      </c>
      <c r="N21" s="15">
        <f>SUM(C18:C21)/4</f>
        <v>4651.1225</v>
      </c>
      <c r="O21" s="15">
        <v>4467.133325</v>
      </c>
      <c r="P21" s="16">
        <f>C21/C20-1</f>
        <v>0.57610953966307</v>
      </c>
      <c r="Q21" s="16">
        <f>((D21+E21)/C21)</f>
        <v>0.241550727399784</v>
      </c>
      <c r="R21" s="16">
        <f>AVERAGE(Q18:Q21)</f>
        <v>0.223408085557749</v>
      </c>
      <c r="S21" s="17"/>
      <c r="T21" s="15">
        <f>SUM(J18:K21)/4</f>
        <v>-392.15</v>
      </c>
      <c r="U21" s="17"/>
      <c r="V21" s="15">
        <f>-(L21+M21)+V20</f>
        <v>11810.2</v>
      </c>
      <c r="W21" s="17"/>
      <c r="X21" s="15">
        <f>F21-G21</f>
        <v>-7061</v>
      </c>
      <c r="Y21" s="15"/>
      <c r="Z21" s="15">
        <v>2010</v>
      </c>
      <c r="AA21" s="15">
        <v>5810.028052835380</v>
      </c>
    </row>
    <row r="22" ht="20.05" customHeight="1">
      <c r="B22" s="13"/>
      <c r="C22" s="14">
        <v>9090.5</v>
      </c>
      <c r="D22" s="15">
        <v>377.8</v>
      </c>
      <c r="E22" s="15">
        <v>3044.6</v>
      </c>
      <c r="F22" s="15">
        <v>4819</v>
      </c>
      <c r="G22" s="15">
        <v>11167</v>
      </c>
      <c r="H22" s="15">
        <v>32191</v>
      </c>
      <c r="I22" s="15">
        <v>8678.700000000001</v>
      </c>
      <c r="J22" s="15">
        <v>3588</v>
      </c>
      <c r="K22" s="15">
        <v>-1910.1</v>
      </c>
      <c r="L22" s="15">
        <v>-1</v>
      </c>
      <c r="M22" s="15">
        <v>684</v>
      </c>
      <c r="N22" s="15">
        <f>SUM(C19:C22)/4</f>
        <v>5964.4975</v>
      </c>
      <c r="O22" s="15">
        <v>5051.590325</v>
      </c>
      <c r="P22" s="16">
        <f>C22/C21-1</f>
        <v>0.443761514516231</v>
      </c>
      <c r="Q22" s="16">
        <f>((D22+E22)/C22)</f>
        <v>0.376480941642374</v>
      </c>
      <c r="R22" s="16">
        <f>AVERAGE(Q19:Q22)</f>
        <v>0.266251281614681</v>
      </c>
      <c r="S22" s="17"/>
      <c r="T22" s="15">
        <f>SUM(J19:K22)/4</f>
        <v>-71.675</v>
      </c>
      <c r="U22" s="17"/>
      <c r="V22" s="15">
        <f>-(L22+M22)+V21</f>
        <v>11127.2</v>
      </c>
      <c r="W22" s="17"/>
      <c r="X22" s="15">
        <f>F22-G22</f>
        <v>-6348</v>
      </c>
      <c r="Y22" s="15"/>
      <c r="Z22" s="15">
        <v>2760</v>
      </c>
      <c r="AA22" s="15">
        <v>9586.266810083371</v>
      </c>
    </row>
    <row r="23" ht="20.05" customHeight="1">
      <c r="B23" s="13"/>
      <c r="C23" s="14">
        <v>9879.700000000001</v>
      </c>
      <c r="D23" s="15">
        <v>614.7</v>
      </c>
      <c r="E23" s="15">
        <v>3183.5</v>
      </c>
      <c r="F23" s="15">
        <v>4394</v>
      </c>
      <c r="G23" s="15">
        <v>11870</v>
      </c>
      <c r="H23" s="15">
        <v>36124</v>
      </c>
      <c r="I23" s="15">
        <v>10584.2</v>
      </c>
      <c r="J23" s="15">
        <v>4432.2</v>
      </c>
      <c r="K23" s="15">
        <v>-4774.1</v>
      </c>
      <c r="L23" s="15">
        <v>-1</v>
      </c>
      <c r="M23" s="15">
        <v>-91</v>
      </c>
      <c r="N23" s="15">
        <f>SUM(C20:C23)/4</f>
        <v>7315.375</v>
      </c>
      <c r="O23" s="15">
        <v>6189.790325</v>
      </c>
      <c r="P23" s="16">
        <f>C23/C22-1</f>
        <v>0.08681590671580219</v>
      </c>
      <c r="Q23" s="16">
        <f>((D23+E23)/C23)</f>
        <v>0.384444871807848</v>
      </c>
      <c r="R23" s="16">
        <f>AVERAGE(Q20:Q23)</f>
        <v>0.303211190082461</v>
      </c>
      <c r="S23" s="17"/>
      <c r="T23" s="15">
        <f>SUM(J20:K23)/4</f>
        <v>103.3</v>
      </c>
      <c r="U23" s="17"/>
      <c r="V23" s="15">
        <f>-(L23+M23)+V22</f>
        <v>11219.2</v>
      </c>
      <c r="W23" s="17"/>
      <c r="X23" s="15">
        <f>F23-G23</f>
        <v>-7476</v>
      </c>
      <c r="Y23" s="15"/>
      <c r="Z23" s="15">
        <v>2710</v>
      </c>
      <c r="AA23" s="15">
        <v>9586.266810083371</v>
      </c>
    </row>
    <row r="24" ht="20.05" customHeight="1">
      <c r="B24" s="21">
        <v>2022</v>
      </c>
      <c r="C24" s="14">
        <v>8205</v>
      </c>
      <c r="D24" s="15">
        <v>438</v>
      </c>
      <c r="E24" s="15">
        <v>2301</v>
      </c>
      <c r="F24" s="15">
        <v>6106</v>
      </c>
      <c r="G24" s="15">
        <v>12468</v>
      </c>
      <c r="H24" s="15">
        <v>38990</v>
      </c>
      <c r="I24" s="15">
        <v>7244</v>
      </c>
      <c r="J24" s="15">
        <v>2128</v>
      </c>
      <c r="K24" s="15">
        <v>-416.4</v>
      </c>
      <c r="L24" s="15">
        <v>-1</v>
      </c>
      <c r="M24" s="15">
        <v>0</v>
      </c>
      <c r="N24" s="15">
        <f>SUM(C21:C24)/4</f>
        <v>8367.9</v>
      </c>
      <c r="O24" s="15">
        <v>7833.19075</v>
      </c>
      <c r="P24" s="16">
        <f>C24/C23-1</f>
        <v>-0.169509195623349</v>
      </c>
      <c r="Q24" s="16">
        <f>((D24+E24)/C24)</f>
        <v>0.33382084095064</v>
      </c>
      <c r="R24" s="16">
        <f>AVERAGE(Q21:Q24)</f>
        <v>0.334074345450162</v>
      </c>
      <c r="S24" s="35"/>
      <c r="T24" s="15">
        <f>SUM(J21:K24)/4</f>
        <v>484.75</v>
      </c>
      <c r="U24" s="15">
        <v>3187.7189288073</v>
      </c>
      <c r="V24" s="15">
        <f>-(L24+M24)+V23</f>
        <v>11220.2</v>
      </c>
      <c r="W24" s="15"/>
      <c r="X24" s="15">
        <f>F24-G24</f>
        <v>-6362</v>
      </c>
      <c r="Y24" s="15">
        <v>-385.915313733590</v>
      </c>
      <c r="Z24" s="15">
        <v>3290</v>
      </c>
      <c r="AA24" s="15">
        <v>11329.2244119167</v>
      </c>
    </row>
    <row r="25" ht="20.05" customHeight="1">
      <c r="B25" s="13"/>
      <c r="C25" s="14">
        <v>10218</v>
      </c>
      <c r="D25" s="15">
        <v>826</v>
      </c>
      <c r="E25" s="15">
        <v>3975</v>
      </c>
      <c r="F25" s="15">
        <v>4165</v>
      </c>
      <c r="G25" s="15">
        <v>13208</v>
      </c>
      <c r="H25" s="15">
        <v>35913</v>
      </c>
      <c r="I25" s="15">
        <v>11141</v>
      </c>
      <c r="J25" s="15">
        <v>3767</v>
      </c>
      <c r="K25" s="15">
        <v>2228.4</v>
      </c>
      <c r="L25" s="15">
        <v>-1</v>
      </c>
      <c r="M25" s="15">
        <v>-7971</v>
      </c>
      <c r="N25" s="15">
        <f>SUM(C22:C25)/4</f>
        <v>9348.299999999999</v>
      </c>
      <c r="O25" s="15">
        <v>9328.50325</v>
      </c>
      <c r="P25" s="16">
        <f>C25/C24-1</f>
        <v>0.245338208409506</v>
      </c>
      <c r="Q25" s="16">
        <f>((D25+E25)/C25)</f>
        <v>0.469857114895283</v>
      </c>
      <c r="R25" s="16">
        <f>AVERAGE(Q22:Q25)</f>
        <v>0.391150942324036</v>
      </c>
      <c r="S25" s="35"/>
      <c r="T25" s="15">
        <f>SUM(J22:K25)/4</f>
        <v>2260.75</v>
      </c>
      <c r="U25" s="15">
        <v>2123.449406692580</v>
      </c>
      <c r="V25" s="15">
        <f>-(L25+M25)+V24</f>
        <v>19192.2</v>
      </c>
      <c r="W25" s="15"/>
      <c r="X25" s="15">
        <f>F25-G25</f>
        <v>-9043</v>
      </c>
      <c r="Y25" s="15">
        <v>-848.068856514160</v>
      </c>
      <c r="Z25" s="15">
        <v>3820</v>
      </c>
      <c r="AA25" s="15">
        <v>12184.9380243919</v>
      </c>
    </row>
    <row r="26" ht="20.05" customHeight="1">
      <c r="B26" s="13"/>
      <c r="C26" s="14">
        <v>12647.9</v>
      </c>
      <c r="D26" s="15">
        <v>412.4</v>
      </c>
      <c r="E26" s="15">
        <v>3901.6</v>
      </c>
      <c r="F26" s="15">
        <v>5318</v>
      </c>
      <c r="G26" s="15">
        <v>14782</v>
      </c>
      <c r="H26" s="15">
        <v>41217</v>
      </c>
      <c r="I26" s="15">
        <v>11612.7</v>
      </c>
      <c r="J26" s="15">
        <v>3266.7</v>
      </c>
      <c r="K26" s="15">
        <v>-2115</v>
      </c>
      <c r="L26" s="15">
        <v>-0.7</v>
      </c>
      <c r="M26" s="15">
        <v>-0.6</v>
      </c>
      <c r="N26" s="15">
        <f>AVERAGE(C26)</f>
        <v>12647.9</v>
      </c>
      <c r="O26" s="15">
        <v>9910.445863499999</v>
      </c>
      <c r="P26" s="16">
        <f>C26/C25-1</f>
        <v>0.237805832844001</v>
      </c>
      <c r="Q26" s="16">
        <f>((D26+E26)/C26)</f>
        <v>0.34108429067276</v>
      </c>
      <c r="R26" s="16">
        <f>AVERAGE(Q23:Q26)</f>
        <v>0.382301779581633</v>
      </c>
      <c r="S26" s="35">
        <f>S27</f>
        <v>0.34108429067276</v>
      </c>
      <c r="T26" s="15">
        <f>SUM(J23:K26)/4</f>
        <v>2129.2</v>
      </c>
      <c r="U26" s="15">
        <v>2107.621100684090</v>
      </c>
      <c r="V26" s="15">
        <f>-(L26+M26)+V25</f>
        <v>19193.5</v>
      </c>
      <c r="W26" s="15">
        <f>W27</f>
        <v>29292.3761815952</v>
      </c>
      <c r="X26" s="15">
        <f>F26-G26</f>
        <v>-9464</v>
      </c>
      <c r="Y26" s="15">
        <v>-7970.076238905450</v>
      </c>
      <c r="Z26" s="15">
        <v>4170</v>
      </c>
      <c r="AA26" s="15">
        <v>9012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AVERAGE(AD52:AG52)</f>
        <v>13360.6837243705</v>
      </c>
      <c r="P27" s="17"/>
      <c r="Q27" s="17"/>
      <c r="R27" s="17"/>
      <c r="S27" s="35">
        <f>AD53</f>
        <v>0.34108429067276</v>
      </c>
      <c r="T27" s="17"/>
      <c r="U27" s="15">
        <f>SUM(AD55:AG55)/4</f>
        <v>2647.01933103</v>
      </c>
      <c r="V27" s="17"/>
      <c r="W27" s="15">
        <f>-SUM(AD76:AG76)+V26</f>
        <v>29292.3761815952</v>
      </c>
      <c r="X27" s="17"/>
      <c r="Y27" s="15">
        <f>AG75</f>
        <v>-6232.8302449752</v>
      </c>
      <c r="Z27" s="15">
        <v>3330</v>
      </c>
      <c r="AA27" s="15">
        <v>7339.024492354370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71711.164999999994</v>
      </c>
      <c r="O28" s="15">
        <f>SUM(O16:O26)</f>
        <v>67777.6563301667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AG88</f>
        <v>6912.962093563420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6" ht="27.65" customHeight="1">
      <c r="AB46" t="s" s="2">
        <v>186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ht="20.25" customHeight="1">
      <c r="AB47" t="s" s="28">
        <v>366</v>
      </c>
      <c r="AC47" t="s" s="29">
        <v>23</v>
      </c>
      <c r="AD47" t="s" s="29">
        <v>24</v>
      </c>
      <c r="AE47" t="s" s="29">
        <v>25</v>
      </c>
      <c r="AF47" t="s" s="29">
        <v>26</v>
      </c>
      <c r="AG47" t="s" s="29">
        <v>23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ht="20.25" customHeight="1">
      <c r="AB48" t="s" s="31">
        <v>15</v>
      </c>
      <c r="AC48" s="32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</row>
    <row r="49" ht="20.05" customHeight="1">
      <c r="AB49" t="s" s="33">
        <v>27</v>
      </c>
      <c r="AC49" s="34"/>
      <c r="AD49" s="16">
        <f>AVERAGE(P23:P26)</f>
        <v>0.10011268808649</v>
      </c>
      <c r="AE49" s="35"/>
      <c r="AF49" s="35"/>
      <c r="AG49" s="35">
        <f>AVERAGE(AD51:AG51)</f>
        <v>0.0175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s="36"/>
      <c r="AC50" s="37"/>
      <c r="AD50" s="35">
        <f>P23</f>
        <v>0.08681590671580219</v>
      </c>
      <c r="AE50" s="35">
        <f>P24</f>
        <v>-0.169509195623349</v>
      </c>
      <c r="AF50" s="35">
        <f>P25</f>
        <v>0.245338208409506</v>
      </c>
      <c r="AG50" s="35">
        <f>P26</f>
        <v>0.237805832844001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t="s" s="33">
        <v>13</v>
      </c>
      <c r="AC51" s="37"/>
      <c r="AD51" s="35">
        <v>0.07000000000000001</v>
      </c>
      <c r="AE51" s="35">
        <v>-0.03</v>
      </c>
      <c r="AF51" s="35">
        <v>0.01</v>
      </c>
      <c r="AG51" s="35">
        <v>0.02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28</v>
      </c>
      <c r="AC52" s="38">
        <f>C26</f>
        <v>12647.9</v>
      </c>
      <c r="AD52" s="23">
        <f>C26*(1+AD51)</f>
        <v>13533.253</v>
      </c>
      <c r="AE52" s="23">
        <f>AD52*(1+AE51)</f>
        <v>13127.25541</v>
      </c>
      <c r="AF52" s="23">
        <f>AE52*(1+AF51)</f>
        <v>13258.5279641</v>
      </c>
      <c r="AG52" s="23">
        <f>AF52*(1+AG51)</f>
        <v>13523.698523382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ht="20.05" customHeight="1">
      <c r="AB53" t="s" s="33">
        <v>14</v>
      </c>
      <c r="AC53" s="37"/>
      <c r="AD53" s="35">
        <f>AVERAGE(Q26)</f>
        <v>0.34108429067276</v>
      </c>
      <c r="AE53" s="35">
        <f>AD53</f>
        <v>0.34108429067276</v>
      </c>
      <c r="AF53" s="35">
        <f>AE53</f>
        <v>0.34108429067276</v>
      </c>
      <c r="AG53" s="35">
        <f>AF53</f>
        <v>0.34108429067276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</row>
    <row r="54" ht="20.05" customHeight="1">
      <c r="AB54" t="s" s="33">
        <v>29</v>
      </c>
      <c r="AC54" s="14"/>
      <c r="AD54" s="15">
        <f>AVERAGE(K22)</f>
        <v>-1910.1</v>
      </c>
      <c r="AE54" s="15">
        <f>AD54</f>
        <v>-1910.1</v>
      </c>
      <c r="AF54" s="15">
        <f>AE54</f>
        <v>-1910.1</v>
      </c>
      <c r="AG54" s="15">
        <f>AF54</f>
        <v>-1910.1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30</v>
      </c>
      <c r="AC55" s="14"/>
      <c r="AD55" s="15">
        <f>(AD52*AD53)+AD54</f>
        <v>2705.88</v>
      </c>
      <c r="AE55" s="15">
        <f>(AE52*AE53)+AE54</f>
        <v>2567.4006</v>
      </c>
      <c r="AF55" s="15">
        <f>(AF52*AF53)+AF54</f>
        <v>2612.175606</v>
      </c>
      <c r="AG55" s="15">
        <f>(AG52*AG53)+AG54</f>
        <v>2702.62111812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31</v>
      </c>
      <c r="AC56" s="14"/>
      <c r="AD56" s="15">
        <f>-G26/20</f>
        <v>-739.1</v>
      </c>
      <c r="AE56" s="15">
        <f>-AD71/20</f>
        <v>-702.145</v>
      </c>
      <c r="AF56" s="15">
        <f>-AE71/20</f>
        <v>-667.03775</v>
      </c>
      <c r="AG56" s="15">
        <f>-AF71/20</f>
        <v>-633.6858625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32</v>
      </c>
      <c r="AC57" s="39"/>
      <c r="AD57" s="40">
        <v>-0.46</v>
      </c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33</v>
      </c>
      <c r="AC58" s="14"/>
      <c r="AD58" s="15">
        <f>IF(AD66&gt;0,AD66*$AD$57,0)</f>
        <v>-1866.3028</v>
      </c>
      <c r="AE58" s="15">
        <f>IF(AE66&gt;0,AE66*$AD$57,0)</f>
        <v>-1802.602276</v>
      </c>
      <c r="AF58" s="15">
        <f>IF(AF66&gt;0,AF66*$AD$57,0)</f>
        <v>-1823.19877876</v>
      </c>
      <c r="AG58" s="15">
        <f>IF(AG66&gt;0,AG66*$AD$57,0)</f>
        <v>-1864.8037143352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34</v>
      </c>
      <c r="AC59" s="14"/>
      <c r="AD59" s="15">
        <f>AD55+AD56+AD58</f>
        <v>100.4772</v>
      </c>
      <c r="AE59" s="15">
        <f>AE55+AE56+AE58</f>
        <v>62.653324</v>
      </c>
      <c r="AF59" s="15">
        <f>AF55+AF56+AF58</f>
        <v>121.93907724</v>
      </c>
      <c r="AG59" s="15">
        <f>AG55+AG56+AG58</f>
        <v>204.1315412848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35</v>
      </c>
      <c r="AC60" s="14"/>
      <c r="AD60" s="15">
        <f>-MIN(0,AD59)</f>
        <v>0</v>
      </c>
      <c r="AE60" s="15">
        <f>-MIN(AD72,AE59)</f>
        <v>0</v>
      </c>
      <c r="AF60" s="15">
        <f>-MIN(AE72,AF59)</f>
        <v>0</v>
      </c>
      <c r="AG60" s="15">
        <f>-MIN(AF72,AG59)</f>
        <v>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36</v>
      </c>
      <c r="AC61" s="14"/>
      <c r="AD61" s="15">
        <f>F26</f>
        <v>5318</v>
      </c>
      <c r="AE61" s="15">
        <f>AD63</f>
        <v>5418.4772</v>
      </c>
      <c r="AF61" s="15">
        <f>AE63</f>
        <v>5481.130524</v>
      </c>
      <c r="AG61" s="15">
        <f>AF63</f>
        <v>5603.06960124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37</v>
      </c>
      <c r="AC62" s="14"/>
      <c r="AD62" s="15">
        <f>AD55+AD56+AD58+AD60</f>
        <v>100.4772</v>
      </c>
      <c r="AE62" s="15">
        <f>AE55+AE56+AE58+AE60</f>
        <v>62.653324</v>
      </c>
      <c r="AF62" s="15">
        <f>AF55+AF56+AF58+AF60</f>
        <v>121.93907724</v>
      </c>
      <c r="AG62" s="15">
        <f>AG55+AG56+AG58+AG60</f>
        <v>204.1315412848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38</v>
      </c>
      <c r="AC63" s="14"/>
      <c r="AD63" s="15">
        <f>AD61+AD62</f>
        <v>5418.4772</v>
      </c>
      <c r="AE63" s="15">
        <f>AE61+AE62</f>
        <v>5481.130524</v>
      </c>
      <c r="AF63" s="15">
        <f>AF61+AF62</f>
        <v>5603.06960124</v>
      </c>
      <c r="AG63" s="15">
        <f>AG61+AG62</f>
        <v>5807.2011425248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41">
        <v>4</v>
      </c>
      <c r="AC64" s="14"/>
      <c r="AD64" s="15"/>
      <c r="AE64" s="15"/>
      <c r="AF64" s="15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ht="20.05" customHeight="1">
      <c r="AB65" t="s" s="33">
        <v>3</v>
      </c>
      <c r="AC65" s="14"/>
      <c r="AD65" s="15">
        <f>-AVERAGE(D24:D26)</f>
        <v>-558.8</v>
      </c>
      <c r="AE65" s="15">
        <f>AD65</f>
        <v>-558.8</v>
      </c>
      <c r="AF65" s="15">
        <f>AE65</f>
        <v>-558.8</v>
      </c>
      <c r="AG65" s="15">
        <f>AF65</f>
        <v>-558.8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</v>
      </c>
      <c r="AC66" s="14"/>
      <c r="AD66" s="15">
        <f>(AD52*AD53)+AD65</f>
        <v>4057.18</v>
      </c>
      <c r="AE66" s="15">
        <f>(AE52*AE53)+AE65</f>
        <v>3918.7006</v>
      </c>
      <c r="AF66" s="15">
        <f>(AF52*AF53)+AF65</f>
        <v>3963.475606</v>
      </c>
      <c r="AG66" s="15">
        <f>(AG52*AG53)+AG65</f>
        <v>4053.92111812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41">
        <v>39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40</v>
      </c>
      <c r="AC68" s="14"/>
      <c r="AD68" s="15">
        <f>H26-F26-AD54</f>
        <v>37809.1</v>
      </c>
      <c r="AE68" s="15">
        <f>AD68-AE54</f>
        <v>39719.2</v>
      </c>
      <c r="AF68" s="15">
        <f>AE68-AF54</f>
        <v>41629.3</v>
      </c>
      <c r="AG68" s="15">
        <f>AF68-AG54</f>
        <v>43539.4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41</v>
      </c>
      <c r="AC69" s="14"/>
      <c r="AD69" s="15">
        <f>0-AD65</f>
        <v>558.8</v>
      </c>
      <c r="AE69" s="15">
        <f>AD69-AE65</f>
        <v>1117.6</v>
      </c>
      <c r="AF69" s="15">
        <f>AE69-AF65</f>
        <v>1676.4</v>
      </c>
      <c r="AG69" s="15">
        <f>AF69-AG65</f>
        <v>2235.2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42</v>
      </c>
      <c r="AC70" s="14"/>
      <c r="AD70" s="15">
        <f>AD68-AD69</f>
        <v>37250.3</v>
      </c>
      <c r="AE70" s="15">
        <f>AE68-AE69</f>
        <v>38601.6</v>
      </c>
      <c r="AF70" s="15">
        <f>AF68-AF69</f>
        <v>39952.9</v>
      </c>
      <c r="AG70" s="15">
        <f>AG68-AG69</f>
        <v>41304.2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6</v>
      </c>
      <c r="AC71" s="14"/>
      <c r="AD71" s="15">
        <f>G26+AD56</f>
        <v>14042.9</v>
      </c>
      <c r="AE71" s="15">
        <f>AD71+AE56</f>
        <v>13340.755</v>
      </c>
      <c r="AF71" s="15">
        <f>AE71+AF56</f>
        <v>12673.71725</v>
      </c>
      <c r="AG71" s="15">
        <f>AF71+AG56</f>
        <v>12040.0313875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35</v>
      </c>
      <c r="AC72" s="14"/>
      <c r="AD72" s="15">
        <f>AD60</f>
        <v>0</v>
      </c>
      <c r="AE72" s="15">
        <f>AD72+AE60</f>
        <v>0</v>
      </c>
      <c r="AF72" s="15">
        <f>AE72+AF60</f>
        <v>0</v>
      </c>
      <c r="AG72" s="15">
        <f>AF72+AG60</f>
        <v>0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11</v>
      </c>
      <c r="AC73" s="14"/>
      <c r="AD73" s="15">
        <f>(H26-G26)+AD66+AD58</f>
        <v>28625.8772</v>
      </c>
      <c r="AE73" s="15">
        <f>AD73+AE66+AE58</f>
        <v>30741.975524</v>
      </c>
      <c r="AF73" s="15">
        <f>AE73+AF66+AF58</f>
        <v>32882.25235124</v>
      </c>
      <c r="AG73" s="15">
        <f>AF73+AG66+AG58</f>
        <v>35071.3697550248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43</v>
      </c>
      <c r="AC74" s="14"/>
      <c r="AD74" s="15">
        <f>AD71+AD72+AD73-AD63-AD70</f>
        <v>0</v>
      </c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18</v>
      </c>
      <c r="AC75" s="14"/>
      <c r="AD75" s="15">
        <f>AD63-AD71-AD72</f>
        <v>-8624.4228</v>
      </c>
      <c r="AE75" s="15">
        <f>AE63-AE71-AE72</f>
        <v>-7859.624476</v>
      </c>
      <c r="AF75" s="15">
        <f>AF63-AF71-AF72</f>
        <v>-7070.64764876</v>
      </c>
      <c r="AG75" s="15">
        <f>AG63-AG71-AG72</f>
        <v>-6232.8302449752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44</v>
      </c>
      <c r="AC76" s="14"/>
      <c r="AD76" s="15">
        <f>AD56+AD58+AD60</f>
        <v>-2605.4028</v>
      </c>
      <c r="AE76" s="15">
        <f>AE56+AE58+AE60</f>
        <v>-2504.747276</v>
      </c>
      <c r="AF76" s="15">
        <f>AF56+AF58+AF60</f>
        <v>-2490.23652876</v>
      </c>
      <c r="AG76" s="15">
        <f>AG56+AG58+AG60</f>
        <v>-2498.4895768352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45</v>
      </c>
      <c r="AC77" s="14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f>Z$3</f>
        <v>723</v>
      </c>
      <c r="AC78" s="14"/>
      <c r="AD78" s="15"/>
      <c r="AE78" s="15"/>
      <c r="AF78" s="15"/>
      <c r="AG78" s="15">
        <v>3330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$AB78</f>
        <v>723</v>
      </c>
      <c r="AC79" s="14"/>
      <c r="AD79" s="15"/>
      <c r="AE79" s="15"/>
      <c r="AF79" s="15"/>
      <c r="AG79" s="15">
        <v>38252376852480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46</v>
      </c>
      <c r="AC80" s="14"/>
      <c r="AD80" s="15"/>
      <c r="AE80" s="15"/>
      <c r="AF80" s="15"/>
      <c r="AG80" s="15">
        <f>AG79/1000000000</f>
        <v>38252.37685248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47</v>
      </c>
      <c r="AC81" s="14"/>
      <c r="AD81" s="15"/>
      <c r="AE81" s="15"/>
      <c r="AF81" s="15"/>
      <c r="AG81" s="15">
        <f>AG80/AG78</f>
        <v>11.487200256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48</v>
      </c>
      <c r="AC82" s="14"/>
      <c r="AD82" s="15"/>
      <c r="AE82" s="15"/>
      <c r="AF82" s="15"/>
      <c r="AG82" s="43">
        <f>AG80/(AG63+AG70)</f>
        <v>0.811955830750101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ht="20.05" customHeight="1">
      <c r="AB83" t="s" s="33">
        <v>49</v>
      </c>
      <c r="AC83" s="14"/>
      <c r="AD83" s="15"/>
      <c r="AE83" s="15"/>
      <c r="AF83" s="15"/>
      <c r="AG83" s="16">
        <f>-(AD58+AE58+AF58+AG58)/AG80</f>
        <v>0.192325501692798</v>
      </c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ht="20.05" customHeight="1">
      <c r="AB84" t="s" s="33">
        <v>50</v>
      </c>
      <c r="AC84" s="14"/>
      <c r="AD84" s="15"/>
      <c r="AE84" s="15"/>
      <c r="AF84" s="15"/>
      <c r="AG84" s="15">
        <f>SUM(AD55:AG55)</f>
        <v>10588.07732412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51</v>
      </c>
      <c r="AC85" s="14"/>
      <c r="AD85" s="15"/>
      <c r="AE85" s="15"/>
      <c r="AF85" s="15"/>
      <c r="AG85" s="15">
        <f>AG70/AG84</f>
        <v>3.90101042291291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52</v>
      </c>
      <c r="AC86" s="14"/>
      <c r="AD86" s="15"/>
      <c r="AE86" s="15"/>
      <c r="AF86" s="15">
        <f>AG80/AG84</f>
        <v>3.61277838095683</v>
      </c>
      <c r="AG86" s="15">
        <v>7.5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53</v>
      </c>
      <c r="AC87" s="14"/>
      <c r="AD87" s="15"/>
      <c r="AE87" s="15"/>
      <c r="AF87" s="15"/>
      <c r="AG87" s="15">
        <f>AG84*AG86</f>
        <v>79410.5799309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54</v>
      </c>
      <c r="AC88" s="14"/>
      <c r="AD88" s="15"/>
      <c r="AE88" s="15"/>
      <c r="AF88" s="15"/>
      <c r="AG88" s="15">
        <f>(AG87/AG81)</f>
        <v>6912.962093563420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55</v>
      </c>
      <c r="AC89" s="38"/>
      <c r="AD89" s="23"/>
      <c r="AE89" s="23"/>
      <c r="AF89" s="23"/>
      <c r="AG89" s="16">
        <f>AG88/AG78-1</f>
        <v>1.07596459266169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56</v>
      </c>
      <c r="AC90" s="38"/>
      <c r="AD90" s="23"/>
      <c r="AE90" s="23"/>
      <c r="AF90" s="23"/>
      <c r="AG90" s="16">
        <f>C26/C22-1</f>
        <v>0.391331609922447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57</v>
      </c>
      <c r="AC91" s="38"/>
      <c r="AD91" s="23"/>
      <c r="AE91" s="23"/>
      <c r="AF91" s="23"/>
      <c r="AG91" s="16">
        <f>O28/N28-1</f>
        <v>-0.0548521094286127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38"/>
      <c r="AD92" s="23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45"/>
      <c r="AD94" t="s" s="44">
        <f>$AB78</f>
        <v>723</v>
      </c>
      <c r="AE94" t="s" s="44">
        <v>60</v>
      </c>
      <c r="AF94" s="15">
        <f>AG78</f>
        <v>3330</v>
      </c>
      <c r="AG94" t="s" s="44">
        <v>61</v>
      </c>
      <c r="AH94" s="15">
        <f>AG88</f>
        <v>6912.962093563420</v>
      </c>
      <c r="AI94" t="s" s="44">
        <f>IF(AJ94&gt;0,"+","")</f>
        <v>361</v>
      </c>
      <c r="AJ94" s="16">
        <f>AH94/AF94-1</f>
        <v>1.07596459266169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20.05" customHeight="1">
      <c r="AB95" s="36"/>
      <c r="AC95" s="46"/>
      <c r="AD95" s="47">
        <f>TODAY()</f>
        <v>44942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64</v>
      </c>
      <c r="AF97" t="s" s="44">
        <f>IF(AG97&gt;0,"+","")</f>
        <v>361</v>
      </c>
      <c r="AG97" s="16">
        <f>AH104/AD104-1</f>
        <v>0.391331609922447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65</v>
      </c>
      <c r="AF98" t="s" s="44">
        <f>IF(AG98&gt;0,"+","")</f>
        <v>361</v>
      </c>
      <c r="AG98" s="16">
        <f>SUM(AE117:AH118)/AE134</f>
        <v>0.22264760260114</v>
      </c>
      <c r="AH98" t="s" s="44"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17</v>
      </c>
      <c r="AF99" t="s" s="44">
        <f>IF(AG99&gt;0,"+","")</f>
        <v>361</v>
      </c>
      <c r="AG99" s="16">
        <f>SUM(AE131:AH132)/AE134</f>
        <v>0.210870556648221</v>
      </c>
      <c r="AH99" t="s" s="44">
        <f>AH98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68</v>
      </c>
      <c r="AE100" t="s" s="44">
        <v>369</v>
      </c>
      <c r="AF100" s="16">
        <f>AO127/AE134</f>
        <v>-0.247409462593602</v>
      </c>
      <c r="AG100" t="s" s="44">
        <f>AH99</f>
        <v>66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20.05" customHeight="1">
      <c r="AB101" s="36"/>
      <c r="AC101" s="34"/>
      <c r="AD101" t="s" s="44">
        <v>28</v>
      </c>
      <c r="AE101" t="s" s="44">
        <f>AE105</f>
        <v>362</v>
      </c>
      <c r="AF101" s="16">
        <f>AF105</f>
        <v>0.237805832844001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32.05" customHeight="1">
      <c r="AB102" s="36"/>
      <c r="AC102" s="34"/>
      <c r="AD102" t="s" s="44">
        <v>70</v>
      </c>
      <c r="AE102" t="s" s="44">
        <v>371</v>
      </c>
      <c r="AF102" t="s" s="44">
        <f>AL105</f>
        <v>372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71"/>
      <c r="AD103" s="16">
        <f>P22</f>
        <v>0.443761514516231</v>
      </c>
      <c r="AE103" s="16">
        <f>P23</f>
        <v>0.08681590671580219</v>
      </c>
      <c r="AF103" s="16">
        <f>P24</f>
        <v>-0.169509195623349</v>
      </c>
      <c r="AG103" s="16">
        <f>P25</f>
        <v>0.245338208409506</v>
      </c>
      <c r="AH103" s="16">
        <f>P26</f>
        <v>0.237805832844001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34"/>
      <c r="AD104" s="15">
        <f>C22</f>
        <v>9090.5</v>
      </c>
      <c r="AE104" s="15">
        <f>C23</f>
        <v>9879.700000000001</v>
      </c>
      <c r="AF104" s="15">
        <f>C24</f>
        <v>8205</v>
      </c>
      <c r="AG104" s="15">
        <f>C25</f>
        <v>10218</v>
      </c>
      <c r="AH104" s="15">
        <f>C26</f>
        <v>12647.9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44.05" customHeight="1">
      <c r="AB105" s="36"/>
      <c r="AC105" s="34"/>
      <c r="AD105" t="s" s="44">
        <v>2</v>
      </c>
      <c r="AE105" t="s" s="44">
        <f>IF(AF105&lt;0,"declined","grew")</f>
        <v>362</v>
      </c>
      <c r="AF105" s="16">
        <f>AH104/AG104-1</f>
        <v>0.237805832844001</v>
      </c>
      <c r="AG105" t="s" s="44">
        <v>73</v>
      </c>
      <c r="AH105" t="s" s="44">
        <v>74</v>
      </c>
      <c r="AI105" t="s" s="44">
        <v>75</v>
      </c>
      <c r="AJ105" t="s" s="44">
        <v>76</v>
      </c>
      <c r="AK105" s="15">
        <f>AH104</f>
        <v>12647.9</v>
      </c>
      <c r="AL105" t="s" s="44">
        <v>372</v>
      </c>
      <c r="AM105" t="s" s="44">
        <v>378</v>
      </c>
      <c r="AN105" s="16">
        <v>0.0297063450445726</v>
      </c>
      <c r="AO105" t="s" s="44">
        <v>78</v>
      </c>
      <c r="AP105" s="17"/>
      <c r="AQ105" s="17"/>
      <c r="AR105" s="17"/>
      <c r="AS105" s="17"/>
      <c r="AT105" s="17"/>
      <c r="AU105" s="17"/>
    </row>
    <row r="106" ht="56.05" customHeight="1">
      <c r="AB106" s="36"/>
      <c r="AC106" s="34"/>
      <c r="AD106" t="s" s="44">
        <v>79</v>
      </c>
      <c r="AE106" s="16">
        <f>AVERAGE(AE103:AH103)</f>
        <v>0.10011268808649</v>
      </c>
      <c r="AF106" t="s" s="44">
        <v>80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81</v>
      </c>
      <c r="AE107" s="35">
        <f>AG49</f>
        <v>0.0175</v>
      </c>
      <c r="AF107" t="s" s="44">
        <v>82</v>
      </c>
      <c r="AG107" t="s" s="44">
        <v>83</v>
      </c>
      <c r="AH107" s="23">
        <f>AG52</f>
        <v>13523.698523382</v>
      </c>
      <c r="AI107" t="s" s="44">
        <f>AL105</f>
        <v>372</v>
      </c>
      <c r="AJ107" t="s" s="44">
        <v>84</v>
      </c>
      <c r="AK107" t="s" s="44">
        <f>AH105</f>
        <v>74</v>
      </c>
      <c r="AL107" t="s" s="44">
        <f>AI105</f>
        <v>75</v>
      </c>
      <c r="AM107" t="s" s="44">
        <v>85</v>
      </c>
      <c r="AN107" s="17"/>
      <c r="AO107" s="17"/>
      <c r="AP107" s="17"/>
      <c r="AQ107" s="17"/>
      <c r="AR107" s="17"/>
      <c r="AS107" s="17"/>
      <c r="AT107" s="17"/>
      <c r="AU107" s="17"/>
    </row>
    <row r="108" ht="20.05" customHeight="1">
      <c r="AB108" s="36"/>
      <c r="AC108" s="34"/>
      <c r="AD108" t="s" s="44">
        <v>14</v>
      </c>
      <c r="AE108" t="s" s="44">
        <f>IF(AG112&lt;AE112,"down","up")</f>
        <v>87</v>
      </c>
      <c r="AF108" t="s" s="44">
        <v>86</v>
      </c>
      <c r="AG108" t="s" s="44">
        <f>IF(AK112&gt;AI112,"up","down")</f>
        <v>87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44.05" customHeight="1">
      <c r="AB109" s="36"/>
      <c r="AC109" s="34"/>
      <c r="AD109" t="s" s="44">
        <f>AD102</f>
        <v>70</v>
      </c>
      <c r="AE109" t="s" s="44">
        <v>88</v>
      </c>
      <c r="AF109" t="s" s="44">
        <f>AL105</f>
        <v>372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71"/>
      <c r="AD110" s="16">
        <f>(D22+E22)/C22</f>
        <v>0.376480941642374</v>
      </c>
      <c r="AE110" s="16">
        <f>(D23+E23)/C23</f>
        <v>0.384444871807848</v>
      </c>
      <c r="AF110" s="16">
        <f>((E24+D24)/C24)</f>
        <v>0.33382084095064</v>
      </c>
      <c r="AG110" s="16">
        <f>(D25+E25)/C25</f>
        <v>0.469857114895283</v>
      </c>
      <c r="AH110" s="16">
        <f>(D26+E26)/C26</f>
        <v>0.34108429067276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34"/>
      <c r="AD111" s="15">
        <f>E22</f>
        <v>3044.6</v>
      </c>
      <c r="AE111" s="15">
        <f>E23</f>
        <v>3183.5</v>
      </c>
      <c r="AF111" s="15">
        <f>E24</f>
        <v>2301</v>
      </c>
      <c r="AG111" s="15">
        <f>E25</f>
        <v>3975</v>
      </c>
      <c r="AH111" s="15">
        <f>E26</f>
        <v>3901.6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44.05" customHeight="1">
      <c r="AB112" s="36"/>
      <c r="AC112" s="34"/>
      <c r="AD112" t="s" s="44">
        <v>89</v>
      </c>
      <c r="AE112" s="16">
        <f>AG110</f>
        <v>0.469857114895283</v>
      </c>
      <c r="AF112" t="s" s="44">
        <v>76</v>
      </c>
      <c r="AG112" s="16">
        <f>AH110</f>
        <v>0.34108429067276</v>
      </c>
      <c r="AH112" t="s" s="44">
        <v>90</v>
      </c>
      <c r="AI112" s="15">
        <f>AG111</f>
        <v>3975</v>
      </c>
      <c r="AJ112" t="s" s="44">
        <v>76</v>
      </c>
      <c r="AK112" s="15">
        <f>AH111</f>
        <v>3901.6</v>
      </c>
      <c r="AL112" t="s" s="44">
        <f>AI107</f>
        <v>372</v>
      </c>
      <c r="AM112" t="s" s="44">
        <v>73</v>
      </c>
      <c r="AN112" t="s" s="44">
        <f>AK107</f>
        <v>74</v>
      </c>
      <c r="AO112" t="s" s="44">
        <v>91</v>
      </c>
      <c r="AP112" s="17"/>
      <c r="AQ112" s="17"/>
      <c r="AR112" s="17"/>
      <c r="AS112" s="17"/>
      <c r="AT112" s="17"/>
      <c r="AU112" s="17"/>
    </row>
    <row r="113" ht="68.05" customHeight="1">
      <c r="AB113" s="36"/>
      <c r="AC113" s="34"/>
      <c r="AD113" t="s" s="44">
        <v>92</v>
      </c>
      <c r="AE113" s="16">
        <f>AVERAGE(AE110:AH110)</f>
        <v>0.382301779581633</v>
      </c>
      <c r="AF113" t="s" s="44">
        <v>78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44.05" customHeight="1">
      <c r="AB114" s="36"/>
      <c r="AC114" s="34"/>
      <c r="AD114" t="s" s="44">
        <v>93</v>
      </c>
      <c r="AE114" s="35">
        <f>AD53</f>
        <v>0.34108429067276</v>
      </c>
      <c r="AF114" t="s" s="44">
        <v>94</v>
      </c>
      <c r="AG114" s="15">
        <f>AG66</f>
        <v>4053.92111812</v>
      </c>
      <c r="AH114" t="s" s="44">
        <f>AL112</f>
        <v>372</v>
      </c>
      <c r="AI114" t="s" s="44">
        <v>95</v>
      </c>
      <c r="AJ114" t="s" s="44">
        <f>AN112</f>
        <v>74</v>
      </c>
      <c r="AK114" t="s" s="44">
        <f>AI105</f>
        <v>75</v>
      </c>
      <c r="AL114" t="s" s="44">
        <f>AM107</f>
        <v>85</v>
      </c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20.05" customHeight="1">
      <c r="AB115" s="36"/>
      <c r="AC115" s="34"/>
      <c r="AD115" t="s" s="44">
        <v>15</v>
      </c>
      <c r="AE115" t="s" s="44">
        <f>IF(AG119&lt;AE119,"lower","higher")</f>
        <v>104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56.05" customHeight="1">
      <c r="AB116" s="36"/>
      <c r="AC116" s="34"/>
      <c r="AD116" t="s" s="44">
        <f>AD109</f>
        <v>70</v>
      </c>
      <c r="AE116" t="s" s="44">
        <v>96</v>
      </c>
      <c r="AF116" t="s" s="44">
        <f>AL105</f>
        <v>372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J22</f>
        <v>3588</v>
      </c>
      <c r="AE117" s="15">
        <f>J23</f>
        <v>4432.2</v>
      </c>
      <c r="AF117" s="15">
        <f>J24</f>
        <v>2128</v>
      </c>
      <c r="AG117" s="15">
        <f>J25</f>
        <v>3767</v>
      </c>
      <c r="AH117" s="15">
        <f>J26</f>
        <v>3266.7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K22</f>
        <v>-1910.1</v>
      </c>
      <c r="AE118" s="15">
        <f>K23</f>
        <v>-4774.1</v>
      </c>
      <c r="AF118" s="15">
        <f>K24</f>
        <v>-416.4</v>
      </c>
      <c r="AG118" s="15">
        <f>K25</f>
        <v>2228.4</v>
      </c>
      <c r="AH118" s="15">
        <f>K26</f>
        <v>-2115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44.05" customHeight="1">
      <c r="AB119" s="36"/>
      <c r="AC119" s="34"/>
      <c r="AD119" t="s" s="44">
        <v>97</v>
      </c>
      <c r="AE119" s="15">
        <f>AG117+AG118</f>
        <v>5995.4</v>
      </c>
      <c r="AF119" t="s" s="44">
        <v>76</v>
      </c>
      <c r="AG119" s="15">
        <f>AH117+AH118</f>
        <v>1151.7</v>
      </c>
      <c r="AH119" t="s" s="44">
        <f>AH114</f>
        <v>372</v>
      </c>
      <c r="AI119" t="s" s="44">
        <v>84</v>
      </c>
      <c r="AJ119" t="s" s="44">
        <f>AJ114</f>
        <v>74</v>
      </c>
      <c r="AK119" t="s" s="44">
        <v>98</v>
      </c>
      <c r="AL119" s="15">
        <f>AH118</f>
        <v>-2115</v>
      </c>
      <c r="AM119" t="s" s="44">
        <f>AL105</f>
        <v>372</v>
      </c>
      <c r="AN119" t="s" s="44">
        <v>99</v>
      </c>
      <c r="AO119" s="17"/>
      <c r="AP119" s="17"/>
      <c r="AQ119" s="17"/>
      <c r="AR119" s="17"/>
      <c r="AS119" s="17"/>
      <c r="AT119" s="17"/>
      <c r="AU119" s="17"/>
    </row>
    <row r="120" ht="56.05" customHeight="1">
      <c r="AB120" s="36"/>
      <c r="AC120" s="34"/>
      <c r="AD120" t="s" s="44">
        <v>100</v>
      </c>
      <c r="AE120" s="15">
        <f>SUM(AE117:AH118)/4</f>
        <v>2129.2</v>
      </c>
      <c r="AF120" t="s" s="44">
        <f>AL105</f>
        <v>372</v>
      </c>
      <c r="AG120" t="s" s="44">
        <v>78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44.05" customHeight="1">
      <c r="AB121" s="36"/>
      <c r="AC121" s="34"/>
      <c r="AD121" t="s" s="44">
        <v>101</v>
      </c>
      <c r="AE121" s="15">
        <f>AD54</f>
        <v>-1910.1</v>
      </c>
      <c r="AF121" t="s" s="44">
        <f>AF120</f>
        <v>372</v>
      </c>
      <c r="AG121" t="s" s="44">
        <v>102</v>
      </c>
      <c r="AH121" t="s" s="44">
        <v>103</v>
      </c>
      <c r="AI121" t="s" s="44">
        <f>IF(AH107&gt;AK105,"higher","lower")</f>
        <v>363</v>
      </c>
      <c r="AJ121" t="s" s="44">
        <v>105</v>
      </c>
      <c r="AK121" s="15">
        <f>SUM(AD55:AG55)/4</f>
        <v>2647.01933103</v>
      </c>
      <c r="AL121" t="s" s="44">
        <f>AF121</f>
        <v>372</v>
      </c>
      <c r="AM121" t="s" s="44">
        <v>106</v>
      </c>
      <c r="AN121" t="s" s="44">
        <v>107</v>
      </c>
      <c r="AO121" s="17"/>
      <c r="AP121" s="17"/>
      <c r="AQ121" s="17"/>
      <c r="AR121" s="17"/>
      <c r="AS121" s="17"/>
      <c r="AT121" s="17"/>
      <c r="AU121" s="17"/>
    </row>
    <row r="122" ht="20.05" customHeight="1">
      <c r="AB122" s="36"/>
      <c r="AC122" s="34"/>
      <c r="AD122" t="s" s="44">
        <v>18</v>
      </c>
      <c r="AE122" t="s" s="44">
        <f>AL127</f>
        <v>87</v>
      </c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32.05" customHeight="1">
      <c r="AB123" s="36"/>
      <c r="AC123" s="34"/>
      <c r="AD123" t="s" s="44">
        <f>AD102</f>
        <v>70</v>
      </c>
      <c r="AE123" t="s" s="44">
        <v>109</v>
      </c>
      <c r="AF123" t="s" s="44">
        <f>AL105</f>
        <v>372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s="36"/>
      <c r="AC124" s="34"/>
      <c r="AD124" s="15">
        <f>F22</f>
        <v>4819</v>
      </c>
      <c r="AE124" s="15">
        <f>F23</f>
        <v>4394</v>
      </c>
      <c r="AF124" s="15">
        <f>F24</f>
        <v>6106</v>
      </c>
      <c r="AG124" s="15">
        <f>F25</f>
        <v>4165</v>
      </c>
      <c r="AH124" s="15">
        <f>F26</f>
        <v>5318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G22</f>
        <v>11167</v>
      </c>
      <c r="AE125" s="15">
        <f>G23</f>
        <v>11870</v>
      </c>
      <c r="AF125" s="15">
        <f>G24</f>
        <v>12468</v>
      </c>
      <c r="AG125" s="15">
        <f>G25</f>
        <v>13208</v>
      </c>
      <c r="AH125" s="15">
        <f>G26</f>
        <v>14782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32.05" customHeight="1">
      <c r="AB126" s="36"/>
      <c r="AC126" s="34"/>
      <c r="AD126" t="s" s="44">
        <v>110</v>
      </c>
      <c r="AE126" t="s" s="44">
        <f>IF(AH126&lt;AF126,"declined","increased")</f>
        <v>111</v>
      </c>
      <c r="AF126" s="15">
        <f>AG124</f>
        <v>4165</v>
      </c>
      <c r="AG126" t="s" s="44">
        <v>76</v>
      </c>
      <c r="AH126" s="15">
        <f>AH124</f>
        <v>5318</v>
      </c>
      <c r="AI126" t="s" s="44">
        <f>AL121</f>
        <v>372</v>
      </c>
      <c r="AJ126" t="s" s="44">
        <v>84</v>
      </c>
      <c r="AK126" t="s" s="44">
        <f>AH105</f>
        <v>74</v>
      </c>
      <c r="AL126" t="s" s="44">
        <f>AO112</f>
        <v>91</v>
      </c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112</v>
      </c>
      <c r="AE127" t="s" s="44">
        <f>IF(AH127&lt;AF127,"declined","increased")</f>
        <v>111</v>
      </c>
      <c r="AF127" s="15">
        <f>AG125</f>
        <v>13208</v>
      </c>
      <c r="AG127" t="s" s="44">
        <v>76</v>
      </c>
      <c r="AH127" s="15">
        <f>AH125</f>
        <v>14782</v>
      </c>
      <c r="AI127" t="s" s="44">
        <f>AI126</f>
        <v>372</v>
      </c>
      <c r="AJ127" t="s" s="44">
        <v>113</v>
      </c>
      <c r="AK127" t="s" s="44">
        <v>114</v>
      </c>
      <c r="AL127" t="s" s="44">
        <f>IF(AO127&lt;AM127,"down","up")</f>
        <v>87</v>
      </c>
      <c r="AM127" s="15">
        <f>AF126-AF127</f>
        <v>-9043</v>
      </c>
      <c r="AN127" t="s" s="44">
        <v>76</v>
      </c>
      <c r="AO127" s="15">
        <f>AH126-AH127</f>
        <v>-9464</v>
      </c>
      <c r="AP127" t="s" s="44">
        <f>AI127</f>
        <v>372</v>
      </c>
      <c r="AQ127" t="s" s="44">
        <v>115</v>
      </c>
      <c r="AR127" s="17"/>
      <c r="AS127" s="17"/>
      <c r="AT127" s="17"/>
      <c r="AU127" s="17"/>
    </row>
    <row r="128" ht="56.05" customHeight="1">
      <c r="AB128" s="36"/>
      <c r="AC128" s="34"/>
      <c r="AD128" t="s" s="44">
        <v>116</v>
      </c>
      <c r="AE128" s="15">
        <f>SUM(AD58:AG58)</f>
        <v>-7356.9075690952</v>
      </c>
      <c r="AF128" t="s" s="44">
        <f>AI127</f>
        <v>372</v>
      </c>
      <c r="AG128" t="s" s="44">
        <v>117</v>
      </c>
      <c r="AH128" t="s" s="44">
        <f>IF(AI128&gt;0,"+","")</f>
      </c>
      <c r="AI128" s="15">
        <f>AD56+AE56+AF56+AG56+AD60+AE60+AF60+AG60</f>
        <v>-2741.9686125</v>
      </c>
      <c r="AJ128" t="s" s="44">
        <f>AP127</f>
        <v>372</v>
      </c>
      <c r="AK128" t="s" s="44">
        <v>118</v>
      </c>
      <c r="AL128" t="s" s="44">
        <v>119</v>
      </c>
      <c r="AM128" s="15">
        <f>AG75</f>
        <v>-6232.8302449752</v>
      </c>
      <c r="AN128" t="s" s="44">
        <f>AI127</f>
        <v>372</v>
      </c>
      <c r="AO128" t="s" s="44">
        <v>120</v>
      </c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t="s" s="44">
        <v>17</v>
      </c>
      <c r="AE129" t="s" s="44">
        <f>AE133</f>
        <v>374</v>
      </c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56.05" customHeight="1">
      <c r="AB130" s="36"/>
      <c r="AC130" s="34"/>
      <c r="AD130" t="s" s="44">
        <f>AD102</f>
        <v>70</v>
      </c>
      <c r="AE130" t="s" s="44">
        <v>379</v>
      </c>
      <c r="AF130" t="s" s="44">
        <f>AL105</f>
        <v>372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5">
        <f>-L22</f>
        <v>1</v>
      </c>
      <c r="AE131" s="15">
        <f>-L23</f>
        <v>1</v>
      </c>
      <c r="AF131" s="15">
        <f>-L24</f>
        <v>1</v>
      </c>
      <c r="AG131" s="15">
        <f>-L25</f>
        <v>1</v>
      </c>
      <c r="AH131" s="15">
        <f>-L26</f>
        <v>0.7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-M22</f>
        <v>-684</v>
      </c>
      <c r="AE132" s="15">
        <f>-M23</f>
        <v>91</v>
      </c>
      <c r="AF132" s="15">
        <f>-M24</f>
        <v>0</v>
      </c>
      <c r="AG132" s="15">
        <f>-M25</f>
        <v>7971</v>
      </c>
      <c r="AH132" s="15">
        <f>-M26</f>
        <v>0.6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44.05" customHeight="1">
      <c r="AB133" s="36"/>
      <c r="AC133" s="34"/>
      <c r="AD133" t="s" s="44">
        <f>AD94</f>
        <v>723</v>
      </c>
      <c r="AE133" t="s" s="44">
        <f>IF(AF133&gt;0,"paid","(raised)")</f>
        <v>374</v>
      </c>
      <c r="AF133" s="15">
        <f>SUM(AH131:AH132)</f>
        <v>1.3</v>
      </c>
      <c r="AG133" t="s" s="44">
        <f>AL105</f>
        <v>372</v>
      </c>
      <c r="AH133" t="s" s="44">
        <f>AG105</f>
        <v>73</v>
      </c>
      <c r="AI133" t="s" s="44">
        <f>AH105</f>
        <v>74</v>
      </c>
      <c r="AJ133" t="s" s="44">
        <f>AI105</f>
        <v>75</v>
      </c>
      <c r="AK133" s="15">
        <f>AH131</f>
        <v>0.7</v>
      </c>
      <c r="AL133" t="s" s="44">
        <f>AL105</f>
        <v>372</v>
      </c>
      <c r="AM133" t="s" s="44">
        <v>123</v>
      </c>
      <c r="AN133" s="15">
        <f>AH132</f>
        <v>0.6</v>
      </c>
      <c r="AO133" t="s" s="44">
        <f>AL105</f>
        <v>372</v>
      </c>
      <c r="AP133" t="s" s="44">
        <v>124</v>
      </c>
      <c r="AQ133" t="s" s="44">
        <v>125</v>
      </c>
      <c r="AR133" t="s" s="44">
        <f>IF(AS133&gt;0,"pay","raise")</f>
        <v>364</v>
      </c>
      <c r="AS133" s="15">
        <f>-SUM(AD76:AG76)</f>
        <v>10098.8761815952</v>
      </c>
      <c r="AT133" t="s" s="44">
        <f>AL105</f>
        <v>372</v>
      </c>
      <c r="AU133" t="s" s="44">
        <v>126</v>
      </c>
    </row>
    <row r="134" ht="56.05" customHeight="1">
      <c r="AB134" s="36"/>
      <c r="AC134" s="34"/>
      <c r="AD134" t="s" s="44">
        <v>375</v>
      </c>
      <c r="AE134" s="15">
        <f>AG80</f>
        <v>38252.37685248</v>
      </c>
      <c r="AF134" t="s" s="44">
        <f>AL105</f>
        <v>372</v>
      </c>
      <c r="AG134" t="s" s="44">
        <v>128</v>
      </c>
      <c r="AH134" t="s" s="44">
        <v>129</v>
      </c>
      <c r="AI134" s="43">
        <f>AG82</f>
        <v>0.811955830750101</v>
      </c>
      <c r="AJ134" t="s" s="44">
        <v>130</v>
      </c>
      <c r="AK134" t="s" s="44">
        <v>131</v>
      </c>
      <c r="AL134" t="s" s="44">
        <v>132</v>
      </c>
      <c r="AM134" s="15">
        <f>AG85</f>
        <v>3.90101042291291</v>
      </c>
      <c r="AN134" t="s" s="44">
        <v>133</v>
      </c>
      <c r="AO134" s="16">
        <f>-AE128/AE134</f>
        <v>0.192325501692798</v>
      </c>
      <c r="AP134" t="s" s="44">
        <v>134</v>
      </c>
      <c r="AQ134" s="17"/>
      <c r="AR134" s="17"/>
      <c r="AS134" s="17"/>
      <c r="AT134" s="17"/>
      <c r="AU134" s="17"/>
    </row>
    <row r="135" ht="56.05" customHeight="1">
      <c r="AB135" s="36"/>
      <c r="AC135" s="34"/>
      <c r="AD135" t="s" s="44">
        <v>135</v>
      </c>
      <c r="AE135" s="15">
        <f>AG84</f>
        <v>10588.07732412</v>
      </c>
      <c r="AF135" t="s" s="44">
        <f>AF134</f>
        <v>372</v>
      </c>
      <c r="AG135" t="s" s="44">
        <v>136</v>
      </c>
      <c r="AH135" s="15">
        <f>AE134/AE135</f>
        <v>3.61277838095683</v>
      </c>
      <c r="AI135" t="s" s="44">
        <v>130</v>
      </c>
      <c r="AJ135" t="s" s="44">
        <v>137</v>
      </c>
      <c r="AK135" t="s" s="44">
        <v>138</v>
      </c>
      <c r="AL135" s="15">
        <f>AG86</f>
        <v>7.5</v>
      </c>
      <c r="AM135" t="s" s="44">
        <v>139</v>
      </c>
      <c r="AN135" t="s" s="44">
        <v>140</v>
      </c>
      <c r="AO135" t="s" s="44">
        <v>141</v>
      </c>
      <c r="AP135" s="16">
        <f>AJ94</f>
        <v>1.07596459266169</v>
      </c>
      <c r="AQ135" t="s" s="44">
        <f>IF(AP135&gt;0,"higher","lower")</f>
        <v>363</v>
      </c>
      <c r="AR135" t="s" s="44">
        <v>142</v>
      </c>
      <c r="AS135" s="15">
        <f>AH94</f>
        <v>6912.962093563420</v>
      </c>
      <c r="AT135" t="s" s="44">
        <v>143</v>
      </c>
      <c r="AU135" s="17"/>
    </row>
    <row r="136" ht="20.05" customHeight="1">
      <c r="AB136" s="36"/>
      <c r="AC136" s="34"/>
      <c r="AD136" s="17"/>
      <c r="AE136" s="17"/>
      <c r="AF136" s="17"/>
      <c r="AG136" s="17"/>
      <c r="AH136" s="15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28</v>
      </c>
      <c r="AC137" s="14">
        <f>AD104</f>
        <v>9090.5</v>
      </c>
      <c r="AD137" s="15">
        <f>AE104</f>
        <v>9879.700000000001</v>
      </c>
      <c r="AE137" s="15">
        <f>AF104</f>
        <v>8205</v>
      </c>
      <c r="AF137" s="15">
        <f>AG104</f>
        <v>10218</v>
      </c>
      <c r="AG137" s="15">
        <f>AH104</f>
        <v>12647.9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144</v>
      </c>
      <c r="AC138" s="14">
        <f>SUM(AD117:AD118)</f>
        <v>1677.9</v>
      </c>
      <c r="AD138" s="15">
        <f>SUM(AE117:AE118)</f>
        <v>-341.9</v>
      </c>
      <c r="AE138" s="15">
        <f>SUM(AF117:AF118)</f>
        <v>1711.6</v>
      </c>
      <c r="AF138" s="15">
        <f>SUM(AG117:AG118)</f>
        <v>5995.4</v>
      </c>
      <c r="AG138" s="15">
        <f>SUM(AH117:AH118)</f>
        <v>1151.7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145</v>
      </c>
      <c r="AC139" s="14">
        <f>SUM(AD131:AD132)</f>
        <v>-683</v>
      </c>
      <c r="AD139" s="15">
        <f>SUM(AE131:AE132)</f>
        <v>92</v>
      </c>
      <c r="AE139" s="15">
        <f>SUM(AF131:AF132)</f>
        <v>1</v>
      </c>
      <c r="AF139" s="15">
        <f>SUM(AG131:AG132)</f>
        <v>7972</v>
      </c>
      <c r="AG139" s="15">
        <f>SUM(AH131:AH132)</f>
        <v>1.3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146</v>
      </c>
      <c r="AC140" s="14">
        <f>(AD124-AD125)</f>
        <v>-6348</v>
      </c>
      <c r="AD140" s="15">
        <f>(AE124-AE125)</f>
        <v>-7476</v>
      </c>
      <c r="AE140" s="15">
        <f>(AF124-AF125)</f>
        <v>-6362</v>
      </c>
      <c r="AF140" s="15">
        <f>(AG124-AG125)</f>
        <v>-9043</v>
      </c>
      <c r="AG140" s="15">
        <f>(AH124-AH125)</f>
        <v>-9464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5">
        <f>AS135</f>
        <v>6912.962093563420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</sheetData>
  <mergeCells count="2">
    <mergeCell ref="B2:AA2"/>
    <mergeCell ref="AB46:AU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1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2.39062" style="358" customWidth="1"/>
    <col min="2" max="13" width="10.4844" style="358" customWidth="1"/>
    <col min="14" max="16384" width="16.3516" style="358" customWidth="1"/>
  </cols>
  <sheetData>
    <row r="1" ht="5.25" customHeight="1"/>
    <row r="2" ht="27.65" customHeight="1">
      <c r="B2" t="s" s="2">
        <v>724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87">
        <v>2917.1</v>
      </c>
      <c r="D4" s="59">
        <v>77</v>
      </c>
      <c r="E4" s="59">
        <v>161.5</v>
      </c>
      <c r="F4" s="8">
        <v>6595</v>
      </c>
      <c r="G4" s="8">
        <v>19559</v>
      </c>
      <c r="H4" s="8">
        <v>30180</v>
      </c>
      <c r="I4" s="8">
        <v>3551.3</v>
      </c>
      <c r="J4" s="8">
        <v>-1662.1</v>
      </c>
      <c r="K4" s="8">
        <v>-364.5</v>
      </c>
      <c r="L4" s="8">
        <v>371</v>
      </c>
      <c r="M4" s="59">
        <v>303</v>
      </c>
    </row>
    <row r="5" ht="20.05" customHeight="1">
      <c r="B5" s="13"/>
      <c r="C5" s="38">
        <v>5208.9</v>
      </c>
      <c r="D5" s="26">
        <v>75</v>
      </c>
      <c r="E5" s="26">
        <v>470.3</v>
      </c>
      <c r="F5" s="15">
        <v>6662</v>
      </c>
      <c r="G5" s="15">
        <v>20115</v>
      </c>
      <c r="H5" s="15">
        <v>31825</v>
      </c>
      <c r="I5" s="15">
        <v>3494.3</v>
      </c>
      <c r="J5" s="15">
        <v>-511.3</v>
      </c>
      <c r="K5" s="15">
        <v>-866.9</v>
      </c>
      <c r="L5" s="15">
        <v>371</v>
      </c>
      <c r="M5" s="26">
        <v>303</v>
      </c>
    </row>
    <row r="6" ht="20.05" customHeight="1">
      <c r="B6" s="13"/>
      <c r="C6" s="38">
        <v>5635.5</v>
      </c>
      <c r="D6" s="26">
        <v>86</v>
      </c>
      <c r="E6" s="26">
        <v>486.6</v>
      </c>
      <c r="F6" s="15">
        <v>6138</v>
      </c>
      <c r="G6" s="15">
        <v>22860</v>
      </c>
      <c r="H6" s="15">
        <v>35353</v>
      </c>
      <c r="I6" s="15">
        <v>4737.8</v>
      </c>
      <c r="J6" s="15">
        <v>652.5</v>
      </c>
      <c r="K6" s="15">
        <v>-1272.2</v>
      </c>
      <c r="L6" s="15">
        <v>371</v>
      </c>
      <c r="M6" s="26">
        <v>303</v>
      </c>
    </row>
    <row r="7" ht="20.05" customHeight="1">
      <c r="B7" s="13"/>
      <c r="C7" s="38">
        <v>7740.5</v>
      </c>
      <c r="D7" s="26">
        <v>57</v>
      </c>
      <c r="E7" s="26">
        <v>605.4</v>
      </c>
      <c r="F7" s="15">
        <v>9383</v>
      </c>
      <c r="G7" s="15">
        <v>27540</v>
      </c>
      <c r="H7" s="15">
        <v>41783</v>
      </c>
      <c r="I7" s="15">
        <v>4654.6</v>
      </c>
      <c r="J7" s="15">
        <v>2983.6</v>
      </c>
      <c r="K7" s="15">
        <v>-1399.4</v>
      </c>
      <c r="L7" s="15">
        <v>371</v>
      </c>
      <c r="M7" s="26">
        <v>303</v>
      </c>
    </row>
    <row r="8" ht="20.05" customHeight="1">
      <c r="B8" s="21">
        <v>2018</v>
      </c>
      <c r="C8" s="38">
        <v>3683.2</v>
      </c>
      <c r="D8" s="26">
        <v>105</v>
      </c>
      <c r="E8" s="26">
        <v>204.27</v>
      </c>
      <c r="F8" s="15">
        <v>7102</v>
      </c>
      <c r="G8" s="15">
        <v>27380</v>
      </c>
      <c r="H8" s="15">
        <v>42019</v>
      </c>
      <c r="I8" s="15">
        <v>4045.8</v>
      </c>
      <c r="J8" s="15">
        <v>-1796.4</v>
      </c>
      <c r="K8" s="15">
        <v>-1788.1</v>
      </c>
      <c r="L8" s="15">
        <v>706.75</v>
      </c>
      <c r="M8" s="26">
        <v>-68.75</v>
      </c>
    </row>
    <row r="9" ht="20.05" customHeight="1">
      <c r="B9" s="13"/>
      <c r="C9" s="38">
        <v>5823.8</v>
      </c>
      <c r="D9" s="26">
        <v>81</v>
      </c>
      <c r="E9" s="26">
        <v>428.73</v>
      </c>
      <c r="F9" s="15">
        <v>5335</v>
      </c>
      <c r="G9" s="15">
        <v>29319</v>
      </c>
      <c r="H9" s="15">
        <v>44055</v>
      </c>
      <c r="I9" s="15">
        <v>4494.2</v>
      </c>
      <c r="J9" s="15">
        <v>-737.1</v>
      </c>
      <c r="K9" s="15">
        <v>-1082.5</v>
      </c>
      <c r="L9" s="15">
        <v>706.75</v>
      </c>
      <c r="M9" s="26">
        <v>-68.75</v>
      </c>
    </row>
    <row r="10" ht="20.05" customHeight="1">
      <c r="B10" s="13"/>
      <c r="C10" s="38">
        <v>5279.9</v>
      </c>
      <c r="D10" s="26">
        <v>182</v>
      </c>
      <c r="E10" s="26">
        <v>488</v>
      </c>
      <c r="F10" s="15">
        <v>6205</v>
      </c>
      <c r="G10" s="15">
        <v>33354</v>
      </c>
      <c r="H10" s="15">
        <v>48613</v>
      </c>
      <c r="I10" s="15">
        <v>4644.5</v>
      </c>
      <c r="J10" s="15">
        <v>707.5</v>
      </c>
      <c r="K10" s="15">
        <v>-1006</v>
      </c>
      <c r="L10" s="15">
        <v>706.75</v>
      </c>
      <c r="M10" s="26">
        <v>-68.75</v>
      </c>
    </row>
    <row r="11" ht="20.05" customHeight="1">
      <c r="B11" s="13"/>
      <c r="C11" s="38">
        <v>10332.6</v>
      </c>
      <c r="D11" s="26">
        <v>339</v>
      </c>
      <c r="E11" s="26">
        <v>837.9</v>
      </c>
      <c r="F11" s="15">
        <v>8647</v>
      </c>
      <c r="G11" s="15">
        <v>36233</v>
      </c>
      <c r="H11" s="15">
        <v>52549</v>
      </c>
      <c r="I11" s="15">
        <v>8428.4</v>
      </c>
      <c r="J11" s="15">
        <v>2542</v>
      </c>
      <c r="K11" s="15">
        <v>170.6</v>
      </c>
      <c r="L11" s="15">
        <v>706.75</v>
      </c>
      <c r="M11" s="26">
        <v>-68.75</v>
      </c>
    </row>
    <row r="12" ht="20.05" customHeight="1">
      <c r="B12" s="21">
        <v>2019</v>
      </c>
      <c r="C12" s="38">
        <v>4948</v>
      </c>
      <c r="D12" s="26">
        <v>121</v>
      </c>
      <c r="E12" s="26">
        <v>233.3</v>
      </c>
      <c r="F12" s="15">
        <v>6364</v>
      </c>
      <c r="G12" s="15">
        <v>36012</v>
      </c>
      <c r="H12" s="15">
        <v>52515</v>
      </c>
      <c r="I12" s="15">
        <v>5076.2</v>
      </c>
      <c r="J12" s="15">
        <v>-1991</v>
      </c>
      <c r="K12" s="15">
        <v>-750.6</v>
      </c>
      <c r="L12" s="15">
        <v>623.5</v>
      </c>
      <c r="M12" s="26">
        <v>-68.75</v>
      </c>
    </row>
    <row r="13" ht="20.05" customHeight="1">
      <c r="B13" s="13"/>
      <c r="C13" s="38">
        <v>5691.6</v>
      </c>
      <c r="D13" s="26">
        <v>97</v>
      </c>
      <c r="E13" s="26">
        <v>245.3</v>
      </c>
      <c r="F13" s="15">
        <v>4982</v>
      </c>
      <c r="G13" s="15">
        <v>37100</v>
      </c>
      <c r="H13" s="15">
        <v>53504</v>
      </c>
      <c r="I13" s="15">
        <v>5471.6</v>
      </c>
      <c r="J13" s="15">
        <v>-1550.9</v>
      </c>
      <c r="K13" s="15">
        <v>-323.2</v>
      </c>
      <c r="L13" s="15">
        <v>623.5</v>
      </c>
      <c r="M13" s="26">
        <v>-68.75</v>
      </c>
    </row>
    <row r="14" ht="20.05" customHeight="1">
      <c r="B14" s="13"/>
      <c r="C14" s="38">
        <v>5423.1</v>
      </c>
      <c r="D14" s="26">
        <v>238</v>
      </c>
      <c r="E14" s="26">
        <v>248.3</v>
      </c>
      <c r="F14" s="15">
        <v>4357</v>
      </c>
      <c r="G14" s="15">
        <v>38203</v>
      </c>
      <c r="H14" s="15">
        <v>54839</v>
      </c>
      <c r="I14" s="15">
        <v>4607.7</v>
      </c>
      <c r="J14" s="15">
        <v>-379.7</v>
      </c>
      <c r="K14" s="15">
        <v>-1060.4</v>
      </c>
      <c r="L14" s="15">
        <v>623.5</v>
      </c>
      <c r="M14" s="26">
        <v>-68.75</v>
      </c>
    </row>
    <row r="15" ht="20.05" customHeight="1">
      <c r="B15" s="13"/>
      <c r="C15" s="38">
        <v>8597.299999999999</v>
      </c>
      <c r="D15" s="26">
        <v>124</v>
      </c>
      <c r="E15" s="26">
        <v>481.1</v>
      </c>
      <c r="F15" s="15">
        <v>9105</v>
      </c>
      <c r="G15" s="15">
        <v>40237</v>
      </c>
      <c r="H15" s="15">
        <v>55658</v>
      </c>
      <c r="I15" s="15">
        <v>9290.5</v>
      </c>
      <c r="J15" s="15">
        <v>4221.6</v>
      </c>
      <c r="K15" s="15">
        <v>-890.8</v>
      </c>
      <c r="L15" s="15">
        <v>623.5</v>
      </c>
      <c r="M15" s="26">
        <v>-68.75</v>
      </c>
    </row>
    <row r="16" ht="20.05" customHeight="1">
      <c r="B16" s="21">
        <v>2020</v>
      </c>
      <c r="C16" s="38">
        <v>3409</v>
      </c>
      <c r="D16" s="26">
        <v>192.7</v>
      </c>
      <c r="E16" s="26">
        <v>25</v>
      </c>
      <c r="F16" s="15">
        <v>6939</v>
      </c>
      <c r="G16" s="15">
        <v>40565</v>
      </c>
      <c r="H16" s="15">
        <v>54729</v>
      </c>
      <c r="I16" s="15">
        <v>4639.3</v>
      </c>
      <c r="J16" s="15">
        <v>-1938.2</v>
      </c>
      <c r="K16" s="15">
        <v>-563.1</v>
      </c>
      <c r="L16" s="15">
        <v>353.6</v>
      </c>
      <c r="M16" s="26">
        <v>-8.1</v>
      </c>
    </row>
    <row r="17" ht="20.05" customHeight="1">
      <c r="B17" s="13"/>
      <c r="C17" s="38">
        <v>3336.9</v>
      </c>
      <c r="D17" s="26">
        <v>161.6</v>
      </c>
      <c r="E17" s="26">
        <v>5.3</v>
      </c>
      <c r="F17" s="15">
        <v>4939</v>
      </c>
      <c r="G17" s="15">
        <v>39919</v>
      </c>
      <c r="H17" s="15">
        <v>54119</v>
      </c>
      <c r="I17" s="15">
        <v>1890.1</v>
      </c>
      <c r="J17" s="15">
        <v>-1965.3</v>
      </c>
      <c r="K17" s="15">
        <v>-218.06</v>
      </c>
      <c r="L17" s="15">
        <v>180.6</v>
      </c>
      <c r="M17" s="26">
        <v>0.7</v>
      </c>
    </row>
    <row r="18" ht="20.05" customHeight="1">
      <c r="B18" s="13"/>
      <c r="C18" s="38">
        <v>3274.087</v>
      </c>
      <c r="D18" s="26">
        <v>226</v>
      </c>
      <c r="E18" s="26">
        <v>19.8</v>
      </c>
      <c r="F18" s="15">
        <v>5503</v>
      </c>
      <c r="G18" s="15">
        <v>39763</v>
      </c>
      <c r="H18" s="15">
        <v>54016</v>
      </c>
      <c r="I18" s="15">
        <v>4152.6</v>
      </c>
      <c r="J18" s="15">
        <v>-205.5</v>
      </c>
      <c r="K18" s="15">
        <v>-426.84</v>
      </c>
      <c r="L18" s="15">
        <v>1339.6</v>
      </c>
      <c r="M18" s="26">
        <v>-140.4</v>
      </c>
    </row>
    <row r="19" ht="20.05" customHeight="1">
      <c r="B19" s="13"/>
      <c r="C19" s="38">
        <v>5811.413</v>
      </c>
      <c r="D19" s="26">
        <v>228.1</v>
      </c>
      <c r="E19" s="26">
        <v>216.2</v>
      </c>
      <c r="F19" s="15">
        <v>7512</v>
      </c>
      <c r="G19" s="15">
        <v>39465</v>
      </c>
      <c r="H19" s="15">
        <v>53472</v>
      </c>
      <c r="I19" s="15">
        <v>6711.9</v>
      </c>
      <c r="J19" s="15">
        <v>3840</v>
      </c>
      <c r="K19" s="15">
        <v>-2626</v>
      </c>
      <c r="L19" s="15">
        <v>408.3</v>
      </c>
      <c r="M19" s="26">
        <v>-67.3</v>
      </c>
    </row>
    <row r="20" ht="20.05" customHeight="1">
      <c r="B20" s="21">
        <v>2021</v>
      </c>
      <c r="C20" s="38">
        <v>2838.7</v>
      </c>
      <c r="D20" s="26">
        <v>208.8</v>
      </c>
      <c r="E20" s="26">
        <v>47.1</v>
      </c>
      <c r="F20" s="15">
        <v>5195</v>
      </c>
      <c r="G20" s="15">
        <v>39678</v>
      </c>
      <c r="H20" s="15">
        <v>53747</v>
      </c>
      <c r="I20" s="15">
        <v>3528</v>
      </c>
      <c r="J20" s="15">
        <v>-1016</v>
      </c>
      <c r="K20" s="15">
        <v>-663.9</v>
      </c>
      <c r="L20" s="15">
        <v>-636.4</v>
      </c>
      <c r="M20" s="26">
        <v>0</v>
      </c>
    </row>
    <row r="21" ht="20.05" customHeight="1">
      <c r="B21" s="13"/>
      <c r="C21" s="38">
        <v>3618.7</v>
      </c>
      <c r="D21" s="26">
        <v>189.7</v>
      </c>
      <c r="E21" s="26">
        <v>63.1</v>
      </c>
      <c r="F21" s="15">
        <v>5474</v>
      </c>
      <c r="G21" s="15">
        <v>41279</v>
      </c>
      <c r="H21" s="15">
        <v>55397</v>
      </c>
      <c r="I21" s="15">
        <v>3685.4</v>
      </c>
      <c r="J21" s="15">
        <v>-131.2</v>
      </c>
      <c r="K21" s="15">
        <v>74.09999999999999</v>
      </c>
      <c r="L21" s="15">
        <v>329.2</v>
      </c>
      <c r="M21" s="26">
        <v>0</v>
      </c>
    </row>
    <row r="22" ht="20.05" customHeight="1">
      <c r="B22" s="13"/>
      <c r="C22" s="38">
        <v>4754.4</v>
      </c>
      <c r="D22" s="26">
        <v>200.5</v>
      </c>
      <c r="E22" s="26">
        <v>94.59999999999999</v>
      </c>
      <c r="F22" s="15">
        <v>5314</v>
      </c>
      <c r="G22" s="15">
        <v>41992</v>
      </c>
      <c r="H22" s="15">
        <v>56194</v>
      </c>
      <c r="I22" s="15">
        <v>4879.7</v>
      </c>
      <c r="J22" s="15">
        <v>129.3</v>
      </c>
      <c r="K22" s="15">
        <v>-861.9</v>
      </c>
      <c r="L22" s="15">
        <v>552.7</v>
      </c>
      <c r="M22" s="26">
        <v>26.3</v>
      </c>
    </row>
    <row r="23" ht="20.05" customHeight="1">
      <c r="B23" s="13"/>
      <c r="C23" s="38">
        <v>5552.1</v>
      </c>
      <c r="D23" s="15">
        <v>267</v>
      </c>
      <c r="E23" s="26">
        <v>156.6</v>
      </c>
      <c r="F23" s="15">
        <v>6603</v>
      </c>
      <c r="G23" s="15">
        <v>41244</v>
      </c>
      <c r="H23" s="15">
        <v>55574</v>
      </c>
      <c r="I23" s="15">
        <v>5950.5</v>
      </c>
      <c r="J23" s="15">
        <v>1486.6</v>
      </c>
      <c r="K23" s="15">
        <v>-626.7</v>
      </c>
      <c r="L23" s="15">
        <v>568.2</v>
      </c>
      <c r="M23" s="26">
        <v>-4.3</v>
      </c>
    </row>
    <row r="24" ht="20.05" customHeight="1">
      <c r="B24" s="21">
        <v>2022</v>
      </c>
      <c r="C24" s="38">
        <v>4281</v>
      </c>
      <c r="D24" s="26">
        <v>163.5</v>
      </c>
      <c r="E24" s="26">
        <v>53.4</v>
      </c>
      <c r="F24" s="15">
        <v>4907</v>
      </c>
      <c r="G24" s="15">
        <v>42153</v>
      </c>
      <c r="H24" s="15">
        <v>56601</v>
      </c>
      <c r="I24" s="15">
        <v>3507</v>
      </c>
      <c r="J24" s="15">
        <v>-703.7</v>
      </c>
      <c r="K24" s="15">
        <v>-411.7</v>
      </c>
      <c r="L24" s="15">
        <v>-641</v>
      </c>
      <c r="M24" s="26">
        <v>0</v>
      </c>
    </row>
    <row r="25" ht="20.05" customHeight="1">
      <c r="B25" s="13"/>
      <c r="C25" s="38">
        <v>4743</v>
      </c>
      <c r="D25" s="26">
        <v>163.5</v>
      </c>
      <c r="E25" s="26">
        <v>58.6</v>
      </c>
      <c r="F25" s="15">
        <v>5390</v>
      </c>
      <c r="G25" s="15">
        <v>43714</v>
      </c>
      <c r="H25" s="15">
        <v>58275</v>
      </c>
      <c r="I25" s="15">
        <v>4652</v>
      </c>
      <c r="J25" s="15">
        <v>-1265.3</v>
      </c>
      <c r="K25" s="15">
        <v>-534.3</v>
      </c>
      <c r="L25" s="15">
        <v>2351</v>
      </c>
      <c r="M25" s="26">
        <v>0</v>
      </c>
    </row>
    <row r="26" ht="20.05" customHeight="1">
      <c r="B26" s="13"/>
      <c r="C26" s="38">
        <v>4437.7</v>
      </c>
      <c r="D26" s="26">
        <v>114.3</v>
      </c>
      <c r="E26" s="26">
        <v>98.8</v>
      </c>
      <c r="F26" s="15">
        <v>4645</v>
      </c>
      <c r="G26" s="15">
        <v>43427</v>
      </c>
      <c r="H26" s="15">
        <v>58130</v>
      </c>
      <c r="I26" s="15">
        <v>4971.4</v>
      </c>
      <c r="J26" s="15">
        <v>-697.9</v>
      </c>
      <c r="K26" s="15">
        <v>-604.1</v>
      </c>
      <c r="L26" s="15">
        <v>580.8</v>
      </c>
      <c r="M26" s="26">
        <v>0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1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59" customWidth="1"/>
    <col min="2" max="28" width="10.4844" style="359" customWidth="1"/>
    <col min="29" max="29" width="18.9766" style="365" customWidth="1"/>
    <col min="30" max="48" width="9" style="365" customWidth="1"/>
    <col min="49" max="16384" width="16.3516" style="365" customWidth="1"/>
  </cols>
  <sheetData>
    <row r="1" ht="11.65" customHeight="1"/>
    <row r="2" ht="27.65" customHeight="1">
      <c r="B2" t="s" s="2">
        <v>725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324</v>
      </c>
      <c r="AA3" t="s" s="3">
        <v>19</v>
      </c>
      <c r="AB3" t="s" s="3">
        <v>20</v>
      </c>
    </row>
    <row r="4" ht="20.25" customHeight="1">
      <c r="B4" s="6">
        <v>2017</v>
      </c>
      <c r="C4" s="7">
        <v>678.2</v>
      </c>
      <c r="D4" s="8">
        <v>27.9</v>
      </c>
      <c r="E4" s="8">
        <v>32.7</v>
      </c>
      <c r="F4" s="8"/>
      <c r="G4" s="8"/>
      <c r="H4" s="8"/>
      <c r="I4" s="8">
        <v>681.5</v>
      </c>
      <c r="J4" s="8">
        <v>3.65</v>
      </c>
      <c r="K4" s="8">
        <v>-39</v>
      </c>
      <c r="L4" s="8">
        <v>49</v>
      </c>
      <c r="M4" s="8">
        <v>-21.5</v>
      </c>
      <c r="N4" s="8"/>
      <c r="O4" s="8"/>
      <c r="P4" s="9"/>
      <c r="Q4" s="9"/>
      <c r="R4" s="9"/>
      <c r="S4" s="9"/>
      <c r="T4" s="9"/>
      <c r="U4" s="9"/>
      <c r="V4" s="8">
        <f>-(L4+M4)</f>
        <v>-27.5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>
        <v>760</v>
      </c>
      <c r="D5" s="15">
        <v>28.5</v>
      </c>
      <c r="E5" s="15">
        <v>16.8</v>
      </c>
      <c r="F5" s="15"/>
      <c r="G5" s="15"/>
      <c r="H5" s="15"/>
      <c r="I5" s="15">
        <v>756.5</v>
      </c>
      <c r="J5" s="15">
        <v>59.65</v>
      </c>
      <c r="K5" s="15">
        <v>-54.8</v>
      </c>
      <c r="L5" s="15">
        <v>49</v>
      </c>
      <c r="M5" s="15">
        <v>-21.5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-55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>
        <v>746.4</v>
      </c>
      <c r="D6" s="15">
        <v>29.5</v>
      </c>
      <c r="E6" s="15">
        <v>34.8</v>
      </c>
      <c r="F6" s="15"/>
      <c r="G6" s="15"/>
      <c r="H6" s="15"/>
      <c r="I6" s="15">
        <v>748.76</v>
      </c>
      <c r="J6" s="15">
        <v>15.84</v>
      </c>
      <c r="K6" s="15">
        <v>-69.02</v>
      </c>
      <c r="L6" s="15">
        <v>49</v>
      </c>
      <c r="M6" s="15">
        <v>-21.5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-82.5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>
        <v>842.4</v>
      </c>
      <c r="D7" s="15">
        <v>32.1</v>
      </c>
      <c r="E7" s="15">
        <v>57</v>
      </c>
      <c r="F7" s="15"/>
      <c r="G7" s="15"/>
      <c r="H7" s="15"/>
      <c r="I7" s="15">
        <v>837.24</v>
      </c>
      <c r="J7" s="15">
        <v>86.87</v>
      </c>
      <c r="K7" s="15">
        <v>-131.85</v>
      </c>
      <c r="L7" s="15">
        <v>49</v>
      </c>
      <c r="M7" s="15">
        <v>-21.5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-110</v>
      </c>
      <c r="W7" s="17"/>
      <c r="X7" s="15">
        <f>F7-G7</f>
        <v>0</v>
      </c>
      <c r="Y7" s="17"/>
      <c r="Z7" s="360"/>
      <c r="AA7" s="19"/>
      <c r="AB7" s="20">
        <v>13.557</v>
      </c>
    </row>
    <row r="8" ht="20.05" customHeight="1">
      <c r="B8" s="21">
        <v>2018</v>
      </c>
      <c r="C8" s="14">
        <v>802.9</v>
      </c>
      <c r="D8" s="15">
        <v>31.2</v>
      </c>
      <c r="E8" s="15">
        <v>32.7</v>
      </c>
      <c r="F8" s="15">
        <v>60</v>
      </c>
      <c r="G8" s="15">
        <v>1120</v>
      </c>
      <c r="H8" s="15">
        <v>1516</v>
      </c>
      <c r="I8" s="15">
        <v>804.34</v>
      </c>
      <c r="J8" s="15">
        <v>49.2</v>
      </c>
      <c r="K8" s="15">
        <v>-57</v>
      </c>
      <c r="L8" s="15">
        <v>-63.75</v>
      </c>
      <c r="M8" s="15">
        <v>160.25</v>
      </c>
      <c r="N8" s="15">
        <f>SUM(C5:C8)/4</f>
        <v>787.925</v>
      </c>
      <c r="O8" s="15"/>
      <c r="P8" s="16"/>
      <c r="Q8" s="16"/>
      <c r="R8" s="16"/>
      <c r="S8" s="17"/>
      <c r="T8" s="15">
        <f>SUM(J5:K8)/4</f>
        <v>-25.2775</v>
      </c>
      <c r="U8" s="25"/>
      <c r="V8" s="15">
        <f>-(L8+M8)+V7</f>
        <v>-206.5</v>
      </c>
      <c r="W8" s="17"/>
      <c r="X8" s="15">
        <f>F8-G8</f>
        <v>-1060</v>
      </c>
      <c r="Y8" s="117"/>
      <c r="Z8" s="361"/>
      <c r="AA8" s="362"/>
      <c r="AB8" s="20">
        <v>13.761</v>
      </c>
    </row>
    <row r="9" ht="20.05" customHeight="1">
      <c r="B9" s="13"/>
      <c r="C9" s="14">
        <v>917.8</v>
      </c>
      <c r="D9" s="15">
        <v>33.7</v>
      </c>
      <c r="E9" s="15">
        <v>49.2</v>
      </c>
      <c r="F9" s="15">
        <v>471</v>
      </c>
      <c r="G9" s="15">
        <v>899</v>
      </c>
      <c r="H9" s="15">
        <v>2012</v>
      </c>
      <c r="I9" s="15">
        <v>921.86</v>
      </c>
      <c r="J9" s="15">
        <v>-8.789999999999999</v>
      </c>
      <c r="K9" s="15">
        <v>-55.5</v>
      </c>
      <c r="L9" s="15">
        <v>-63.75</v>
      </c>
      <c r="M9" s="15">
        <v>160.25</v>
      </c>
      <c r="N9" s="15">
        <f>SUM(C6:C9)/4</f>
        <v>827.375</v>
      </c>
      <c r="O9" s="15"/>
      <c r="P9" s="16"/>
      <c r="Q9" s="16">
        <f>(E9+D9)/C9</f>
        <v>0.0903246894748311</v>
      </c>
      <c r="R9" s="16"/>
      <c r="S9" s="17"/>
      <c r="T9" s="15">
        <f>SUM(J6:K9)/4</f>
        <v>-42.5625</v>
      </c>
      <c r="U9" s="25"/>
      <c r="V9" s="15">
        <f>-(L9+M9)+V8</f>
        <v>-303</v>
      </c>
      <c r="W9" s="17"/>
      <c r="X9" s="15">
        <f>F13-G9</f>
        <v>-814</v>
      </c>
      <c r="Y9" s="24"/>
      <c r="Z9" s="363">
        <v>1145</v>
      </c>
      <c r="AA9" s="22"/>
      <c r="AB9" s="20">
        <v>14</v>
      </c>
    </row>
    <row r="10" ht="20.05" customHeight="1">
      <c r="B10" s="13"/>
      <c r="C10" s="14">
        <v>854.3</v>
      </c>
      <c r="D10" s="15">
        <v>35.9</v>
      </c>
      <c r="E10" s="15">
        <v>19.7</v>
      </c>
      <c r="F10" s="15">
        <v>379</v>
      </c>
      <c r="G10" s="15">
        <v>829</v>
      </c>
      <c r="H10" s="15">
        <v>1970</v>
      </c>
      <c r="I10" s="15">
        <v>850.5599999999999</v>
      </c>
      <c r="J10" s="15">
        <v>56.12</v>
      </c>
      <c r="K10" s="15">
        <v>-94.92</v>
      </c>
      <c r="L10" s="15">
        <v>-63.75</v>
      </c>
      <c r="M10" s="15">
        <v>160.25</v>
      </c>
      <c r="N10" s="15">
        <f>SUM(C7:C10)/4</f>
        <v>854.35</v>
      </c>
      <c r="O10" s="15"/>
      <c r="P10" s="16">
        <f>C10/C9-1</f>
        <v>-0.0691871867509261</v>
      </c>
      <c r="Q10" s="16">
        <f>(E10+D10)/C10</f>
        <v>0.065082523703617</v>
      </c>
      <c r="R10" s="16"/>
      <c r="S10" s="17"/>
      <c r="T10" s="15">
        <f>SUM(J7:K10)/4</f>
        <v>-38.9675</v>
      </c>
      <c r="U10" s="25"/>
      <c r="V10" s="15">
        <f>-(L10+M10)+V9</f>
        <v>-399.5</v>
      </c>
      <c r="W10" s="17"/>
      <c r="X10" s="15">
        <f>F10-G10</f>
        <v>-450</v>
      </c>
      <c r="Y10" s="24"/>
      <c r="Z10" s="350">
        <v>1045</v>
      </c>
      <c r="AA10" s="22"/>
      <c r="AB10" s="20">
        <v>14.902</v>
      </c>
    </row>
    <row r="11" ht="20.05" customHeight="1">
      <c r="B11" s="13"/>
      <c r="C11" s="14">
        <v>998.9</v>
      </c>
      <c r="D11" s="15">
        <v>36.5</v>
      </c>
      <c r="E11" s="15">
        <v>71.5</v>
      </c>
      <c r="F11" s="15">
        <v>324</v>
      </c>
      <c r="G11" s="15">
        <v>818</v>
      </c>
      <c r="H11" s="15">
        <v>2030</v>
      </c>
      <c r="I11" s="15">
        <v>998.01</v>
      </c>
      <c r="J11" s="15">
        <v>151.22</v>
      </c>
      <c r="K11" s="15">
        <v>-118.8</v>
      </c>
      <c r="L11" s="15">
        <v>-63.75</v>
      </c>
      <c r="M11" s="15">
        <v>160.25</v>
      </c>
      <c r="N11" s="15">
        <f>SUM(C8:C11)/4</f>
        <v>893.475</v>
      </c>
      <c r="O11" s="15"/>
      <c r="P11" s="16">
        <f>C11/C10-1</f>
        <v>0.169261383588903</v>
      </c>
      <c r="Q11" s="16">
        <f>(E11+D11)/C11</f>
        <v>0.108118930823906</v>
      </c>
      <c r="R11" s="16"/>
      <c r="S11" s="17"/>
      <c r="T11" s="15">
        <f>SUM(J8:K11)/4</f>
        <v>-19.6175</v>
      </c>
      <c r="U11" s="25"/>
      <c r="V11" s="15">
        <f>-(L11+M11)+V10</f>
        <v>-496</v>
      </c>
      <c r="W11" s="17"/>
      <c r="X11" s="15">
        <f>F11-G11</f>
        <v>-494</v>
      </c>
      <c r="Y11" s="24"/>
      <c r="Z11" s="364">
        <v>880</v>
      </c>
      <c r="AA11" s="22"/>
      <c r="AB11" s="20">
        <v>14.38</v>
      </c>
    </row>
    <row r="12" ht="20.05" customHeight="1">
      <c r="B12" s="21">
        <v>2019</v>
      </c>
      <c r="C12" s="14">
        <v>902.3</v>
      </c>
      <c r="D12" s="15">
        <v>39</v>
      </c>
      <c r="E12" s="15">
        <v>40.2</v>
      </c>
      <c r="F12" s="15">
        <v>297</v>
      </c>
      <c r="G12" s="15">
        <v>731</v>
      </c>
      <c r="H12" s="15">
        <v>1994</v>
      </c>
      <c r="I12" s="15">
        <v>900.1900000000001</v>
      </c>
      <c r="J12" s="15">
        <v>74.91500000000001</v>
      </c>
      <c r="K12" s="15">
        <v>-65.44</v>
      </c>
      <c r="L12" s="15">
        <v>-20.25</v>
      </c>
      <c r="M12" s="15">
        <v>-21.75</v>
      </c>
      <c r="N12" s="15">
        <f>SUM(C9:C12)/4</f>
        <v>918.325</v>
      </c>
      <c r="O12" s="23"/>
      <c r="P12" s="16">
        <f>C12/C11-1</f>
        <v>-0.0967063770147162</v>
      </c>
      <c r="Q12" s="16">
        <f>(E12+D12)/C12</f>
        <v>0.0877756843621855</v>
      </c>
      <c r="R12" s="16">
        <f>AVERAGE(Q9:Q12)</f>
        <v>0.0878254570911349</v>
      </c>
      <c r="S12" s="17"/>
      <c r="T12" s="15">
        <f>SUM(J9:K12)/4</f>
        <v>-15.29875</v>
      </c>
      <c r="U12" s="25"/>
      <c r="V12" s="15">
        <f>-(L12+M12)+V11</f>
        <v>-454</v>
      </c>
      <c r="W12" s="17"/>
      <c r="X12" s="15">
        <f>F12-G12</f>
        <v>-434</v>
      </c>
      <c r="Y12" s="24"/>
      <c r="Z12" s="350">
        <v>1220</v>
      </c>
      <c r="AA12" s="22"/>
      <c r="AB12" s="20">
        <v>14.24</v>
      </c>
    </row>
    <row r="13" ht="20.05" customHeight="1">
      <c r="B13" s="13"/>
      <c r="C13" s="14">
        <v>1033.4</v>
      </c>
      <c r="D13" s="15">
        <v>42.7</v>
      </c>
      <c r="E13" s="15">
        <v>59.5</v>
      </c>
      <c r="F13" s="15">
        <v>85</v>
      </c>
      <c r="G13" s="15">
        <v>713</v>
      </c>
      <c r="H13" s="15">
        <v>1951</v>
      </c>
      <c r="I13" s="15">
        <v>1034.81</v>
      </c>
      <c r="J13" s="15">
        <v>-6.562</v>
      </c>
      <c r="K13" s="15">
        <v>-101.39</v>
      </c>
      <c r="L13" s="15">
        <v>-20.25</v>
      </c>
      <c r="M13" s="15">
        <v>-21.75</v>
      </c>
      <c r="N13" s="15">
        <f>SUM(C10:C13)/4</f>
        <v>947.225</v>
      </c>
      <c r="O13" s="23"/>
      <c r="P13" s="16">
        <f>C13/C12-1</f>
        <v>0.145295356311648</v>
      </c>
      <c r="Q13" s="16">
        <f>(E13+D13)/C13</f>
        <v>0.0988968453648152</v>
      </c>
      <c r="R13" s="16">
        <f>AVERAGE(Q10:Q13)</f>
        <v>0.0899684960636309</v>
      </c>
      <c r="S13" s="17"/>
      <c r="T13" s="15">
        <f>SUM(J10:K13)/4</f>
        <v>-26.21425</v>
      </c>
      <c r="U13" s="25"/>
      <c r="V13" s="15">
        <f>-(L13+M13)+V12</f>
        <v>-412</v>
      </c>
      <c r="W13" s="17"/>
      <c r="X13" s="15">
        <f>F13-G13</f>
        <v>-628</v>
      </c>
      <c r="Y13" s="24"/>
      <c r="Z13" s="350">
        <v>1090</v>
      </c>
      <c r="AA13" s="24"/>
      <c r="AB13" s="15">
        <v>14.127</v>
      </c>
    </row>
    <row r="14" ht="20.05" customHeight="1">
      <c r="B14" s="13"/>
      <c r="C14" s="14">
        <v>1003.7</v>
      </c>
      <c r="D14" s="15">
        <v>44.8</v>
      </c>
      <c r="E14" s="15">
        <v>49.5</v>
      </c>
      <c r="F14" s="15">
        <v>80</v>
      </c>
      <c r="G14" s="15">
        <v>689</v>
      </c>
      <c r="H14" s="15">
        <v>1975</v>
      </c>
      <c r="I14" s="15">
        <v>1011</v>
      </c>
      <c r="J14" s="15">
        <v>111.974</v>
      </c>
      <c r="K14" s="15">
        <v>-105.66</v>
      </c>
      <c r="L14" s="15">
        <v>-20.25</v>
      </c>
      <c r="M14" s="15">
        <v>-21.75</v>
      </c>
      <c r="N14" s="15">
        <f>SUM(C11:C14)/4</f>
        <v>984.575</v>
      </c>
      <c r="O14" s="23"/>
      <c r="P14" s="16">
        <f>C14/C13-1</f>
        <v>-0.0287400812850784</v>
      </c>
      <c r="Q14" s="16">
        <f>(E14+D14)/C14</f>
        <v>0.09395237620803031</v>
      </c>
      <c r="R14" s="16">
        <f>AVERAGE(Q11:Q14)</f>
        <v>0.0971859591897343</v>
      </c>
      <c r="S14" s="17"/>
      <c r="T14" s="15">
        <f>SUM(J11:K14)/4</f>
        <v>-14.93575</v>
      </c>
      <c r="U14" s="25"/>
      <c r="V14" s="15">
        <f>-(L14+M14)+V13</f>
        <v>-370</v>
      </c>
      <c r="W14" s="17"/>
      <c r="X14" s="15">
        <f>F14-G14</f>
        <v>-609</v>
      </c>
      <c r="Y14" s="24"/>
      <c r="Z14" s="350">
        <v>1095</v>
      </c>
      <c r="AA14" s="24"/>
      <c r="AB14" s="15">
        <v>14.195</v>
      </c>
    </row>
    <row r="15" ht="20.05" customHeight="1">
      <c r="B15" s="13"/>
      <c r="C15" s="14">
        <v>1047.2</v>
      </c>
      <c r="D15" s="15">
        <v>48.9</v>
      </c>
      <c r="E15" s="15">
        <v>50.8</v>
      </c>
      <c r="F15" s="15">
        <v>110</v>
      </c>
      <c r="G15" s="15">
        <v>769</v>
      </c>
      <c r="H15" s="15">
        <v>2109</v>
      </c>
      <c r="I15" s="15">
        <v>1038</v>
      </c>
      <c r="J15" s="15">
        <v>202.383</v>
      </c>
      <c r="K15" s="15">
        <v>-155.74</v>
      </c>
      <c r="L15" s="15">
        <v>-20.25</v>
      </c>
      <c r="M15" s="15">
        <v>-21.75</v>
      </c>
      <c r="N15" s="15">
        <f>SUM(C12:C15)/4</f>
        <v>996.65</v>
      </c>
      <c r="O15" s="15"/>
      <c r="P15" s="16">
        <f>C15/C14-1</f>
        <v>0.043339643319717</v>
      </c>
      <c r="Q15" s="16">
        <f>(E15+D15)/C15</f>
        <v>0.0952062643239114</v>
      </c>
      <c r="R15" s="16">
        <f>AVERAGE(Q12:Q15)</f>
        <v>0.0939577925647356</v>
      </c>
      <c r="S15" s="17"/>
      <c r="T15" s="15">
        <f>SUM(J12:K15)/4</f>
        <v>-11.38</v>
      </c>
      <c r="U15" s="25"/>
      <c r="V15" s="15">
        <f>-(L15+M15)+V14</f>
        <v>-328</v>
      </c>
      <c r="W15" s="17"/>
      <c r="X15" s="15">
        <f>F15-G15</f>
        <v>-659</v>
      </c>
      <c r="Y15" s="24"/>
      <c r="Z15" s="350">
        <v>1110</v>
      </c>
      <c r="AA15" s="24"/>
      <c r="AB15" s="15">
        <v>13.882</v>
      </c>
    </row>
    <row r="16" ht="20.05" customHeight="1">
      <c r="B16" s="21">
        <v>2020</v>
      </c>
      <c r="C16" s="14">
        <v>955.6</v>
      </c>
      <c r="D16" s="15">
        <v>92</v>
      </c>
      <c r="E16" s="15">
        <v>6</v>
      </c>
      <c r="F16" s="15">
        <v>216</v>
      </c>
      <c r="G16" s="15">
        <v>1019</v>
      </c>
      <c r="H16" s="15">
        <v>2367</v>
      </c>
      <c r="I16" s="15">
        <v>964.8</v>
      </c>
      <c r="J16" s="15">
        <v>101.413</v>
      </c>
      <c r="K16" s="15">
        <v>-54.33</v>
      </c>
      <c r="L16" s="15">
        <v>71.25</v>
      </c>
      <c r="M16" s="15">
        <v>-24.75</v>
      </c>
      <c r="N16" s="15">
        <f>SUM(C13:C16)/4</f>
        <v>1009.975</v>
      </c>
      <c r="O16" s="15"/>
      <c r="P16" s="16">
        <f>C16/C15-1</f>
        <v>-0.08747135217723449</v>
      </c>
      <c r="Q16" s="16">
        <f>(E16+D16)/C16</f>
        <v>0.102553369610716</v>
      </c>
      <c r="R16" s="16">
        <f>AVERAGE(Q13:Q16)</f>
        <v>0.0976522138768682</v>
      </c>
      <c r="S16" s="17"/>
      <c r="T16" s="15">
        <f>SUM(J13:K16)/4</f>
        <v>-1.978</v>
      </c>
      <c r="U16" s="25"/>
      <c r="V16" s="15">
        <f>-(L16+M16)+V15</f>
        <v>-374.5</v>
      </c>
      <c r="W16" s="17"/>
      <c r="X16" s="15">
        <f>F16-G16</f>
        <v>-803</v>
      </c>
      <c r="Y16" s="24"/>
      <c r="Z16" s="364">
        <v>585</v>
      </c>
      <c r="AA16" s="24"/>
      <c r="AB16" s="15">
        <v>16.31</v>
      </c>
    </row>
    <row r="17" ht="20.05" customHeight="1">
      <c r="B17" s="13"/>
      <c r="C17" s="14">
        <v>862.8</v>
      </c>
      <c r="D17" s="15">
        <v>93.5</v>
      </c>
      <c r="E17" s="15">
        <v>4.5</v>
      </c>
      <c r="F17" s="15">
        <v>65</v>
      </c>
      <c r="G17" s="15">
        <v>1107</v>
      </c>
      <c r="H17" s="15">
        <v>2362</v>
      </c>
      <c r="I17" s="15">
        <v>864.1</v>
      </c>
      <c r="J17" s="15">
        <v>-106.807</v>
      </c>
      <c r="K17" s="15">
        <v>-61.07</v>
      </c>
      <c r="L17" s="15">
        <v>71.25</v>
      </c>
      <c r="M17" s="15">
        <v>-24.75</v>
      </c>
      <c r="N17" s="15">
        <f>SUM(C14:C17)/4</f>
        <v>967.325</v>
      </c>
      <c r="O17" s="15"/>
      <c r="P17" s="16">
        <f>C17/C16-1</f>
        <v>-0.0971117622436166</v>
      </c>
      <c r="Q17" s="16">
        <f>(E17+D17)/C17</f>
        <v>0.113583681038479</v>
      </c>
      <c r="R17" s="16">
        <f>AVERAGE(Q14:Q17)</f>
        <v>0.101323922795284</v>
      </c>
      <c r="S17" s="17"/>
      <c r="T17" s="25">
        <f>SUM(J14:K17)/4</f>
        <v>-16.95925</v>
      </c>
      <c r="U17" s="25"/>
      <c r="V17" s="15">
        <f>-(L17+M17)+V16</f>
        <v>-421</v>
      </c>
      <c r="W17" s="17"/>
      <c r="X17" s="15">
        <f>F17-G17</f>
        <v>-1042</v>
      </c>
      <c r="Y17" s="24"/>
      <c r="Z17" s="364">
        <v>790</v>
      </c>
      <c r="AA17" s="24"/>
      <c r="AB17" s="15">
        <v>14.255</v>
      </c>
    </row>
    <row r="18" ht="20.05" customHeight="1">
      <c r="B18" s="13"/>
      <c r="C18" s="14">
        <v>847.3</v>
      </c>
      <c r="D18" s="15">
        <v>94.5</v>
      </c>
      <c r="E18" s="15">
        <v>-19.1</v>
      </c>
      <c r="F18" s="15">
        <v>44</v>
      </c>
      <c r="G18" s="15">
        <v>1017</v>
      </c>
      <c r="H18" s="15">
        <v>2249</v>
      </c>
      <c r="I18" s="15">
        <v>845.7</v>
      </c>
      <c r="J18" s="15">
        <v>37.894</v>
      </c>
      <c r="K18" s="15">
        <v>-49.1</v>
      </c>
      <c r="L18" s="15">
        <v>71.25</v>
      </c>
      <c r="M18" s="15">
        <v>-24.75</v>
      </c>
      <c r="N18" s="15">
        <f>SUM(C15:C18)/4</f>
        <v>928.225</v>
      </c>
      <c r="O18" s="15"/>
      <c r="P18" s="16">
        <f>C18/C17-1</f>
        <v>-0.017964765878535</v>
      </c>
      <c r="Q18" s="16">
        <f>(E18+D18)/C18</f>
        <v>0.0889885518706479</v>
      </c>
      <c r="R18" s="16">
        <f>AVERAGE(Q15:Q18)</f>
        <v>0.100082966710939</v>
      </c>
      <c r="S18" s="17"/>
      <c r="T18" s="25">
        <f>SUM(J15:K18)/4</f>
        <v>-21.33925</v>
      </c>
      <c r="U18" s="25"/>
      <c r="V18" s="15">
        <f>-(L18+M18)+V17</f>
        <v>-467.5</v>
      </c>
      <c r="W18" s="17"/>
      <c r="X18" s="15">
        <f>F18-G18</f>
        <v>-973</v>
      </c>
      <c r="Y18" s="24"/>
      <c r="Z18" s="364">
        <v>575</v>
      </c>
      <c r="AA18" s="24"/>
      <c r="AB18" s="15">
        <v>14.79</v>
      </c>
    </row>
    <row r="19" ht="20.05" customHeight="1">
      <c r="B19" s="13"/>
      <c r="C19" s="14">
        <v>792.7</v>
      </c>
      <c r="D19" s="15">
        <v>87.7</v>
      </c>
      <c r="E19" s="15">
        <v>-84.90000000000001</v>
      </c>
      <c r="F19" s="15">
        <v>61</v>
      </c>
      <c r="G19" s="15">
        <v>1081</v>
      </c>
      <c r="H19" s="15">
        <v>2231</v>
      </c>
      <c r="I19" s="15">
        <v>780.7</v>
      </c>
      <c r="J19" s="15">
        <v>102</v>
      </c>
      <c r="K19" s="15">
        <v>-205.6</v>
      </c>
      <c r="L19" s="15">
        <v>71.25</v>
      </c>
      <c r="M19" s="15">
        <v>-24.75</v>
      </c>
      <c r="N19" s="15">
        <f>SUM(C16:C19)/4</f>
        <v>864.6</v>
      </c>
      <c r="O19" s="15">
        <v>885.0155</v>
      </c>
      <c r="P19" s="16">
        <f>C19/C18-1</f>
        <v>-0.06443998583736581</v>
      </c>
      <c r="Q19" s="16">
        <f>(E19+D19)/C19</f>
        <v>0.00353223161347294</v>
      </c>
      <c r="R19" s="16">
        <f>AVERAGE(Q16:Q19)</f>
        <v>0.077164458533329</v>
      </c>
      <c r="S19" s="17"/>
      <c r="T19" s="25">
        <f>SUM(J16:K19)/4</f>
        <v>-58.9</v>
      </c>
      <c r="U19" s="25"/>
      <c r="V19" s="15">
        <f>-(L19+M19)+V18</f>
        <v>-514</v>
      </c>
      <c r="W19" s="17"/>
      <c r="X19" s="15">
        <f>F19-G19</f>
        <v>-1020</v>
      </c>
      <c r="Y19" s="24"/>
      <c r="Z19" s="364">
        <v>820</v>
      </c>
      <c r="AA19" s="24"/>
      <c r="AB19" s="15">
        <v>14.1</v>
      </c>
    </row>
    <row r="20" ht="20.05" customHeight="1">
      <c r="B20" s="21">
        <v>2021</v>
      </c>
      <c r="C20" s="14">
        <v>713.9</v>
      </c>
      <c r="D20" s="15">
        <v>94.3</v>
      </c>
      <c r="E20" s="15">
        <v>4.9</v>
      </c>
      <c r="F20" s="15">
        <v>55</v>
      </c>
      <c r="G20" s="15">
        <v>954</v>
      </c>
      <c r="H20" s="15">
        <v>2124</v>
      </c>
      <c r="I20" s="15">
        <v>722.8</v>
      </c>
      <c r="J20" s="15">
        <v>58.7</v>
      </c>
      <c r="K20" s="15">
        <v>-44.8</v>
      </c>
      <c r="L20" s="15">
        <v>-26.048</v>
      </c>
      <c r="M20" s="15">
        <v>0</v>
      </c>
      <c r="N20" s="15">
        <f>SUM(C17:C20)/4</f>
        <v>804.175</v>
      </c>
      <c r="O20" s="15">
        <v>895.461983333333</v>
      </c>
      <c r="P20" s="16">
        <f>C20/C19-1</f>
        <v>-0.0994070896934528</v>
      </c>
      <c r="Q20" s="16">
        <f>(E20+D20)/C20</f>
        <v>0.138955035719288</v>
      </c>
      <c r="R20" s="16">
        <f>AVERAGE(Q17:Q20)</f>
        <v>0.08626487506047199</v>
      </c>
      <c r="S20" s="17"/>
      <c r="T20" s="25">
        <f>SUM(J17:K20)/4</f>
        <v>-67.19575</v>
      </c>
      <c r="U20" s="25"/>
      <c r="V20" s="15">
        <f>-(L20+M20)+V19</f>
        <v>-487.952</v>
      </c>
      <c r="W20" s="17"/>
      <c r="X20" s="15">
        <f>F20-G20</f>
        <v>-899</v>
      </c>
      <c r="Y20" s="15"/>
      <c r="Z20" s="15">
        <v>775.934448</v>
      </c>
      <c r="AA20" s="15"/>
      <c r="AB20" s="15">
        <v>14.606</v>
      </c>
    </row>
    <row r="21" ht="20.05" customHeight="1">
      <c r="B21" s="13"/>
      <c r="C21" s="14">
        <v>974.6</v>
      </c>
      <c r="D21" s="15">
        <v>96.7</v>
      </c>
      <c r="E21" s="15">
        <v>26.6</v>
      </c>
      <c r="F21" s="15">
        <v>33</v>
      </c>
      <c r="G21" s="15">
        <v>953</v>
      </c>
      <c r="H21" s="15">
        <v>2076</v>
      </c>
      <c r="I21" s="15">
        <v>974.2</v>
      </c>
      <c r="J21" s="15">
        <v>223.6</v>
      </c>
      <c r="K21" s="15">
        <v>-70.8</v>
      </c>
      <c r="L21" s="15">
        <v>-113.915</v>
      </c>
      <c r="M21" s="15">
        <v>-65.999</v>
      </c>
      <c r="N21" s="15">
        <f>SUM(C18:C21)/4</f>
        <v>832.125</v>
      </c>
      <c r="O21" s="15">
        <v>873.2732375000001</v>
      </c>
      <c r="P21" s="16">
        <f>C21/C20-1</f>
        <v>0.36517719568567</v>
      </c>
      <c r="Q21" s="16">
        <f>(E21+D21)/C21</f>
        <v>0.126513441411861</v>
      </c>
      <c r="R21" s="16">
        <f>AVERAGE(Q18:Q21)</f>
        <v>0.08949731515381749</v>
      </c>
      <c r="S21" s="17"/>
      <c r="T21" s="25">
        <f>SUM(J18:K21)/4</f>
        <v>12.9735</v>
      </c>
      <c r="U21" s="25"/>
      <c r="V21" s="15">
        <f>-(L21+M21)+V20</f>
        <v>-308.038</v>
      </c>
      <c r="W21" s="17"/>
      <c r="X21" s="15">
        <f>F21-G21</f>
        <v>-920</v>
      </c>
      <c r="Y21" s="15"/>
      <c r="Z21" s="15">
        <v>680</v>
      </c>
      <c r="AA21" s="15"/>
      <c r="AB21" s="15">
        <v>14.45</v>
      </c>
    </row>
    <row r="22" ht="20.05" customHeight="1">
      <c r="B22" s="13"/>
      <c r="C22" s="14">
        <v>814.8</v>
      </c>
      <c r="D22" s="15">
        <v>95.8</v>
      </c>
      <c r="E22" s="15">
        <v>-18.2</v>
      </c>
      <c r="F22" s="15">
        <v>36</v>
      </c>
      <c r="G22" s="15">
        <v>1012</v>
      </c>
      <c r="H22" s="15">
        <v>2116</v>
      </c>
      <c r="I22" s="15">
        <v>816.7</v>
      </c>
      <c r="J22" s="15">
        <v>-38.2</v>
      </c>
      <c r="K22" s="15">
        <v>-78.8</v>
      </c>
      <c r="L22" s="15">
        <v>116.899</v>
      </c>
      <c r="M22" s="15">
        <v>0</v>
      </c>
      <c r="N22" s="15">
        <f>SUM(C19:C22)/4</f>
        <v>824</v>
      </c>
      <c r="O22" s="15">
        <v>887.7222375</v>
      </c>
      <c r="P22" s="16">
        <f>C22/C21-1</f>
        <v>-0.163964703468089</v>
      </c>
      <c r="Q22" s="16">
        <f>(E22+D22)/C22</f>
        <v>0.09523809523809521</v>
      </c>
      <c r="R22" s="16">
        <f>AVERAGE(Q19:Q22)</f>
        <v>0.0910597009956793</v>
      </c>
      <c r="S22" s="17"/>
      <c r="T22" s="25">
        <f>SUM(J19:K22)/4</f>
        <v>-13.475</v>
      </c>
      <c r="U22" s="25"/>
      <c r="V22" s="15">
        <f>-(L22+M22)+V21</f>
        <v>-424.937</v>
      </c>
      <c r="W22" s="17"/>
      <c r="X22" s="15">
        <f>F22-G22</f>
        <v>-976</v>
      </c>
      <c r="Y22" s="15"/>
      <c r="Z22" s="15">
        <v>670</v>
      </c>
      <c r="AA22" s="15"/>
      <c r="AB22" s="15">
        <v>14.328</v>
      </c>
    </row>
    <row r="23" ht="20.05" customHeight="1">
      <c r="B23" s="13"/>
      <c r="C23" s="14">
        <v>915.5</v>
      </c>
      <c r="D23" s="15">
        <v>98.09999999999999</v>
      </c>
      <c r="E23" s="15">
        <v>47.5</v>
      </c>
      <c r="F23" s="15">
        <v>99</v>
      </c>
      <c r="G23" s="15">
        <v>1050</v>
      </c>
      <c r="H23" s="15">
        <v>2216</v>
      </c>
      <c r="I23" s="15">
        <v>900.5</v>
      </c>
      <c r="J23" s="15">
        <v>140.7</v>
      </c>
      <c r="K23" s="15">
        <v>-94</v>
      </c>
      <c r="L23" s="15">
        <v>15.901</v>
      </c>
      <c r="M23" s="15">
        <v>-0.001</v>
      </c>
      <c r="N23" s="15">
        <f>SUM(C20:C23)/4</f>
        <v>854.7</v>
      </c>
      <c r="O23" s="15">
        <v>899.7234875</v>
      </c>
      <c r="P23" s="16">
        <f>C23/C22-1</f>
        <v>0.123588610702013</v>
      </c>
      <c r="Q23" s="16">
        <f>(E23+D23)/C23</f>
        <v>0.159038776624795</v>
      </c>
      <c r="R23" s="16">
        <f>AVERAGE(Q20:Q23)</f>
        <v>0.12993633724851</v>
      </c>
      <c r="S23" s="17"/>
      <c r="T23" s="25">
        <f>SUM(J20:K23)/4</f>
        <v>24.1</v>
      </c>
      <c r="U23" s="25"/>
      <c r="V23" s="15">
        <f>-(L23+M23)+V22</f>
        <v>-440.837</v>
      </c>
      <c r="W23" s="17"/>
      <c r="X23" s="15">
        <f>F23-G23</f>
        <v>-951</v>
      </c>
      <c r="Y23" s="15"/>
      <c r="Z23" s="15">
        <v>680</v>
      </c>
      <c r="AA23" s="15"/>
      <c r="AB23" s="15">
        <v>14.275</v>
      </c>
    </row>
    <row r="24" ht="20.05" customHeight="1">
      <c r="B24" s="21">
        <v>2022</v>
      </c>
      <c r="C24" s="14">
        <v>852.8</v>
      </c>
      <c r="D24" s="15">
        <v>96.5</v>
      </c>
      <c r="E24" s="15">
        <v>2.3</v>
      </c>
      <c r="F24" s="15">
        <v>39</v>
      </c>
      <c r="G24" s="15">
        <v>1075</v>
      </c>
      <c r="H24" s="15">
        <v>2241</v>
      </c>
      <c r="I24" s="15">
        <v>863.2</v>
      </c>
      <c r="J24" s="15">
        <v>142.4</v>
      </c>
      <c r="K24" s="15">
        <v>-180.8</v>
      </c>
      <c r="L24" s="15">
        <v>-20.9</v>
      </c>
      <c r="M24" s="15">
        <v>0</v>
      </c>
      <c r="N24" s="15">
        <f>SUM(C21:C24)/4</f>
        <v>889.425</v>
      </c>
      <c r="O24" s="15">
        <v>900.81575</v>
      </c>
      <c r="P24" s="16">
        <f>C24/C23-1</f>
        <v>-0.0684871654833424</v>
      </c>
      <c r="Q24" s="16">
        <f>(E24+D24)/C24</f>
        <v>0.115853658536585</v>
      </c>
      <c r="R24" s="16">
        <f>AVERAGE(Q21:Q24)</f>
        <v>0.124160992952834</v>
      </c>
      <c r="S24" s="35"/>
      <c r="T24" s="25">
        <f>SUM(J21:K24)/4</f>
        <v>11.025</v>
      </c>
      <c r="U24" s="15">
        <v>58.614466918744</v>
      </c>
      <c r="V24" s="15">
        <f>-(L24+M24)+V23</f>
        <v>-419.937</v>
      </c>
      <c r="W24" s="15"/>
      <c r="X24" s="15">
        <f>F24-G24</f>
        <v>-1036</v>
      </c>
      <c r="Y24" s="15">
        <v>-799.578126226857</v>
      </c>
      <c r="Z24" s="15">
        <v>605</v>
      </c>
      <c r="AA24" s="15">
        <v>992.510062456849</v>
      </c>
      <c r="AB24" s="15">
        <v>14.327</v>
      </c>
    </row>
    <row r="25" ht="20.05" customHeight="1">
      <c r="B25" s="13"/>
      <c r="C25" s="14">
        <v>896.2</v>
      </c>
      <c r="D25" s="15">
        <v>99.3</v>
      </c>
      <c r="E25" s="15">
        <v>-8</v>
      </c>
      <c r="F25" s="15">
        <v>53</v>
      </c>
      <c r="G25" s="15">
        <v>1242</v>
      </c>
      <c r="H25" s="15">
        <v>2344</v>
      </c>
      <c r="I25" s="15">
        <v>900.4</v>
      </c>
      <c r="J25" s="15">
        <v>27.6</v>
      </c>
      <c r="K25" s="15">
        <v>-108.8</v>
      </c>
      <c r="L25" s="15">
        <v>159.1</v>
      </c>
      <c r="M25" s="15">
        <v>-60</v>
      </c>
      <c r="N25" s="15">
        <f>SUM(C22:C25)/4</f>
        <v>869.825</v>
      </c>
      <c r="O25" s="15">
        <v>933.659</v>
      </c>
      <c r="P25" s="16">
        <f>C25/C24-1</f>
        <v>0.050891181988743</v>
      </c>
      <c r="Q25" s="16">
        <f>(E25+D25)/C25</f>
        <v>0.101874581566615</v>
      </c>
      <c r="R25" s="16">
        <f>AVERAGE(Q22:Q25)</f>
        <v>0.118001277991523</v>
      </c>
      <c r="S25" s="35"/>
      <c r="T25" s="25">
        <f>SUM(J22:K25)/4</f>
        <v>-47.475</v>
      </c>
      <c r="U25" s="15">
        <v>32.922164165935</v>
      </c>
      <c r="V25" s="15">
        <f>-(L25+M25)+V24</f>
        <v>-519.037</v>
      </c>
      <c r="W25" s="15"/>
      <c r="X25" s="15">
        <f>F25-G25</f>
        <v>-1189</v>
      </c>
      <c r="Y25" s="15">
        <v>-950.655891458180</v>
      </c>
      <c r="Z25" s="15">
        <v>570</v>
      </c>
      <c r="AA25" s="15">
        <v>912.819473500458</v>
      </c>
      <c r="AB25" s="15">
        <v>14.66</v>
      </c>
    </row>
    <row r="26" ht="20.05" customHeight="1">
      <c r="B26" s="13"/>
      <c r="C26" s="14">
        <v>887.6</v>
      </c>
      <c r="D26" s="15">
        <v>100.9</v>
      </c>
      <c r="E26" s="15">
        <v>-29.8</v>
      </c>
      <c r="F26" s="15">
        <v>26</v>
      </c>
      <c r="G26" s="15">
        <v>1341</v>
      </c>
      <c r="H26" s="15">
        <v>2413</v>
      </c>
      <c r="I26" s="15">
        <v>886.3</v>
      </c>
      <c r="J26" s="15">
        <v>64.2</v>
      </c>
      <c r="K26" s="15">
        <v>-184.2</v>
      </c>
      <c r="L26" s="15">
        <v>93.8</v>
      </c>
      <c r="M26" s="15">
        <v>0.6</v>
      </c>
      <c r="N26" s="15">
        <f>SUM(C23:C26)/4</f>
        <v>888.025</v>
      </c>
      <c r="O26" s="15">
        <v>912.2105</v>
      </c>
      <c r="P26" s="16">
        <f>C26/C25-1</f>
        <v>-0.009596072305289</v>
      </c>
      <c r="Q26" s="16">
        <f>(E26+D26)/C26</f>
        <v>0.0801036502929247</v>
      </c>
      <c r="R26" s="16">
        <f>AVERAGE(Q23:Q26)</f>
        <v>0.11421766675523</v>
      </c>
      <c r="S26" s="35">
        <f>S27</f>
        <v>0.11421766675523</v>
      </c>
      <c r="T26" s="25">
        <f>SUM(J23:K26)/4</f>
        <v>-48.225</v>
      </c>
      <c r="U26" s="15">
        <v>6.774376895693</v>
      </c>
      <c r="V26" s="15">
        <f>-(L26+M26)+V25</f>
        <v>-613.437</v>
      </c>
      <c r="W26" s="15">
        <f>W27</f>
        <v>-547.407451726176</v>
      </c>
      <c r="X26" s="15">
        <f>F26-G26</f>
        <v>-1315</v>
      </c>
      <c r="Y26" s="15">
        <v>-1168.412243175510</v>
      </c>
      <c r="Z26" s="15">
        <v>545</v>
      </c>
      <c r="AA26" s="15">
        <v>315.560118168390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966.114877</v>
      </c>
      <c r="P27" s="17"/>
      <c r="Q27" s="17"/>
      <c r="R27" s="17"/>
      <c r="S27" s="35">
        <f>AE53</f>
        <v>0.11421766675523</v>
      </c>
      <c r="T27" s="25"/>
      <c r="U27" s="15">
        <f>SUM(AE55:AH55)/4</f>
        <v>16.507387068456</v>
      </c>
      <c r="V27" s="17"/>
      <c r="W27" s="15">
        <f>-SUM(AE76:AH76)+V26</f>
        <v>-547.407451726176</v>
      </c>
      <c r="X27" s="26"/>
      <c r="Y27" s="15">
        <f>AH75</f>
        <v>-1248.970451726180</v>
      </c>
      <c r="Z27" s="15">
        <v>525</v>
      </c>
      <c r="AA27" s="15">
        <v>315.560118168390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6826.875</v>
      </c>
      <c r="O28" s="15">
        <f>SUM(O19:O26)</f>
        <v>7187.881695833330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329.544683386381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324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0.0240991387255312</v>
      </c>
      <c r="AF49" s="35"/>
      <c r="AG49" s="35"/>
      <c r="AH49" s="35">
        <f>AVERAGE(AE51:AH51)</f>
        <v>0.0275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0.123588610702013</v>
      </c>
      <c r="AF50" s="35">
        <f>P24</f>
        <v>-0.0684871654833424</v>
      </c>
      <c r="AG50" s="35">
        <f>P25</f>
        <v>0.050891181988743</v>
      </c>
      <c r="AH50" s="35">
        <f>P26</f>
        <v>-0.009596072305289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-0.01</v>
      </c>
      <c r="AG51" s="35">
        <v>0.05</v>
      </c>
      <c r="AH51" s="35">
        <v>0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887.6</v>
      </c>
      <c r="AE52" s="23">
        <f>C26*(1+AE51)</f>
        <v>949.732</v>
      </c>
      <c r="AF52" s="23">
        <f>AE52*(1+AF51)</f>
        <v>940.23468</v>
      </c>
      <c r="AG52" s="23">
        <f>AF52*(1+AG51)</f>
        <v>987.246414</v>
      </c>
      <c r="AH52" s="23">
        <f>AG52*(1+AH51)</f>
        <v>987.246414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0.11421766675523</v>
      </c>
      <c r="AF53" s="35">
        <f>AE53</f>
        <v>0.11421766675523</v>
      </c>
      <c r="AG53" s="35">
        <f>AF53</f>
        <v>0.11421766675523</v>
      </c>
      <c r="AH53" s="35">
        <f>AG53</f>
        <v>0.11421766675523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AVERAGE(K20:K24)</f>
        <v>-93.84</v>
      </c>
      <c r="AF54" s="15">
        <f>AE54</f>
        <v>-93.84</v>
      </c>
      <c r="AG54" s="15">
        <f>AF54</f>
        <v>-93.84</v>
      </c>
      <c r="AH54" s="15">
        <f>AG54</f>
        <v>-93.84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14.6361730827781</v>
      </c>
      <c r="AF55" s="15">
        <f>(AF52*AF53)+AF54</f>
        <v>13.5514113519503</v>
      </c>
      <c r="AG55" s="15">
        <f>(AG52*AG53)+AG54</f>
        <v>18.9209819195478</v>
      </c>
      <c r="AH55" s="15">
        <f>(AH52*AH53)+AH54</f>
        <v>18.9209819195478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-67.05</v>
      </c>
      <c r="AF56" s="15">
        <f>-AE71/20</f>
        <v>-63.6975</v>
      </c>
      <c r="AG56" s="15">
        <f>-AF71/20</f>
        <v>-60.512625</v>
      </c>
      <c r="AH56" s="15">
        <f>-AG71/20</f>
        <v>-57.48699375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-52.4138269172219</v>
      </c>
      <c r="AF59" s="15">
        <f>AF55+AF56+AF58</f>
        <v>-50.1460886480497</v>
      </c>
      <c r="AG59" s="15">
        <f>AG55+AG56+AG58</f>
        <v>-41.5916430804522</v>
      </c>
      <c r="AH59" s="15">
        <f>AH55+AH56+AH58</f>
        <v>-38.5660118304522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52.4138269172219</v>
      </c>
      <c r="AF60" s="15">
        <f>-MIN(AE72,AF59)</f>
        <v>50.1460886480497</v>
      </c>
      <c r="AG60" s="15">
        <f>-MIN(AF72,AG59)</f>
        <v>41.5916430804522</v>
      </c>
      <c r="AH60" s="15">
        <f>-MIN(AG72,AH59)</f>
        <v>38.5660118304522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26</v>
      </c>
      <c r="AF61" s="15">
        <f>AE63</f>
        <v>26</v>
      </c>
      <c r="AG61" s="15">
        <f>AF63</f>
        <v>26</v>
      </c>
      <c r="AH61" s="15">
        <f>AG63</f>
        <v>26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26</v>
      </c>
      <c r="AF63" s="15">
        <f>AF61+AF62</f>
        <v>26</v>
      </c>
      <c r="AG63" s="15">
        <f>AG61+AG62</f>
        <v>26</v>
      </c>
      <c r="AH63" s="15">
        <f>AH61+AH62</f>
        <v>26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-98.90000000000001</v>
      </c>
      <c r="AF65" s="15">
        <f>AE65</f>
        <v>-98.90000000000001</v>
      </c>
      <c r="AG65" s="15">
        <f>AF65</f>
        <v>-98.90000000000001</v>
      </c>
      <c r="AH65" s="15">
        <f>AG65</f>
        <v>-98.90000000000001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9.5761730827781</v>
      </c>
      <c r="AF66" s="15">
        <f>(AF52*AF53)+AF65</f>
        <v>8.491411351950321</v>
      </c>
      <c r="AG66" s="15">
        <f>(AG52*AG53)+AG65</f>
        <v>13.8609819195478</v>
      </c>
      <c r="AH66" s="15">
        <f>(AH52*AH53)+AH65</f>
        <v>13.8609819195478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2480.84</v>
      </c>
      <c r="AF68" s="15">
        <f>AE68-AF54</f>
        <v>2574.68</v>
      </c>
      <c r="AG68" s="15">
        <f>AF68-AG54</f>
        <v>2668.52</v>
      </c>
      <c r="AH68" s="15">
        <f>AG68-AH54</f>
        <v>2762.36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98.90000000000001</v>
      </c>
      <c r="AF69" s="15">
        <f>AE69-AF65</f>
        <v>197.8</v>
      </c>
      <c r="AG69" s="15">
        <f>AF69-AG65</f>
        <v>296.7</v>
      </c>
      <c r="AH69" s="15">
        <f>AG69-AH65</f>
        <v>395.6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2381.94</v>
      </c>
      <c r="AF70" s="15">
        <f>AF68-AF69</f>
        <v>2376.88</v>
      </c>
      <c r="AG70" s="15">
        <f>AG68-AG69</f>
        <v>2371.82</v>
      </c>
      <c r="AH70" s="15">
        <f>AH68-AH69</f>
        <v>2366.76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1273.95</v>
      </c>
      <c r="AF71" s="15">
        <f>AE71+AF56</f>
        <v>1210.2525</v>
      </c>
      <c r="AG71" s="15">
        <f>AF71+AG56</f>
        <v>1149.739875</v>
      </c>
      <c r="AH71" s="15">
        <f>AG71+AH56</f>
        <v>1092.25288125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52.4138269172219</v>
      </c>
      <c r="AF72" s="15">
        <f>AE72+AF60</f>
        <v>102.559915565272</v>
      </c>
      <c r="AG72" s="15">
        <f>AF72+AG60</f>
        <v>144.151558645724</v>
      </c>
      <c r="AH72" s="15">
        <f>AG72+AH60</f>
        <v>182.717570476176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1081.576173082780</v>
      </c>
      <c r="AF73" s="15">
        <f>AE73+AF66+AF58</f>
        <v>1090.067584434730</v>
      </c>
      <c r="AG73" s="15">
        <f>AF73+AG66+AG58</f>
        <v>1103.928566354280</v>
      </c>
      <c r="AH73" s="15">
        <f>AG73+AH66+AH58</f>
        <v>1117.789548273830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1.9e-12</v>
      </c>
      <c r="AF74" s="15">
        <f>AF71+AF72+AF73-AF63-AF70</f>
        <v>2e-12</v>
      </c>
      <c r="AG74" s="15">
        <f>AG71+AG72+AG73-AG63-AG70</f>
        <v>4e-12</v>
      </c>
      <c r="AH74" s="15">
        <f>AH71+AH72+AH73-AH63-AH70</f>
        <v>6e-12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-1300.363826917220</v>
      </c>
      <c r="AF75" s="15">
        <f>AF63-AF71-AF72</f>
        <v>-1286.812415565270</v>
      </c>
      <c r="AG75" s="15">
        <f>AG63-AG71-AG72</f>
        <v>-1267.891433645720</v>
      </c>
      <c r="AH75" s="15">
        <f>AH63-AH71-AH72</f>
        <v>-1248.970451726180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-14.6361730827781</v>
      </c>
      <c r="AF76" s="15">
        <f>AF56+AF58+AF60</f>
        <v>-13.5514113519503</v>
      </c>
      <c r="AG76" s="15">
        <f>AG56+AG58+AG60</f>
        <v>-18.9209819195478</v>
      </c>
      <c r="AH76" s="15">
        <f>AH56+AH58+AH60</f>
        <v>-18.9209819195478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726</v>
      </c>
      <c r="AD78" s="14"/>
      <c r="AE78" s="15"/>
      <c r="AF78" s="15"/>
      <c r="AG78" s="15"/>
      <c r="AH78" s="15">
        <v>525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726</v>
      </c>
      <c r="AD79" s="14"/>
      <c r="AE79" s="15"/>
      <c r="AF79" s="15"/>
      <c r="AG79" s="15"/>
      <c r="AH79" s="15">
        <v>1577882208000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1577.882208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3.00548992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0.659440231364617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66.02954827382401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35.8439526223179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23.8966076438466</v>
      </c>
      <c r="AH86" s="15">
        <v>15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990.443224107360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329.544683386381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-0.372295841168798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0.0893470790378007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0.052880226433519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726</v>
      </c>
      <c r="AF94" t="s" s="44">
        <v>60</v>
      </c>
      <c r="AG94" s="15">
        <f>AH78</f>
        <v>525</v>
      </c>
      <c r="AH94" t="s" s="44">
        <v>61</v>
      </c>
      <c r="AI94" s="15">
        <f>AH88</f>
        <v>329.544683386381</v>
      </c>
      <c r="AJ94" t="s" s="44">
        <f>IF(AK94&gt;0,"+","")</f>
      </c>
      <c r="AK94" s="16">
        <f>AI94/AG94-1</f>
        <v>-0.372295841168798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0.0893470790378007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-0.122252471713022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-0.11946392388753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-0.833395543300277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-0.009596072305289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-0.163964703468089</v>
      </c>
      <c r="AF103" s="16">
        <f>P23</f>
        <v>0.123588610702013</v>
      </c>
      <c r="AG103" s="16">
        <f>P24</f>
        <v>-0.0684871654833424</v>
      </c>
      <c r="AH103" s="16">
        <f>P25</f>
        <v>0.050891181988743</v>
      </c>
      <c r="AI103" s="16">
        <f>P26</f>
        <v>-0.009596072305289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814.8</v>
      </c>
      <c r="AF104" t="s" s="44">
        <v>72</v>
      </c>
      <c r="AG104" s="15">
        <f>C23</f>
        <v>915.5</v>
      </c>
      <c r="AH104" t="s" s="44">
        <v>72</v>
      </c>
      <c r="AI104" s="15">
        <f>C24</f>
        <v>852.8</v>
      </c>
      <c r="AJ104" t="s" s="44">
        <v>72</v>
      </c>
      <c r="AK104" s="15">
        <f>C25</f>
        <v>896.2</v>
      </c>
      <c r="AL104" t="s" s="44">
        <v>72</v>
      </c>
      <c r="AM104" s="15">
        <f>C26</f>
        <v>887.6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-0.009596072305289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887.6</v>
      </c>
      <c r="AM105" t="s" s="44">
        <v>372</v>
      </c>
      <c r="AN105" t="s" s="44">
        <v>373</v>
      </c>
      <c r="AO105" s="16">
        <f>AH91</f>
        <v>0.052880226433519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0.0240991387255312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0.0275</v>
      </c>
      <c r="AG107" t="s" s="44">
        <v>82</v>
      </c>
      <c r="AH107" t="s" s="44">
        <v>83</v>
      </c>
      <c r="AI107" s="23">
        <f>AH52</f>
        <v>987.246414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0.09523809523809521</v>
      </c>
      <c r="AF110" s="16">
        <f>(D23+E23)/C23</f>
        <v>0.159038776624795</v>
      </c>
      <c r="AG110" s="16">
        <f>((E24+D24)/C24)</f>
        <v>0.115853658536585</v>
      </c>
      <c r="AH110" s="16">
        <f>(D25+E25)/C25</f>
        <v>0.101874581566615</v>
      </c>
      <c r="AI110" s="16">
        <f>(D26+E26)/C26</f>
        <v>0.0801036502929247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-18.2</v>
      </c>
      <c r="AF111" t="s" s="44">
        <v>72</v>
      </c>
      <c r="AG111" s="15">
        <f>E23</f>
        <v>47.5</v>
      </c>
      <c r="AH111" t="s" s="44">
        <v>72</v>
      </c>
      <c r="AI111" s="15">
        <f>E24</f>
        <v>2.3</v>
      </c>
      <c r="AJ111" t="s" s="44">
        <v>72</v>
      </c>
      <c r="AK111" s="15">
        <f>E25</f>
        <v>-8</v>
      </c>
      <c r="AL111" t="s" s="44">
        <v>72</v>
      </c>
      <c r="AM111" s="15">
        <f>E26</f>
        <v>-29.8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0.101874581566615</v>
      </c>
      <c r="AG112" t="s" s="44">
        <v>76</v>
      </c>
      <c r="AH112" s="16">
        <f>AI110</f>
        <v>0.0801036502929247</v>
      </c>
      <c r="AI112" t="s" s="44">
        <v>90</v>
      </c>
      <c r="AJ112" s="15">
        <f>AK111</f>
        <v>-8</v>
      </c>
      <c r="AK112" t="s" s="44">
        <v>76</v>
      </c>
      <c r="AL112" s="15">
        <f>AM111</f>
        <v>-29.8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0.11421766675523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0.11421766675523</v>
      </c>
      <c r="AG114" t="s" s="44">
        <v>94</v>
      </c>
      <c r="AH114" s="15">
        <f>AH66</f>
        <v>13.8609819195478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-38.2</v>
      </c>
      <c r="AF117" t="s" s="44">
        <v>72</v>
      </c>
      <c r="AG117" s="15">
        <f>J23</f>
        <v>140.7</v>
      </c>
      <c r="AH117" t="s" s="44">
        <v>72</v>
      </c>
      <c r="AI117" s="15">
        <f>J24</f>
        <v>142.4</v>
      </c>
      <c r="AJ117" t="s" s="44">
        <v>72</v>
      </c>
      <c r="AK117" s="15">
        <f>J25</f>
        <v>27.6</v>
      </c>
      <c r="AL117" t="s" s="44">
        <v>72</v>
      </c>
      <c r="AM117" s="15">
        <f>J26</f>
        <v>64.2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-78.8</v>
      </c>
      <c r="AF118" t="s" s="44">
        <v>72</v>
      </c>
      <c r="AG118" s="15">
        <f>K23</f>
        <v>-94</v>
      </c>
      <c r="AH118" t="s" s="44">
        <v>72</v>
      </c>
      <c r="AI118" s="15">
        <f>K24</f>
        <v>-180.8</v>
      </c>
      <c r="AJ118" t="s" s="44">
        <v>72</v>
      </c>
      <c r="AK118" s="15">
        <f>K25</f>
        <v>-108.8</v>
      </c>
      <c r="AL118" t="s" s="44">
        <v>72</v>
      </c>
      <c r="AM118" s="15">
        <f>K26</f>
        <v>-184.2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-81.2</v>
      </c>
      <c r="AG119" t="s" s="44">
        <v>76</v>
      </c>
      <c r="AH119" s="15">
        <f>AM117+AM118</f>
        <v>-120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-184.2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-48.225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-93.84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16.507387068456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36</v>
      </c>
      <c r="AF124" t="s" s="44">
        <v>72</v>
      </c>
      <c r="AG124" s="15">
        <f>F23</f>
        <v>99</v>
      </c>
      <c r="AH124" t="s" s="44">
        <v>72</v>
      </c>
      <c r="AI124" s="15">
        <f>F24</f>
        <v>39</v>
      </c>
      <c r="AJ124" t="s" s="44">
        <v>72</v>
      </c>
      <c r="AK124" s="15">
        <f>F25</f>
        <v>53</v>
      </c>
      <c r="AL124" t="s" s="44">
        <v>72</v>
      </c>
      <c r="AM124" s="15">
        <f>F26</f>
        <v>26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1012</v>
      </c>
      <c r="AF125" t="s" s="44">
        <v>72</v>
      </c>
      <c r="AG125" s="15">
        <f>G23</f>
        <v>1050</v>
      </c>
      <c r="AH125" t="s" s="44">
        <v>72</v>
      </c>
      <c r="AI125" s="15">
        <f>G24</f>
        <v>1075</v>
      </c>
      <c r="AJ125" t="s" s="44">
        <v>72</v>
      </c>
      <c r="AK125" s="15">
        <f>G25</f>
        <v>1242</v>
      </c>
      <c r="AL125" t="s" s="44">
        <v>72</v>
      </c>
      <c r="AM125" s="15">
        <f>G26</f>
        <v>1341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53</v>
      </c>
      <c r="AH126" t="s" s="44">
        <v>76</v>
      </c>
      <c r="AI126" s="15">
        <f>AM124</f>
        <v>26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1242</v>
      </c>
      <c r="AH127" t="s" s="44">
        <v>76</v>
      </c>
      <c r="AI127" s="15">
        <f>AM125</f>
        <v>1341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-1189</v>
      </c>
      <c r="AO127" t="s" s="44">
        <v>76</v>
      </c>
      <c r="AP127" s="15">
        <f>AI126-AI127</f>
        <v>-1315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-66.02954827382401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-1248.970451726180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-116.899</v>
      </c>
      <c r="AF131" t="s" s="44">
        <v>72</v>
      </c>
      <c r="AG131" s="15">
        <f>-L23</f>
        <v>-15.901</v>
      </c>
      <c r="AH131" t="s" s="44">
        <v>72</v>
      </c>
      <c r="AI131" s="15">
        <f>-L24</f>
        <v>20.9</v>
      </c>
      <c r="AJ131" t="s" s="44">
        <v>72</v>
      </c>
      <c r="AK131" s="15">
        <f>-L25</f>
        <v>-159.1</v>
      </c>
      <c r="AL131" t="s" s="44">
        <v>72</v>
      </c>
      <c r="AM131" s="15">
        <f>-L26</f>
        <v>-93.8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0.001</v>
      </c>
      <c r="AH132" t="s" s="44">
        <v>72</v>
      </c>
      <c r="AI132" s="15">
        <f>-M24</f>
        <v>0</v>
      </c>
      <c r="AJ132" t="s" s="44">
        <v>72</v>
      </c>
      <c r="AK132" s="15">
        <f>-M25</f>
        <v>60</v>
      </c>
      <c r="AL132" t="s" s="44">
        <v>72</v>
      </c>
      <c r="AM132" s="15">
        <f>-M26</f>
        <v>-0.6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726</v>
      </c>
      <c r="AF133" t="s" s="44">
        <f>IF(AG133&gt;0,"paid","(raised)")</f>
        <v>121</v>
      </c>
      <c r="AG133" s="15">
        <f>SUM(AM131:AM132)</f>
        <v>-94.40000000000001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-93.8</v>
      </c>
      <c r="AM133" t="s" s="44">
        <f>AM105</f>
        <v>372</v>
      </c>
      <c r="AN133" t="s" s="44">
        <v>123</v>
      </c>
      <c r="AO133" s="15">
        <f>AM132</f>
        <v>-0.6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66.02954827382401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1577.882208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0.659440231364617</v>
      </c>
      <c r="AK134" t="s" s="44">
        <v>130</v>
      </c>
      <c r="AL134" t="s" s="44">
        <v>131</v>
      </c>
      <c r="AM134" t="s" s="44">
        <v>132</v>
      </c>
      <c r="AN134" s="15">
        <f>AH85</f>
        <v>35.8439526223179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66.02954827382401</v>
      </c>
      <c r="AG135" t="s" s="44">
        <f>AG134</f>
        <v>372</v>
      </c>
      <c r="AH135" t="s" s="44">
        <v>136</v>
      </c>
      <c r="AI135" s="15">
        <f>AF134/AF135</f>
        <v>23.8966076438466</v>
      </c>
      <c r="AJ135" t="s" s="44">
        <v>130</v>
      </c>
      <c r="AK135" t="s" s="44">
        <v>137</v>
      </c>
      <c r="AL135" t="s" s="44">
        <v>138</v>
      </c>
      <c r="AM135" s="15">
        <f>AH86</f>
        <v>15</v>
      </c>
      <c r="AN135" t="s" s="44">
        <v>139</v>
      </c>
      <c r="AO135" t="s" s="44">
        <v>140</v>
      </c>
      <c r="AP135" t="s" s="44">
        <v>141</v>
      </c>
      <c r="AQ135" s="16">
        <f>AK94</f>
        <v>-0.372295841168798</v>
      </c>
      <c r="AR135" t="s" s="44">
        <f>IF(AQ135&gt;0,"higher","lower")</f>
        <v>104</v>
      </c>
      <c r="AS135" t="s" s="44">
        <v>142</v>
      </c>
      <c r="AT135" s="15">
        <f>AI94</f>
        <v>329.544683386381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814.8</v>
      </c>
      <c r="AE137" s="15">
        <f>AG104</f>
        <v>915.5</v>
      </c>
      <c r="AF137" s="15">
        <f>AI104</f>
        <v>852.8</v>
      </c>
      <c r="AG137" s="15">
        <f>AK104</f>
        <v>896.2</v>
      </c>
      <c r="AH137" s="15">
        <f>AM104</f>
        <v>887.6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-117</v>
      </c>
      <c r="AE138" s="15">
        <f>SUM(AG117:AG118)</f>
        <v>46.7</v>
      </c>
      <c r="AF138" s="15">
        <f>SUM(AI117:AI118)</f>
        <v>-38.4</v>
      </c>
      <c r="AG138" s="15">
        <f>SUM(AK117:AK118)</f>
        <v>-81.2</v>
      </c>
      <c r="AH138" s="15">
        <f>SUM(AM117:AM118)</f>
        <v>-120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-116.899</v>
      </c>
      <c r="AE139" s="15">
        <f>SUM(AG131:AG132)</f>
        <v>-15.9</v>
      </c>
      <c r="AF139" s="15">
        <f>SUM(AI131:AI132)</f>
        <v>20.9</v>
      </c>
      <c r="AG139" s="15">
        <f>SUM(AK131:AK132)</f>
        <v>-99.09999999999999</v>
      </c>
      <c r="AH139" s="15">
        <f>SUM(AM131:AM132)</f>
        <v>-94.40000000000001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-976</v>
      </c>
      <c r="AE140" s="15">
        <f>(AG124-AG125)</f>
        <v>-951</v>
      </c>
      <c r="AF140" s="15">
        <f>(AI124-AI125)</f>
        <v>-1036</v>
      </c>
      <c r="AG140" s="15">
        <f>(AK124-AK125)</f>
        <v>-1189</v>
      </c>
      <c r="AH140" s="15">
        <f>(AM124-AM125)</f>
        <v>-1315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329.544683386381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66" customWidth="1"/>
    <col min="2" max="28" width="10.4844" style="366" customWidth="1"/>
    <col min="29" max="29" width="18.9766" style="367" customWidth="1"/>
    <col min="30" max="48" width="9" style="367" customWidth="1"/>
    <col min="49" max="16384" width="16.3516" style="367" customWidth="1"/>
  </cols>
  <sheetData>
    <row r="1" ht="11.65" customHeight="1"/>
    <row r="2" ht="27.65" customHeight="1">
      <c r="B2" t="s" s="2">
        <v>727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222</v>
      </c>
      <c r="AA3" t="s" s="3">
        <v>19</v>
      </c>
      <c r="AB3" t="s" s="3">
        <v>20</v>
      </c>
    </row>
    <row r="4" ht="20.25" customHeight="1">
      <c r="B4" s="6">
        <v>2017</v>
      </c>
      <c r="C4" s="7">
        <v>595.84</v>
      </c>
      <c r="D4" s="8">
        <v>18.62</v>
      </c>
      <c r="E4" s="8">
        <v>21.28</v>
      </c>
      <c r="F4" s="8">
        <v>226.1</v>
      </c>
      <c r="G4" s="8">
        <v>718.2</v>
      </c>
      <c r="H4" s="8">
        <v>1968.4</v>
      </c>
      <c r="I4" s="8">
        <v>498.75</v>
      </c>
      <c r="J4" s="8">
        <v>47.88</v>
      </c>
      <c r="K4" s="8">
        <v>1.33</v>
      </c>
      <c r="L4" s="8">
        <v>-107.73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107.73</v>
      </c>
      <c r="W4" s="9"/>
      <c r="X4" s="8">
        <f>F4-G4</f>
        <v>-492.1</v>
      </c>
      <c r="Y4" s="9"/>
      <c r="Z4" s="8"/>
      <c r="AA4" s="11"/>
      <c r="AB4" s="12">
        <v>13.3</v>
      </c>
    </row>
    <row r="5" ht="20.05" customHeight="1">
      <c r="B5" s="13"/>
      <c r="C5" s="14">
        <v>487.7682</v>
      </c>
      <c r="D5" s="15">
        <v>22.6559</v>
      </c>
      <c r="E5" s="15">
        <v>1.3327</v>
      </c>
      <c r="F5" s="15">
        <v>133.27</v>
      </c>
      <c r="G5" s="15">
        <v>626.369</v>
      </c>
      <c r="H5" s="15">
        <v>1865.78</v>
      </c>
      <c r="I5" s="15">
        <v>491.7663</v>
      </c>
      <c r="J5" s="15">
        <v>-18.6578</v>
      </c>
      <c r="K5" s="15">
        <v>41.3137</v>
      </c>
      <c r="L5" s="15">
        <v>-107.9487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215.6787</v>
      </c>
      <c r="W5" s="17"/>
      <c r="X5" s="15">
        <f>F5-G5</f>
        <v>-493.099</v>
      </c>
      <c r="Y5" s="17"/>
      <c r="Z5" s="15"/>
      <c r="AA5" s="19"/>
      <c r="AB5" s="20">
        <v>13.327</v>
      </c>
    </row>
    <row r="6" ht="20.05" customHeight="1">
      <c r="B6" s="13"/>
      <c r="C6" s="14">
        <v>424.4295</v>
      </c>
      <c r="D6" s="15">
        <v>23.949</v>
      </c>
      <c r="E6" s="15">
        <v>6.6525</v>
      </c>
      <c r="F6" s="15">
        <v>186.27</v>
      </c>
      <c r="G6" s="15">
        <v>651.9450000000001</v>
      </c>
      <c r="H6" s="15">
        <v>1902.615</v>
      </c>
      <c r="I6" s="15">
        <v>424.4295</v>
      </c>
      <c r="J6" s="15">
        <v>31.932</v>
      </c>
      <c r="K6" s="15">
        <v>-50.559</v>
      </c>
      <c r="L6" s="15">
        <v>-107.7705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323.4492</v>
      </c>
      <c r="W6" s="17"/>
      <c r="X6" s="15">
        <f>F6-G6</f>
        <v>-465.675</v>
      </c>
      <c r="Y6" s="17"/>
      <c r="Z6" s="15"/>
      <c r="AA6" s="19"/>
      <c r="AB6" s="20">
        <v>13.305</v>
      </c>
    </row>
    <row r="7" ht="20.05" customHeight="1">
      <c r="B7" s="13"/>
      <c r="C7" s="14">
        <v>573.4611</v>
      </c>
      <c r="D7" s="15">
        <v>18.9798</v>
      </c>
      <c r="E7" s="15">
        <v>150.4827</v>
      </c>
      <c r="F7" s="15">
        <v>176.241</v>
      </c>
      <c r="G7" s="15">
        <v>406.71</v>
      </c>
      <c r="H7" s="15">
        <v>2033.55</v>
      </c>
      <c r="I7" s="15">
        <v>459.5823</v>
      </c>
      <c r="J7" s="15">
        <v>-177.5967</v>
      </c>
      <c r="K7" s="15">
        <v>559.9041</v>
      </c>
      <c r="L7" s="15">
        <v>-109.8117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433.2609</v>
      </c>
      <c r="W7" s="17"/>
      <c r="X7" s="15">
        <f>F7-G7</f>
        <v>-230.469</v>
      </c>
      <c r="Y7" s="17"/>
      <c r="Z7" s="15"/>
      <c r="AA7" s="19"/>
      <c r="AB7" s="20">
        <v>13.557</v>
      </c>
    </row>
    <row r="8" ht="20.05" customHeight="1">
      <c r="B8" s="21">
        <v>2018</v>
      </c>
      <c r="C8" s="14">
        <v>524.2941</v>
      </c>
      <c r="D8" s="15">
        <v>23.3937</v>
      </c>
      <c r="E8" s="15">
        <v>28.8981</v>
      </c>
      <c r="F8" s="15">
        <v>206.415</v>
      </c>
      <c r="G8" s="15">
        <v>385.308</v>
      </c>
      <c r="H8" s="15">
        <v>2050.389</v>
      </c>
      <c r="I8" s="15">
        <v>412.83</v>
      </c>
      <c r="J8" s="15">
        <v>64.6767</v>
      </c>
      <c r="K8" s="15">
        <v>-4.1283</v>
      </c>
      <c r="L8" s="15">
        <v>-64.6767</v>
      </c>
      <c r="M8" s="15">
        <v>8.256600000000001</v>
      </c>
      <c r="N8" s="15">
        <f>SUM(C5:C8)/4</f>
        <v>502.488225</v>
      </c>
      <c r="O8" s="15"/>
      <c r="P8" s="16"/>
      <c r="Q8" s="16">
        <f>(E8+D8)/C8</f>
        <v>0.099737532808399</v>
      </c>
      <c r="R8" s="16"/>
      <c r="S8" s="17"/>
      <c r="T8" s="15">
        <f>SUM(J5:K8)/4</f>
        <v>111.721175</v>
      </c>
      <c r="U8" s="25"/>
      <c r="V8" s="15">
        <f>-(L8+M8)+V7</f>
        <v>489.681</v>
      </c>
      <c r="W8" s="17"/>
      <c r="X8" s="15">
        <f>F8-G8</f>
        <v>-178.893</v>
      </c>
      <c r="Y8" s="24"/>
      <c r="Z8" s="15">
        <v>640.279175</v>
      </c>
      <c r="AA8" s="22"/>
      <c r="AB8" s="20">
        <v>13.761</v>
      </c>
    </row>
    <row r="9" ht="20.05" customHeight="1">
      <c r="B9" s="13"/>
      <c r="C9" s="14">
        <v>399</v>
      </c>
      <c r="D9" s="15">
        <v>22.4</v>
      </c>
      <c r="E9" s="15">
        <v>16.8</v>
      </c>
      <c r="F9" s="15">
        <v>168</v>
      </c>
      <c r="G9" s="15">
        <v>322</v>
      </c>
      <c r="H9" s="15">
        <v>2002</v>
      </c>
      <c r="I9" s="15">
        <v>450.8</v>
      </c>
      <c r="J9" s="15">
        <v>28</v>
      </c>
      <c r="K9" s="15">
        <v>-19.6</v>
      </c>
      <c r="L9" s="15">
        <v>-65.8</v>
      </c>
      <c r="M9" s="15">
        <v>8.4</v>
      </c>
      <c r="N9" s="15">
        <f>SUM(C6:C9)/4</f>
        <v>480.296175</v>
      </c>
      <c r="O9" s="15"/>
      <c r="P9" s="16"/>
      <c r="Q9" s="16">
        <f>(E9+D9)/C9</f>
        <v>0.09824561403508771</v>
      </c>
      <c r="R9" s="16"/>
      <c r="S9" s="17"/>
      <c r="T9" s="15">
        <f>SUM(J6:K9)/4</f>
        <v>108.1572</v>
      </c>
      <c r="U9" s="25"/>
      <c r="V9" s="15">
        <f>-(L9+M9)+V8</f>
        <v>547.081</v>
      </c>
      <c r="W9" s="17"/>
      <c r="X9" s="15">
        <f>F13-G9</f>
        <v>-81.84099999999999</v>
      </c>
      <c r="Y9" s="24"/>
      <c r="Z9" s="15">
        <v>596.464172</v>
      </c>
      <c r="AA9" s="22"/>
      <c r="AB9" s="20">
        <v>14</v>
      </c>
    </row>
    <row r="10" ht="20.05" customHeight="1">
      <c r="B10" s="13"/>
      <c r="C10" s="14">
        <v>435.1384</v>
      </c>
      <c r="D10" s="15">
        <v>22.353</v>
      </c>
      <c r="E10" s="15">
        <v>77.49039999999999</v>
      </c>
      <c r="F10" s="15">
        <v>178.824</v>
      </c>
      <c r="G10" s="15">
        <v>1058.042</v>
      </c>
      <c r="H10" s="15">
        <v>2935.694</v>
      </c>
      <c r="I10" s="15">
        <v>436.6286</v>
      </c>
      <c r="J10" s="15">
        <v>-95.3728</v>
      </c>
      <c r="K10" s="15">
        <v>-53.6472</v>
      </c>
      <c r="L10" s="15">
        <v>-70.0394</v>
      </c>
      <c r="M10" s="15">
        <v>8.9412</v>
      </c>
      <c r="N10" s="15">
        <f>SUM(C7:C10)/4</f>
        <v>482.9734</v>
      </c>
      <c r="O10" s="15"/>
      <c r="P10" s="16">
        <f>C10/C9-1</f>
        <v>0.09057243107769419</v>
      </c>
      <c r="Q10" s="16">
        <f>(E10+D10)/C10</f>
        <v>0.229452054794521</v>
      </c>
      <c r="R10" s="16"/>
      <c r="S10" s="17"/>
      <c r="T10" s="15">
        <f>SUM(J7:K10)/4</f>
        <v>75.55895</v>
      </c>
      <c r="U10" s="25"/>
      <c r="V10" s="15">
        <f>-(L10+M10)+V9</f>
        <v>608.1792</v>
      </c>
      <c r="W10" s="17"/>
      <c r="X10" s="15">
        <f>F10-G10</f>
        <v>-879.218</v>
      </c>
      <c r="Y10" s="24"/>
      <c r="Z10" s="15">
        <v>415.77063</v>
      </c>
      <c r="AA10" s="22"/>
      <c r="AB10" s="20">
        <v>14.902</v>
      </c>
    </row>
    <row r="11" ht="20.05" customHeight="1">
      <c r="B11" s="13"/>
      <c r="C11" s="14">
        <v>447.218</v>
      </c>
      <c r="D11" s="15">
        <v>27.322</v>
      </c>
      <c r="E11" s="15">
        <v>74.776</v>
      </c>
      <c r="F11" s="15">
        <v>287.6</v>
      </c>
      <c r="G11" s="15">
        <v>848.42</v>
      </c>
      <c r="H11" s="15">
        <v>2746.58</v>
      </c>
      <c r="I11" s="15">
        <v>520.556</v>
      </c>
      <c r="J11" s="15">
        <v>149.552</v>
      </c>
      <c r="K11" s="15">
        <v>-2.876</v>
      </c>
      <c r="L11" s="15">
        <v>-67.586</v>
      </c>
      <c r="M11" s="15">
        <v>8.628</v>
      </c>
      <c r="N11" s="15">
        <f>SUM(C8:C11)/4</f>
        <v>451.412625</v>
      </c>
      <c r="O11" s="15"/>
      <c r="P11" s="16">
        <f>C11/C10-1</f>
        <v>0.0277603631396356</v>
      </c>
      <c r="Q11" s="16">
        <f>(E11+D11)/C11</f>
        <v>0.228295819935691</v>
      </c>
      <c r="R11" s="16"/>
      <c r="S11" s="17"/>
      <c r="T11" s="15">
        <f>SUM(J8:K11)/4</f>
        <v>16.6511</v>
      </c>
      <c r="U11" s="25"/>
      <c r="V11" s="15">
        <f>-(L11+M11)+V10</f>
        <v>667.1372</v>
      </c>
      <c r="W11" s="17"/>
      <c r="X11" s="15">
        <f>F11-G11</f>
        <v>-560.8200000000001</v>
      </c>
      <c r="Y11" s="24"/>
      <c r="Z11" s="15">
        <v>342.089752</v>
      </c>
      <c r="AA11" s="22"/>
      <c r="AB11" s="20">
        <v>14.38</v>
      </c>
    </row>
    <row r="12" ht="20.05" customHeight="1">
      <c r="B12" s="21">
        <v>2019</v>
      </c>
      <c r="C12" s="14">
        <v>417.232</v>
      </c>
      <c r="D12" s="15">
        <v>22.784</v>
      </c>
      <c r="E12" s="15">
        <v>11.392</v>
      </c>
      <c r="F12" s="15">
        <v>854.4</v>
      </c>
      <c r="G12" s="15">
        <v>1495.2</v>
      </c>
      <c r="H12" s="15">
        <v>3403.36</v>
      </c>
      <c r="I12" s="15">
        <v>357.424</v>
      </c>
      <c r="J12" s="15">
        <v>12.816</v>
      </c>
      <c r="K12" s="15">
        <v>-103.952</v>
      </c>
      <c r="L12" s="15">
        <v>74.76000000000001</v>
      </c>
      <c r="M12" s="15">
        <v>0</v>
      </c>
      <c r="N12" s="15">
        <f>SUM(C9:C12)/4</f>
        <v>424.6471</v>
      </c>
      <c r="O12" s="23"/>
      <c r="P12" s="16">
        <f>C12/C11-1</f>
        <v>-0.0670500740131211</v>
      </c>
      <c r="Q12" s="16">
        <f>(E12+D12)/C12</f>
        <v>0.0819112627986348</v>
      </c>
      <c r="R12" s="16">
        <f>AVERAGE(Q9:Q12)</f>
        <v>0.159476187890984</v>
      </c>
      <c r="S12" s="17"/>
      <c r="T12" s="15">
        <f>SUM(J9:K12)/4</f>
        <v>-21.27</v>
      </c>
      <c r="U12" s="25"/>
      <c r="V12" s="15">
        <f>-(L12+M12)+V11</f>
        <v>592.3772</v>
      </c>
      <c r="W12" s="17"/>
      <c r="X12" s="15">
        <f>F12-G12</f>
        <v>-640.8</v>
      </c>
      <c r="Y12" s="24"/>
      <c r="Z12" s="15">
        <v>242.094269</v>
      </c>
      <c r="AA12" s="22"/>
      <c r="AB12" s="20">
        <v>14.24</v>
      </c>
    </row>
    <row r="13" ht="20.05" customHeight="1">
      <c r="B13" s="13"/>
      <c r="C13" s="14">
        <v>406.8576</v>
      </c>
      <c r="D13" s="15">
        <v>24.0159</v>
      </c>
      <c r="E13" s="15">
        <v>22.6032</v>
      </c>
      <c r="F13" s="15">
        <v>240.159</v>
      </c>
      <c r="G13" s="15">
        <v>805.239</v>
      </c>
      <c r="H13" s="15">
        <v>2641.749</v>
      </c>
      <c r="I13" s="15">
        <v>456.3021</v>
      </c>
      <c r="J13" s="15">
        <v>-59.3334</v>
      </c>
      <c r="K13" s="15">
        <v>-19.7778</v>
      </c>
      <c r="L13" s="15">
        <v>74.16674999999999</v>
      </c>
      <c r="M13" s="15">
        <v>0</v>
      </c>
      <c r="N13" s="15">
        <f>SUM(C10:C13)/4</f>
        <v>426.6115</v>
      </c>
      <c r="O13" s="23"/>
      <c r="P13" s="16">
        <f>C13/C12-1</f>
        <v>-0.0248648234076006</v>
      </c>
      <c r="Q13" s="16">
        <f>(E13+D13)/C13</f>
        <v>0.114583333333333</v>
      </c>
      <c r="R13" s="16">
        <f>AVERAGE(Q10:Q13)</f>
        <v>0.163560617715545</v>
      </c>
      <c r="S13" s="17"/>
      <c r="T13" s="15">
        <f>SUM(J10:K13)/4</f>
        <v>-43.1478</v>
      </c>
      <c r="U13" s="25"/>
      <c r="V13" s="15">
        <f>-(L13+M13)+V12</f>
        <v>518.21045</v>
      </c>
      <c r="W13" s="17"/>
      <c r="X13" s="15">
        <f>F13-G13</f>
        <v>-565.08</v>
      </c>
      <c r="Y13" s="24"/>
      <c r="Z13" s="15">
        <v>230.222122</v>
      </c>
      <c r="AA13" s="24"/>
      <c r="AB13" s="15">
        <v>14.127</v>
      </c>
    </row>
    <row r="14" ht="20.05" customHeight="1">
      <c r="B14" s="13"/>
      <c r="C14" s="14">
        <v>447.1425</v>
      </c>
      <c r="D14" s="15">
        <v>24.1315</v>
      </c>
      <c r="E14" s="15">
        <v>21.2925</v>
      </c>
      <c r="F14" s="15">
        <v>269.705</v>
      </c>
      <c r="G14" s="15">
        <v>780.725</v>
      </c>
      <c r="H14" s="15">
        <v>2654.465</v>
      </c>
      <c r="I14" s="15">
        <v>393.2015</v>
      </c>
      <c r="J14" s="15">
        <v>55.3605</v>
      </c>
      <c r="K14" s="15">
        <v>-63.8775</v>
      </c>
      <c r="L14" s="15">
        <v>74.52375000000001</v>
      </c>
      <c r="M14" s="15">
        <v>0</v>
      </c>
      <c r="N14" s="15">
        <f>SUM(C11:C14)/4</f>
        <v>429.612525</v>
      </c>
      <c r="O14" s="23"/>
      <c r="P14" s="16">
        <f>C14/C13-1</f>
        <v>0.0990147412755716</v>
      </c>
      <c r="Q14" s="16">
        <f>(E14+D14)/C14</f>
        <v>0.101587301587302</v>
      </c>
      <c r="R14" s="16">
        <f>AVERAGE(Q11:Q14)</f>
        <v>0.13159442941374</v>
      </c>
      <c r="S14" s="17"/>
      <c r="T14" s="15">
        <f>SUM(J11:K14)/4</f>
        <v>-8.02205</v>
      </c>
      <c r="U14" s="25"/>
      <c r="V14" s="15">
        <f>-(L14+M14)+V13</f>
        <v>443.6867</v>
      </c>
      <c r="W14" s="17"/>
      <c r="X14" s="15">
        <f>F14-G14</f>
        <v>-511.02</v>
      </c>
      <c r="Y14" s="24"/>
      <c r="Z14" s="15">
        <v>219.430466</v>
      </c>
      <c r="AA14" s="24"/>
      <c r="AB14" s="15">
        <v>14.195</v>
      </c>
    </row>
    <row r="15" ht="20.05" customHeight="1">
      <c r="B15" s="13"/>
      <c r="C15" s="14">
        <v>449.7768</v>
      </c>
      <c r="D15" s="15">
        <v>22.2112</v>
      </c>
      <c r="E15" s="15">
        <v>9.7174</v>
      </c>
      <c r="F15" s="15">
        <v>305.404</v>
      </c>
      <c r="G15" s="15">
        <v>805.1559999999999</v>
      </c>
      <c r="H15" s="15">
        <v>2498.76</v>
      </c>
      <c r="I15" s="15">
        <v>499.752</v>
      </c>
      <c r="J15" s="15">
        <v>58.3044</v>
      </c>
      <c r="K15" s="15">
        <v>-151.3138</v>
      </c>
      <c r="L15" s="15">
        <v>72.8805</v>
      </c>
      <c r="M15" s="15">
        <v>0</v>
      </c>
      <c r="N15" s="15">
        <f>SUM(C12:C15)/4</f>
        <v>430.252225</v>
      </c>
      <c r="O15" s="15"/>
      <c r="P15" s="16">
        <f>C15/C14-1</f>
        <v>0.00589141045639813</v>
      </c>
      <c r="Q15" s="16">
        <f>(E15+D15)/C15</f>
        <v>0.07098765432098771</v>
      </c>
      <c r="R15" s="16">
        <f>AVERAGE(Q12:Q15)</f>
        <v>0.0922673880100644</v>
      </c>
      <c r="S15" s="17"/>
      <c r="T15" s="15">
        <f>SUM(J12:K15)/4</f>
        <v>-67.9434</v>
      </c>
      <c r="U15" s="25"/>
      <c r="V15" s="15">
        <f>-(L15+M15)+V14</f>
        <v>370.8062</v>
      </c>
      <c r="W15" s="17"/>
      <c r="X15" s="15">
        <f>F15-G15</f>
        <v>-499.752</v>
      </c>
      <c r="Y15" s="24"/>
      <c r="Z15" s="15">
        <v>116.909676</v>
      </c>
      <c r="AA15" s="24"/>
      <c r="AB15" s="15">
        <v>13.882</v>
      </c>
    </row>
    <row r="16" ht="20.05" customHeight="1">
      <c r="B16" s="21">
        <v>2020</v>
      </c>
      <c r="C16" s="14">
        <v>479.514</v>
      </c>
      <c r="D16" s="15">
        <v>27.727</v>
      </c>
      <c r="E16" s="15">
        <v>40.775</v>
      </c>
      <c r="F16" s="15">
        <v>538.23</v>
      </c>
      <c r="G16" s="15">
        <v>880.74</v>
      </c>
      <c r="H16" s="15">
        <v>2870.56</v>
      </c>
      <c r="I16" s="15">
        <v>518.658</v>
      </c>
      <c r="J16" s="15">
        <v>78.288</v>
      </c>
      <c r="K16" s="15">
        <v>-11.417</v>
      </c>
      <c r="L16" s="15">
        <v>13.45575</v>
      </c>
      <c r="M16" s="15">
        <v>0</v>
      </c>
      <c r="N16" s="15">
        <f>SUM(C13:C16)/4</f>
        <v>445.822725</v>
      </c>
      <c r="O16" s="23"/>
      <c r="P16" s="16">
        <f>C16/C15-1</f>
        <v>0.0661154599347943</v>
      </c>
      <c r="Q16" s="16">
        <f>(E16+D16)/C16</f>
        <v>0.142857142857143</v>
      </c>
      <c r="R16" s="16">
        <f>AVERAGE(Q13:Q16)</f>
        <v>0.107503858024691</v>
      </c>
      <c r="S16" s="17"/>
      <c r="T16" s="15">
        <f>SUM(J13:K16)/4</f>
        <v>-28.44165</v>
      </c>
      <c r="U16" s="25"/>
      <c r="V16" s="15">
        <f>-(L16+M16)+V15</f>
        <v>357.35045</v>
      </c>
      <c r="W16" s="17"/>
      <c r="X16" s="15">
        <f>F16-G16</f>
        <v>-342.51</v>
      </c>
      <c r="Y16" s="24"/>
      <c r="Z16" s="15">
        <v>86.333298</v>
      </c>
      <c r="AA16" s="15"/>
      <c r="AB16" s="15">
        <v>16.31</v>
      </c>
    </row>
    <row r="17" ht="20.05" customHeight="1">
      <c r="B17" s="13"/>
      <c r="C17" s="14">
        <v>336.418</v>
      </c>
      <c r="D17" s="15">
        <v>24.2335</v>
      </c>
      <c r="E17" s="15">
        <v>14.255</v>
      </c>
      <c r="F17" s="15">
        <v>399.14</v>
      </c>
      <c r="G17" s="15">
        <v>669.985</v>
      </c>
      <c r="H17" s="15">
        <v>2394.84</v>
      </c>
      <c r="I17" s="15">
        <v>323.5885</v>
      </c>
      <c r="J17" s="15">
        <v>0</v>
      </c>
      <c r="K17" s="15">
        <v>4.2765</v>
      </c>
      <c r="L17" s="15">
        <v>11.760375</v>
      </c>
      <c r="M17" s="15">
        <v>0</v>
      </c>
      <c r="N17" s="15">
        <f>SUM(C14:C17)/4</f>
        <v>428.212825</v>
      </c>
      <c r="O17" s="15"/>
      <c r="P17" s="16">
        <f>C17/C16-1</f>
        <v>-0.298418815717581</v>
      </c>
      <c r="Q17" s="16">
        <f>(E17+D17)/C17</f>
        <v>0.114406779661017</v>
      </c>
      <c r="R17" s="16">
        <f>AVERAGE(Q14:Q17)</f>
        <v>0.107459719606612</v>
      </c>
      <c r="S17" s="17"/>
      <c r="T17" s="25">
        <f>SUM(J14:K17)/4</f>
        <v>-7.594725</v>
      </c>
      <c r="U17" s="25"/>
      <c r="V17" s="15">
        <f>-(L17+M17)+V16</f>
        <v>345.590075</v>
      </c>
      <c r="W17" s="17"/>
      <c r="X17" s="15">
        <f>F17-G17</f>
        <v>-270.845</v>
      </c>
      <c r="Y17" s="24"/>
      <c r="Z17" s="15">
        <v>119</v>
      </c>
      <c r="AA17" s="15"/>
      <c r="AB17" s="15">
        <v>14.255</v>
      </c>
    </row>
    <row r="18" ht="20.05" customHeight="1">
      <c r="B18" s="13"/>
      <c r="C18" s="14">
        <v>312.069</v>
      </c>
      <c r="D18" s="15">
        <v>25.143</v>
      </c>
      <c r="E18" s="15">
        <v>-1.479</v>
      </c>
      <c r="F18" s="15">
        <v>562.02</v>
      </c>
      <c r="G18" s="15">
        <v>695.13</v>
      </c>
      <c r="H18" s="15">
        <v>2484.72</v>
      </c>
      <c r="I18" s="15">
        <v>368.271</v>
      </c>
      <c r="J18" s="15">
        <v>68.03400000000001</v>
      </c>
      <c r="K18" s="15">
        <v>-8.874000000000001</v>
      </c>
      <c r="L18" s="15">
        <v>12.20175</v>
      </c>
      <c r="M18" s="15">
        <v>0</v>
      </c>
      <c r="N18" s="15">
        <f>SUM(C15:C18)/4</f>
        <v>394.44445</v>
      </c>
      <c r="O18" s="15"/>
      <c r="P18" s="16">
        <f>C18/C17-1</f>
        <v>-0.0723772211950609</v>
      </c>
      <c r="Q18" s="16">
        <f>(E18+D18)/C18</f>
        <v>0.0758293838862559</v>
      </c>
      <c r="R18" s="16">
        <f>AVERAGE(Q15:Q18)</f>
        <v>0.101020240181351</v>
      </c>
      <c r="S18" s="17"/>
      <c r="T18" s="25">
        <f>SUM(J15:K18)/4</f>
        <v>9.324525</v>
      </c>
      <c r="U18" s="25"/>
      <c r="V18" s="15">
        <f>-(L18+M18)+V17</f>
        <v>333.388325</v>
      </c>
      <c r="W18" s="17"/>
      <c r="X18" s="15">
        <f>F18-G18</f>
        <v>-133.11</v>
      </c>
      <c r="Y18" s="24"/>
      <c r="Z18" s="15">
        <v>132</v>
      </c>
      <c r="AA18" s="15"/>
      <c r="AB18" s="15">
        <v>14.79</v>
      </c>
    </row>
    <row r="19" ht="20.05" customHeight="1">
      <c r="B19" s="13"/>
      <c r="C19" s="14">
        <v>348.27</v>
      </c>
      <c r="D19" s="15">
        <v>25.38</v>
      </c>
      <c r="E19" s="15">
        <v>31.02</v>
      </c>
      <c r="F19" s="15">
        <v>549.9</v>
      </c>
      <c r="G19" s="15">
        <v>620.4</v>
      </c>
      <c r="H19" s="15">
        <v>2354.7</v>
      </c>
      <c r="I19" s="15">
        <v>341.22</v>
      </c>
      <c r="J19" s="15">
        <v>108.57</v>
      </c>
      <c r="K19" s="15">
        <v>-31.02</v>
      </c>
      <c r="L19" s="15">
        <v>11.6325</v>
      </c>
      <c r="M19" s="15">
        <v>0</v>
      </c>
      <c r="N19" s="15">
        <f>SUM(C16:C19)/4</f>
        <v>369.06775</v>
      </c>
      <c r="O19" s="15"/>
      <c r="P19" s="16">
        <f>C19/C18-1</f>
        <v>0.116003191601857</v>
      </c>
      <c r="Q19" s="16">
        <f>(E19+D19)/C19</f>
        <v>0.161943319838057</v>
      </c>
      <c r="R19" s="16">
        <f>AVERAGE(Q16:Q19)</f>
        <v>0.123759156560618</v>
      </c>
      <c r="S19" s="17"/>
      <c r="T19" s="25">
        <f>SUM(J16:K19)/4</f>
        <v>51.964375</v>
      </c>
      <c r="U19" s="25"/>
      <c r="V19" s="15">
        <f>-(L19+M19)+V18</f>
        <v>321.755825</v>
      </c>
      <c r="W19" s="17"/>
      <c r="X19" s="15">
        <f>F19-G19</f>
        <v>-70.5</v>
      </c>
      <c r="Y19" s="24"/>
      <c r="Z19" s="15">
        <v>169</v>
      </c>
      <c r="AA19" s="17"/>
      <c r="AB19" s="15">
        <v>14.1</v>
      </c>
    </row>
    <row r="20" ht="20.05" customHeight="1">
      <c r="B20" s="21">
        <v>2021</v>
      </c>
      <c r="C20" s="14">
        <v>379.756</v>
      </c>
      <c r="D20" s="15">
        <v>29.212</v>
      </c>
      <c r="E20" s="15">
        <v>11.6848</v>
      </c>
      <c r="F20" s="15">
        <v>1708.902</v>
      </c>
      <c r="G20" s="15">
        <v>1796.538</v>
      </c>
      <c r="H20" s="15">
        <v>3607.682</v>
      </c>
      <c r="I20" s="15">
        <v>346.1622</v>
      </c>
      <c r="J20" s="15">
        <v>32.1332</v>
      </c>
      <c r="K20" s="15">
        <v>-39.4362</v>
      </c>
      <c r="L20" s="15">
        <v>1153.65491</v>
      </c>
      <c r="M20" s="15">
        <v>0</v>
      </c>
      <c r="N20" s="15">
        <f>SUM(C17:C20)/4</f>
        <v>344.12825</v>
      </c>
      <c r="O20" s="15"/>
      <c r="P20" s="16">
        <f>C20/C19-1</f>
        <v>0.09040686823441579</v>
      </c>
      <c r="Q20" s="16">
        <f>(E20+D20)/C20</f>
        <v>0.107692307692308</v>
      </c>
      <c r="R20" s="16">
        <f>AVERAGE(Q17:Q20)</f>
        <v>0.114967947769409</v>
      </c>
      <c r="S20" s="17"/>
      <c r="T20" s="25">
        <f>SUM(J17:K20)/4</f>
        <v>33.420875</v>
      </c>
      <c r="U20" s="25"/>
      <c r="V20" s="15">
        <f>-(L20+M20)+V19</f>
        <v>-831.899085</v>
      </c>
      <c r="W20" s="17"/>
      <c r="X20" s="15">
        <f>F20-G20</f>
        <v>-87.636</v>
      </c>
      <c r="Y20" s="15"/>
      <c r="Z20" s="15">
        <v>226</v>
      </c>
      <c r="AA20" s="15"/>
      <c r="AB20" s="15">
        <v>14.606</v>
      </c>
    </row>
    <row r="21" ht="20.05" customHeight="1">
      <c r="B21" s="13"/>
      <c r="C21" s="14">
        <v>349.69</v>
      </c>
      <c r="D21" s="15">
        <v>28.9</v>
      </c>
      <c r="E21" s="15">
        <v>0</v>
      </c>
      <c r="F21" s="15">
        <v>953.7</v>
      </c>
      <c r="G21" s="15">
        <v>1786.02</v>
      </c>
      <c r="H21" s="15">
        <v>3554.7</v>
      </c>
      <c r="I21" s="15">
        <v>289</v>
      </c>
      <c r="J21" s="15">
        <v>-24.565</v>
      </c>
      <c r="K21" s="15">
        <v>-712.385</v>
      </c>
      <c r="L21" s="15">
        <v>-3.1212</v>
      </c>
      <c r="M21" s="15">
        <v>-1.445</v>
      </c>
      <c r="N21" s="15">
        <f>SUM(C18:C21)/4</f>
        <v>347.44625</v>
      </c>
      <c r="O21" s="15">
        <v>435.5465535</v>
      </c>
      <c r="P21" s="16">
        <f>C21/C20-1</f>
        <v>-0.0791718893184044</v>
      </c>
      <c r="Q21" s="16">
        <f>(E21+D21)/C21</f>
        <v>0.0826446280991736</v>
      </c>
      <c r="R21" s="16">
        <f>AVERAGE(Q18:Q21)</f>
        <v>0.107027409878949</v>
      </c>
      <c r="S21" s="17"/>
      <c r="T21" s="25">
        <f>SUM(J18:K21)/4</f>
        <v>-151.88575</v>
      </c>
      <c r="U21" s="25"/>
      <c r="V21" s="15">
        <f>-(L21+M21)+V20</f>
        <v>-827.332885</v>
      </c>
      <c r="W21" s="17"/>
      <c r="X21" s="15">
        <f>F21-G21</f>
        <v>-832.3200000000001</v>
      </c>
      <c r="Y21" s="15"/>
      <c r="Z21" s="15">
        <v>204</v>
      </c>
      <c r="AA21" s="15"/>
      <c r="AB21" s="15">
        <v>14.45</v>
      </c>
    </row>
    <row r="22" ht="20.05" customHeight="1">
      <c r="B22" s="13"/>
      <c r="C22" s="14">
        <v>322.38</v>
      </c>
      <c r="D22" s="15">
        <v>27.2232</v>
      </c>
      <c r="E22" s="15">
        <v>5.7312</v>
      </c>
      <c r="F22" s="15">
        <v>587.448</v>
      </c>
      <c r="G22" s="15">
        <v>1762.344</v>
      </c>
      <c r="H22" s="15">
        <v>3524.688</v>
      </c>
      <c r="I22" s="15">
        <v>404.0496</v>
      </c>
      <c r="J22" s="15">
        <v>-64.476</v>
      </c>
      <c r="K22" s="15">
        <v>-325.2456</v>
      </c>
      <c r="L22" s="15">
        <v>29.51568</v>
      </c>
      <c r="M22" s="15">
        <v>7.164</v>
      </c>
      <c r="N22" s="15">
        <f>SUM(C19:C22)/4</f>
        <v>350.024</v>
      </c>
      <c r="O22" s="15">
        <v>413.89417776</v>
      </c>
      <c r="P22" s="16">
        <f>C22/C21-1</f>
        <v>-0.0780977437158626</v>
      </c>
      <c r="Q22" s="16">
        <f>(E22+D22)/C22</f>
        <v>0.102222222222222</v>
      </c>
      <c r="R22" s="16">
        <f>AVERAGE(Q19:Q22)</f>
        <v>0.11362561946294</v>
      </c>
      <c r="S22" s="17"/>
      <c r="T22" s="25">
        <f>SUM(J19:K22)/4</f>
        <v>-264.10615</v>
      </c>
      <c r="U22" s="25"/>
      <c r="V22" s="15">
        <f>-(L22+M22)+V21</f>
        <v>-864.012565</v>
      </c>
      <c r="W22" s="17"/>
      <c r="X22" s="15">
        <f>F22-G22</f>
        <v>-1174.896</v>
      </c>
      <c r="Y22" s="15"/>
      <c r="Z22" s="15">
        <v>208</v>
      </c>
      <c r="AA22" s="15"/>
      <c r="AB22" s="15">
        <v>14.328</v>
      </c>
    </row>
    <row r="23" ht="20.05" customHeight="1">
      <c r="B23" s="13"/>
      <c r="C23" s="14">
        <v>362.585</v>
      </c>
      <c r="D23" s="15">
        <v>25.695</v>
      </c>
      <c r="E23" s="15">
        <v>31.405</v>
      </c>
      <c r="F23" s="15">
        <v>556.725</v>
      </c>
      <c r="G23" s="15">
        <v>1727.275</v>
      </c>
      <c r="H23" s="15">
        <v>3511.65</v>
      </c>
      <c r="I23" s="15">
        <v>358.3025</v>
      </c>
      <c r="J23" s="15">
        <v>7.1375</v>
      </c>
      <c r="K23" s="15">
        <v>31.405</v>
      </c>
      <c r="L23" s="15">
        <v>-18.971475</v>
      </c>
      <c r="M23" s="15">
        <v>-34.26</v>
      </c>
      <c r="N23" s="15">
        <f>SUM(C20:C23)/4</f>
        <v>353.60275</v>
      </c>
      <c r="O23" s="15">
        <v>395.190027875</v>
      </c>
      <c r="P23" s="16">
        <f>C23/C22-1</f>
        <v>0.124713071530492</v>
      </c>
      <c r="Q23" s="16">
        <f>(E23+D23)/C23</f>
        <v>0.15748031496063</v>
      </c>
      <c r="R23" s="16">
        <f>AVERAGE(Q20:Q23)</f>
        <v>0.112509868243583</v>
      </c>
      <c r="S23" s="17"/>
      <c r="T23" s="25">
        <f>SUM(J20:K23)/4</f>
        <v>-273.858025</v>
      </c>
      <c r="U23" s="25"/>
      <c r="V23" s="15">
        <f>-(L23+M23)+V22</f>
        <v>-810.7810899999999</v>
      </c>
      <c r="W23" s="17"/>
      <c r="X23" s="15">
        <f>F23-G23</f>
        <v>-1170.55</v>
      </c>
      <c r="Y23" s="15"/>
      <c r="Z23" s="15">
        <v>175</v>
      </c>
      <c r="AA23" s="15"/>
      <c r="AB23" s="15">
        <v>14.275</v>
      </c>
    </row>
    <row r="24" ht="20.05" customHeight="1">
      <c r="B24" s="21">
        <v>2022</v>
      </c>
      <c r="C24" s="14">
        <v>395.4252</v>
      </c>
      <c r="D24" s="15">
        <v>29.94343</v>
      </c>
      <c r="E24" s="15">
        <v>32.9521</v>
      </c>
      <c r="F24" s="15">
        <v>487.118</v>
      </c>
      <c r="G24" s="15">
        <v>1733.567</v>
      </c>
      <c r="H24" s="15">
        <v>3553.096</v>
      </c>
      <c r="I24" s="15">
        <v>379.6655</v>
      </c>
      <c r="J24" s="15">
        <v>85.962</v>
      </c>
      <c r="K24" s="15">
        <v>63.0388</v>
      </c>
      <c r="L24" s="15">
        <v>-40.1156</v>
      </c>
      <c r="M24" s="15">
        <v>0</v>
      </c>
      <c r="N24" s="15">
        <f>SUM(C21:C24)/4</f>
        <v>357.52005</v>
      </c>
      <c r="O24" s="15">
        <v>381.489542005</v>
      </c>
      <c r="P24" s="16">
        <f>C24/C23-1</f>
        <v>0.090572417502103</v>
      </c>
      <c r="Q24" s="16">
        <f>(E24+D24)/C24</f>
        <v>0.159057971014493</v>
      </c>
      <c r="R24" s="16">
        <f>AVERAGE(Q21:Q24)</f>
        <v>0.12535128407413</v>
      </c>
      <c r="S24" s="35"/>
      <c r="T24" s="25">
        <f>SUM(J21:K24)/4</f>
        <v>-234.782075</v>
      </c>
      <c r="U24" s="15">
        <v>43.888666138926</v>
      </c>
      <c r="V24" s="15">
        <f>-(L24+M24)+V23</f>
        <v>-770.66549</v>
      </c>
      <c r="W24" s="15"/>
      <c r="X24" s="15">
        <f>F24-G24</f>
        <v>-1246.449</v>
      </c>
      <c r="Y24" s="15">
        <v>-1022.226838760490</v>
      </c>
      <c r="Z24" s="15">
        <v>185</v>
      </c>
      <c r="AA24" s="15">
        <v>265.348146183761</v>
      </c>
      <c r="AB24" s="15">
        <v>14.327</v>
      </c>
    </row>
    <row r="25" ht="20.05" customHeight="1">
      <c r="B25" s="13"/>
      <c r="C25" s="14">
        <v>417.81</v>
      </c>
      <c r="D25" s="15">
        <v>30.9326</v>
      </c>
      <c r="E25" s="15">
        <v>16.126</v>
      </c>
      <c r="F25" s="15">
        <v>513.1</v>
      </c>
      <c r="G25" s="15">
        <v>1759.2</v>
      </c>
      <c r="H25" s="15">
        <v>3635.68</v>
      </c>
      <c r="I25" s="15">
        <v>419.276</v>
      </c>
      <c r="J25" s="15">
        <v>-21.99</v>
      </c>
      <c r="K25" s="15">
        <v>-197.91</v>
      </c>
      <c r="L25" s="15">
        <v>-38.116</v>
      </c>
      <c r="M25" s="15">
        <v>95.29000000000001</v>
      </c>
      <c r="N25" s="15">
        <f>SUM(C22:C25)/4</f>
        <v>374.55005</v>
      </c>
      <c r="O25" s="15">
        <v>380.36836</v>
      </c>
      <c r="P25" s="16">
        <f>C25/C24-1</f>
        <v>0.0566094421903308</v>
      </c>
      <c r="Q25" s="16">
        <f>(E25+D25)/C25</f>
        <v>0.112631578947368</v>
      </c>
      <c r="R25" s="16">
        <f>AVERAGE(Q22:Q25)</f>
        <v>0.132848021786178</v>
      </c>
      <c r="S25" s="35"/>
      <c r="T25" s="25">
        <f>SUM(J22:K25)/4</f>
        <v>-105.519575</v>
      </c>
      <c r="U25" s="15">
        <v>80.99807473615201</v>
      </c>
      <c r="V25" s="15">
        <f>-(L25+M25)+V24</f>
        <v>-827.83949</v>
      </c>
      <c r="W25" s="15"/>
      <c r="X25" s="15">
        <f>F25-G25</f>
        <v>-1246.1</v>
      </c>
      <c r="Y25" s="15">
        <v>-1014.429893723330</v>
      </c>
      <c r="Z25" s="18">
        <v>350</v>
      </c>
      <c r="AA25" s="15">
        <v>541.868845891048</v>
      </c>
      <c r="AB25" s="15">
        <v>14.66</v>
      </c>
    </row>
    <row r="26" ht="20.05" customHeight="1">
      <c r="B26" s="13"/>
      <c r="C26" s="14">
        <v>499.419</v>
      </c>
      <c r="D26" s="15">
        <v>36.1215</v>
      </c>
      <c r="E26" s="15">
        <v>36.1215</v>
      </c>
      <c r="F26" s="15">
        <v>486.855</v>
      </c>
      <c r="G26" s="15">
        <v>1931.715</v>
      </c>
      <c r="H26" s="15">
        <v>3941.955</v>
      </c>
      <c r="I26" s="15">
        <v>488.4255</v>
      </c>
      <c r="J26" s="15">
        <v>175.896</v>
      </c>
      <c r="K26" s="15">
        <v>312.5295</v>
      </c>
      <c r="L26" s="15">
        <v>3.141</v>
      </c>
      <c r="M26" s="15">
        <v>-31.41</v>
      </c>
      <c r="N26" s="15">
        <f>SUM(C23:C26)/4</f>
        <v>418.8098</v>
      </c>
      <c r="O26" s="15">
        <v>403.50463875</v>
      </c>
      <c r="P26" s="16">
        <f>C26/C25-1</f>
        <v>0.195325626480936</v>
      </c>
      <c r="Q26" s="16">
        <f>(E26+D26)/C26</f>
        <v>0.144654088050314</v>
      </c>
      <c r="R26" s="16">
        <f>AVERAGE(Q23:Q26)</f>
        <v>0.143455988243201</v>
      </c>
      <c r="S26" s="35">
        <f>S27</f>
        <v>0.144654088050314</v>
      </c>
      <c r="T26" s="25">
        <f>SUM(J23:K26)/4</f>
        <v>114.0172</v>
      </c>
      <c r="U26" s="15">
        <v>-50.4672397777339</v>
      </c>
      <c r="V26" s="15">
        <f>-(L26+M26)+V25</f>
        <v>-799.5704899999999</v>
      </c>
      <c r="W26" s="15">
        <f>W27</f>
        <v>-611.366643401061</v>
      </c>
      <c r="X26" s="15">
        <f>F26-G26</f>
        <v>-1444.86</v>
      </c>
      <c r="Y26" s="15">
        <v>-1536.793959110940</v>
      </c>
      <c r="Z26" s="18">
        <v>1040</v>
      </c>
      <c r="AA26" s="15">
        <v>689.326558879791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539.707952274255</v>
      </c>
      <c r="P27" s="17"/>
      <c r="Q27" s="17"/>
      <c r="R27" s="17"/>
      <c r="S27" s="35">
        <f>AE53</f>
        <v>0.144654088050314</v>
      </c>
      <c r="T27" s="25"/>
      <c r="U27" s="15">
        <f>SUM(AE55:AH55)/4</f>
        <v>47.0509616497348</v>
      </c>
      <c r="V27" s="17"/>
      <c r="W27" s="15">
        <f>-SUM(AE76:AH76)+V26</f>
        <v>-611.366643401061</v>
      </c>
      <c r="X27" s="26"/>
      <c r="Y27" s="15">
        <f>AH75</f>
        <v>-1256.656153401060</v>
      </c>
      <c r="Z27" s="15">
        <v>1100</v>
      </c>
      <c r="AA27" s="15">
        <v>689.326558879791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2201.9529</v>
      </c>
      <c r="O28" s="15">
        <f>SUM(O21:O26)</f>
        <v>2409.99329989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801.420671023927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222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0.116805139425965</v>
      </c>
      <c r="AF49" s="35"/>
      <c r="AG49" s="35"/>
      <c r="AH49" s="35">
        <f>AVERAGE(AE51:AH51)</f>
        <v>0.0275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0.124713071530492</v>
      </c>
      <c r="AF50" s="35">
        <f>P24</f>
        <v>0.090572417502103</v>
      </c>
      <c r="AG50" s="35">
        <f>P25</f>
        <v>0.0566094421903308</v>
      </c>
      <c r="AH50" s="35">
        <f>P26</f>
        <v>0.195325626480936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499.419</v>
      </c>
      <c r="AE52" s="23">
        <f>C26*(1+AE51)</f>
        <v>534.37833</v>
      </c>
      <c r="AF52" s="23">
        <f>AE52*(1+AF51)</f>
        <v>529.0345467</v>
      </c>
      <c r="AG52" s="23">
        <f>AF52*(1+AG51)</f>
        <v>539.615237634</v>
      </c>
      <c r="AH52" s="23">
        <f>AG52*(1+AH51)</f>
        <v>555.803694763020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0.144654088050314</v>
      </c>
      <c r="AF53" s="35">
        <f>AE53</f>
        <v>0.144654088050314</v>
      </c>
      <c r="AG53" s="35">
        <f>AF53</f>
        <v>0.144654088050314</v>
      </c>
      <c r="AH53" s="35">
        <f>AG53</f>
        <v>0.144654088050314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AVERAGE(K19)</f>
        <v>-31.02</v>
      </c>
      <c r="AF54" s="15">
        <f>AE54</f>
        <v>-31.02</v>
      </c>
      <c r="AG54" s="15">
        <f>AF54</f>
        <v>-31.02</v>
      </c>
      <c r="AH54" s="15">
        <f>AG54</f>
        <v>-31.02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46.2800099999998</v>
      </c>
      <c r="AF55" s="15">
        <f>(AF52*AF53)+AF54</f>
        <v>45.5070098999998</v>
      </c>
      <c r="AG55" s="15">
        <f>(AG52*AG53)+AG54</f>
        <v>47.0375500979997</v>
      </c>
      <c r="AH55" s="15">
        <f>(AH52*AH53)+AH54</f>
        <v>49.3792766009397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-96.58575</v>
      </c>
      <c r="AF56" s="15">
        <f>-AE71/20</f>
        <v>-91.7564625</v>
      </c>
      <c r="AG56" s="15">
        <f>-AF71/20</f>
        <v>-87.168639375</v>
      </c>
      <c r="AH56" s="15">
        <f>-AG71/20</f>
        <v>-82.810207406250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-50.3057400000002</v>
      </c>
      <c r="AF59" s="15">
        <f>AF55+AF56+AF58</f>
        <v>-46.2494526000002</v>
      </c>
      <c r="AG59" s="15">
        <f>AG55+AG56+AG58</f>
        <v>-40.1310892770003</v>
      </c>
      <c r="AH59" s="15">
        <f>AH55+AH56+AH58</f>
        <v>-33.4309308053103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50.3057400000002</v>
      </c>
      <c r="AF60" s="15">
        <f>-MIN(AE72,AF59)</f>
        <v>46.2494526000002</v>
      </c>
      <c r="AG60" s="15">
        <f>-MIN(AF72,AG59)</f>
        <v>40.1310892770003</v>
      </c>
      <c r="AH60" s="15">
        <f>-MIN(AG72,AH59)</f>
        <v>33.4309308053103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486.855</v>
      </c>
      <c r="AF61" s="15">
        <f>AE63</f>
        <v>486.855</v>
      </c>
      <c r="AG61" s="15">
        <f>AF63</f>
        <v>486.855</v>
      </c>
      <c r="AH61" s="15">
        <f>AG63</f>
        <v>486.855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486.855</v>
      </c>
      <c r="AF63" s="15">
        <f>AF61+AF62</f>
        <v>486.855</v>
      </c>
      <c r="AG63" s="15">
        <f>AG61+AG62</f>
        <v>486.855</v>
      </c>
      <c r="AH63" s="15">
        <f>AH61+AH62</f>
        <v>486.855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-32.33251</v>
      </c>
      <c r="AF65" s="15">
        <f>AE65</f>
        <v>-32.33251</v>
      </c>
      <c r="AG65" s="15">
        <f>AF65</f>
        <v>-32.33251</v>
      </c>
      <c r="AH65" s="15">
        <f>AG65</f>
        <v>-32.33251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44.9674999999998</v>
      </c>
      <c r="AF66" s="15">
        <f>(AF52*AF53)+AF65</f>
        <v>44.1944998999998</v>
      </c>
      <c r="AG66" s="15">
        <f>(AG52*AG53)+AG65</f>
        <v>45.7250400979997</v>
      </c>
      <c r="AH66" s="15">
        <f>(AH52*AH53)+AH65</f>
        <v>48.0667666009397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3486.12</v>
      </c>
      <c r="AF68" s="15">
        <f>AE68-AF54</f>
        <v>3517.14</v>
      </c>
      <c r="AG68" s="15">
        <f>AF68-AG54</f>
        <v>3548.16</v>
      </c>
      <c r="AH68" s="15">
        <f>AG68-AH54</f>
        <v>3579.18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32.33251</v>
      </c>
      <c r="AF69" s="15">
        <f>AE69-AF65</f>
        <v>64.66502</v>
      </c>
      <c r="AG69" s="15">
        <f>AF69-AG65</f>
        <v>96.99753</v>
      </c>
      <c r="AH69" s="15">
        <f>AG69-AH65</f>
        <v>129.33004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3453.78749</v>
      </c>
      <c r="AF70" s="15">
        <f>AF68-AF69</f>
        <v>3452.47498</v>
      </c>
      <c r="AG70" s="15">
        <f>AG68-AG69</f>
        <v>3451.16247</v>
      </c>
      <c r="AH70" s="15">
        <f>AH68-AH69</f>
        <v>3449.84996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1835.12925</v>
      </c>
      <c r="AF71" s="15">
        <f>AE71+AF56</f>
        <v>1743.3727875</v>
      </c>
      <c r="AG71" s="15">
        <f>AF71+AG56</f>
        <v>1656.204148125</v>
      </c>
      <c r="AH71" s="15">
        <f>AG71+AH56</f>
        <v>1573.393940718750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50.3057400000002</v>
      </c>
      <c r="AF72" s="15">
        <f>AE72+AF60</f>
        <v>96.5551926000004</v>
      </c>
      <c r="AG72" s="15">
        <f>AF72+AG60</f>
        <v>136.686281877001</v>
      </c>
      <c r="AH72" s="15">
        <f>AG72+AH60</f>
        <v>170.117212682311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2055.2075</v>
      </c>
      <c r="AF73" s="15">
        <f>AE73+AF66+AF58</f>
        <v>2099.4019999</v>
      </c>
      <c r="AG73" s="15">
        <f>AF73+AG66+AG58</f>
        <v>2145.127039998</v>
      </c>
      <c r="AH73" s="15">
        <f>AG73+AH66+AH58</f>
        <v>2193.193806598940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2e-13</v>
      </c>
      <c r="AF74" s="15">
        <f>AF71+AF72+AF73-AF63-AF70</f>
        <v>4e-13</v>
      </c>
      <c r="AG74" s="15">
        <f>AG71+AG72+AG73-AG63-AG70</f>
        <v>1e-12</v>
      </c>
      <c r="AH74" s="15">
        <f>AH71+AH72+AH73-AH63-AH70</f>
        <v>1e-12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-1398.57999</v>
      </c>
      <c r="AF75" s="15">
        <f>AF63-AF71-AF72</f>
        <v>-1353.0729801</v>
      </c>
      <c r="AG75" s="15">
        <f>AG63-AG71-AG72</f>
        <v>-1306.035430002</v>
      </c>
      <c r="AH75" s="15">
        <f>AH63-AH71-AH72</f>
        <v>-1256.656153401060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-46.2800099999998</v>
      </c>
      <c r="AF76" s="15">
        <f>AF56+AF58+AF60</f>
        <v>-45.5070098999998</v>
      </c>
      <c r="AG76" s="15">
        <f>AG56+AG58+AG60</f>
        <v>-47.0375500979997</v>
      </c>
      <c r="AH76" s="15">
        <f>AH56+AH58+AH60</f>
        <v>-49.3792766009397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728</v>
      </c>
      <c r="AD78" s="14"/>
      <c r="AE78" s="15"/>
      <c r="AF78" s="15"/>
      <c r="AG78" s="15"/>
      <c r="AH78" s="15">
        <v>1100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728</v>
      </c>
      <c r="AD79" s="14"/>
      <c r="AE79" s="15"/>
      <c r="AF79" s="15"/>
      <c r="AG79" s="15"/>
      <c r="AH79" s="15">
        <v>4649787929600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4649.7879296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4.227079936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1.18113701098901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188.203846598939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18.3303902781095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24.7061259035192</v>
      </c>
      <c r="AH86" s="15">
        <v>18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3387.6692387809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801.420671023927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-0.271435753614612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0.549162479061977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0.0944799499980222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728</v>
      </c>
      <c r="AF94" t="s" s="44">
        <v>60</v>
      </c>
      <c r="AG94" s="15">
        <f>AH78</f>
        <v>1100</v>
      </c>
      <c r="AH94" t="s" s="44">
        <v>61</v>
      </c>
      <c r="AI94" s="15">
        <f>AH88</f>
        <v>801.420671023927</v>
      </c>
      <c r="AJ94" t="s" s="44">
        <f>IF(AK94&gt;0,"+","")</f>
      </c>
      <c r="AK94" s="16">
        <f>AI94/AG94-1</f>
        <v>-0.271435753614612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0.549162479061977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0.098083785089793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0.0138591428202068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-0.310736752272548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0.195325626480936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-0.0780977437158626</v>
      </c>
      <c r="AF103" s="16">
        <f>P23</f>
        <v>0.124713071530492</v>
      </c>
      <c r="AG103" s="16">
        <f>P24</f>
        <v>0.090572417502103</v>
      </c>
      <c r="AH103" s="16">
        <f>P25</f>
        <v>0.0566094421903308</v>
      </c>
      <c r="AI103" s="16">
        <f>P26</f>
        <v>0.195325626480936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322.38</v>
      </c>
      <c r="AF104" t="s" s="44">
        <v>72</v>
      </c>
      <c r="AG104" s="15">
        <f>C23</f>
        <v>362.585</v>
      </c>
      <c r="AH104" t="s" s="44">
        <v>72</v>
      </c>
      <c r="AI104" s="15">
        <f>C24</f>
        <v>395.4252</v>
      </c>
      <c r="AJ104" t="s" s="44">
        <v>72</v>
      </c>
      <c r="AK104" s="15">
        <f>C25</f>
        <v>417.81</v>
      </c>
      <c r="AL104" t="s" s="44">
        <v>72</v>
      </c>
      <c r="AM104" s="15">
        <f>C26</f>
        <v>499.419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0.195325626480936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499.419</v>
      </c>
      <c r="AM105" t="s" s="44">
        <v>372</v>
      </c>
      <c r="AN105" t="s" s="44">
        <v>373</v>
      </c>
      <c r="AO105" s="16">
        <f>AH91</f>
        <v>0.0944799499980222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0.116805139425965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0.0275</v>
      </c>
      <c r="AG107" t="s" s="44">
        <v>82</v>
      </c>
      <c r="AH107" t="s" s="44">
        <v>83</v>
      </c>
      <c r="AI107" s="23">
        <f>AH52</f>
        <v>555.803694763020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0.102222222222222</v>
      </c>
      <c r="AF110" s="16">
        <f>(D23+E23)/C23</f>
        <v>0.15748031496063</v>
      </c>
      <c r="AG110" s="16">
        <f>((E24+D24)/C24)</f>
        <v>0.159057971014493</v>
      </c>
      <c r="AH110" s="16">
        <f>(D25+E25)/C25</f>
        <v>0.112631578947368</v>
      </c>
      <c r="AI110" s="16">
        <f>(D26+E26)/C26</f>
        <v>0.144654088050314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5.7312</v>
      </c>
      <c r="AF111" t="s" s="44">
        <v>72</v>
      </c>
      <c r="AG111" s="15">
        <f>E23</f>
        <v>31.405</v>
      </c>
      <c r="AH111" t="s" s="44">
        <v>72</v>
      </c>
      <c r="AI111" s="15">
        <f>E24</f>
        <v>32.9521</v>
      </c>
      <c r="AJ111" t="s" s="44">
        <v>72</v>
      </c>
      <c r="AK111" s="15">
        <f>E25</f>
        <v>16.126</v>
      </c>
      <c r="AL111" t="s" s="44">
        <v>72</v>
      </c>
      <c r="AM111" s="15">
        <f>E26</f>
        <v>36.1215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0.112631578947368</v>
      </c>
      <c r="AG112" t="s" s="44">
        <v>76</v>
      </c>
      <c r="AH112" s="16">
        <f>AI110</f>
        <v>0.144654088050314</v>
      </c>
      <c r="AI112" t="s" s="44">
        <v>90</v>
      </c>
      <c r="AJ112" s="15">
        <f>AK111</f>
        <v>16.126</v>
      </c>
      <c r="AK112" t="s" s="44">
        <v>76</v>
      </c>
      <c r="AL112" s="15">
        <f>AM111</f>
        <v>36.1215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0.143455988243201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0.144654088050314</v>
      </c>
      <c r="AG114" t="s" s="44">
        <v>94</v>
      </c>
      <c r="AH114" s="15">
        <f>AH66</f>
        <v>48.0667666009397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-64.476</v>
      </c>
      <c r="AF117" t="s" s="44">
        <v>72</v>
      </c>
      <c r="AG117" s="15">
        <f>J23</f>
        <v>7.1375</v>
      </c>
      <c r="AH117" t="s" s="44">
        <v>72</v>
      </c>
      <c r="AI117" s="15">
        <f>J24</f>
        <v>85.962</v>
      </c>
      <c r="AJ117" t="s" s="44">
        <v>72</v>
      </c>
      <c r="AK117" s="15">
        <f>J25</f>
        <v>-21.99</v>
      </c>
      <c r="AL117" t="s" s="44">
        <v>72</v>
      </c>
      <c r="AM117" s="15">
        <f>J26</f>
        <v>175.896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-325.2456</v>
      </c>
      <c r="AF118" t="s" s="44">
        <v>72</v>
      </c>
      <c r="AG118" s="15">
        <f>K23</f>
        <v>31.405</v>
      </c>
      <c r="AH118" t="s" s="44">
        <v>72</v>
      </c>
      <c r="AI118" s="15">
        <f>K24</f>
        <v>63.0388</v>
      </c>
      <c r="AJ118" t="s" s="44">
        <v>72</v>
      </c>
      <c r="AK118" s="15">
        <f>K25</f>
        <v>-197.91</v>
      </c>
      <c r="AL118" t="s" s="44">
        <v>72</v>
      </c>
      <c r="AM118" s="15">
        <f>K26</f>
        <v>312.5295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-219.9</v>
      </c>
      <c r="AG119" t="s" s="44">
        <v>76</v>
      </c>
      <c r="AH119" s="15">
        <f>AM117+AM118</f>
        <v>488.4255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312.5295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114.0172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-31.02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47.0509616497348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587.448</v>
      </c>
      <c r="AF124" t="s" s="44">
        <v>72</v>
      </c>
      <c r="AG124" s="15">
        <f>F23</f>
        <v>556.725</v>
      </c>
      <c r="AH124" t="s" s="44">
        <v>72</v>
      </c>
      <c r="AI124" s="15">
        <f>F24</f>
        <v>487.118</v>
      </c>
      <c r="AJ124" t="s" s="44">
        <v>72</v>
      </c>
      <c r="AK124" s="15">
        <f>F25</f>
        <v>513.1</v>
      </c>
      <c r="AL124" t="s" s="44">
        <v>72</v>
      </c>
      <c r="AM124" s="15">
        <f>F26</f>
        <v>486.855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1762.344</v>
      </c>
      <c r="AF125" t="s" s="44">
        <v>72</v>
      </c>
      <c r="AG125" s="15">
        <f>G23</f>
        <v>1727.275</v>
      </c>
      <c r="AH125" t="s" s="44">
        <v>72</v>
      </c>
      <c r="AI125" s="15">
        <f>G24</f>
        <v>1733.567</v>
      </c>
      <c r="AJ125" t="s" s="44">
        <v>72</v>
      </c>
      <c r="AK125" s="15">
        <f>G25</f>
        <v>1759.2</v>
      </c>
      <c r="AL125" t="s" s="44">
        <v>72</v>
      </c>
      <c r="AM125" s="15">
        <f>G26</f>
        <v>1931.715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513.1</v>
      </c>
      <c r="AH126" t="s" s="44">
        <v>76</v>
      </c>
      <c r="AI126" s="15">
        <f>AM124</f>
        <v>486.855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1759.2</v>
      </c>
      <c r="AH127" t="s" s="44">
        <v>76</v>
      </c>
      <c r="AI127" s="15">
        <f>AM125</f>
        <v>1931.715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-1246.1</v>
      </c>
      <c r="AO127" t="s" s="44">
        <v>76</v>
      </c>
      <c r="AP127" s="15">
        <f>AI126-AI127</f>
        <v>-1444.86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-188.203846598939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-1256.656153401060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-29.51568</v>
      </c>
      <c r="AF131" t="s" s="44">
        <v>72</v>
      </c>
      <c r="AG131" s="15">
        <f>-L23</f>
        <v>18.971475</v>
      </c>
      <c r="AH131" t="s" s="44">
        <v>72</v>
      </c>
      <c r="AI131" s="15">
        <f>-L24</f>
        <v>40.1156</v>
      </c>
      <c r="AJ131" t="s" s="44">
        <v>72</v>
      </c>
      <c r="AK131" s="15">
        <f>-L25</f>
        <v>38.116</v>
      </c>
      <c r="AL131" t="s" s="44">
        <v>72</v>
      </c>
      <c r="AM131" s="15">
        <f>-L26</f>
        <v>-3.141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-7.164</v>
      </c>
      <c r="AF132" t="s" s="44">
        <v>72</v>
      </c>
      <c r="AG132" s="15">
        <f>-M23</f>
        <v>34.26</v>
      </c>
      <c r="AH132" t="s" s="44">
        <v>72</v>
      </c>
      <c r="AI132" s="15">
        <f>-M24</f>
        <v>0</v>
      </c>
      <c r="AJ132" t="s" s="44">
        <v>72</v>
      </c>
      <c r="AK132" s="15">
        <f>-M25</f>
        <v>-95.29000000000001</v>
      </c>
      <c r="AL132" t="s" s="44">
        <v>72</v>
      </c>
      <c r="AM132" s="15">
        <f>-M26</f>
        <v>31.41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728</v>
      </c>
      <c r="AF133" t="s" s="44">
        <f>IF(AG133&gt;0,"paid","(raised)")</f>
        <v>374</v>
      </c>
      <c r="AG133" s="15">
        <f>SUM(AM131:AM132)</f>
        <v>28.269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-3.141</v>
      </c>
      <c r="AM133" t="s" s="44">
        <f>AM105</f>
        <v>372</v>
      </c>
      <c r="AN133" t="s" s="44">
        <v>123</v>
      </c>
      <c r="AO133" s="15">
        <f>AM132</f>
        <v>31.41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188.203846598939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4649.7879296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1.18113701098901</v>
      </c>
      <c r="AK134" t="s" s="44">
        <v>130</v>
      </c>
      <c r="AL134" t="s" s="44">
        <v>131</v>
      </c>
      <c r="AM134" t="s" s="44">
        <v>132</v>
      </c>
      <c r="AN134" s="15">
        <f>AH85</f>
        <v>18.3303902781095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188.203846598939</v>
      </c>
      <c r="AG135" t="s" s="44">
        <f>AG134</f>
        <v>372</v>
      </c>
      <c r="AH135" t="s" s="44">
        <v>136</v>
      </c>
      <c r="AI135" s="15">
        <f>AF134/AF135</f>
        <v>24.7061259035192</v>
      </c>
      <c r="AJ135" t="s" s="44">
        <v>130</v>
      </c>
      <c r="AK135" t="s" s="44">
        <v>137</v>
      </c>
      <c r="AL135" t="s" s="44">
        <v>138</v>
      </c>
      <c r="AM135" s="15">
        <f>AH86</f>
        <v>18</v>
      </c>
      <c r="AN135" t="s" s="44">
        <v>139</v>
      </c>
      <c r="AO135" t="s" s="44">
        <v>140</v>
      </c>
      <c r="AP135" t="s" s="44">
        <v>141</v>
      </c>
      <c r="AQ135" s="16">
        <f>AK94</f>
        <v>-0.271435753614612</v>
      </c>
      <c r="AR135" t="s" s="44">
        <f>IF(AQ135&gt;0,"higher","lower")</f>
        <v>104</v>
      </c>
      <c r="AS135" t="s" s="44">
        <v>142</v>
      </c>
      <c r="AT135" s="15">
        <f>AI94</f>
        <v>801.420671023927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322.38</v>
      </c>
      <c r="AE137" s="15">
        <f>AG104</f>
        <v>362.585</v>
      </c>
      <c r="AF137" s="15">
        <f>AI104</f>
        <v>395.4252</v>
      </c>
      <c r="AG137" s="15">
        <f>AK104</f>
        <v>417.81</v>
      </c>
      <c r="AH137" s="15">
        <f>AM104</f>
        <v>499.419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-389.7216</v>
      </c>
      <c r="AE138" s="15">
        <f>SUM(AG117:AG118)</f>
        <v>38.5425</v>
      </c>
      <c r="AF138" s="15">
        <f>SUM(AI117:AI118)</f>
        <v>149.0008</v>
      </c>
      <c r="AG138" s="15">
        <f>SUM(AK117:AK118)</f>
        <v>-219.9</v>
      </c>
      <c r="AH138" s="15">
        <f>SUM(AM117:AM118)</f>
        <v>488.4255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-36.67968</v>
      </c>
      <c r="AE139" s="15">
        <f>SUM(AG131:AG132)</f>
        <v>53.231475</v>
      </c>
      <c r="AF139" s="15">
        <f>SUM(AI131:AI132)</f>
        <v>40.1156</v>
      </c>
      <c r="AG139" s="15">
        <f>SUM(AK131:AK132)</f>
        <v>-57.174</v>
      </c>
      <c r="AH139" s="15">
        <f>SUM(AM131:AM132)</f>
        <v>28.269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-1174.896</v>
      </c>
      <c r="AE140" s="15">
        <f>(AG124-AG125)</f>
        <v>-1170.55</v>
      </c>
      <c r="AF140" s="15">
        <f>(AI124-AI125)</f>
        <v>-1246.449</v>
      </c>
      <c r="AG140" s="15">
        <f>(AK124-AK125)</f>
        <v>-1246.1</v>
      </c>
      <c r="AH140" s="15">
        <f>(AM124-AM125)</f>
        <v>-1444.86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801.420671023927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6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68" customWidth="1"/>
    <col min="2" max="26" width="10.4844" style="368" customWidth="1"/>
    <col min="27" max="27" width="18.9766" style="369" customWidth="1"/>
    <col min="28" max="46" width="9" style="369" customWidth="1"/>
    <col min="47" max="48" width="16.3516" style="370" customWidth="1"/>
    <col min="49" max="16384" width="16.3516" style="370" customWidth="1"/>
  </cols>
  <sheetData>
    <row r="1" ht="11.65" customHeight="1"/>
    <row r="2" ht="27.65" customHeight="1">
      <c r="B2" t="s" s="2">
        <v>729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730</v>
      </c>
      <c r="W3" t="s" s="3">
        <v>18</v>
      </c>
      <c r="X3" t="s" s="3">
        <v>191</v>
      </c>
      <c r="Y3" t="s" s="3">
        <v>19</v>
      </c>
      <c r="Z3" t="s" s="3">
        <v>20</v>
      </c>
    </row>
    <row r="4" ht="20.25" customHeight="1">
      <c r="B4" s="6">
        <v>2017</v>
      </c>
      <c r="C4" s="7">
        <v>934.23</v>
      </c>
      <c r="D4" s="8">
        <v>80.48999999999999</v>
      </c>
      <c r="E4" s="8">
        <v>2.87</v>
      </c>
      <c r="F4" s="8">
        <v>400</v>
      </c>
      <c r="G4" s="8">
        <v>1133</v>
      </c>
      <c r="H4" s="8">
        <v>4475</v>
      </c>
      <c r="I4" s="8">
        <v>1519</v>
      </c>
      <c r="J4" s="8">
        <v>-244.48</v>
      </c>
      <c r="K4" s="8">
        <v>40.8</v>
      </c>
      <c r="L4" s="8">
        <v>0</v>
      </c>
      <c r="M4" s="8">
        <v>-60.5</v>
      </c>
      <c r="N4" s="8"/>
      <c r="O4" s="8"/>
      <c r="P4" s="9"/>
      <c r="Q4" s="9"/>
      <c r="R4" s="9"/>
      <c r="S4" s="9"/>
      <c r="T4" s="8">
        <f>J4+K4</f>
        <v>-203.68</v>
      </c>
      <c r="U4" s="8">
        <f>-(L4+M4)</f>
        <v>60.5</v>
      </c>
      <c r="V4" s="8">
        <v>3980.54391808</v>
      </c>
      <c r="W4" s="8">
        <f>F4-G4</f>
        <v>-733</v>
      </c>
      <c r="X4" s="10"/>
      <c r="Y4" s="9"/>
      <c r="Z4" s="9"/>
    </row>
    <row r="5" ht="20.05" customHeight="1">
      <c r="B5" s="13"/>
      <c r="C5" s="14">
        <v>2038.25</v>
      </c>
      <c r="D5" s="15">
        <v>78.31</v>
      </c>
      <c r="E5" s="15">
        <v>365.83</v>
      </c>
      <c r="F5" s="15">
        <v>1399</v>
      </c>
      <c r="G5" s="15">
        <v>2356</v>
      </c>
      <c r="H5" s="15">
        <v>5823</v>
      </c>
      <c r="I5" s="15">
        <v>3649.77</v>
      </c>
      <c r="J5" s="15">
        <v>1738.28</v>
      </c>
      <c r="K5" s="15">
        <v>-496.8</v>
      </c>
      <c r="L5" s="15">
        <v>0</v>
      </c>
      <c r="M5" s="15">
        <v>-60.5</v>
      </c>
      <c r="N5" s="15"/>
      <c r="O5" s="15"/>
      <c r="P5" s="16"/>
      <c r="Q5" s="17"/>
      <c r="R5" s="17"/>
      <c r="S5" s="17"/>
      <c r="T5" s="15">
        <f>J5+K5+T4</f>
        <v>1037.8</v>
      </c>
      <c r="U5" s="15">
        <f>-(L5+M5)+U4</f>
        <v>121</v>
      </c>
      <c r="V5" s="15">
        <f>V4</f>
        <v>3980.54391808</v>
      </c>
      <c r="W5" s="15">
        <f>F5-G5</f>
        <v>-957</v>
      </c>
      <c r="X5" s="18"/>
      <c r="Y5" s="17"/>
      <c r="Z5" s="17"/>
    </row>
    <row r="6" ht="20.05" customHeight="1">
      <c r="B6" s="13"/>
      <c r="C6" s="14">
        <v>786.3200000000001</v>
      </c>
      <c r="D6" s="15">
        <v>73.78</v>
      </c>
      <c r="E6" s="15">
        <v>-0.91</v>
      </c>
      <c r="F6" s="15">
        <v>275</v>
      </c>
      <c r="G6" s="15">
        <v>1046</v>
      </c>
      <c r="H6" s="15">
        <v>4512</v>
      </c>
      <c r="I6" s="15">
        <v>1226.63</v>
      </c>
      <c r="J6" s="15">
        <v>-1056.15</v>
      </c>
      <c r="K6" s="15">
        <v>-68.58</v>
      </c>
      <c r="L6" s="15">
        <v>0</v>
      </c>
      <c r="M6" s="15">
        <v>-60.5</v>
      </c>
      <c r="N6" s="15"/>
      <c r="O6" s="15"/>
      <c r="P6" s="16"/>
      <c r="Q6" s="17"/>
      <c r="R6" s="17"/>
      <c r="S6" s="17"/>
      <c r="T6" s="15">
        <f>J6+K6+T5</f>
        <v>-86.93000000000001</v>
      </c>
      <c r="U6" s="15">
        <f>-(L6+M6)+U5</f>
        <v>181.5</v>
      </c>
      <c r="V6" s="15">
        <f>V5</f>
        <v>3980.54391808</v>
      </c>
      <c r="W6" s="15">
        <f>F6-G6</f>
        <v>-771</v>
      </c>
      <c r="X6" s="18"/>
      <c r="Y6" s="17"/>
      <c r="Z6" s="17"/>
    </row>
    <row r="7" ht="20.05" customHeight="1">
      <c r="B7" s="13"/>
      <c r="C7" s="14">
        <v>1027.7</v>
      </c>
      <c r="D7" s="15">
        <v>74.22</v>
      </c>
      <c r="E7" s="15">
        <v>38.79</v>
      </c>
      <c r="F7" s="15">
        <v>752</v>
      </c>
      <c r="G7" s="15">
        <v>1398</v>
      </c>
      <c r="H7" s="15">
        <v>4892</v>
      </c>
      <c r="I7" s="15">
        <v>1757.98</v>
      </c>
      <c r="J7" s="15">
        <v>413.92</v>
      </c>
      <c r="K7" s="15">
        <v>63.18</v>
      </c>
      <c r="L7" s="15">
        <v>0</v>
      </c>
      <c r="M7" s="15">
        <v>-60.5</v>
      </c>
      <c r="N7" s="15"/>
      <c r="O7" s="15"/>
      <c r="P7" s="16"/>
      <c r="Q7" s="17"/>
      <c r="R7" s="17"/>
      <c r="S7" s="17"/>
      <c r="T7" s="15">
        <f>J7+K7+T6</f>
        <v>390.17</v>
      </c>
      <c r="U7" s="15">
        <f>-(L7+M7)+U6</f>
        <v>242</v>
      </c>
      <c r="V7" s="15">
        <f>V6</f>
        <v>3980.54391808</v>
      </c>
      <c r="W7" s="15">
        <f>F7-G7</f>
        <v>-646</v>
      </c>
      <c r="X7" s="18"/>
      <c r="Y7" s="17"/>
      <c r="Z7" s="17"/>
    </row>
    <row r="8" ht="20.05" customHeight="1">
      <c r="B8" s="21">
        <v>2018</v>
      </c>
      <c r="C8" s="14">
        <v>893.4</v>
      </c>
      <c r="D8" s="15">
        <v>75.59999999999999</v>
      </c>
      <c r="E8" s="15">
        <v>14.67</v>
      </c>
      <c r="F8" s="15">
        <v>312</v>
      </c>
      <c r="G8" s="15">
        <v>1342</v>
      </c>
      <c r="H8" s="15">
        <v>4851</v>
      </c>
      <c r="I8" s="15">
        <v>1500</v>
      </c>
      <c r="J8" s="15">
        <v>-220.6</v>
      </c>
      <c r="K8" s="15">
        <v>-219.49</v>
      </c>
      <c r="L8" s="15">
        <v>0</v>
      </c>
      <c r="M8" s="15">
        <v>-67.25</v>
      </c>
      <c r="N8" s="15">
        <f>SUM(C5:C8)/4</f>
        <v>1186.4175</v>
      </c>
      <c r="O8" s="15"/>
      <c r="P8" s="16"/>
      <c r="Q8" s="16"/>
      <c r="R8" s="16"/>
      <c r="S8" s="15">
        <f>SUM(J5:K8)/4</f>
        <v>38.44</v>
      </c>
      <c r="T8" s="15">
        <f>J8+K8+T7</f>
        <v>-49.92</v>
      </c>
      <c r="U8" s="15">
        <f>-(L8+M8)+U7</f>
        <v>309.25</v>
      </c>
      <c r="V8" s="15">
        <f>V7</f>
        <v>3980.54391808</v>
      </c>
      <c r="W8" s="15">
        <f>F8-G8</f>
        <v>-1030</v>
      </c>
      <c r="X8" s="18">
        <v>1350</v>
      </c>
      <c r="Y8" s="24"/>
      <c r="Z8" s="17"/>
    </row>
    <row r="9" ht="20.05" customHeight="1">
      <c r="B9" s="13"/>
      <c r="C9" s="14">
        <v>2018.17</v>
      </c>
      <c r="D9" s="15">
        <v>91.7</v>
      </c>
      <c r="E9" s="15">
        <v>471.33</v>
      </c>
      <c r="F9" s="15">
        <v>907</v>
      </c>
      <c r="G9" s="15">
        <v>2395</v>
      </c>
      <c r="H9" s="15">
        <v>6105</v>
      </c>
      <c r="I9" s="15">
        <v>3755.4</v>
      </c>
      <c r="J9" s="15">
        <v>1789.6</v>
      </c>
      <c r="K9" s="15">
        <v>-925.51</v>
      </c>
      <c r="L9" s="15">
        <v>0</v>
      </c>
      <c r="M9" s="15">
        <v>-67.25</v>
      </c>
      <c r="N9" s="15">
        <f>SUM(C6:C9)/4</f>
        <v>1181.3975</v>
      </c>
      <c r="O9" s="15"/>
      <c r="P9" s="16"/>
      <c r="Q9" s="16"/>
      <c r="R9" s="16"/>
      <c r="S9" s="15">
        <f>SUM(J6:K9)/4</f>
        <v>-55.9075</v>
      </c>
      <c r="T9" s="15">
        <f>J9+K9+T8</f>
        <v>814.17</v>
      </c>
      <c r="U9" s="15">
        <f>-(L9+M9)+U8</f>
        <v>376.5</v>
      </c>
      <c r="V9" s="15">
        <f>V8</f>
        <v>3980.54391808</v>
      </c>
      <c r="W9" s="15">
        <f>F13-G9</f>
        <v>37</v>
      </c>
      <c r="X9" s="18">
        <v>1490</v>
      </c>
      <c r="Y9" s="24"/>
      <c r="Z9" s="17"/>
    </row>
    <row r="10" ht="20.05" customHeight="1">
      <c r="B10" s="13"/>
      <c r="C10" s="14">
        <v>826.4299999999999</v>
      </c>
      <c r="D10" s="15">
        <v>75.3</v>
      </c>
      <c r="E10" s="15">
        <v>41.27</v>
      </c>
      <c r="F10" s="15">
        <v>1203</v>
      </c>
      <c r="G10" s="15">
        <v>1235</v>
      </c>
      <c r="H10" s="15">
        <v>4983</v>
      </c>
      <c r="I10" s="15">
        <v>1404.8</v>
      </c>
      <c r="J10" s="15">
        <v>-1071.84</v>
      </c>
      <c r="K10" s="15">
        <v>1367.59</v>
      </c>
      <c r="L10" s="15">
        <v>0</v>
      </c>
      <c r="M10" s="15">
        <v>-67.25</v>
      </c>
      <c r="N10" s="15">
        <f>SUM(C7:C10)/4</f>
        <v>1191.425</v>
      </c>
      <c r="O10" s="15"/>
      <c r="P10" s="16"/>
      <c r="Q10" s="16"/>
      <c r="R10" s="16"/>
      <c r="S10" s="15">
        <f>SUM(J7:K10)/4</f>
        <v>299.2125</v>
      </c>
      <c r="T10" s="15">
        <f>J10+K10+T9</f>
        <v>1109.92</v>
      </c>
      <c r="U10" s="15">
        <f>-(L10+M10)+U9</f>
        <v>443.75</v>
      </c>
      <c r="V10" s="15">
        <f>V9</f>
        <v>3980.54391808</v>
      </c>
      <c r="W10" s="15">
        <f>F10-G10</f>
        <v>-32</v>
      </c>
      <c r="X10" s="18">
        <v>1300</v>
      </c>
      <c r="Y10" s="24"/>
      <c r="Z10" s="17"/>
    </row>
    <row r="11" ht="20.05" customHeight="1">
      <c r="B11" s="13"/>
      <c r="C11" s="14">
        <v>1067.1</v>
      </c>
      <c r="D11" s="15">
        <v>62.1</v>
      </c>
      <c r="E11" s="15">
        <v>59.83</v>
      </c>
      <c r="F11" s="15">
        <v>1951</v>
      </c>
      <c r="G11" s="15">
        <v>1416</v>
      </c>
      <c r="H11" s="15">
        <v>5243</v>
      </c>
      <c r="I11" s="15">
        <v>1868.1</v>
      </c>
      <c r="J11" s="15">
        <v>289.94</v>
      </c>
      <c r="K11" s="15">
        <v>458.01</v>
      </c>
      <c r="L11" s="15">
        <v>0</v>
      </c>
      <c r="M11" s="15">
        <v>-67.25</v>
      </c>
      <c r="N11" s="15">
        <f>SUM(C8:C11)/4</f>
        <v>1201.275</v>
      </c>
      <c r="O11" s="15"/>
      <c r="P11" s="16"/>
      <c r="Q11" s="16"/>
      <c r="R11" s="16"/>
      <c r="S11" s="15">
        <f>SUM(J8:K11)/4</f>
        <v>366.925</v>
      </c>
      <c r="T11" s="15">
        <f>J11+K11+T10</f>
        <v>1857.87</v>
      </c>
      <c r="U11" s="15">
        <f>-(L11+M11)+U10</f>
        <v>511</v>
      </c>
      <c r="V11" s="15">
        <f>V10</f>
        <v>3980.54391808</v>
      </c>
      <c r="W11" s="15">
        <f>F11-G11</f>
        <v>535</v>
      </c>
      <c r="X11" s="18">
        <v>1420</v>
      </c>
      <c r="Y11" s="24"/>
      <c r="Z11" s="17"/>
    </row>
    <row r="12" ht="20.05" customHeight="1">
      <c r="B12" s="21">
        <v>2019</v>
      </c>
      <c r="C12" s="14">
        <v>876.7</v>
      </c>
      <c r="D12" s="15">
        <v>75.5</v>
      </c>
      <c r="E12" s="15">
        <v>77.5</v>
      </c>
      <c r="F12" s="15">
        <v>1146</v>
      </c>
      <c r="G12" s="15">
        <v>1329</v>
      </c>
      <c r="H12" s="15">
        <v>5250</v>
      </c>
      <c r="I12" s="15">
        <v>1486.5</v>
      </c>
      <c r="J12" s="15">
        <v>-254.3</v>
      </c>
      <c r="K12" s="15">
        <v>-586.1</v>
      </c>
      <c r="L12" s="15">
        <v>0</v>
      </c>
      <c r="M12" s="15">
        <v>-75.5</v>
      </c>
      <c r="N12" s="15">
        <f>SUM(C9:C12)/4</f>
        <v>1197.1</v>
      </c>
      <c r="O12" s="23"/>
      <c r="P12" s="16"/>
      <c r="Q12" s="16">
        <f>(E12+D12)/C12</f>
        <v>0.174518079160488</v>
      </c>
      <c r="R12" s="16">
        <f>AVERAGE(Q9:Q12)</f>
        <v>0.174518079160488</v>
      </c>
      <c r="S12" s="15">
        <f>SUM(J9:K12)/4</f>
        <v>266.8475</v>
      </c>
      <c r="T12" s="15">
        <f>J12+K12+T11</f>
        <v>1017.47</v>
      </c>
      <c r="U12" s="15">
        <f>-(L12+M12)+U11</f>
        <v>586.5</v>
      </c>
      <c r="V12" s="15">
        <f>V11</f>
        <v>3980.54391808</v>
      </c>
      <c r="W12" s="15">
        <f>F12-G12</f>
        <v>-183</v>
      </c>
      <c r="X12" s="18">
        <v>1780</v>
      </c>
      <c r="Y12" s="24"/>
      <c r="Z12" s="17"/>
    </row>
    <row r="13" ht="20.05" customHeight="1">
      <c r="B13" s="13"/>
      <c r="C13" s="14">
        <v>1985</v>
      </c>
      <c r="D13" s="15">
        <v>70.2</v>
      </c>
      <c r="E13" s="15">
        <v>512.3</v>
      </c>
      <c r="F13" s="15">
        <v>2432</v>
      </c>
      <c r="G13" s="15">
        <v>2170</v>
      </c>
      <c r="H13" s="15">
        <v>6266</v>
      </c>
      <c r="I13" s="15">
        <v>3774.3</v>
      </c>
      <c r="J13" s="15">
        <v>1903.3</v>
      </c>
      <c r="K13" s="15">
        <v>-280.3</v>
      </c>
      <c r="L13" s="15">
        <v>0</v>
      </c>
      <c r="M13" s="15">
        <v>-75.5</v>
      </c>
      <c r="N13" s="15">
        <f>SUM(C10:C13)/4</f>
        <v>1188.8075</v>
      </c>
      <c r="O13" s="23"/>
      <c r="P13" s="16">
        <f>C13/C12-1</f>
        <v>1.26417246492529</v>
      </c>
      <c r="Q13" s="16">
        <f>(E13+D13)/C13</f>
        <v>0.293450881612091</v>
      </c>
      <c r="R13" s="16">
        <f>AVERAGE(Q10:Q13)</f>
        <v>0.23398448038629</v>
      </c>
      <c r="S13" s="15">
        <f>SUM(J10:K13)/4</f>
        <v>456.575</v>
      </c>
      <c r="T13" s="15">
        <f>J13+K13+T12</f>
        <v>2640.47</v>
      </c>
      <c r="U13" s="15">
        <f>-(L13+M13)+U12</f>
        <v>662</v>
      </c>
      <c r="V13" s="15">
        <f>V12</f>
        <v>3980.54391808</v>
      </c>
      <c r="W13" s="15">
        <f>F13-G13</f>
        <v>262</v>
      </c>
      <c r="X13" s="18">
        <v>1410</v>
      </c>
      <c r="Y13" s="24"/>
      <c r="Z13" s="17"/>
    </row>
    <row r="14" ht="20.05" customHeight="1">
      <c r="B14" s="13"/>
      <c r="C14" s="14">
        <v>756.3</v>
      </c>
      <c r="D14" s="15">
        <v>70</v>
      </c>
      <c r="E14" s="15">
        <v>22.6</v>
      </c>
      <c r="F14" s="15">
        <v>901</v>
      </c>
      <c r="G14" s="15">
        <v>1197</v>
      </c>
      <c r="H14" s="15">
        <v>5313</v>
      </c>
      <c r="I14" s="15">
        <v>1456.9</v>
      </c>
      <c r="J14" s="15">
        <v>-759.4</v>
      </c>
      <c r="K14" s="15">
        <v>-771.5</v>
      </c>
      <c r="L14" s="15">
        <v>0</v>
      </c>
      <c r="M14" s="15">
        <v>-75.5</v>
      </c>
      <c r="N14" s="15">
        <f>SUM(C11:C14)/4</f>
        <v>1171.275</v>
      </c>
      <c r="O14" s="23"/>
      <c r="P14" s="16">
        <f>C14/C13-1</f>
        <v>-0.618992443324937</v>
      </c>
      <c r="Q14" s="16">
        <f>(E14+D14)/C14</f>
        <v>0.122438185905064</v>
      </c>
      <c r="R14" s="16">
        <f>AVERAGE(Q11:Q14)</f>
        <v>0.196802382225881</v>
      </c>
      <c r="S14" s="15">
        <f>SUM(J11:K14)/4</f>
        <v>-0.08749999999999999</v>
      </c>
      <c r="T14" s="15">
        <f>J14+K14+T13</f>
        <v>1109.57</v>
      </c>
      <c r="U14" s="15">
        <f>-(L14+M14)+U13</f>
        <v>737.5</v>
      </c>
      <c r="V14" s="15">
        <f>V13</f>
        <v>3980.54391808</v>
      </c>
      <c r="W14" s="15">
        <f>F14-G14</f>
        <v>-296</v>
      </c>
      <c r="X14" s="18">
        <v>1205</v>
      </c>
      <c r="Y14" s="24"/>
      <c r="Z14" s="17"/>
    </row>
    <row r="15" ht="20.05" customHeight="1">
      <c r="B15" s="13"/>
      <c r="C15" s="14">
        <v>961</v>
      </c>
      <c r="D15" s="15">
        <v>86.09999999999999</v>
      </c>
      <c r="E15" s="15">
        <v>35.5</v>
      </c>
      <c r="F15" s="15">
        <v>2208</v>
      </c>
      <c r="G15" s="15">
        <v>1481</v>
      </c>
      <c r="H15" s="15">
        <v>5650</v>
      </c>
      <c r="I15" s="15">
        <v>1808.3</v>
      </c>
      <c r="J15" s="15">
        <v>186</v>
      </c>
      <c r="K15" s="15">
        <v>1121.4</v>
      </c>
      <c r="L15" s="15">
        <v>0</v>
      </c>
      <c r="M15" s="15">
        <v>-75.5</v>
      </c>
      <c r="N15" s="15">
        <f>SUM(C12:C15)/4</f>
        <v>1144.75</v>
      </c>
      <c r="O15" s="15"/>
      <c r="P15" s="16">
        <f>C15/C14-1</f>
        <v>0.270659791088193</v>
      </c>
      <c r="Q15" s="16">
        <f>(E15+D15)/C15</f>
        <v>0.126534859521332</v>
      </c>
      <c r="R15" s="16">
        <f>AVERAGE(Q12:Q15)</f>
        <v>0.179235501549744</v>
      </c>
      <c r="S15" s="15">
        <f>SUM(J12:K15)/4</f>
        <v>139.775</v>
      </c>
      <c r="T15" s="15">
        <f>J15+K15+T14</f>
        <v>2416.97</v>
      </c>
      <c r="U15" s="15">
        <f>-(L15+M15)+U14</f>
        <v>813</v>
      </c>
      <c r="V15" s="15">
        <f>V14</f>
        <v>3980.54391808</v>
      </c>
      <c r="W15" s="15">
        <f>F15-G15</f>
        <v>727</v>
      </c>
      <c r="X15" s="18">
        <v>1065</v>
      </c>
      <c r="Y15" s="24"/>
      <c r="Z15" s="17"/>
    </row>
    <row r="16" ht="20.05" customHeight="1">
      <c r="B16" s="21">
        <v>2020</v>
      </c>
      <c r="C16" s="14">
        <v>768.3</v>
      </c>
      <c r="D16" s="15">
        <v>129.6</v>
      </c>
      <c r="E16" s="15">
        <v>13.3</v>
      </c>
      <c r="F16" s="15">
        <v>1161</v>
      </c>
      <c r="G16" s="15">
        <v>3933</v>
      </c>
      <c r="H16" s="15">
        <v>5777</v>
      </c>
      <c r="I16" s="15">
        <v>1340</v>
      </c>
      <c r="J16" s="15">
        <v>-156.7</v>
      </c>
      <c r="K16" s="15">
        <v>-889.6</v>
      </c>
      <c r="L16" s="15">
        <v>0</v>
      </c>
      <c r="M16" s="15">
        <v>-0.7</v>
      </c>
      <c r="N16" s="15">
        <f>SUM(C13:C16)/4</f>
        <v>1117.65</v>
      </c>
      <c r="O16" s="15"/>
      <c r="P16" s="16">
        <f>C16/C15-1</f>
        <v>-0.200520291363163</v>
      </c>
      <c r="Q16" s="16">
        <f>(E16+D16)/C16</f>
        <v>0.185995054015359</v>
      </c>
      <c r="R16" s="16">
        <f>AVERAGE(Q13:Q16)</f>
        <v>0.182104745263462</v>
      </c>
      <c r="S16" s="15">
        <f>SUM(J13:K16)/4</f>
        <v>88.3</v>
      </c>
      <c r="T16" s="15">
        <f>J16+K16+T15</f>
        <v>1370.67</v>
      </c>
      <c r="U16" s="15">
        <f>-(L16+M16)+U15</f>
        <v>813.7</v>
      </c>
      <c r="V16" s="15">
        <f>V15</f>
        <v>3980.54391808</v>
      </c>
      <c r="W16" s="15">
        <f>F16-G16</f>
        <v>-2772</v>
      </c>
      <c r="X16" s="18">
        <v>466</v>
      </c>
      <c r="Y16" s="24"/>
      <c r="Z16" s="17"/>
    </row>
    <row r="17" ht="20.05" customHeight="1">
      <c r="B17" s="13"/>
      <c r="C17" s="14">
        <v>457.8</v>
      </c>
      <c r="D17" s="15">
        <v>68.7</v>
      </c>
      <c r="E17" s="15">
        <v>-7.9</v>
      </c>
      <c r="F17" s="15">
        <v>2243</v>
      </c>
      <c r="G17" s="15">
        <v>1296</v>
      </c>
      <c r="H17" s="15">
        <v>5465</v>
      </c>
      <c r="I17" s="15">
        <v>849</v>
      </c>
      <c r="J17" s="15">
        <v>8.4</v>
      </c>
      <c r="K17" s="15">
        <v>1077.4</v>
      </c>
      <c r="L17" s="15">
        <v>0</v>
      </c>
      <c r="M17" s="15">
        <v>-3.3</v>
      </c>
      <c r="N17" s="15">
        <f>SUM(C14:C17)/4</f>
        <v>735.85</v>
      </c>
      <c r="O17" s="15"/>
      <c r="P17" s="16">
        <f>C17/C16-1</f>
        <v>-0.404139008199922</v>
      </c>
      <c r="Q17" s="16">
        <f>(E17+D17)/C17</f>
        <v>0.132809086937527</v>
      </c>
      <c r="R17" s="16">
        <f>AVERAGE(Q14:Q17)</f>
        <v>0.141944296594821</v>
      </c>
      <c r="S17" s="25">
        <f>SUM(J14:K17)/4</f>
        <v>-46</v>
      </c>
      <c r="T17" s="15">
        <f>J17+K17+T16</f>
        <v>2456.47</v>
      </c>
      <c r="U17" s="15">
        <f>-(L17+M17)+U16</f>
        <v>817</v>
      </c>
      <c r="V17" s="15">
        <f>V16</f>
        <v>3980.54391808</v>
      </c>
      <c r="W17" s="15">
        <f>F17-G17</f>
        <v>947</v>
      </c>
      <c r="X17" s="18">
        <v>595</v>
      </c>
      <c r="Y17" s="24"/>
      <c r="Z17" s="17"/>
    </row>
    <row r="18" ht="20.05" customHeight="1">
      <c r="B18" s="13"/>
      <c r="C18" s="14">
        <v>340.9</v>
      </c>
      <c r="D18" s="15">
        <v>105.3</v>
      </c>
      <c r="E18" s="15">
        <v>-100.6</v>
      </c>
      <c r="F18" s="15">
        <v>1870</v>
      </c>
      <c r="G18" s="15">
        <v>1036</v>
      </c>
      <c r="H18" s="15">
        <v>4772</v>
      </c>
      <c r="I18" s="15">
        <v>677</v>
      </c>
      <c r="J18" s="15">
        <v>-89.40000000000001</v>
      </c>
      <c r="K18" s="15">
        <v>49.1</v>
      </c>
      <c r="L18" s="15">
        <v>0</v>
      </c>
      <c r="M18" s="15">
        <v>-333.2</v>
      </c>
      <c r="N18" s="15">
        <f>SUM(C15:C18)/4</f>
        <v>632</v>
      </c>
      <c r="O18" s="15"/>
      <c r="P18" s="16">
        <f>C18/C17-1</f>
        <v>-0.255351681957187</v>
      </c>
      <c r="Q18" s="16">
        <f>(E18+D18)/C18</f>
        <v>0.0137870343209152</v>
      </c>
      <c r="R18" s="16">
        <f>AVERAGE(Q15:Q18)</f>
        <v>0.114781508698783</v>
      </c>
      <c r="S18" s="25">
        <f>SUM(J15:K18)/4</f>
        <v>326.65</v>
      </c>
      <c r="T18" s="15">
        <f>J18+K18+T17</f>
        <v>2416.17</v>
      </c>
      <c r="U18" s="15">
        <f>-(L18+M18)+U17</f>
        <v>1150.2</v>
      </c>
      <c r="V18" s="15">
        <f>V17</f>
        <v>3980.54391808</v>
      </c>
      <c r="W18" s="15">
        <f>F18-G18</f>
        <v>834</v>
      </c>
      <c r="X18" s="18">
        <v>530</v>
      </c>
      <c r="Y18" s="24"/>
      <c r="Z18" s="17"/>
    </row>
    <row r="19" ht="20.05" customHeight="1">
      <c r="B19" s="13"/>
      <c r="C19" s="14">
        <v>494.7</v>
      </c>
      <c r="D19" s="15">
        <v>143.6</v>
      </c>
      <c r="E19" s="15">
        <v>-43.7</v>
      </c>
      <c r="F19" s="15">
        <v>1554</v>
      </c>
      <c r="G19" s="15">
        <v>1566</v>
      </c>
      <c r="H19" s="15">
        <v>5285</v>
      </c>
      <c r="I19" s="15">
        <v>996</v>
      </c>
      <c r="J19" s="15">
        <v>241.7</v>
      </c>
      <c r="K19" s="15">
        <v>-557.6</v>
      </c>
      <c r="L19" s="15">
        <v>0</v>
      </c>
      <c r="M19" s="15">
        <v>0.2</v>
      </c>
      <c r="N19" s="15">
        <f>SUM(C16:C19)/4</f>
        <v>515.425</v>
      </c>
      <c r="O19" s="15"/>
      <c r="P19" s="16">
        <f>C19/C18-1</f>
        <v>0.451158697565268</v>
      </c>
      <c r="Q19" s="16">
        <f>(E19+D19)/C19</f>
        <v>0.20194057004245</v>
      </c>
      <c r="R19" s="16">
        <f>AVERAGE(Q16:Q19)</f>
        <v>0.133632936329063</v>
      </c>
      <c r="S19" s="25">
        <f>SUM(J16:K19)/4</f>
        <v>-79.175</v>
      </c>
      <c r="T19" s="15">
        <f>J19+K19+T18</f>
        <v>2100.27</v>
      </c>
      <c r="U19" s="15">
        <f>-(L19+M19)+U18</f>
        <v>1150</v>
      </c>
      <c r="V19" s="15">
        <f>V18</f>
        <v>3980.54391808</v>
      </c>
      <c r="W19" s="15">
        <f>F19-G19</f>
        <v>-12</v>
      </c>
      <c r="X19" s="18">
        <v>775</v>
      </c>
      <c r="Y19" s="24"/>
      <c r="Z19" s="17"/>
    </row>
    <row r="20" ht="20.05" customHeight="1">
      <c r="B20" s="21">
        <v>2021</v>
      </c>
      <c r="C20" s="14">
        <v>398</v>
      </c>
      <c r="D20" s="15">
        <v>107.5</v>
      </c>
      <c r="E20" s="15">
        <v>-86</v>
      </c>
      <c r="F20" s="15">
        <v>1065</v>
      </c>
      <c r="G20" s="15">
        <v>1514</v>
      </c>
      <c r="H20" s="15">
        <v>5148</v>
      </c>
      <c r="I20" s="15">
        <v>763</v>
      </c>
      <c r="J20" s="15">
        <v>-222.6</v>
      </c>
      <c r="K20" s="15">
        <v>-266</v>
      </c>
      <c r="L20" s="15">
        <v>0</v>
      </c>
      <c r="M20" s="15">
        <v>0</v>
      </c>
      <c r="N20" s="15">
        <f>SUM(C17:C20)/4</f>
        <v>422.85</v>
      </c>
      <c r="O20" s="15"/>
      <c r="P20" s="16">
        <f>C20/C19-1</f>
        <v>-0.195472003234283</v>
      </c>
      <c r="Q20" s="16">
        <f>(E20+D20)/C20</f>
        <v>0.0540201005025126</v>
      </c>
      <c r="R20" s="16">
        <f>AVERAGE(Q17:Q20)</f>
        <v>0.100639197950851</v>
      </c>
      <c r="S20" s="25">
        <f>SUM(J17:K20)/4</f>
        <v>60.25</v>
      </c>
      <c r="T20" s="15">
        <f>J20+K20+T19</f>
        <v>1611.67</v>
      </c>
      <c r="U20" s="15">
        <f>-(L20+M20)+U19</f>
        <v>1150</v>
      </c>
      <c r="V20" s="15">
        <f>V19</f>
        <v>3980.54391808</v>
      </c>
      <c r="W20" s="15">
        <f>F20-G20</f>
        <v>-449</v>
      </c>
      <c r="X20" s="18">
        <v>780</v>
      </c>
      <c r="Y20" s="15"/>
      <c r="Z20" s="17"/>
    </row>
    <row r="21" ht="20.05" customHeight="1">
      <c r="B21" s="13"/>
      <c r="C21" s="14">
        <v>972.2</v>
      </c>
      <c r="D21" s="15">
        <v>107.5</v>
      </c>
      <c r="E21" s="15">
        <v>223.8</v>
      </c>
      <c r="F21" s="15">
        <v>891</v>
      </c>
      <c r="G21" s="15">
        <v>1399</v>
      </c>
      <c r="H21" s="15">
        <v>5026</v>
      </c>
      <c r="I21" s="15">
        <v>1982</v>
      </c>
      <c r="J21" s="15">
        <v>509.652</v>
      </c>
      <c r="K21" s="15">
        <v>-453.2</v>
      </c>
      <c r="L21" s="15">
        <v>0</v>
      </c>
      <c r="M21" s="15">
        <v>-230.799</v>
      </c>
      <c r="N21" s="15">
        <f>SUM(C18:C21)/4</f>
        <v>551.45</v>
      </c>
      <c r="O21" s="15">
        <v>732.4825</v>
      </c>
      <c r="P21" s="16">
        <f>C21/C20-1</f>
        <v>1.4427135678392</v>
      </c>
      <c r="Q21" s="16">
        <f>(E21+D21)/C21</f>
        <v>0.340773503394363</v>
      </c>
      <c r="R21" s="16">
        <f>AVERAGE(Q18:Q21)</f>
        <v>0.15263030206506</v>
      </c>
      <c r="S21" s="25">
        <f>SUM(J18:K21)/4</f>
        <v>-197.087</v>
      </c>
      <c r="T21" s="15">
        <f>J21+K21+T20</f>
        <v>1668.122</v>
      </c>
      <c r="U21" s="15">
        <f>-(L21+M21)+U20</f>
        <v>1380.799</v>
      </c>
      <c r="V21" s="15">
        <f>V20</f>
        <v>3980.54391808</v>
      </c>
      <c r="W21" s="15">
        <f>F21-G21</f>
        <v>-508</v>
      </c>
      <c r="X21" s="18">
        <v>675</v>
      </c>
      <c r="Y21" s="15"/>
      <c r="Z21" s="17"/>
    </row>
    <row r="22" ht="20.05" customHeight="1">
      <c r="B22" s="13"/>
      <c r="C22" s="14">
        <v>207.3</v>
      </c>
      <c r="D22" s="15">
        <v>107.5</v>
      </c>
      <c r="E22" s="15">
        <v>-35</v>
      </c>
      <c r="F22" s="15">
        <v>959</v>
      </c>
      <c r="G22" s="15">
        <v>1287</v>
      </c>
      <c r="H22" s="15">
        <v>4859</v>
      </c>
      <c r="I22" s="15">
        <v>423</v>
      </c>
      <c r="J22" s="15">
        <v>-67.252</v>
      </c>
      <c r="K22" s="15">
        <v>154.5</v>
      </c>
      <c r="L22" s="15">
        <v>0</v>
      </c>
      <c r="M22" s="15">
        <v>-19.276</v>
      </c>
      <c r="N22" s="15">
        <f>SUM(C19:C22)/4</f>
        <v>518.05</v>
      </c>
      <c r="O22" s="15">
        <v>763.778333333333</v>
      </c>
      <c r="P22" s="16">
        <f>C22/C21-1</f>
        <v>-0.786772269080436</v>
      </c>
      <c r="Q22" s="16">
        <f>(E22+D22)/C22</f>
        <v>0.349734684032803</v>
      </c>
      <c r="R22" s="16">
        <f>AVERAGE(Q19:Q22)</f>
        <v>0.236617214493032</v>
      </c>
      <c r="S22" s="25">
        <f>SUM(J19:K22)/4</f>
        <v>-165.2</v>
      </c>
      <c r="T22" s="15">
        <f>J22+K22+T21</f>
        <v>1755.37</v>
      </c>
      <c r="U22" s="15">
        <f>-(L22+M22)+U21</f>
        <v>1400.075</v>
      </c>
      <c r="V22" s="15">
        <f>V21</f>
        <v>3980.54391808</v>
      </c>
      <c r="W22" s="15">
        <f>F22-G22</f>
        <v>-328</v>
      </c>
      <c r="X22" s="18">
        <v>685</v>
      </c>
      <c r="Y22" s="15"/>
      <c r="Z22" s="17"/>
    </row>
    <row r="23" ht="20.05" customHeight="1">
      <c r="B23" s="13"/>
      <c r="C23" s="14">
        <v>1015.5</v>
      </c>
      <c r="D23" s="15">
        <v>107.5</v>
      </c>
      <c r="E23" s="15">
        <v>68.2</v>
      </c>
      <c r="F23" s="15">
        <v>1582</v>
      </c>
      <c r="G23" s="15">
        <v>1489</v>
      </c>
      <c r="H23" s="15">
        <v>5085</v>
      </c>
      <c r="I23" s="15">
        <v>1022</v>
      </c>
      <c r="J23" s="15">
        <v>116.8</v>
      </c>
      <c r="K23" s="15">
        <v>566.7</v>
      </c>
      <c r="L23" s="15">
        <v>0</v>
      </c>
      <c r="M23" s="15">
        <v>-60.925</v>
      </c>
      <c r="N23" s="15">
        <f>SUM(C20:C23)/4</f>
        <v>648.25</v>
      </c>
      <c r="O23" s="15">
        <v>728.30875</v>
      </c>
      <c r="P23" s="16">
        <f>C23/C22-1</f>
        <v>3.8986975397974</v>
      </c>
      <c r="Q23" s="16">
        <f>(E23+D23)/C23</f>
        <v>0.173018217626785</v>
      </c>
      <c r="R23" s="16">
        <f>AVERAGE(Q20:Q23)</f>
        <v>0.229386626389116</v>
      </c>
      <c r="S23" s="25">
        <f>SUM(J20:K23)/4</f>
        <v>84.65000000000001</v>
      </c>
      <c r="T23" s="15">
        <f>J23+K23+T22</f>
        <v>2438.87</v>
      </c>
      <c r="U23" s="15">
        <f>-(L23+M23)+U22</f>
        <v>1461</v>
      </c>
      <c r="V23" s="15">
        <f>V22</f>
        <v>3980.54391808</v>
      </c>
      <c r="W23" s="15">
        <f>F23-G23</f>
        <v>93</v>
      </c>
      <c r="X23" s="18">
        <v>680</v>
      </c>
      <c r="Y23" s="15"/>
      <c r="Z23" s="17"/>
    </row>
    <row r="24" ht="20.05" customHeight="1">
      <c r="B24" s="21">
        <v>2022</v>
      </c>
      <c r="C24" s="14">
        <v>601</v>
      </c>
      <c r="D24" s="15">
        <v>73</v>
      </c>
      <c r="E24" s="15">
        <v>30</v>
      </c>
      <c r="F24" s="15">
        <v>1169</v>
      </c>
      <c r="G24" s="15">
        <v>1803</v>
      </c>
      <c r="H24" s="15">
        <v>5405</v>
      </c>
      <c r="I24" s="15">
        <v>938</v>
      </c>
      <c r="J24" s="15">
        <v>-101.6</v>
      </c>
      <c r="K24" s="15">
        <v>-286.5</v>
      </c>
      <c r="L24" s="15">
        <v>0</v>
      </c>
      <c r="M24" s="15">
        <v>-25</v>
      </c>
      <c r="N24" s="15">
        <f>SUM(C21:C24)/4</f>
        <v>699</v>
      </c>
      <c r="O24" s="15">
        <v>826.61125</v>
      </c>
      <c r="P24" s="16">
        <f>C24/C23-1</f>
        <v>-0.408173313638602</v>
      </c>
      <c r="Q24" s="16">
        <f>(E24+D24)/C24</f>
        <v>0.171381031613977</v>
      </c>
      <c r="R24" s="16">
        <f>AVERAGE(Q21:Q24)</f>
        <v>0.258726859166982</v>
      </c>
      <c r="S24" s="25">
        <f>SUM(J21:K24)/4</f>
        <v>109.775</v>
      </c>
      <c r="T24" s="15">
        <f>J24+K24+T23</f>
        <v>2050.77</v>
      </c>
      <c r="U24" s="15">
        <f>-(L24+M24)+U23</f>
        <v>1486</v>
      </c>
      <c r="V24" s="15">
        <f>V23</f>
        <v>3980.54391808</v>
      </c>
      <c r="W24" s="15">
        <f>F24-G24</f>
        <v>-634</v>
      </c>
      <c r="X24" s="26">
        <v>755</v>
      </c>
      <c r="Y24" s="15">
        <v>1202.336534851870</v>
      </c>
      <c r="Z24" s="17"/>
    </row>
    <row r="25" ht="20.05" customHeight="1">
      <c r="B25" s="13"/>
      <c r="C25" s="14">
        <v>848</v>
      </c>
      <c r="D25" s="15">
        <v>101</v>
      </c>
      <c r="E25" s="15">
        <v>256</v>
      </c>
      <c r="F25" s="15">
        <v>1692</v>
      </c>
      <c r="G25" s="15">
        <v>1412</v>
      </c>
      <c r="H25" s="15">
        <v>5071</v>
      </c>
      <c r="I25" s="15">
        <v>2072</v>
      </c>
      <c r="J25" s="15">
        <v>396.6</v>
      </c>
      <c r="K25" s="15">
        <v>328.5</v>
      </c>
      <c r="L25" s="15">
        <v>0</v>
      </c>
      <c r="M25" s="15">
        <v>-202</v>
      </c>
      <c r="N25" s="15">
        <f>SUM(C22:C25)/4</f>
        <v>667.95</v>
      </c>
      <c r="O25" s="15">
        <v>952.86125</v>
      </c>
      <c r="P25" s="16">
        <f>C25/C24-1</f>
        <v>0.410981697171381</v>
      </c>
      <c r="Q25" s="16">
        <f>(E25+D25)/C25</f>
        <v>0.420990566037736</v>
      </c>
      <c r="R25" s="16">
        <f>AVERAGE(Q22:Q25)</f>
        <v>0.278781124827825</v>
      </c>
      <c r="S25" s="25">
        <f>SUM(J22:K25)/4</f>
        <v>276.937</v>
      </c>
      <c r="T25" s="15">
        <f>J25+K25+T24</f>
        <v>2775.87</v>
      </c>
      <c r="U25" s="15">
        <f>-(L25+M25)+U24</f>
        <v>1688</v>
      </c>
      <c r="V25" s="15">
        <f>V24</f>
        <v>3980.54391808</v>
      </c>
      <c r="W25" s="15">
        <f>F25-G25</f>
        <v>280</v>
      </c>
      <c r="X25" s="26">
        <v>585</v>
      </c>
      <c r="Y25" s="15">
        <v>1670.034489945280</v>
      </c>
      <c r="Z25" s="17"/>
    </row>
    <row r="26" ht="20.05" customHeight="1">
      <c r="B26" s="13"/>
      <c r="C26" s="14">
        <v>954</v>
      </c>
      <c r="D26" s="15">
        <v>92</v>
      </c>
      <c r="E26" s="15">
        <v>12</v>
      </c>
      <c r="F26" s="15">
        <v>1425</v>
      </c>
      <c r="G26" s="15">
        <v>1354</v>
      </c>
      <c r="H26" s="15">
        <v>4991</v>
      </c>
      <c r="I26" s="15">
        <v>926</v>
      </c>
      <c r="J26" s="15">
        <v>36</v>
      </c>
      <c r="K26" s="15">
        <v>-270</v>
      </c>
      <c r="L26" s="15">
        <v>0</v>
      </c>
      <c r="M26" s="15">
        <v>-34</v>
      </c>
      <c r="N26" s="15">
        <f>SUM(C23:C26)/4</f>
        <v>854.625</v>
      </c>
      <c r="O26" s="15">
        <v>923.98125</v>
      </c>
      <c r="P26" s="16">
        <f>C26/C25-1</f>
        <v>0.125</v>
      </c>
      <c r="Q26" s="16">
        <f>(E26+D26)/C26</f>
        <v>0.109014675052411</v>
      </c>
      <c r="R26" s="16">
        <f>AVERAGE(Q23:Q26)</f>
        <v>0.218601122582727</v>
      </c>
      <c r="S26" s="25">
        <f>SUM(J23:K26)/4</f>
        <v>196.625</v>
      </c>
      <c r="T26" s="15">
        <f>J26+K26+T25</f>
        <v>2541.87</v>
      </c>
      <c r="U26" s="15">
        <f>-(L26+M26)+U25</f>
        <v>1722</v>
      </c>
      <c r="V26" s="15">
        <f>V25</f>
        <v>3980.54391808</v>
      </c>
      <c r="W26" s="15">
        <f>F26-G26</f>
        <v>71</v>
      </c>
      <c r="X26" s="26">
        <v>555</v>
      </c>
      <c r="Y26" s="15">
        <v>1534.302618593970</v>
      </c>
      <c r="Z26" s="17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973.14986619</v>
      </c>
      <c r="P27" s="17"/>
      <c r="Q27" s="17"/>
      <c r="R27" s="17"/>
      <c r="S27" s="25"/>
      <c r="T27" s="17"/>
      <c r="U27" s="17"/>
      <c r="V27" s="17"/>
      <c r="W27" s="26"/>
      <c r="X27" s="26">
        <v>570</v>
      </c>
      <c r="Y27" s="15">
        <v>1350.098853820530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3939.325</v>
      </c>
      <c r="O28" s="15">
        <f>SUM(O21:O26)</f>
        <v>4928.023333333330</v>
      </c>
      <c r="P28" s="17"/>
      <c r="Q28" s="17"/>
      <c r="R28" s="17"/>
      <c r="S28" s="17"/>
      <c r="T28" s="17"/>
      <c r="U28" s="17"/>
      <c r="V28" s="17"/>
      <c r="W28" s="26"/>
      <c r="X28" s="15">
        <v>640</v>
      </c>
      <c r="Y28" s="15">
        <v>1350.098853820530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AF87</f>
        <v>1143.167745871830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191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1.00662648083254</v>
      </c>
      <c r="AD49" s="35"/>
      <c r="AE49" s="35"/>
      <c r="AF49" s="35">
        <f>AVERAGE(AC51:AF51)</f>
        <v>0.0125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3.8986975397974</v>
      </c>
      <c r="AD50" s="35">
        <f>P24</f>
        <v>-0.408173313638602</v>
      </c>
      <c r="AE50" s="35">
        <f>P25</f>
        <v>0.410981697171381</v>
      </c>
      <c r="AF50" s="35">
        <f>P26</f>
        <v>0.125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0.01</v>
      </c>
      <c r="AD51" s="35">
        <v>-0.01</v>
      </c>
      <c r="AE51" s="35">
        <v>0.02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954</v>
      </c>
      <c r="AC52" s="23">
        <f>C26*(1+AC51)</f>
        <v>963.54</v>
      </c>
      <c r="AD52" s="23">
        <f>AC52*(1+AD51)</f>
        <v>953.9046</v>
      </c>
      <c r="AE52" s="23">
        <f>AD52*(1+AE51)</f>
        <v>972.982692</v>
      </c>
      <c r="AF52" s="23">
        <f>AE52*(1+AF51)</f>
        <v>1002.17217276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0.218601122582727</v>
      </c>
      <c r="AD53" s="35">
        <f>AC53</f>
        <v>0.218601122582727</v>
      </c>
      <c r="AE53" s="35">
        <f>AD53</f>
        <v>0.218601122582727</v>
      </c>
      <c r="AF53" s="35">
        <f>AE53</f>
        <v>0.218601122582727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AVERAGE(K24:K26)</f>
        <v>-76</v>
      </c>
      <c r="AD54" s="15">
        <f>AC54</f>
        <v>-76</v>
      </c>
      <c r="AE54" s="15">
        <f>AD54</f>
        <v>-76</v>
      </c>
      <c r="AF54" s="15">
        <f>AE54</f>
        <v>-76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134.630925653361</v>
      </c>
      <c r="AD55" s="15">
        <f>(AD52*AD53)+AD54</f>
        <v>132.524616396827</v>
      </c>
      <c r="AE55" s="15">
        <f>(AE52*AE53)+AE54</f>
        <v>136.695108724764</v>
      </c>
      <c r="AF55" s="15">
        <f>(AF52*AF53)+AF54</f>
        <v>143.075961986507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-67.7</v>
      </c>
      <c r="AD56" s="15">
        <f>-AC71/20</f>
        <v>-64.315</v>
      </c>
      <c r="AE56" s="15">
        <f>-AD71/20</f>
        <v>-61.09925</v>
      </c>
      <c r="AF56" s="15">
        <f>-AE71/20</f>
        <v>-58.0442875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66.930925653361</v>
      </c>
      <c r="AD59" s="15">
        <f>AD55+AD56+AD58</f>
        <v>68.209616396827</v>
      </c>
      <c r="AE59" s="15">
        <f>AE55+AE56+AE58</f>
        <v>75.595858724764</v>
      </c>
      <c r="AF59" s="15">
        <f>AF55+AF56+AF58</f>
        <v>85.031674486507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1425</v>
      </c>
      <c r="AD61" s="15">
        <f>AC63</f>
        <v>1491.930925653360</v>
      </c>
      <c r="AE61" s="15">
        <f>AD63</f>
        <v>1560.140542050190</v>
      </c>
      <c r="AF61" s="15">
        <f>AE63</f>
        <v>1635.736400774950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66.930925653361</v>
      </c>
      <c r="AD62" s="15">
        <f>AD55+AD56+AD58+AD60</f>
        <v>68.209616396827</v>
      </c>
      <c r="AE62" s="15">
        <f>AE55+AE56+AE58+AE60</f>
        <v>75.595858724764</v>
      </c>
      <c r="AF62" s="15">
        <f>AF55+AF56+AF58+AF60</f>
        <v>85.031674486507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1491.930925653360</v>
      </c>
      <c r="AD63" s="15">
        <f>AD61+AD62</f>
        <v>1560.140542050190</v>
      </c>
      <c r="AE63" s="15">
        <f>AE61+AE62</f>
        <v>1635.736400774950</v>
      </c>
      <c r="AF63" s="15">
        <f>AF61+AF62</f>
        <v>1720.768075261460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-88.6666666666667</v>
      </c>
      <c r="AD65" s="15">
        <f>AC65</f>
        <v>-88.6666666666667</v>
      </c>
      <c r="AE65" s="15">
        <f>AD65</f>
        <v>-88.6666666666667</v>
      </c>
      <c r="AF65" s="15">
        <f>AE65</f>
        <v>-88.6666666666667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121.964258986694</v>
      </c>
      <c r="AD66" s="15">
        <f>(AD52*AD53)+AD65</f>
        <v>119.857949730160</v>
      </c>
      <c r="AE66" s="15">
        <f>(AE52*AE53)+AE65</f>
        <v>124.028442058097</v>
      </c>
      <c r="AF66" s="15">
        <f>(AF52*AF53)+AF65</f>
        <v>130.409295319840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3642</v>
      </c>
      <c r="AD68" s="15">
        <f>AC68-AD54</f>
        <v>3718</v>
      </c>
      <c r="AE68" s="15">
        <f>AD68-AE54</f>
        <v>3794</v>
      </c>
      <c r="AF68" s="15">
        <f>AE68-AF54</f>
        <v>3870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88.6666666666667</v>
      </c>
      <c r="AD69" s="15">
        <f>AC69-AD65</f>
        <v>177.333333333333</v>
      </c>
      <c r="AE69" s="15">
        <f>AD69-AE65</f>
        <v>266</v>
      </c>
      <c r="AF69" s="15">
        <f>AE69-AF65</f>
        <v>354.666666666667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3553.333333333330</v>
      </c>
      <c r="AD70" s="15">
        <f>AD68-AD69</f>
        <v>3540.666666666670</v>
      </c>
      <c r="AE70" s="15">
        <f>AE68-AE69</f>
        <v>3528</v>
      </c>
      <c r="AF70" s="15">
        <f>AF68-AF69</f>
        <v>3515.333333333330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1286.3</v>
      </c>
      <c r="AD71" s="15">
        <f>AC71+AD56</f>
        <v>1221.985</v>
      </c>
      <c r="AE71" s="15">
        <f>AD71+AE56</f>
        <v>1160.88575</v>
      </c>
      <c r="AF71" s="15">
        <f>AE71+AF56</f>
        <v>1102.8414625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3758.964258986690</v>
      </c>
      <c r="AD73" s="15">
        <f>AC73+AD66+AD58</f>
        <v>3878.822208716850</v>
      </c>
      <c r="AE73" s="15">
        <f>AD73+AE66+AE58</f>
        <v>4002.850650774950</v>
      </c>
      <c r="AF73" s="15">
        <f>AE73+AF66+AF58</f>
        <v>4133.259946094790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0</v>
      </c>
      <c r="AD74" s="15">
        <f>AD71+AD72+AD73-AD63-AD70</f>
        <v>-9.999999999999999e-12</v>
      </c>
      <c r="AE74" s="15">
        <f>AE71+AE72+AE73-AE63-AE70</f>
        <v>0</v>
      </c>
      <c r="AF74" s="15">
        <f>AF71+AF72+AF73-AF63-AF70</f>
        <v>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205.630925653360</v>
      </c>
      <c r="AD75" s="15">
        <f>AD63-AD71-AD72</f>
        <v>338.155542050190</v>
      </c>
      <c r="AE75" s="15">
        <f>AE63-AE71-AE72</f>
        <v>474.850650774950</v>
      </c>
      <c r="AF75" s="15">
        <f>AF63-AF71-AF72</f>
        <v>617.926612761460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-67.7</v>
      </c>
      <c r="AD76" s="15">
        <f>AD56+AD58+AD60</f>
        <v>-64.315</v>
      </c>
      <c r="AE76" s="15">
        <f>AE56+AE58+AE60</f>
        <v>-61.09925</v>
      </c>
      <c r="AF76" s="15">
        <f>AF56+AF58+AF60</f>
        <v>-58.0442875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731</v>
      </c>
      <c r="AB78" s="14"/>
      <c r="AC78" s="15"/>
      <c r="AD78" s="15"/>
      <c r="AE78" s="15"/>
      <c r="AF78" s="15">
        <v>640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3980.54391808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6.219599872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0.760211387721816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786.5</v>
      </c>
      <c r="AF83" s="15">
        <f>SUM(AC55:AF55)</f>
        <v>546.926612761459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6.42743148954526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7.27802199637359</v>
      </c>
      <c r="AF85" s="15">
        <v>13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7110.045965898970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1143.167745871830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0.786199602924734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3.60202604920405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0.250981661409843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731</v>
      </c>
      <c r="AD92" t="s" s="44">
        <f>AC114</f>
        <v>15</v>
      </c>
      <c r="AE92" t="s" s="44">
        <f>AD114</f>
        <v>58</v>
      </c>
      <c r="AF92" t="s" s="44">
        <f>AE114</f>
        <v>485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640</v>
      </c>
      <c r="AE93" t="s" s="44">
        <v>61</v>
      </c>
      <c r="AF93" s="15">
        <f>AF87</f>
        <v>1143.167745871830</v>
      </c>
      <c r="AG93" t="s" s="44">
        <f>IF(AH93&gt;0,"+","")</f>
        <v>361</v>
      </c>
      <c r="AH93" s="16">
        <f>AF93/AD93-1</f>
        <v>0.786199602924734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3.60202604920405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  <v>361</v>
      </c>
      <c r="AF97" s="16">
        <f>(AE118+AE119+AG118+AG119+AI118+AI119+AK118+AK119)/AD135</f>
        <v>0.197586062655318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  <v>361</v>
      </c>
      <c r="AF98" s="16">
        <f>(AE132+AE133+AG132+AG133+AI132+AI133+AK132+AK133)/AD135</f>
        <v>0.0808746258363805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0.0178367583579499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0.125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-0.786772269080436</v>
      </c>
      <c r="AD102" s="16">
        <f>P23</f>
        <v>3.8986975397974</v>
      </c>
      <c r="AE102" s="16">
        <f>P24</f>
        <v>-0.408173313638602</v>
      </c>
      <c r="AF102" s="16">
        <f>P25</f>
        <v>0.410981697171381</v>
      </c>
      <c r="AG102" s="16">
        <f>P26</f>
        <v>0.125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207.3</v>
      </c>
      <c r="AD103" t="s" s="44">
        <v>72</v>
      </c>
      <c r="AE103" s="15">
        <f>C23</f>
        <v>1015.5</v>
      </c>
      <c r="AF103" t="s" s="44">
        <v>72</v>
      </c>
      <c r="AG103" s="15">
        <f>C24</f>
        <v>601</v>
      </c>
      <c r="AH103" t="s" s="44">
        <v>72</v>
      </c>
      <c r="AI103" s="15">
        <f>C25</f>
        <v>848</v>
      </c>
      <c r="AJ103" t="s" s="44">
        <v>72</v>
      </c>
      <c r="AK103" s="15">
        <f>C26</f>
        <v>954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0.125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954</v>
      </c>
      <c r="AK104" t="s" s="48">
        <f>AL103</f>
        <v>22</v>
      </c>
      <c r="AL104" t="s" s="44">
        <v>77</v>
      </c>
      <c r="AM104" t="s" s="44">
        <f>IF(AN104&gt;0,"+","")</f>
        <v>361</v>
      </c>
      <c r="AN104" s="16">
        <f>AF90</f>
        <v>0.250981661409843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1.00662648083254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0.0125</v>
      </c>
      <c r="AE106" t="s" s="44">
        <v>82</v>
      </c>
      <c r="AF106" t="s" s="44">
        <v>83</v>
      </c>
      <c r="AG106" s="23">
        <f>AF52</f>
        <v>1002.17217276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87</v>
      </c>
      <c r="AE107" t="s" s="44">
        <v>86</v>
      </c>
      <c r="AF107" t="s" s="44">
        <f>IF(AJ111&gt;AH111,"up","down")</f>
        <v>87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0.349734684032803</v>
      </c>
      <c r="AD109" s="16">
        <f>(D23+E23)/C23</f>
        <v>0.173018217626785</v>
      </c>
      <c r="AE109" s="16">
        <f>((E24+D24)/C24)</f>
        <v>0.171381031613977</v>
      </c>
      <c r="AF109" s="16">
        <f>(D25+E25)/C25</f>
        <v>0.420990566037736</v>
      </c>
      <c r="AG109" s="16">
        <f>(D26+E26)/C26</f>
        <v>0.109014675052411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-35</v>
      </c>
      <c r="AD110" t="s" s="44">
        <v>72</v>
      </c>
      <c r="AE110" s="15">
        <f>E23</f>
        <v>68.2</v>
      </c>
      <c r="AF110" t="s" s="44">
        <v>72</v>
      </c>
      <c r="AG110" s="15">
        <f>E24</f>
        <v>30</v>
      </c>
      <c r="AH110" t="s" s="44">
        <v>72</v>
      </c>
      <c r="AI110" s="15">
        <f>E25</f>
        <v>256</v>
      </c>
      <c r="AJ110" t="s" s="44">
        <v>72</v>
      </c>
      <c r="AK110" s="15">
        <f>E26</f>
        <v>12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0.420990566037736</v>
      </c>
      <c r="AE111" t="s" s="44">
        <v>76</v>
      </c>
      <c r="AF111" s="16">
        <f>AG109</f>
        <v>0.109014675052411</v>
      </c>
      <c r="AG111" t="s" s="44">
        <v>90</v>
      </c>
      <c r="AH111" s="15">
        <f>AI110</f>
        <v>256</v>
      </c>
      <c r="AI111" t="s" s="44">
        <v>76</v>
      </c>
      <c r="AJ111" s="15">
        <f>AK110</f>
        <v>12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0.218601122582727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0.218601122582727</v>
      </c>
      <c r="AE113" t="s" s="44">
        <v>94</v>
      </c>
      <c r="AF113" s="15">
        <f>AF66</f>
        <v>130.409295319840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485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725.1</v>
      </c>
      <c r="AE115" s="15">
        <f>ABS(AF120)</f>
        <v>234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725.1</v>
      </c>
      <c r="AD116" s="15">
        <f>ABS(AF120)</f>
        <v>234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-67.252</v>
      </c>
      <c r="AD118" t="s" s="44">
        <v>72</v>
      </c>
      <c r="AE118" s="15">
        <f>J23</f>
        <v>116.8</v>
      </c>
      <c r="AF118" t="s" s="44">
        <v>72</v>
      </c>
      <c r="AG118" s="15">
        <f>J24</f>
        <v>-101.6</v>
      </c>
      <c r="AH118" t="s" s="44">
        <v>72</v>
      </c>
      <c r="AI118" s="15">
        <f>J25</f>
        <v>396.6</v>
      </c>
      <c r="AJ118" t="s" s="44">
        <v>72</v>
      </c>
      <c r="AK118" s="15">
        <f>J26</f>
        <v>36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154.5</v>
      </c>
      <c r="AD119" t="s" s="44">
        <v>72</v>
      </c>
      <c r="AE119" s="15">
        <f>K23</f>
        <v>566.7</v>
      </c>
      <c r="AF119" t="s" s="44">
        <v>72</v>
      </c>
      <c r="AG119" s="15">
        <f>K24</f>
        <v>-286.5</v>
      </c>
      <c r="AH119" t="s" s="44">
        <v>72</v>
      </c>
      <c r="AI119" s="15">
        <f>K25</f>
        <v>328.5</v>
      </c>
      <c r="AJ119" t="s" s="44">
        <v>72</v>
      </c>
      <c r="AK119" s="15">
        <f>K26</f>
        <v>-270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725.1</v>
      </c>
      <c r="AE120" t="s" s="44">
        <v>76</v>
      </c>
      <c r="AF120" s="15">
        <f>AK118+AK119</f>
        <v>-234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-270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196.625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-76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136.731653190365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87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959</v>
      </c>
      <c r="AD125" t="s" s="44">
        <v>72</v>
      </c>
      <c r="AE125" s="15">
        <f>F23</f>
        <v>1582</v>
      </c>
      <c r="AF125" t="s" s="44">
        <v>72</v>
      </c>
      <c r="AG125" s="15">
        <f>F24</f>
        <v>1169</v>
      </c>
      <c r="AH125" t="s" s="44">
        <v>72</v>
      </c>
      <c r="AI125" s="15">
        <f>F25</f>
        <v>1692</v>
      </c>
      <c r="AJ125" t="s" s="44">
        <v>72</v>
      </c>
      <c r="AK125" s="15">
        <f>F26</f>
        <v>1425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1287</v>
      </c>
      <c r="AD126" t="s" s="44">
        <v>72</v>
      </c>
      <c r="AE126" s="15">
        <f>G23</f>
        <v>1489</v>
      </c>
      <c r="AF126" t="s" s="44">
        <v>72</v>
      </c>
      <c r="AG126" s="15">
        <f>G24</f>
        <v>1803</v>
      </c>
      <c r="AH126" t="s" s="44">
        <v>72</v>
      </c>
      <c r="AI126" s="15">
        <f>G25</f>
        <v>1412</v>
      </c>
      <c r="AJ126" t="s" s="44">
        <v>72</v>
      </c>
      <c r="AK126" s="15">
        <f>G26</f>
        <v>1354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370</v>
      </c>
      <c r="AE127" s="15">
        <f>AI125</f>
        <v>1692</v>
      </c>
      <c r="AF127" t="s" s="44">
        <v>76</v>
      </c>
      <c r="AG127" s="15">
        <f>AK125</f>
        <v>1425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370</v>
      </c>
      <c r="AE128" s="15">
        <f>AI126</f>
        <v>1412</v>
      </c>
      <c r="AF128" t="s" s="44">
        <v>76</v>
      </c>
      <c r="AG128" s="15">
        <f>AK126</f>
        <v>1354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87</v>
      </c>
      <c r="AL128" s="15">
        <f>AE127-AE128</f>
        <v>280</v>
      </c>
      <c r="AM128" t="s" s="44">
        <v>76</v>
      </c>
      <c r="AN128" s="15">
        <f>AG127-AG128</f>
        <v>71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-251.1585375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617.926612761460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374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0</v>
      </c>
      <c r="AD132" t="s" s="44">
        <v>72</v>
      </c>
      <c r="AE132" s="15">
        <f>-L23</f>
        <v>0</v>
      </c>
      <c r="AF132" t="s" s="44">
        <v>72</v>
      </c>
      <c r="AG132" s="15">
        <f>-L24</f>
        <v>0</v>
      </c>
      <c r="AH132" t="s" s="44">
        <v>72</v>
      </c>
      <c r="AI132" s="15">
        <f>-L25</f>
        <v>0</v>
      </c>
      <c r="AJ132" t="s" s="44">
        <v>72</v>
      </c>
      <c r="AK132" s="15">
        <f>-L26</f>
        <v>0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19.276</v>
      </c>
      <c r="AD133" t="s" s="44">
        <v>72</v>
      </c>
      <c r="AE133" s="15">
        <f>-M23</f>
        <v>60.925</v>
      </c>
      <c r="AF133" t="s" s="44">
        <v>72</v>
      </c>
      <c r="AG133" s="15">
        <f>-M24</f>
        <v>25</v>
      </c>
      <c r="AH133" t="s" s="44">
        <v>72</v>
      </c>
      <c r="AI133" s="15">
        <f>-M25</f>
        <v>202</v>
      </c>
      <c r="AJ133" t="s" s="44">
        <v>72</v>
      </c>
      <c r="AK133" s="15">
        <f>-M26</f>
        <v>34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731</v>
      </c>
      <c r="AD134" t="s" s="44">
        <f>IF(AE134&gt;0,"paid","(raised)")</f>
        <v>374</v>
      </c>
      <c r="AE134" s="15">
        <f>SUM(AK132:AK133)</f>
        <v>34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0</v>
      </c>
      <c r="AK134" t="s" s="48">
        <f>AL103</f>
        <v>22</v>
      </c>
      <c r="AL134" t="s" s="44">
        <v>123</v>
      </c>
      <c r="AM134" s="15">
        <f>AK133</f>
        <v>34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251.1585375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3980.54391808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0.760211387721816</v>
      </c>
      <c r="AI135" t="s" s="44">
        <v>130</v>
      </c>
      <c r="AJ135" t="s" s="44">
        <v>131</v>
      </c>
      <c r="AK135" t="s" s="44">
        <v>132</v>
      </c>
      <c r="AL135" s="15">
        <f>AF84</f>
        <v>6.42743148954526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546.926612761459</v>
      </c>
      <c r="AE136" t="s" s="48">
        <f>AE135</f>
        <v>22</v>
      </c>
      <c r="AF136" t="s" s="44">
        <v>136</v>
      </c>
      <c r="AG136" s="15">
        <f>AD135/AD136</f>
        <v>7.27802199637359</v>
      </c>
      <c r="AH136" t="s" s="44">
        <v>130</v>
      </c>
      <c r="AI136" t="s" s="44">
        <v>137</v>
      </c>
      <c r="AJ136" t="s" s="44">
        <v>138</v>
      </c>
      <c r="AK136" s="15">
        <f>AF85</f>
        <v>13</v>
      </c>
      <c r="AL136" t="s" s="44">
        <v>139</v>
      </c>
      <c r="AM136" t="s" s="44">
        <v>140</v>
      </c>
      <c r="AN136" t="s" s="44">
        <v>141</v>
      </c>
      <c r="AO136" s="16">
        <f>AH93</f>
        <v>0.786199602924734</v>
      </c>
      <c r="AP136" t="s" s="44">
        <f>IF(AO136&gt;0,"higher","lower")</f>
        <v>363</v>
      </c>
      <c r="AQ136" t="s" s="44">
        <v>142</v>
      </c>
      <c r="AR136" s="15">
        <f>AF93</f>
        <v>1143.167745871830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207.3</v>
      </c>
      <c r="AC138" s="15">
        <f>AE103</f>
        <v>1015.5</v>
      </c>
      <c r="AD138" s="15">
        <f>AG103</f>
        <v>601</v>
      </c>
      <c r="AE138" s="15">
        <f>AI103</f>
        <v>848</v>
      </c>
      <c r="AF138" s="15">
        <f>AK103</f>
        <v>954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87.248</v>
      </c>
      <c r="AC139" s="15">
        <f>SUM(AE118:AE119)</f>
        <v>683.5</v>
      </c>
      <c r="AD139" s="15">
        <f>SUM(AG118:AG119)</f>
        <v>-388.1</v>
      </c>
      <c r="AE139" s="15">
        <f>SUM(AI118:AI119)</f>
        <v>725.1</v>
      </c>
      <c r="AF139" s="15">
        <f>SUM(AK118:AK119)</f>
        <v>-234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19.276</v>
      </c>
      <c r="AC140" s="15">
        <f>SUM(AE132:AE133)</f>
        <v>60.925</v>
      </c>
      <c r="AD140" s="15">
        <f>SUM(AG132:AG133)</f>
        <v>25</v>
      </c>
      <c r="AE140" s="15">
        <f>SUM(AI132:AI133)</f>
        <v>202</v>
      </c>
      <c r="AF140" s="15">
        <f>SUM(AK132:AK133)</f>
        <v>34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-328</v>
      </c>
      <c r="AC141" s="15">
        <f>(AE125-AE126)</f>
        <v>93</v>
      </c>
      <c r="AD141" s="15">
        <f>(AG125-AG126)</f>
        <v>-634</v>
      </c>
      <c r="AE141" s="15">
        <f>(AI125-AI126)</f>
        <v>280</v>
      </c>
      <c r="AF141" s="15">
        <f>(AK125-AK126)</f>
        <v>71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1143.167745871830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1" ht="27.65" customHeight="1">
      <c r="AU151" t="s" s="2">
        <v>732</v>
      </c>
      <c r="AV151" s="2"/>
    </row>
    <row r="152" ht="20.25" customHeight="1">
      <c r="AU152" s="51"/>
      <c r="AV152" t="s" s="50">
        <v>733</v>
      </c>
    </row>
    <row r="153" ht="20.25" customHeight="1">
      <c r="AU153" s="6">
        <v>2022</v>
      </c>
      <c r="AV153" s="65">
        <v>54</v>
      </c>
    </row>
    <row r="154" ht="20.05" customHeight="1">
      <c r="AU154" s="13"/>
      <c r="AV154" s="67">
        <v>197</v>
      </c>
    </row>
    <row r="155" ht="20.05" customHeight="1">
      <c r="AU155" s="13"/>
      <c r="AV155" s="67">
        <v>234</v>
      </c>
    </row>
    <row r="156" ht="20.05" customHeight="1">
      <c r="AU156" s="13"/>
      <c r="AV156" s="67">
        <v>94</v>
      </c>
    </row>
    <row r="157" ht="20.05" customHeight="1">
      <c r="AU157" s="13"/>
      <c r="AV157" s="67">
        <v>197</v>
      </c>
    </row>
    <row r="158" ht="20.05" customHeight="1">
      <c r="AU158" s="13"/>
      <c r="AV158" s="67">
        <v>119</v>
      </c>
    </row>
    <row r="159" ht="20.05" customHeight="1">
      <c r="AU159" s="13"/>
      <c r="AV159" s="67">
        <v>280</v>
      </c>
    </row>
    <row r="160" ht="20.05" customHeight="1">
      <c r="AU160" s="13"/>
      <c r="AV160" s="67">
        <v>273</v>
      </c>
    </row>
    <row r="161" ht="20.05" customHeight="1">
      <c r="AU161" s="13"/>
      <c r="AV161" s="67">
        <v>167</v>
      </c>
    </row>
    <row r="162" ht="20.05" customHeight="1">
      <c r="AU162" s="13"/>
      <c r="AV162" s="67">
        <v>91</v>
      </c>
    </row>
    <row r="163" ht="20.05" customHeight="1">
      <c r="AU163" s="13"/>
      <c r="AV163" s="67">
        <v>59</v>
      </c>
    </row>
    <row r="164" ht="20.05" customHeight="1">
      <c r="AU164" s="13"/>
      <c r="AV164" s="67">
        <v>18</v>
      </c>
    </row>
    <row r="165" ht="20.05" customHeight="1">
      <c r="AU165" s="21">
        <v>2023</v>
      </c>
      <c r="AV165" s="67">
        <f>19*20</f>
        <v>380</v>
      </c>
    </row>
  </sheetData>
  <mergeCells count="3">
    <mergeCell ref="B2:Z2"/>
    <mergeCell ref="AA46:AT46"/>
    <mergeCell ref="AU151:AV15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1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71" customWidth="1"/>
    <col min="2" max="28" width="10.4844" style="371" customWidth="1"/>
    <col min="29" max="29" width="18.9766" style="372" customWidth="1"/>
    <col min="30" max="48" width="9" style="372" customWidth="1"/>
    <col min="49" max="16384" width="16.3516" style="372" customWidth="1"/>
  </cols>
  <sheetData>
    <row r="1" ht="11.65" customHeight="1"/>
    <row r="2" ht="27.65" customHeight="1">
      <c r="B2" t="s" s="2">
        <v>734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298</v>
      </c>
      <c r="AA3" t="s" s="3">
        <v>19</v>
      </c>
      <c r="AB3" t="s" s="3">
        <v>20</v>
      </c>
    </row>
    <row r="4" ht="20.25" customHeight="1">
      <c r="B4" s="6">
        <v>2017</v>
      </c>
      <c r="C4" s="65">
        <v>529</v>
      </c>
      <c r="D4" s="59">
        <v>13</v>
      </c>
      <c r="E4" s="59">
        <v>7</v>
      </c>
      <c r="F4" s="59">
        <v>114</v>
      </c>
      <c r="G4" s="59">
        <v>287</v>
      </c>
      <c r="H4" s="59">
        <v>725</v>
      </c>
      <c r="I4" s="59">
        <v>534</v>
      </c>
      <c r="J4" s="59">
        <v>24</v>
      </c>
      <c r="K4" s="59">
        <v>-8</v>
      </c>
      <c r="L4" s="59">
        <v>-2</v>
      </c>
      <c r="M4" s="59">
        <v>0</v>
      </c>
      <c r="N4" s="59"/>
      <c r="O4" s="59"/>
      <c r="P4" s="9"/>
      <c r="Q4" s="9"/>
      <c r="R4" s="9"/>
      <c r="S4" s="9"/>
      <c r="T4" s="9"/>
      <c r="U4" s="9"/>
      <c r="V4" s="59">
        <f>-(L4+M4)</f>
        <v>2</v>
      </c>
      <c r="W4" s="9"/>
      <c r="X4" s="59">
        <f>F4-G4</f>
        <v>-173</v>
      </c>
      <c r="Y4" s="9"/>
      <c r="Z4" s="66"/>
      <c r="AA4" s="11"/>
      <c r="AB4" s="12">
        <v>13.3</v>
      </c>
    </row>
    <row r="5" ht="20.05" customHeight="1">
      <c r="B5" s="13"/>
      <c r="C5" s="67">
        <v>562</v>
      </c>
      <c r="D5" s="26">
        <v>12</v>
      </c>
      <c r="E5" s="26">
        <v>11</v>
      </c>
      <c r="F5" s="26">
        <v>184</v>
      </c>
      <c r="G5" s="26">
        <v>367</v>
      </c>
      <c r="H5" s="26">
        <v>810</v>
      </c>
      <c r="I5" s="26">
        <v>566</v>
      </c>
      <c r="J5" s="26">
        <v>87</v>
      </c>
      <c r="K5" s="26">
        <v>-8</v>
      </c>
      <c r="L5" s="26">
        <v>-4.2</v>
      </c>
      <c r="M5" s="26">
        <v>-5.8</v>
      </c>
      <c r="N5" s="26"/>
      <c r="O5" s="26"/>
      <c r="P5" s="16"/>
      <c r="Q5" s="17"/>
      <c r="R5" s="17"/>
      <c r="S5" s="17"/>
      <c r="T5" s="17"/>
      <c r="U5" s="17"/>
      <c r="V5" s="26">
        <f>-(L5+M5)+V4</f>
        <v>12</v>
      </c>
      <c r="W5" s="17"/>
      <c r="X5" s="26">
        <f>F5-G5</f>
        <v>-183</v>
      </c>
      <c r="Y5" s="17"/>
      <c r="Z5" s="68"/>
      <c r="AA5" s="19"/>
      <c r="AB5" s="20">
        <v>13.327</v>
      </c>
    </row>
    <row r="6" ht="20.05" customHeight="1">
      <c r="B6" s="13"/>
      <c r="C6" s="67">
        <v>534</v>
      </c>
      <c r="D6" s="26">
        <v>13</v>
      </c>
      <c r="E6" s="26">
        <v>9</v>
      </c>
      <c r="F6" s="26">
        <v>120</v>
      </c>
      <c r="G6" s="26">
        <v>291</v>
      </c>
      <c r="H6" s="26">
        <v>743</v>
      </c>
      <c r="I6" s="26">
        <v>537.5</v>
      </c>
      <c r="J6" s="26">
        <v>-37.3</v>
      </c>
      <c r="K6" s="26">
        <v>-16.76</v>
      </c>
      <c r="L6" s="26">
        <v>-10.4</v>
      </c>
      <c r="M6" s="26">
        <v>0</v>
      </c>
      <c r="N6" s="26"/>
      <c r="O6" s="26"/>
      <c r="P6" s="16"/>
      <c r="Q6" s="17"/>
      <c r="R6" s="17"/>
      <c r="S6" s="17"/>
      <c r="T6" s="17"/>
      <c r="U6" s="17"/>
      <c r="V6" s="26">
        <f>-(L6+M6)+V5</f>
        <v>22.4</v>
      </c>
      <c r="W6" s="17"/>
      <c r="X6" s="26">
        <f>F6-G6</f>
        <v>-171</v>
      </c>
      <c r="Y6" s="17"/>
      <c r="Z6" s="69"/>
      <c r="AA6" s="19"/>
      <c r="AB6" s="20">
        <v>13.305</v>
      </c>
    </row>
    <row r="7" ht="20.05" customHeight="1">
      <c r="B7" s="13"/>
      <c r="C7" s="67">
        <v>564.5700000000001</v>
      </c>
      <c r="D7" s="26">
        <v>13</v>
      </c>
      <c r="E7" s="26">
        <v>10.68</v>
      </c>
      <c r="F7" s="26">
        <v>167</v>
      </c>
      <c r="G7" s="26">
        <v>343</v>
      </c>
      <c r="H7" s="26">
        <v>804</v>
      </c>
      <c r="I7" s="26">
        <v>561.4</v>
      </c>
      <c r="J7" s="26">
        <v>55.3</v>
      </c>
      <c r="K7" s="26">
        <v>-13.14</v>
      </c>
      <c r="L7" s="26">
        <v>4.6</v>
      </c>
      <c r="M7" s="26">
        <v>0</v>
      </c>
      <c r="N7" s="26"/>
      <c r="O7" s="26"/>
      <c r="P7" s="16"/>
      <c r="Q7" s="17"/>
      <c r="R7" s="17"/>
      <c r="S7" s="17"/>
      <c r="T7" s="17"/>
      <c r="U7" s="17"/>
      <c r="V7" s="26">
        <f>-(L7+M7)+V6</f>
        <v>17.8</v>
      </c>
      <c r="W7" s="17"/>
      <c r="X7" s="26">
        <f>F7-G7</f>
        <v>-176</v>
      </c>
      <c r="Y7" s="17"/>
      <c r="Z7" s="69"/>
      <c r="AA7" s="19"/>
      <c r="AB7" s="20">
        <v>13.557</v>
      </c>
    </row>
    <row r="8" ht="20.05" customHeight="1">
      <c r="B8" s="21">
        <v>2018</v>
      </c>
      <c r="C8" s="67">
        <v>571.6900000000001</v>
      </c>
      <c r="D8" s="26">
        <v>13</v>
      </c>
      <c r="E8" s="26">
        <v>9.48</v>
      </c>
      <c r="F8" s="26">
        <v>143</v>
      </c>
      <c r="G8" s="26">
        <v>324</v>
      </c>
      <c r="H8" s="26">
        <v>794</v>
      </c>
      <c r="I8" s="26">
        <v>577.4299999999999</v>
      </c>
      <c r="J8" s="26">
        <v>7.24</v>
      </c>
      <c r="K8" s="26">
        <v>-25.67</v>
      </c>
      <c r="L8" s="26">
        <v>-5.22</v>
      </c>
      <c r="M8" s="26">
        <v>0</v>
      </c>
      <c r="N8" s="26">
        <f>SUM(C5:C8)/4</f>
        <v>558.0650000000001</v>
      </c>
      <c r="O8" s="26"/>
      <c r="P8" s="16"/>
      <c r="Q8" s="16"/>
      <c r="R8" s="16"/>
      <c r="S8" s="17"/>
      <c r="T8" s="26">
        <f>SUM(J5:K8)/4</f>
        <v>12.1675</v>
      </c>
      <c r="U8" s="25"/>
      <c r="V8" s="26">
        <f>-(L8+M8)+V7</f>
        <v>23.02</v>
      </c>
      <c r="W8" s="17"/>
      <c r="X8" s="26">
        <f>F8-G8</f>
        <v>-181</v>
      </c>
      <c r="Y8" s="24"/>
      <c r="Z8" s="26">
        <v>330</v>
      </c>
      <c r="AA8" s="22"/>
      <c r="AB8" s="20">
        <v>13.761</v>
      </c>
    </row>
    <row r="9" ht="20.05" customHeight="1">
      <c r="B9" s="13"/>
      <c r="C9" s="67">
        <v>594.3099999999999</v>
      </c>
      <c r="D9" s="26">
        <v>15</v>
      </c>
      <c r="E9" s="26">
        <v>11.32</v>
      </c>
      <c r="F9" s="26">
        <v>174</v>
      </c>
      <c r="G9" s="26">
        <v>359</v>
      </c>
      <c r="H9" s="26">
        <v>833</v>
      </c>
      <c r="I9" s="26">
        <v>607.33</v>
      </c>
      <c r="J9" s="26">
        <v>74.94</v>
      </c>
      <c r="K9" s="26">
        <v>-38.3</v>
      </c>
      <c r="L9" s="26">
        <v>2.42</v>
      </c>
      <c r="M9" s="26">
        <v>-7.8</v>
      </c>
      <c r="N9" s="26">
        <f>SUM(C6:C9)/4</f>
        <v>566.1425</v>
      </c>
      <c r="O9" s="26"/>
      <c r="P9" s="16"/>
      <c r="Q9" s="16">
        <f>(E9+D9)/C9</f>
        <v>0.0442866517474046</v>
      </c>
      <c r="R9" s="16"/>
      <c r="S9" s="17"/>
      <c r="T9" s="26">
        <f>SUM(J6:K9)/4</f>
        <v>1.5775</v>
      </c>
      <c r="U9" s="25"/>
      <c r="V9" s="26">
        <f>-(L9+M9)+V8</f>
        <v>28.4</v>
      </c>
      <c r="W9" s="17"/>
      <c r="X9" s="26">
        <f>F9-G9</f>
        <v>-185</v>
      </c>
      <c r="Y9" s="24"/>
      <c r="Z9" s="26">
        <v>358</v>
      </c>
      <c r="AA9" s="22"/>
      <c r="AB9" s="20">
        <v>14</v>
      </c>
    </row>
    <row r="10" ht="20.05" customHeight="1">
      <c r="B10" s="13"/>
      <c r="C10" s="67">
        <v>587.8</v>
      </c>
      <c r="D10" s="26">
        <v>15</v>
      </c>
      <c r="E10" s="26">
        <v>11.2</v>
      </c>
      <c r="F10" s="26">
        <v>153</v>
      </c>
      <c r="G10" s="26">
        <v>317</v>
      </c>
      <c r="H10" s="26">
        <v>802</v>
      </c>
      <c r="I10" s="26">
        <v>583.54</v>
      </c>
      <c r="J10" s="26">
        <v>-9.18</v>
      </c>
      <c r="K10" s="26">
        <v>-9.029999999999999</v>
      </c>
      <c r="L10" s="26">
        <v>-3.4</v>
      </c>
      <c r="M10" s="26">
        <v>0</v>
      </c>
      <c r="N10" s="26">
        <f>SUM(C7:C10)/4</f>
        <v>579.5925</v>
      </c>
      <c r="O10" s="26"/>
      <c r="P10" s="16">
        <f>C10/C9-1</f>
        <v>-0.0109538792885868</v>
      </c>
      <c r="Q10" s="16">
        <f>(E10+D10)/C10</f>
        <v>0.044572984008166</v>
      </c>
      <c r="R10" s="16"/>
      <c r="S10" s="17"/>
      <c r="T10" s="26">
        <f>SUM(J7:K10)/4</f>
        <v>10.54</v>
      </c>
      <c r="U10" s="25"/>
      <c r="V10" s="26">
        <f>-(L10+M10)+V9</f>
        <v>31.8</v>
      </c>
      <c r="W10" s="17"/>
      <c r="X10" s="26">
        <f>F10-G10</f>
        <v>-164</v>
      </c>
      <c r="Y10" s="24"/>
      <c r="Z10" s="26">
        <v>336</v>
      </c>
      <c r="AA10" s="22"/>
      <c r="AB10" s="20">
        <v>14.902</v>
      </c>
    </row>
    <row r="11" ht="20.05" customHeight="1">
      <c r="B11" s="13"/>
      <c r="C11" s="67">
        <v>602.2</v>
      </c>
      <c r="D11" s="26">
        <v>15</v>
      </c>
      <c r="E11" s="26">
        <v>18</v>
      </c>
      <c r="F11" s="26">
        <v>246</v>
      </c>
      <c r="G11" s="26">
        <v>400</v>
      </c>
      <c r="H11" s="26">
        <v>904</v>
      </c>
      <c r="I11" s="26">
        <v>588.9</v>
      </c>
      <c r="J11" s="26">
        <v>108.7</v>
      </c>
      <c r="K11" s="26">
        <v>-15</v>
      </c>
      <c r="L11" s="26">
        <v>0.1</v>
      </c>
      <c r="M11" s="26">
        <v>0</v>
      </c>
      <c r="N11" s="26">
        <f>SUM(C8:C11)/4</f>
        <v>589</v>
      </c>
      <c r="O11" s="26"/>
      <c r="P11" s="16">
        <f>C11/C10-1</f>
        <v>0.0244981286151752</v>
      </c>
      <c r="Q11" s="16">
        <f>(E11+D11)/C11</f>
        <v>0.0547990700763866</v>
      </c>
      <c r="R11" s="16"/>
      <c r="S11" s="17"/>
      <c r="T11" s="26">
        <f>SUM(J8:K11)/4</f>
        <v>23.425</v>
      </c>
      <c r="U11" s="25"/>
      <c r="V11" s="26">
        <f>-(L11+M11)+V10</f>
        <v>31.7</v>
      </c>
      <c r="W11" s="17"/>
      <c r="X11" s="26">
        <f>F11-G11</f>
        <v>-154</v>
      </c>
      <c r="Y11" s="24"/>
      <c r="Z11" s="26">
        <v>314</v>
      </c>
      <c r="AA11" s="22"/>
      <c r="AB11" s="20">
        <v>14.38</v>
      </c>
    </row>
    <row r="12" ht="20.05" customHeight="1">
      <c r="B12" s="21">
        <v>2019</v>
      </c>
      <c r="C12" s="67">
        <v>587</v>
      </c>
      <c r="D12" s="26">
        <v>15</v>
      </c>
      <c r="E12" s="26">
        <v>12</v>
      </c>
      <c r="F12" s="26">
        <v>226</v>
      </c>
      <c r="G12" s="26">
        <v>377</v>
      </c>
      <c r="H12" s="26">
        <v>895</v>
      </c>
      <c r="I12" s="26">
        <v>591.9</v>
      </c>
      <c r="J12" s="26">
        <v>-2.613</v>
      </c>
      <c r="K12" s="26">
        <v>-20.8</v>
      </c>
      <c r="L12" s="26">
        <v>0.38</v>
      </c>
      <c r="M12" s="26">
        <v>2.4</v>
      </c>
      <c r="N12" s="26">
        <f>SUM(C9:C12)/4</f>
        <v>592.8275</v>
      </c>
      <c r="O12" s="26"/>
      <c r="P12" s="16">
        <f>C12/C11-1</f>
        <v>-0.0252407837927599</v>
      </c>
      <c r="Q12" s="16">
        <f>(E12+D12)/C12</f>
        <v>0.0459965928449744</v>
      </c>
      <c r="R12" s="16">
        <f>AVERAGE(Q9:Q12)</f>
        <v>0.0474138246692329</v>
      </c>
      <c r="S12" s="17"/>
      <c r="T12" s="26">
        <f>SUM(J9:K12)/4</f>
        <v>22.17925</v>
      </c>
      <c r="U12" s="25"/>
      <c r="V12" s="26">
        <f>-(L12+M12)+V11</f>
        <v>28.92</v>
      </c>
      <c r="W12" s="17"/>
      <c r="X12" s="26">
        <f>F12-G12</f>
        <v>-151</v>
      </c>
      <c r="Y12" s="24"/>
      <c r="Z12" s="26">
        <v>428</v>
      </c>
      <c r="AA12" s="22"/>
      <c r="AB12" s="20">
        <v>14.24</v>
      </c>
    </row>
    <row r="13" ht="20.05" customHeight="1">
      <c r="B13" s="13"/>
      <c r="C13" s="67">
        <v>605</v>
      </c>
      <c r="D13" s="26">
        <v>15</v>
      </c>
      <c r="E13" s="26">
        <v>12</v>
      </c>
      <c r="F13" s="26">
        <v>232</v>
      </c>
      <c r="G13" s="26">
        <v>384</v>
      </c>
      <c r="H13" s="26">
        <v>904</v>
      </c>
      <c r="I13" s="26">
        <v>606.1</v>
      </c>
      <c r="J13" s="26">
        <v>27.259</v>
      </c>
      <c r="K13" s="26">
        <v>51.05</v>
      </c>
      <c r="L13" s="26">
        <v>-0.38</v>
      </c>
      <c r="M13" s="26">
        <v>-10.9</v>
      </c>
      <c r="N13" s="26">
        <f>SUM(C10:C13)/4</f>
        <v>595.5</v>
      </c>
      <c r="O13" s="26"/>
      <c r="P13" s="16">
        <f>C13/C12-1</f>
        <v>0.030664395229983</v>
      </c>
      <c r="Q13" s="16">
        <f>(E13+D13)/C13</f>
        <v>0.0446280991735537</v>
      </c>
      <c r="R13" s="16">
        <f>AVERAGE(Q10:Q13)</f>
        <v>0.0474991865257702</v>
      </c>
      <c r="S13" s="17"/>
      <c r="T13" s="26">
        <f>SUM(J10:K13)/4</f>
        <v>32.5965</v>
      </c>
      <c r="U13" s="25"/>
      <c r="V13" s="26">
        <f>-(L13+M13)+V12</f>
        <v>40.2</v>
      </c>
      <c r="W13" s="17"/>
      <c r="X13" s="26">
        <f>F13-G13</f>
        <v>-152</v>
      </c>
      <c r="Y13" s="24"/>
      <c r="Z13" s="26">
        <v>400</v>
      </c>
      <c r="AA13" s="24"/>
      <c r="AB13" s="15">
        <v>14.127</v>
      </c>
    </row>
    <row r="14" ht="20.05" customHeight="1">
      <c r="B14" s="13"/>
      <c r="C14" s="67">
        <v>590</v>
      </c>
      <c r="D14" s="26">
        <v>15</v>
      </c>
      <c r="E14" s="26">
        <v>12</v>
      </c>
      <c r="F14" s="26">
        <v>225</v>
      </c>
      <c r="G14" s="26">
        <v>356</v>
      </c>
      <c r="H14" s="26">
        <v>887</v>
      </c>
      <c r="I14" s="26">
        <v>597.3</v>
      </c>
      <c r="J14" s="26">
        <v>2.153</v>
      </c>
      <c r="K14" s="26">
        <v>-69.95</v>
      </c>
      <c r="L14" s="26">
        <v>0</v>
      </c>
      <c r="M14" s="26">
        <v>0</v>
      </c>
      <c r="N14" s="26">
        <f>SUM(C11:C14)/4</f>
        <v>596.05</v>
      </c>
      <c r="O14" s="26"/>
      <c r="P14" s="16">
        <f>C14/C13-1</f>
        <v>-0.0247933884297521</v>
      </c>
      <c r="Q14" s="16">
        <f>(E14+D14)/C14</f>
        <v>0.0457627118644068</v>
      </c>
      <c r="R14" s="16">
        <f>AVERAGE(Q11:Q14)</f>
        <v>0.0477966184898304</v>
      </c>
      <c r="S14" s="17"/>
      <c r="T14" s="26">
        <f>SUM(J11:K14)/4</f>
        <v>20.19975</v>
      </c>
      <c r="U14" s="25"/>
      <c r="V14" s="26">
        <f>-(L14+M14)+V13</f>
        <v>40.2</v>
      </c>
      <c r="W14" s="17"/>
      <c r="X14" s="26">
        <f>F14-G14</f>
        <v>-131</v>
      </c>
      <c r="Y14" s="24"/>
      <c r="Z14" s="26">
        <v>340</v>
      </c>
      <c r="AA14" s="24"/>
      <c r="AB14" s="15">
        <v>14.195</v>
      </c>
    </row>
    <row r="15" ht="20.05" customHeight="1">
      <c r="B15" s="13"/>
      <c r="C15" s="67">
        <v>616</v>
      </c>
      <c r="D15" s="26">
        <v>16</v>
      </c>
      <c r="E15" s="26">
        <v>19</v>
      </c>
      <c r="F15" s="26">
        <v>259</v>
      </c>
      <c r="G15" s="26">
        <v>405</v>
      </c>
      <c r="H15" s="26">
        <v>953</v>
      </c>
      <c r="I15" s="26">
        <v>622.5</v>
      </c>
      <c r="J15" s="26">
        <v>57.834</v>
      </c>
      <c r="K15" s="26">
        <v>-23.3</v>
      </c>
      <c r="L15" s="26">
        <v>-0.3</v>
      </c>
      <c r="M15" s="26">
        <v>0</v>
      </c>
      <c r="N15" s="26">
        <f>SUM(C12:C15)/4</f>
        <v>599.5</v>
      </c>
      <c r="O15" s="26"/>
      <c r="P15" s="16">
        <f>C15/C14-1</f>
        <v>0.0440677966101695</v>
      </c>
      <c r="Q15" s="16">
        <f>(E15+D15)/C15</f>
        <v>0.0568181818181818</v>
      </c>
      <c r="R15" s="16">
        <f>AVERAGE(Q12:Q15)</f>
        <v>0.0483013964252792</v>
      </c>
      <c r="S15" s="17"/>
      <c r="T15" s="26">
        <f>SUM(J12:K15)/4</f>
        <v>5.40825</v>
      </c>
      <c r="U15" s="25"/>
      <c r="V15" s="26">
        <f>-(L15+M15)+V14</f>
        <v>40.5</v>
      </c>
      <c r="W15" s="17"/>
      <c r="X15" s="26">
        <f>F15-G15</f>
        <v>-146</v>
      </c>
      <c r="Y15" s="24"/>
      <c r="Z15" s="26">
        <v>334</v>
      </c>
      <c r="AA15" s="24"/>
      <c r="AB15" s="15">
        <v>13.882</v>
      </c>
    </row>
    <row r="16" ht="20.05" customHeight="1">
      <c r="B16" s="21">
        <v>2020</v>
      </c>
      <c r="C16" s="67">
        <v>782</v>
      </c>
      <c r="D16" s="26">
        <v>30</v>
      </c>
      <c r="E16" s="26">
        <v>23</v>
      </c>
      <c r="F16" s="26">
        <v>385</v>
      </c>
      <c r="G16" s="26">
        <v>750</v>
      </c>
      <c r="H16" s="26">
        <v>1292</v>
      </c>
      <c r="I16" s="26">
        <v>780.5</v>
      </c>
      <c r="J16" s="26">
        <v>176.95</v>
      </c>
      <c r="K16" s="26">
        <v>-44.15</v>
      </c>
      <c r="L16" s="26">
        <v>-17.08</v>
      </c>
      <c r="M16" s="26">
        <v>0</v>
      </c>
      <c r="N16" s="26">
        <f>SUM(C13:C16)/4</f>
        <v>648.25</v>
      </c>
      <c r="O16" s="26"/>
      <c r="P16" s="16">
        <f>C16/C15-1</f>
        <v>0.269480519480519</v>
      </c>
      <c r="Q16" s="16">
        <f>(E16+D16)/C16</f>
        <v>0.0677749360613811</v>
      </c>
      <c r="R16" s="16">
        <f>AVERAGE(Q13:Q16)</f>
        <v>0.0537459822293809</v>
      </c>
      <c r="S16" s="17"/>
      <c r="T16" s="26">
        <f>SUM(J13:K16)/4</f>
        <v>44.4615</v>
      </c>
      <c r="U16" s="25"/>
      <c r="V16" s="26">
        <f>-(L16+M16)+V15</f>
        <v>57.58</v>
      </c>
      <c r="W16" s="17"/>
      <c r="X16" s="26">
        <f>F16-G16</f>
        <v>-365</v>
      </c>
      <c r="Y16" s="24"/>
      <c r="Z16" s="26">
        <v>270</v>
      </c>
      <c r="AA16" s="24"/>
      <c r="AB16" s="15">
        <v>16.31</v>
      </c>
    </row>
    <row r="17" ht="20.05" customHeight="1">
      <c r="B17" s="13"/>
      <c r="C17" s="67">
        <v>822</v>
      </c>
      <c r="D17" s="26">
        <v>30</v>
      </c>
      <c r="E17" s="26">
        <v>30</v>
      </c>
      <c r="F17" s="26">
        <v>330</v>
      </c>
      <c r="G17" s="26">
        <v>729</v>
      </c>
      <c r="H17" s="26">
        <v>1301</v>
      </c>
      <c r="I17" s="26">
        <v>829.4</v>
      </c>
      <c r="J17" s="26">
        <v>-2.07</v>
      </c>
      <c r="K17" s="26">
        <v>-49.45</v>
      </c>
      <c r="L17" s="26">
        <v>-14.12</v>
      </c>
      <c r="M17" s="26">
        <v>0</v>
      </c>
      <c r="N17" s="26">
        <f>SUM(C14:C17)/4</f>
        <v>702.5</v>
      </c>
      <c r="O17" s="26"/>
      <c r="P17" s="16">
        <f>C17/C16-1</f>
        <v>0.051150895140665</v>
      </c>
      <c r="Q17" s="16">
        <f>(E17+D17)/C17</f>
        <v>0.072992700729927</v>
      </c>
      <c r="R17" s="16">
        <f>AVERAGE(Q14:Q17)</f>
        <v>0.0608371326184742</v>
      </c>
      <c r="S17" s="17"/>
      <c r="T17" s="25">
        <f>SUM(J14:K17)/4</f>
        <v>12.00425</v>
      </c>
      <c r="U17" s="25"/>
      <c r="V17" s="26">
        <f>-(L17+M17)+V16</f>
        <v>71.7</v>
      </c>
      <c r="W17" s="17"/>
      <c r="X17" s="26">
        <f>F17-G17</f>
        <v>-399</v>
      </c>
      <c r="Y17" s="24"/>
      <c r="Z17" s="26">
        <v>372</v>
      </c>
      <c r="AA17" s="24"/>
      <c r="AB17" s="15">
        <v>14.255</v>
      </c>
    </row>
    <row r="18" ht="20.05" customHeight="1">
      <c r="B18" s="13"/>
      <c r="C18" s="67">
        <v>698</v>
      </c>
      <c r="D18" s="26">
        <v>34</v>
      </c>
      <c r="E18" s="26">
        <v>13</v>
      </c>
      <c r="F18" s="26">
        <v>214</v>
      </c>
      <c r="G18" s="26">
        <v>689</v>
      </c>
      <c r="H18" s="26">
        <v>1230</v>
      </c>
      <c r="I18" s="26">
        <v>697.5</v>
      </c>
      <c r="J18" s="26">
        <v>-32.13</v>
      </c>
      <c r="K18" s="26">
        <v>-30.9</v>
      </c>
      <c r="L18" s="26">
        <v>-18.9</v>
      </c>
      <c r="M18" s="26">
        <v>-43.8</v>
      </c>
      <c r="N18" s="26">
        <f>SUM(C15:C18)/4</f>
        <v>729.5</v>
      </c>
      <c r="O18" s="26"/>
      <c r="P18" s="16">
        <f>C18/C17-1</f>
        <v>-0.150851581508516</v>
      </c>
      <c r="Q18" s="16">
        <f>(E18+D18)/C18</f>
        <v>0.0673352435530086</v>
      </c>
      <c r="R18" s="16">
        <f>AVERAGE(Q15:Q18)</f>
        <v>0.0662302655406246</v>
      </c>
      <c r="S18" s="17"/>
      <c r="T18" s="25">
        <f>SUM(J15:K18)/4</f>
        <v>13.196</v>
      </c>
      <c r="U18" s="25"/>
      <c r="V18" s="26">
        <f>-(L18+M18)+V17</f>
        <v>134.4</v>
      </c>
      <c r="W18" s="17"/>
      <c r="X18" s="26">
        <f>F18-G18</f>
        <v>-475</v>
      </c>
      <c r="Y18" s="24"/>
      <c r="Z18" s="26">
        <v>404</v>
      </c>
      <c r="AA18" s="24"/>
      <c r="AB18" s="15">
        <v>14.79</v>
      </c>
    </row>
    <row r="19" ht="20.05" customHeight="1">
      <c r="B19" s="13"/>
      <c r="C19" s="67">
        <v>709.4</v>
      </c>
      <c r="D19" s="26">
        <v>33</v>
      </c>
      <c r="E19" s="26">
        <v>10</v>
      </c>
      <c r="F19" s="26">
        <v>282</v>
      </c>
      <c r="G19" s="26">
        <v>775</v>
      </c>
      <c r="H19" s="26">
        <v>1319</v>
      </c>
      <c r="I19" s="26">
        <v>703.8</v>
      </c>
      <c r="J19" s="26">
        <v>88.05</v>
      </c>
      <c r="K19" s="26">
        <v>-40.4</v>
      </c>
      <c r="L19" s="26">
        <v>9.6</v>
      </c>
      <c r="M19" s="26">
        <v>0</v>
      </c>
      <c r="N19" s="26">
        <f>SUM(C16:C19)/4</f>
        <v>752.85</v>
      </c>
      <c r="O19" s="26"/>
      <c r="P19" s="16">
        <f>C19/C18-1</f>
        <v>0.0163323782234957</v>
      </c>
      <c r="Q19" s="16">
        <f>(E19+D19)/C19</f>
        <v>0.0606146038906118</v>
      </c>
      <c r="R19" s="16">
        <f>AVERAGE(Q16:Q19)</f>
        <v>0.0671793710587321</v>
      </c>
      <c r="S19" s="17"/>
      <c r="T19" s="25">
        <f>SUM(J16:K19)/4</f>
        <v>16.475</v>
      </c>
      <c r="U19" s="25"/>
      <c r="V19" s="26">
        <f>-(L19+M19)+V18</f>
        <v>124.8</v>
      </c>
      <c r="W19" s="17"/>
      <c r="X19" s="26">
        <f>F19-G19</f>
        <v>-493</v>
      </c>
      <c r="Y19" s="24"/>
      <c r="Z19" s="26">
        <v>436</v>
      </c>
      <c r="AA19" s="24"/>
      <c r="AB19" s="15">
        <v>14.1</v>
      </c>
    </row>
    <row r="20" ht="20.05" customHeight="1">
      <c r="B20" s="21">
        <v>2021</v>
      </c>
      <c r="C20" s="67">
        <v>726.2</v>
      </c>
      <c r="D20" s="26">
        <v>36.2</v>
      </c>
      <c r="E20" s="26">
        <v>5.3</v>
      </c>
      <c r="F20" s="26">
        <v>227</v>
      </c>
      <c r="G20" s="26">
        <v>799</v>
      </c>
      <c r="H20" s="26">
        <v>1349</v>
      </c>
      <c r="I20" s="26">
        <v>737.6</v>
      </c>
      <c r="J20" s="26">
        <v>-19.3</v>
      </c>
      <c r="K20" s="26">
        <v>-35.2</v>
      </c>
      <c r="L20" s="26">
        <v>-0.4</v>
      </c>
      <c r="M20" s="26">
        <v>0</v>
      </c>
      <c r="N20" s="26">
        <f>SUM(C17:C20)/4</f>
        <v>738.9</v>
      </c>
      <c r="O20" s="26">
        <v>717.66</v>
      </c>
      <c r="P20" s="16">
        <f>C20/C19-1</f>
        <v>0.0236819847758669</v>
      </c>
      <c r="Q20" s="16">
        <f>(E20+D20)/C20</f>
        <v>0.0571467915174883</v>
      </c>
      <c r="R20" s="16">
        <f>AVERAGE(Q17:Q20)</f>
        <v>0.0645223349227589</v>
      </c>
      <c r="S20" s="17"/>
      <c r="T20" s="25">
        <f>SUM(J17:K20)/4</f>
        <v>-30.35</v>
      </c>
      <c r="U20" s="25"/>
      <c r="V20" s="26">
        <f>-(L20+M20)+V19</f>
        <v>125.2</v>
      </c>
      <c r="W20" s="17"/>
      <c r="X20" s="26">
        <f>F20-G20</f>
        <v>-572</v>
      </c>
      <c r="Y20" s="26"/>
      <c r="Z20" s="26">
        <v>510</v>
      </c>
      <c r="AA20" s="17"/>
      <c r="AB20" s="15">
        <v>14.606</v>
      </c>
    </row>
    <row r="21" ht="20.05" customHeight="1">
      <c r="B21" s="13"/>
      <c r="C21" s="67">
        <v>756.4</v>
      </c>
      <c r="D21" s="26">
        <v>36.8</v>
      </c>
      <c r="E21" s="26">
        <v>12.5</v>
      </c>
      <c r="F21" s="26">
        <v>171</v>
      </c>
      <c r="G21" s="26">
        <v>780</v>
      </c>
      <c r="H21" s="26">
        <v>1295</v>
      </c>
      <c r="I21" s="26">
        <v>749.2</v>
      </c>
      <c r="J21" s="26">
        <v>11.3</v>
      </c>
      <c r="K21" s="26">
        <v>-18.6</v>
      </c>
      <c r="L21" s="26">
        <v>-1.3</v>
      </c>
      <c r="M21" s="26">
        <v>-46.9</v>
      </c>
      <c r="N21" s="26">
        <f>SUM(C18:C21)/4</f>
        <v>722.5</v>
      </c>
      <c r="O21" s="26">
        <v>727.7686666666669</v>
      </c>
      <c r="P21" s="16">
        <f>C21/C20-1</f>
        <v>0.0415863398512806</v>
      </c>
      <c r="Q21" s="16">
        <f>(E21+D21)/C21</f>
        <v>0.06517715494447381</v>
      </c>
      <c r="R21" s="16">
        <f>AVERAGE(Q18:Q21)</f>
        <v>0.0625684484763956</v>
      </c>
      <c r="S21" s="17"/>
      <c r="T21" s="25">
        <f>SUM(J18:K21)/4</f>
        <v>-19.295</v>
      </c>
      <c r="U21" s="25"/>
      <c r="V21" s="26">
        <f>-(L21+M21)+V20</f>
        <v>173.4</v>
      </c>
      <c r="W21" s="17"/>
      <c r="X21" s="26">
        <f>F21-G21</f>
        <v>-609</v>
      </c>
      <c r="Y21" s="26"/>
      <c r="Z21" s="26">
        <v>795</v>
      </c>
      <c r="AA21" s="26">
        <v>1332.017695446010</v>
      </c>
      <c r="AB21" s="15">
        <v>14.45</v>
      </c>
    </row>
    <row r="22" ht="20.05" customHeight="1">
      <c r="B22" s="13"/>
      <c r="C22" s="67">
        <v>698.8</v>
      </c>
      <c r="D22" s="26">
        <v>39.3</v>
      </c>
      <c r="E22" s="26">
        <v>9.6</v>
      </c>
      <c r="F22" s="26">
        <v>79</v>
      </c>
      <c r="G22" s="26">
        <v>882</v>
      </c>
      <c r="H22" s="26">
        <v>1406</v>
      </c>
      <c r="I22" s="26">
        <v>697.4</v>
      </c>
      <c r="J22" s="26">
        <v>-42.6</v>
      </c>
      <c r="K22" s="26">
        <v>-98.2</v>
      </c>
      <c r="L22" s="26">
        <v>51.6</v>
      </c>
      <c r="M22" s="26">
        <v>0</v>
      </c>
      <c r="N22" s="26">
        <f>SUM(C19:C22)/4</f>
        <v>722.7</v>
      </c>
      <c r="O22" s="26">
        <v>731.1445</v>
      </c>
      <c r="P22" s="16">
        <f>C22/C21-1</f>
        <v>-0.07615018508725541</v>
      </c>
      <c r="Q22" s="16">
        <f>(E22+D22)/C22</f>
        <v>0.06997710360618201</v>
      </c>
      <c r="R22" s="16">
        <f>AVERAGE(Q19:Q22)</f>
        <v>0.063228913489689</v>
      </c>
      <c r="S22" s="17"/>
      <c r="T22" s="25">
        <f>SUM(J19:K22)/4</f>
        <v>-38.7375</v>
      </c>
      <c r="U22" s="25"/>
      <c r="V22" s="26">
        <f>-(L22+M22)+V21</f>
        <v>121.8</v>
      </c>
      <c r="W22" s="17"/>
      <c r="X22" s="26">
        <f>F22-G22</f>
        <v>-803</v>
      </c>
      <c r="Y22" s="26"/>
      <c r="Z22" s="26">
        <v>2420</v>
      </c>
      <c r="AA22" s="26">
        <v>1332.017695446010</v>
      </c>
      <c r="AB22" s="15">
        <v>14.328</v>
      </c>
    </row>
    <row r="23" ht="20.05" customHeight="1">
      <c r="B23" s="13"/>
      <c r="C23" s="67">
        <v>706.1</v>
      </c>
      <c r="D23" s="26">
        <v>51.5</v>
      </c>
      <c r="E23" s="26">
        <v>-17.6</v>
      </c>
      <c r="F23" s="26">
        <v>110</v>
      </c>
      <c r="G23" s="26">
        <v>1005</v>
      </c>
      <c r="H23" s="26">
        <v>1512</v>
      </c>
      <c r="I23" s="26">
        <v>701.9</v>
      </c>
      <c r="J23" s="26">
        <v>75.5</v>
      </c>
      <c r="K23" s="26">
        <v>-29.2</v>
      </c>
      <c r="L23" s="26">
        <v>0</v>
      </c>
      <c r="M23" s="26">
        <v>0</v>
      </c>
      <c r="N23" s="26">
        <f>SUM(C20:C23)/4</f>
        <v>721.875</v>
      </c>
      <c r="O23" s="26">
        <v>741.8345</v>
      </c>
      <c r="P23" s="16">
        <f>C23/C22-1</f>
        <v>0.0104464796794505</v>
      </c>
      <c r="Q23" s="16">
        <f>(E23+D23)/C23</f>
        <v>0.0480101968559694</v>
      </c>
      <c r="R23" s="16">
        <f>AVERAGE(Q20:Q23)</f>
        <v>0.0600778117310284</v>
      </c>
      <c r="S23" s="17"/>
      <c r="T23" s="25">
        <f>SUM(J20:K23)/4</f>
        <v>-39.075</v>
      </c>
      <c r="U23" s="25"/>
      <c r="V23" s="26">
        <f>-(L23+M23)+V22</f>
        <v>121.8</v>
      </c>
      <c r="W23" s="17"/>
      <c r="X23" s="26">
        <f>F23-G23</f>
        <v>-895</v>
      </c>
      <c r="Y23" s="26"/>
      <c r="Z23" s="26">
        <v>1800</v>
      </c>
      <c r="AA23" s="26">
        <v>994.381994781158</v>
      </c>
      <c r="AB23" s="15">
        <v>14.275</v>
      </c>
    </row>
    <row r="24" ht="20.05" customHeight="1">
      <c r="B24" s="21">
        <v>2022</v>
      </c>
      <c r="C24" s="67">
        <v>738.9</v>
      </c>
      <c r="D24" s="26">
        <v>47.3</v>
      </c>
      <c r="E24" s="26">
        <v>-22.6</v>
      </c>
      <c r="F24" s="26">
        <v>118</v>
      </c>
      <c r="G24" s="26">
        <v>1033</v>
      </c>
      <c r="H24" s="26">
        <v>1518</v>
      </c>
      <c r="I24" s="26">
        <v>744.8</v>
      </c>
      <c r="J24" s="26">
        <v>10.3</v>
      </c>
      <c r="K24" s="26">
        <v>-17.4</v>
      </c>
      <c r="L24" s="26">
        <v>0</v>
      </c>
      <c r="M24" s="26">
        <v>0</v>
      </c>
      <c r="N24" s="26">
        <f>SUM(C21:C24)/4</f>
        <v>725.05</v>
      </c>
      <c r="O24" s="26">
        <v>742.77475</v>
      </c>
      <c r="P24" s="16">
        <f>C24/C23-1</f>
        <v>0.046452343860643</v>
      </c>
      <c r="Q24" s="16">
        <f>(E24+D24)/C24</f>
        <v>0.0334280687508459</v>
      </c>
      <c r="R24" s="16">
        <f>AVERAGE(Q21:Q24)</f>
        <v>0.0541481310393678</v>
      </c>
      <c r="S24" s="35"/>
      <c r="T24" s="25">
        <f>SUM(J21:K24)/4</f>
        <v>-27.225</v>
      </c>
      <c r="U24" s="25">
        <v>12.314783305228</v>
      </c>
      <c r="V24" s="26">
        <f>-(L24+M24)+V23</f>
        <v>121.8</v>
      </c>
      <c r="W24" s="26"/>
      <c r="X24" s="26">
        <f>F24-G24</f>
        <v>-915</v>
      </c>
      <c r="Y24" s="25">
        <v>-831.929554173974</v>
      </c>
      <c r="Z24" s="26">
        <v>1560</v>
      </c>
      <c r="AA24" s="26">
        <v>994.381994781158</v>
      </c>
      <c r="AB24" s="15">
        <v>14.327</v>
      </c>
    </row>
    <row r="25" ht="20.05" customHeight="1">
      <c r="B25" s="13"/>
      <c r="C25" s="67">
        <v>758</v>
      </c>
      <c r="D25" s="26">
        <v>46.8</v>
      </c>
      <c r="E25" s="26">
        <v>-28.5</v>
      </c>
      <c r="F25" s="26">
        <v>73</v>
      </c>
      <c r="G25" s="26">
        <v>928</v>
      </c>
      <c r="H25" s="26">
        <v>1385</v>
      </c>
      <c r="I25" s="26">
        <v>758.9</v>
      </c>
      <c r="J25" s="26">
        <v>-38.4</v>
      </c>
      <c r="K25" s="26">
        <v>-16.4</v>
      </c>
      <c r="L25" s="26">
        <v>10</v>
      </c>
      <c r="M25" s="26">
        <v>0</v>
      </c>
      <c r="N25" s="26">
        <f>SUM(C22:C25)/4</f>
        <v>725.45</v>
      </c>
      <c r="O25" s="26">
        <v>741.20011</v>
      </c>
      <c r="P25" s="16">
        <f>C25/C24-1</f>
        <v>0.0258492353498444</v>
      </c>
      <c r="Q25" s="16">
        <f>(E25+D25)/C25</f>
        <v>0.0241424802110818</v>
      </c>
      <c r="R25" s="16">
        <f>AVERAGE(Q22:Q25)</f>
        <v>0.0438894623560198</v>
      </c>
      <c r="S25" s="35"/>
      <c r="T25" s="25">
        <f>SUM(J22:K25)/4</f>
        <v>-39.1</v>
      </c>
      <c r="U25" s="25">
        <v>14.502873599163</v>
      </c>
      <c r="V25" s="26">
        <f>-(L25+M25)+V24</f>
        <v>111.8</v>
      </c>
      <c r="W25" s="26"/>
      <c r="X25" s="26">
        <f>F25-G25</f>
        <v>-855</v>
      </c>
      <c r="Y25" s="25">
        <v>-799.778958780835</v>
      </c>
      <c r="Z25" s="26">
        <v>1300</v>
      </c>
      <c r="AA25" s="26">
        <v>994.381994781158</v>
      </c>
      <c r="AB25" s="15">
        <v>14.66</v>
      </c>
    </row>
    <row r="26" ht="20.05" customHeight="1">
      <c r="B26" s="13"/>
      <c r="C26" s="67">
        <v>701.4</v>
      </c>
      <c r="D26" s="26">
        <v>47.9</v>
      </c>
      <c r="E26" s="26">
        <v>-9</v>
      </c>
      <c r="F26" s="26">
        <v>76</v>
      </c>
      <c r="G26" s="26">
        <v>895</v>
      </c>
      <c r="H26" s="26">
        <v>1343</v>
      </c>
      <c r="I26" s="26">
        <v>705</v>
      </c>
      <c r="J26" s="26">
        <v>-11.2</v>
      </c>
      <c r="K26" s="26">
        <v>-12.6</v>
      </c>
      <c r="L26" s="26">
        <v>30</v>
      </c>
      <c r="M26" s="26">
        <v>0</v>
      </c>
      <c r="N26" s="26">
        <f>SUM(C23:C26)/4</f>
        <v>726.1</v>
      </c>
      <c r="O26" s="26">
        <v>739.69711</v>
      </c>
      <c r="P26" s="16">
        <f>C26/C25-1</f>
        <v>-0.0746701846965699</v>
      </c>
      <c r="Q26" s="16">
        <f>(E26+D26)/C26</f>
        <v>0.0554605075563159</v>
      </c>
      <c r="R26" s="16">
        <f>AVERAGE(Q23:Q26)</f>
        <v>0.0402603133435533</v>
      </c>
      <c r="S26" s="35">
        <f>S27</f>
        <v>0.0402603133435533</v>
      </c>
      <c r="T26" s="25">
        <f>SUM(J23:K26)/4</f>
        <v>-9.85</v>
      </c>
      <c r="U26" s="25">
        <v>5.9501536775495</v>
      </c>
      <c r="V26" s="26">
        <f>-(L26+M26)+V25</f>
        <v>81.8</v>
      </c>
      <c r="W26" s="26">
        <f>W27</f>
        <v>137.759163014918</v>
      </c>
      <c r="X26" s="26">
        <f>F26-G26</f>
        <v>-819</v>
      </c>
      <c r="Y26" s="25">
        <v>-753.5993852898019</v>
      </c>
      <c r="Z26" s="26">
        <v>1175</v>
      </c>
      <c r="AA26" s="26">
        <v>994.381994781158</v>
      </c>
      <c r="AB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>
        <f>AVERAGE(AE52:AH52)</f>
        <v>731.6499792</v>
      </c>
      <c r="P27" s="17"/>
      <c r="Q27" s="17"/>
      <c r="R27" s="17"/>
      <c r="S27" s="35">
        <f>AE53</f>
        <v>0.0402603133435533</v>
      </c>
      <c r="T27" s="25"/>
      <c r="U27" s="26">
        <f>SUM(AE55:AH55)/4</f>
        <v>13.9897907537296</v>
      </c>
      <c r="V27" s="17"/>
      <c r="W27" s="26">
        <f>-SUM(AE76:AH76)+V26</f>
        <v>137.759163014918</v>
      </c>
      <c r="X27" s="17"/>
      <c r="Y27" s="26">
        <f>AH75</f>
        <v>-763.040836985082</v>
      </c>
      <c r="Z27" s="26">
        <v>800</v>
      </c>
      <c r="AA27" s="26">
        <v>994.381994781158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SUM(N20:N26)</f>
        <v>5082.575</v>
      </c>
      <c r="O28" s="26">
        <f>SUM(O20:O26)</f>
        <v>5142.079636666670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643.829583167552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298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0.002019468548342</v>
      </c>
      <c r="AF49" s="35"/>
      <c r="AG49" s="35"/>
      <c r="AH49" s="35">
        <f>AVERAGE(AE51:AH51)</f>
        <v>0.015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0.0104464796794505</v>
      </c>
      <c r="AF50" s="35">
        <f>P24</f>
        <v>0.046452343860643</v>
      </c>
      <c r="AG50" s="35">
        <f>P25</f>
        <v>0.0258492353498444</v>
      </c>
      <c r="AH50" s="35">
        <f>P26</f>
        <v>-0.0746701846965699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0.03</v>
      </c>
      <c r="AG51" s="35">
        <v>0.02</v>
      </c>
      <c r="AH51" s="35">
        <v>0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701.4</v>
      </c>
      <c r="AE52" s="23">
        <f>C26*(1+AE51)</f>
        <v>708.414</v>
      </c>
      <c r="AF52" s="23">
        <f>AE52*(1+AF51)</f>
        <v>729.66642</v>
      </c>
      <c r="AG52" s="23">
        <f>AF52*(1+AG51)</f>
        <v>744.2597484</v>
      </c>
      <c r="AH52" s="23">
        <f>AG52*(1+AH51)</f>
        <v>744.2597484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0.0402603133435533</v>
      </c>
      <c r="AF53" s="35">
        <f>AE53</f>
        <v>0.0402603133435533</v>
      </c>
      <c r="AG53" s="35">
        <f>AF53</f>
        <v>0.0402603133435533</v>
      </c>
      <c r="AH53" s="35">
        <f>AG53</f>
        <v>0.0402603133435533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-15.4666666666667</v>
      </c>
      <c r="AF54" s="15">
        <f>AE54</f>
        <v>-15.4666666666667</v>
      </c>
      <c r="AG54" s="15">
        <f>AF54</f>
        <v>-15.4666666666667</v>
      </c>
      <c r="AH54" s="15">
        <f>AG54</f>
        <v>-15.4666666666667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13.0543029502933</v>
      </c>
      <c r="AF55" s="15">
        <f>(AF52*AF53)+AF54</f>
        <v>13.9099320388021</v>
      </c>
      <c r="AG55" s="15">
        <f>(AG52*AG53)+AG54</f>
        <v>14.4974640129114</v>
      </c>
      <c r="AH55" s="15">
        <f>(AH52*AH53)+AH54</f>
        <v>14.4974640129114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-44.75</v>
      </c>
      <c r="AF56" s="15">
        <f>-AE71/20</f>
        <v>-42.5125</v>
      </c>
      <c r="AG56" s="15">
        <f>-AF71/20</f>
        <v>-40.386875</v>
      </c>
      <c r="AH56" s="15">
        <f>-AG71/20</f>
        <v>-38.36753125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-31.6956970497067</v>
      </c>
      <c r="AF59" s="15">
        <f>AF55+AF56+AF58</f>
        <v>-28.6025679611979</v>
      </c>
      <c r="AG59" s="15">
        <f>AG55+AG56+AG58</f>
        <v>-25.8894109870886</v>
      </c>
      <c r="AH59" s="15">
        <f>AH55+AH56+AH58</f>
        <v>-23.8700672370886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31.6956970497067</v>
      </c>
      <c r="AF60" s="15">
        <f>-MIN(AE72,AF59)</f>
        <v>28.6025679611979</v>
      </c>
      <c r="AG60" s="15">
        <f>-MIN(AF72,AG59)</f>
        <v>25.8894109870886</v>
      </c>
      <c r="AH60" s="15">
        <f>-MIN(AG72,AH59)</f>
        <v>23.8700672370886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76</v>
      </c>
      <c r="AF61" s="15">
        <f>AE63</f>
        <v>76</v>
      </c>
      <c r="AG61" s="15">
        <f>AF63</f>
        <v>76</v>
      </c>
      <c r="AH61" s="15">
        <f>AG63</f>
        <v>76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76</v>
      </c>
      <c r="AF63" s="15">
        <f>AF61+AF62</f>
        <v>76</v>
      </c>
      <c r="AG63" s="15">
        <f>AG61+AG62</f>
        <v>76</v>
      </c>
      <c r="AH63" s="15">
        <f>AH61+AH62</f>
        <v>76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-47.3333333333333</v>
      </c>
      <c r="AF65" s="15">
        <f>AE65</f>
        <v>-47.3333333333333</v>
      </c>
      <c r="AG65" s="15">
        <f>AF65</f>
        <v>-47.3333333333333</v>
      </c>
      <c r="AH65" s="15">
        <f>AG65</f>
        <v>-47.3333333333333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-18.8123637163733</v>
      </c>
      <c r="AF66" s="15">
        <f>(AF52*AF53)+AF65</f>
        <v>-17.9567346278645</v>
      </c>
      <c r="AG66" s="15">
        <f>(AG52*AG53)+AG65</f>
        <v>-17.3692026537552</v>
      </c>
      <c r="AH66" s="15">
        <f>(AH52*AH53)+AH65</f>
        <v>-17.3692026537552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1282.466666666670</v>
      </c>
      <c r="AF68" s="15">
        <f>AE68-AF54</f>
        <v>1297.933333333340</v>
      </c>
      <c r="AG68" s="15">
        <f>AF68-AG54</f>
        <v>1313.400000000010</v>
      </c>
      <c r="AH68" s="15">
        <f>AG68-AH54</f>
        <v>1328.866666666680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47.3333333333333</v>
      </c>
      <c r="AF69" s="15">
        <f>AE69-AF65</f>
        <v>94.6666666666666</v>
      </c>
      <c r="AG69" s="15">
        <f>AF69-AG65</f>
        <v>142</v>
      </c>
      <c r="AH69" s="15">
        <f>AG69-AH65</f>
        <v>189.333333333333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1235.133333333340</v>
      </c>
      <c r="AF70" s="15">
        <f>AF68-AF69</f>
        <v>1203.266666666670</v>
      </c>
      <c r="AG70" s="15">
        <f>AG68-AG69</f>
        <v>1171.400000000010</v>
      </c>
      <c r="AH70" s="15">
        <f>AH68-AH69</f>
        <v>1139.533333333350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850.25</v>
      </c>
      <c r="AF71" s="15">
        <f>AE71+AF56</f>
        <v>807.7375</v>
      </c>
      <c r="AG71" s="15">
        <f>AF71+AG56</f>
        <v>767.350625</v>
      </c>
      <c r="AH71" s="15">
        <f>AG71+AH56</f>
        <v>728.98309375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31.6956970497067</v>
      </c>
      <c r="AF72" s="15">
        <f>AE72+AF60</f>
        <v>60.2982650109046</v>
      </c>
      <c r="AG72" s="15">
        <f>AF72+AG60</f>
        <v>86.1876759979932</v>
      </c>
      <c r="AH72" s="15">
        <f>AG72+AH60</f>
        <v>110.057743235082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429.187636283627</v>
      </c>
      <c r="AF73" s="15">
        <f>AE73+AF66+AF58</f>
        <v>411.230901655763</v>
      </c>
      <c r="AG73" s="15">
        <f>AF73+AG66+AG58</f>
        <v>393.861699002008</v>
      </c>
      <c r="AH73" s="15">
        <f>AG73+AH66+AH58</f>
        <v>376.492496348253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-6.3e-12</v>
      </c>
      <c r="AF74" s="15">
        <f>AF71+AF72+AF73-AF63-AF70</f>
        <v>-2.4e-12</v>
      </c>
      <c r="AG74" s="15">
        <f>AG71+AG72+AG73-AG63-AG70</f>
        <v>-8.8e-12</v>
      </c>
      <c r="AH74" s="15">
        <f>AH71+AH72+AH73-AH63-AH70</f>
        <v>-1.5e-11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-805.945697049707</v>
      </c>
      <c r="AF75" s="15">
        <f>AF63-AF71-AF72</f>
        <v>-792.035765010905</v>
      </c>
      <c r="AG75" s="15">
        <f>AG63-AG71-AG72</f>
        <v>-777.538300997993</v>
      </c>
      <c r="AH75" s="15">
        <f>AH63-AH71-AH72</f>
        <v>-763.040836985082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-13.0543029502933</v>
      </c>
      <c r="AF76" s="15">
        <f>AF56+AF58+AF60</f>
        <v>-13.9099320388021</v>
      </c>
      <c r="AG76" s="15">
        <f>AG56+AG58+AG60</f>
        <v>-14.4974640129114</v>
      </c>
      <c r="AH76" s="15">
        <f>AH56+AH58+AH60</f>
        <v>-14.4974640129114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735</v>
      </c>
      <c r="AD78" s="14"/>
      <c r="AE78" s="15"/>
      <c r="AF78" s="15"/>
      <c r="AG78" s="15"/>
      <c r="AH78" s="15">
        <v>800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735</v>
      </c>
      <c r="AD79" s="14"/>
      <c r="AE79" s="15"/>
      <c r="AF79" s="15"/>
      <c r="AG79" s="15"/>
      <c r="AH79" s="15">
        <v>1251591987200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1251.5919872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1.564489984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1.02966488279492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55.9591630149182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20.3636593533317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22.3661670362428</v>
      </c>
      <c r="AH86" s="15">
        <v>18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1007.264934268530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643.829583167552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-0.19521302104056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0.00372066399542072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0.0117075767040663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735</v>
      </c>
      <c r="AF94" t="s" s="44">
        <v>60</v>
      </c>
      <c r="AG94" s="15">
        <f>AH78</f>
        <v>800</v>
      </c>
      <c r="AH94" t="s" s="44">
        <v>61</v>
      </c>
      <c r="AI94" s="15">
        <f>AH88</f>
        <v>643.829583167552</v>
      </c>
      <c r="AJ94" t="s" s="44">
        <f>IF(AK94&gt;0,"+","")</f>
      </c>
      <c r="AK94" s="16">
        <f>AI94/AG94-1</f>
        <v>-0.19521302104056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0.00372066399542072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-0.0314799075121468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-0.0319592969666465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-0.654366605392087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-0.0746701846965699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-0.07615018508725541</v>
      </c>
      <c r="AF103" s="16">
        <f>P23</f>
        <v>0.0104464796794505</v>
      </c>
      <c r="AG103" s="16">
        <f>P24</f>
        <v>0.046452343860643</v>
      </c>
      <c r="AH103" s="16">
        <f>P25</f>
        <v>0.0258492353498444</v>
      </c>
      <c r="AI103" s="16">
        <f>P26</f>
        <v>-0.0746701846965699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23">
        <f>C22</f>
        <v>698.8</v>
      </c>
      <c r="AF104" s="23">
        <f>C23</f>
        <v>706.1</v>
      </c>
      <c r="AG104" s="23">
        <f>C24</f>
        <v>738.9</v>
      </c>
      <c r="AH104" s="23">
        <f>C25</f>
        <v>758</v>
      </c>
      <c r="AI104" s="23">
        <f>C26</f>
        <v>701.4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-0.0746701846965699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23">
        <f>AI104</f>
        <v>701.4</v>
      </c>
      <c r="AM105" t="s" s="44">
        <v>372</v>
      </c>
      <c r="AN105" t="s" s="44">
        <v>378</v>
      </c>
      <c r="AO105" s="16">
        <f>AH91</f>
        <v>0.0117075767040663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0.002019468548342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0.015</v>
      </c>
      <c r="AG107" t="s" s="44">
        <v>82</v>
      </c>
      <c r="AH107" t="s" s="44">
        <v>83</v>
      </c>
      <c r="AI107" s="23">
        <f>AH52</f>
        <v>744.2597484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0.06997710360618201</v>
      </c>
      <c r="AF110" s="16">
        <f>(D23+E23)/C23</f>
        <v>0.0480101968559694</v>
      </c>
      <c r="AG110" s="16">
        <f>((E24+D24)/C24)</f>
        <v>0.0334280687508459</v>
      </c>
      <c r="AH110" s="16">
        <f>(D25+E25)/C25</f>
        <v>0.0241424802110818</v>
      </c>
      <c r="AI110" s="16">
        <f>(D26+E26)/C26</f>
        <v>0.0554605075563159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23">
        <f>E22</f>
        <v>9.6</v>
      </c>
      <c r="AF111" s="15">
        <f>E23</f>
        <v>-17.6</v>
      </c>
      <c r="AG111" s="15">
        <f>E24</f>
        <v>-22.6</v>
      </c>
      <c r="AH111" s="15">
        <f>E25</f>
        <v>-28.5</v>
      </c>
      <c r="AI111" s="15">
        <f>E26</f>
        <v>-9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0.0241424802110818</v>
      </c>
      <c r="AG112" t="s" s="44">
        <v>76</v>
      </c>
      <c r="AH112" s="16">
        <f>AI110</f>
        <v>0.0554605075563159</v>
      </c>
      <c r="AI112" t="s" s="44">
        <v>90</v>
      </c>
      <c r="AJ112" s="15">
        <f>AH111</f>
        <v>-28.5</v>
      </c>
      <c r="AK112" t="s" s="44">
        <v>76</v>
      </c>
      <c r="AL112" s="15">
        <f>AI111</f>
        <v>-9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0.0402603133435533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0.0402603133435533</v>
      </c>
      <c r="AG114" t="s" s="44">
        <v>94</v>
      </c>
      <c r="AH114" s="15">
        <f>AH66</f>
        <v>-17.3692026537552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-42.6</v>
      </c>
      <c r="AF117" s="15">
        <f>J23</f>
        <v>75.5</v>
      </c>
      <c r="AG117" s="15">
        <f>J24</f>
        <v>10.3</v>
      </c>
      <c r="AH117" s="15">
        <f>J25</f>
        <v>-38.4</v>
      </c>
      <c r="AI117" s="15">
        <f>J26</f>
        <v>-11.2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-98.2</v>
      </c>
      <c r="AF118" s="15">
        <f>K23</f>
        <v>-29.2</v>
      </c>
      <c r="AG118" s="15">
        <f>K24</f>
        <v>-17.4</v>
      </c>
      <c r="AH118" s="15">
        <f>K25</f>
        <v>-16.4</v>
      </c>
      <c r="AI118" s="15">
        <f>K26</f>
        <v>-12.6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-54.8</v>
      </c>
      <c r="AG119" t="s" s="44">
        <v>76</v>
      </c>
      <c r="AH119" s="15">
        <f>AI117+AI118</f>
        <v>-23.8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-12.6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-9.85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-15.4666666666667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13.9897907537296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79</v>
      </c>
      <c r="AF124" s="15">
        <f>F23</f>
        <v>110</v>
      </c>
      <c r="AG124" s="15">
        <f>F24</f>
        <v>118</v>
      </c>
      <c r="AH124" s="15">
        <f>F25</f>
        <v>73</v>
      </c>
      <c r="AI124" s="15">
        <f>F26</f>
        <v>76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882</v>
      </c>
      <c r="AF125" s="15">
        <f>G23</f>
        <v>1005</v>
      </c>
      <c r="AG125" s="15">
        <f>G24</f>
        <v>1033</v>
      </c>
      <c r="AH125" s="15">
        <f>G25</f>
        <v>928</v>
      </c>
      <c r="AI125" s="15">
        <f>G26</f>
        <v>895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73</v>
      </c>
      <c r="AH126" t="s" s="44">
        <v>76</v>
      </c>
      <c r="AI126" s="15">
        <f>AI124</f>
        <v>76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AH125</f>
        <v>928</v>
      </c>
      <c r="AH127" t="s" s="44">
        <v>76</v>
      </c>
      <c r="AI127" s="15">
        <f>AI125</f>
        <v>895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-855</v>
      </c>
      <c r="AO127" t="s" s="44">
        <v>76</v>
      </c>
      <c r="AP127" s="15">
        <f>AI126-AI127</f>
        <v>-819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-55.9591630149182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-763.040836985082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-51.6</v>
      </c>
      <c r="AF131" s="15">
        <f>-L23</f>
        <v>0</v>
      </c>
      <c r="AG131" s="15">
        <f>-L24</f>
        <v>0</v>
      </c>
      <c r="AH131" s="15">
        <f>-L25</f>
        <v>-10</v>
      </c>
      <c r="AI131" s="15">
        <f>-L26</f>
        <v>-30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0</v>
      </c>
      <c r="AG132" s="15">
        <f>-M24</f>
        <v>0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735</v>
      </c>
      <c r="AF133" t="s" s="44">
        <f>IF(AG133&gt;0,"paid","(raised)")</f>
        <v>121</v>
      </c>
      <c r="AG133" s="15">
        <f>SUM(AI131:AI132)</f>
        <v>-30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-30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55.9591630149182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1251.5919872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1.02966488279492</v>
      </c>
      <c r="AK134" t="s" s="44">
        <v>130</v>
      </c>
      <c r="AL134" t="s" s="44">
        <v>131</v>
      </c>
      <c r="AM134" t="s" s="44">
        <v>132</v>
      </c>
      <c r="AN134" s="15">
        <f>AH85</f>
        <v>20.3636593533317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55.9591630149182</v>
      </c>
      <c r="AG135" t="s" s="44">
        <f>AG134</f>
        <v>372</v>
      </c>
      <c r="AH135" t="s" s="44">
        <v>136</v>
      </c>
      <c r="AI135" s="15">
        <f>AF134/AF135</f>
        <v>22.3661670362428</v>
      </c>
      <c r="AJ135" t="s" s="44">
        <v>130</v>
      </c>
      <c r="AK135" t="s" s="44">
        <v>137</v>
      </c>
      <c r="AL135" t="s" s="44">
        <v>138</v>
      </c>
      <c r="AM135" s="15">
        <f>AH86</f>
        <v>18</v>
      </c>
      <c r="AN135" t="s" s="44">
        <v>139</v>
      </c>
      <c r="AO135" t="s" s="44">
        <v>140</v>
      </c>
      <c r="AP135" t="s" s="44">
        <v>141</v>
      </c>
      <c r="AQ135" s="16">
        <f>AK94</f>
        <v>-0.19521302104056</v>
      </c>
      <c r="AR135" t="s" s="44">
        <f>IF(AQ135&gt;0,"higher","lower")</f>
        <v>104</v>
      </c>
      <c r="AS135" t="s" s="44">
        <v>142</v>
      </c>
      <c r="AT135" s="15">
        <f>AI94</f>
        <v>643.829583167552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38">
        <f>AE104</f>
        <v>698.8</v>
      </c>
      <c r="AE137" s="23">
        <f>AF104</f>
        <v>706.1</v>
      </c>
      <c r="AF137" s="23">
        <f>AG104</f>
        <v>738.9</v>
      </c>
      <c r="AG137" s="23">
        <f>AH104</f>
        <v>758</v>
      </c>
      <c r="AH137" s="23">
        <f>AI104</f>
        <v>701.4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-140.8</v>
      </c>
      <c r="AE138" s="15">
        <f>SUM(AF117:AF118)</f>
        <v>46.3</v>
      </c>
      <c r="AF138" s="15">
        <f>SUM(AG117:AG118)</f>
        <v>-7.1</v>
      </c>
      <c r="AG138" s="15">
        <f>SUM(AH117:AH118)</f>
        <v>-54.8</v>
      </c>
      <c r="AH138" s="15">
        <f>SUM(AI117:AI118)</f>
        <v>-23.8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-51.6</v>
      </c>
      <c r="AE139" s="15">
        <f>SUM(AF131:AF132)</f>
        <v>0</v>
      </c>
      <c r="AF139" s="15">
        <f>SUM(AG131:AG132)</f>
        <v>0</v>
      </c>
      <c r="AG139" s="15">
        <f>SUM(AH131:AH132)</f>
        <v>-10</v>
      </c>
      <c r="AH139" s="15">
        <f>SUM(AI131:AI132)</f>
        <v>-30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-803</v>
      </c>
      <c r="AE140" s="15">
        <f>(AF124-AF125)</f>
        <v>-895</v>
      </c>
      <c r="AF140" s="15">
        <f>(AG124-AG125)</f>
        <v>-915</v>
      </c>
      <c r="AG140" s="15">
        <f>(AH124-AH125)</f>
        <v>-855</v>
      </c>
      <c r="AH140" s="15">
        <f>(AI124-AI125)</f>
        <v>-819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643.829583167552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1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2.33594" style="373" customWidth="1"/>
    <col min="2" max="13" width="10.4844" style="373" customWidth="1"/>
    <col min="14" max="16384" width="16.3516" style="373" customWidth="1"/>
  </cols>
  <sheetData>
    <row r="1" ht="24.6" customHeight="1"/>
    <row r="2" ht="27.65" customHeight="1">
      <c r="B2" t="s" s="2">
        <v>736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32"/>
      <c r="D4" s="9"/>
      <c r="E4" s="9"/>
      <c r="F4" s="9"/>
      <c r="G4" s="9"/>
      <c r="H4" s="9"/>
      <c r="I4" s="9"/>
      <c r="J4" s="9"/>
      <c r="K4" s="9"/>
      <c r="L4" s="9"/>
      <c r="M4" s="9"/>
    </row>
    <row r="5" ht="20.05" customHeight="1">
      <c r="B5" s="13"/>
      <c r="C5" s="34"/>
      <c r="D5" s="17"/>
      <c r="E5" s="17"/>
      <c r="F5" s="17"/>
      <c r="G5" s="17"/>
      <c r="H5" s="17"/>
      <c r="I5" s="17"/>
      <c r="J5" s="17"/>
      <c r="K5" s="17"/>
      <c r="L5" s="17"/>
      <c r="M5" s="17"/>
    </row>
    <row r="6" ht="20.05" customHeight="1">
      <c r="B6" s="13"/>
      <c r="C6" s="34"/>
      <c r="D6" s="17"/>
      <c r="E6" s="17"/>
      <c r="F6" s="17"/>
      <c r="G6" s="17"/>
      <c r="H6" s="17"/>
      <c r="I6" s="17"/>
      <c r="J6" s="17"/>
      <c r="K6" s="17"/>
      <c r="L6" s="17"/>
      <c r="M6" s="17"/>
    </row>
    <row r="7" ht="20.05" customHeight="1">
      <c r="B7" s="13"/>
      <c r="C7" s="34"/>
      <c r="D7" s="17"/>
      <c r="E7" s="17"/>
      <c r="F7" s="17"/>
      <c r="G7" s="17"/>
      <c r="H7" s="17"/>
      <c r="I7" s="17"/>
      <c r="J7" s="17"/>
      <c r="K7" s="17"/>
      <c r="L7" s="17"/>
      <c r="M7" s="17"/>
    </row>
    <row r="8" ht="20.05" customHeight="1">
      <c r="B8" s="21">
        <v>2018</v>
      </c>
      <c r="C8" s="34"/>
      <c r="D8" s="17"/>
      <c r="E8" s="17"/>
      <c r="F8" s="17"/>
      <c r="G8" s="17"/>
      <c r="H8" s="17"/>
      <c r="I8" s="17"/>
      <c r="J8" s="17"/>
      <c r="K8" s="17"/>
      <c r="L8" s="17"/>
      <c r="M8" s="17"/>
    </row>
    <row r="9" ht="20.05" customHeight="1">
      <c r="B9" s="13"/>
      <c r="C9" s="34"/>
      <c r="D9" s="17"/>
      <c r="E9" s="17"/>
      <c r="F9" s="17"/>
      <c r="G9" s="17"/>
      <c r="H9" s="17"/>
      <c r="I9" s="17"/>
      <c r="J9" s="17"/>
      <c r="K9" s="17"/>
      <c r="L9" s="17"/>
      <c r="M9" s="17"/>
    </row>
    <row r="10" ht="20.05" customHeight="1">
      <c r="B10" s="13"/>
      <c r="C10" s="34"/>
      <c r="D10" s="17"/>
      <c r="E10" s="17"/>
      <c r="F10" s="17"/>
      <c r="G10" s="17"/>
      <c r="H10" s="17"/>
      <c r="I10" s="17"/>
      <c r="J10" s="17"/>
      <c r="K10" s="17"/>
      <c r="L10" s="17"/>
      <c r="M10" s="17"/>
    </row>
    <row r="11" ht="20.05" customHeight="1">
      <c r="B11" s="13"/>
      <c r="C11" s="34"/>
      <c r="D11" s="17"/>
      <c r="E11" s="17"/>
      <c r="F11" s="17"/>
      <c r="G11" s="17"/>
      <c r="H11" s="17"/>
      <c r="I11" s="17"/>
      <c r="J11" s="17"/>
      <c r="K11" s="17"/>
      <c r="L11" s="17"/>
      <c r="M11" s="17"/>
    </row>
    <row r="12" ht="20.05" customHeight="1">
      <c r="B12" s="21">
        <v>2019</v>
      </c>
      <c r="C12" s="67">
        <v>36.9</v>
      </c>
      <c r="D12" s="26">
        <v>7.323</v>
      </c>
      <c r="E12" s="26">
        <v>-1.8</v>
      </c>
      <c r="F12" s="26">
        <v>15.6</v>
      </c>
      <c r="G12" s="26">
        <v>396.1</v>
      </c>
      <c r="H12" s="26">
        <v>333.7</v>
      </c>
      <c r="I12" s="26">
        <v>28</v>
      </c>
      <c r="J12" s="26">
        <v>2.5</v>
      </c>
      <c r="K12" s="26">
        <v>2.8</v>
      </c>
      <c r="L12" s="26">
        <v>-5.948</v>
      </c>
      <c r="M12" s="26">
        <v>0</v>
      </c>
    </row>
    <row r="13" ht="20.05" customHeight="1">
      <c r="B13" s="13"/>
      <c r="C13" s="67">
        <v>41.7</v>
      </c>
      <c r="D13" s="26">
        <v>5.464</v>
      </c>
      <c r="E13" s="26">
        <v>2.3</v>
      </c>
      <c r="F13" s="26">
        <v>13.6</v>
      </c>
      <c r="G13" s="26">
        <v>389.5</v>
      </c>
      <c r="H13" s="26">
        <v>329.4</v>
      </c>
      <c r="I13" s="26">
        <v>32.7</v>
      </c>
      <c r="J13" s="26">
        <v>-6.9</v>
      </c>
      <c r="K13" s="26">
        <v>-6.3</v>
      </c>
      <c r="L13" s="26">
        <v>-1.867</v>
      </c>
      <c r="M13" s="26">
        <v>0</v>
      </c>
    </row>
    <row r="14" ht="20.05" customHeight="1">
      <c r="B14" s="13"/>
      <c r="C14" s="67">
        <v>52.9</v>
      </c>
      <c r="D14" s="26">
        <v>6.448</v>
      </c>
      <c r="E14" s="26">
        <v>9.9</v>
      </c>
      <c r="F14" s="26">
        <v>7.8</v>
      </c>
      <c r="G14" s="26">
        <v>366.8</v>
      </c>
      <c r="H14" s="26">
        <v>316.6</v>
      </c>
      <c r="I14" s="26">
        <v>66.8</v>
      </c>
      <c r="J14" s="26">
        <v>32.1</v>
      </c>
      <c r="K14" s="26">
        <v>-1.4</v>
      </c>
      <c r="L14" s="26">
        <v>-36.309</v>
      </c>
      <c r="M14" s="26">
        <v>0</v>
      </c>
    </row>
    <row r="15" ht="20.05" customHeight="1">
      <c r="B15" s="13"/>
      <c r="C15" s="67">
        <v>48.6</v>
      </c>
      <c r="D15" s="26">
        <v>6.687</v>
      </c>
      <c r="E15" s="26">
        <v>18.6</v>
      </c>
      <c r="F15" s="26">
        <v>5.7</v>
      </c>
      <c r="G15" s="26">
        <v>409</v>
      </c>
      <c r="H15" s="26">
        <v>357.5</v>
      </c>
      <c r="I15" s="26">
        <v>48.3</v>
      </c>
      <c r="J15" s="26">
        <v>8.199999999999999</v>
      </c>
      <c r="K15" s="26">
        <v>-56</v>
      </c>
      <c r="L15" s="26">
        <v>47.106</v>
      </c>
      <c r="M15" s="26">
        <v>0</v>
      </c>
    </row>
    <row r="16" ht="20.05" customHeight="1">
      <c r="B16" s="21">
        <v>2020</v>
      </c>
      <c r="C16" s="67">
        <v>47</v>
      </c>
      <c r="D16" s="26">
        <v>7.5</v>
      </c>
      <c r="E16" s="26">
        <v>1.4</v>
      </c>
      <c r="F16" s="26">
        <v>7.14</v>
      </c>
      <c r="G16" s="26">
        <v>401.6</v>
      </c>
      <c r="H16" s="26">
        <v>351.6</v>
      </c>
      <c r="I16" s="26">
        <v>47.3</v>
      </c>
      <c r="J16" s="26">
        <v>10.3</v>
      </c>
      <c r="K16" s="26">
        <v>-3</v>
      </c>
      <c r="L16" s="26">
        <v>-1.75</v>
      </c>
      <c r="M16" s="26">
        <v>0</v>
      </c>
    </row>
    <row r="17" ht="20.05" customHeight="1">
      <c r="B17" s="13"/>
      <c r="C17" s="67">
        <v>24.3</v>
      </c>
      <c r="D17" s="26">
        <v>7.5</v>
      </c>
      <c r="E17" s="26">
        <v>-12.1</v>
      </c>
      <c r="F17" s="26">
        <v>2.34</v>
      </c>
      <c r="G17" s="26">
        <v>394.5</v>
      </c>
      <c r="H17" s="26">
        <v>332.3</v>
      </c>
      <c r="I17" s="26">
        <v>30.1</v>
      </c>
      <c r="J17" s="26">
        <v>1.1</v>
      </c>
      <c r="K17" s="26">
        <v>-1.6</v>
      </c>
      <c r="L17" s="26">
        <v>-8.276</v>
      </c>
      <c r="M17" s="26">
        <v>0</v>
      </c>
    </row>
    <row r="18" ht="20.05" customHeight="1">
      <c r="B18" s="13"/>
      <c r="C18" s="67">
        <v>34.4</v>
      </c>
      <c r="D18" s="26">
        <v>7.4</v>
      </c>
      <c r="E18" s="26">
        <v>-2.1</v>
      </c>
      <c r="F18" s="26">
        <v>5.7</v>
      </c>
      <c r="G18" s="26">
        <v>394.1</v>
      </c>
      <c r="H18" s="26">
        <v>329.8</v>
      </c>
      <c r="I18" s="26">
        <v>32.6</v>
      </c>
      <c r="J18" s="26">
        <v>4</v>
      </c>
      <c r="K18" s="26">
        <v>-0.4</v>
      </c>
      <c r="L18" s="26">
        <v>-0.105</v>
      </c>
      <c r="M18" s="26">
        <v>0</v>
      </c>
    </row>
    <row r="19" ht="20.05" customHeight="1">
      <c r="B19" s="13"/>
      <c r="C19" s="67">
        <v>38.3</v>
      </c>
      <c r="D19" s="26">
        <v>7.7</v>
      </c>
      <c r="E19" s="26">
        <v>-4.8</v>
      </c>
      <c r="F19" s="26">
        <v>4.7</v>
      </c>
      <c r="G19" s="26">
        <v>391</v>
      </c>
      <c r="H19" s="26">
        <v>322.1</v>
      </c>
      <c r="I19" s="26">
        <v>36.3</v>
      </c>
      <c r="J19" s="26">
        <v>3.5</v>
      </c>
      <c r="K19" s="26">
        <v>-2.6</v>
      </c>
      <c r="L19" s="26">
        <v>-1.842</v>
      </c>
      <c r="M19" s="26">
        <v>0</v>
      </c>
    </row>
    <row r="20" ht="20.05" customHeight="1">
      <c r="B20" s="21">
        <v>2021</v>
      </c>
      <c r="C20" s="67">
        <v>42.2</v>
      </c>
      <c r="D20" s="26">
        <v>7.3</v>
      </c>
      <c r="E20" s="26">
        <v>-0.2</v>
      </c>
      <c r="F20" s="26">
        <v>9</v>
      </c>
      <c r="G20" s="26">
        <v>389.5</v>
      </c>
      <c r="H20" s="26">
        <v>320.4</v>
      </c>
      <c r="I20" s="26">
        <v>40.7</v>
      </c>
      <c r="J20" s="26">
        <v>6.5</v>
      </c>
      <c r="K20" s="26">
        <v>2.6</v>
      </c>
      <c r="L20" s="26">
        <v>-4.697</v>
      </c>
      <c r="M20" s="26">
        <v>0</v>
      </c>
    </row>
    <row r="21" ht="20.05" customHeight="1">
      <c r="B21" s="13"/>
      <c r="C21" s="67">
        <v>45.2</v>
      </c>
      <c r="D21" s="26">
        <v>7.7</v>
      </c>
      <c r="E21" s="26">
        <v>1.3</v>
      </c>
      <c r="F21" s="26">
        <v>6</v>
      </c>
      <c r="G21" s="26">
        <v>376.2</v>
      </c>
      <c r="H21" s="26">
        <v>308.4</v>
      </c>
      <c r="I21" s="26">
        <v>46.5</v>
      </c>
      <c r="J21" s="26">
        <v>9.6</v>
      </c>
      <c r="K21" s="26">
        <v>-6</v>
      </c>
      <c r="L21" s="26">
        <v>-6.42</v>
      </c>
      <c r="M21" s="26">
        <v>0</v>
      </c>
    </row>
    <row r="22" ht="20.05" customHeight="1">
      <c r="B22" s="13"/>
      <c r="C22" s="67">
        <v>37.777</v>
      </c>
      <c r="D22" s="26">
        <v>7.3</v>
      </c>
      <c r="E22" s="26">
        <v>-0.949</v>
      </c>
      <c r="F22" s="26">
        <v>11.25</v>
      </c>
      <c r="G22" s="26">
        <v>373.638</v>
      </c>
      <c r="H22" s="26">
        <v>304.871</v>
      </c>
      <c r="I22" s="26">
        <v>39.767</v>
      </c>
      <c r="J22" s="26">
        <v>8.25</v>
      </c>
      <c r="K22" s="26">
        <v>8.380000000000001</v>
      </c>
      <c r="L22" s="26">
        <v>-11.227</v>
      </c>
      <c r="M22" s="26">
        <v>0</v>
      </c>
    </row>
    <row r="23" ht="20.05" customHeight="1">
      <c r="B23" s="13"/>
      <c r="C23" s="67">
        <v>35.881</v>
      </c>
      <c r="D23" s="26">
        <v>7.597</v>
      </c>
      <c r="E23" s="26">
        <v>0.641</v>
      </c>
      <c r="F23" s="26">
        <v>10.643</v>
      </c>
      <c r="G23" s="26">
        <v>366.839</v>
      </c>
      <c r="H23" s="26">
        <v>298.604</v>
      </c>
      <c r="I23" s="26">
        <v>32.926</v>
      </c>
      <c r="J23" s="26">
        <v>5.572</v>
      </c>
      <c r="K23" s="26">
        <v>-0.08</v>
      </c>
      <c r="L23" s="26">
        <v>-5.942</v>
      </c>
      <c r="M23" s="26">
        <v>0</v>
      </c>
    </row>
    <row r="24" ht="20.05" customHeight="1">
      <c r="B24" s="21">
        <v>2022</v>
      </c>
      <c r="C24" s="67">
        <v>50.934</v>
      </c>
      <c r="D24" s="26">
        <v>7.424</v>
      </c>
      <c r="E24" s="26">
        <v>1.604</v>
      </c>
      <c r="F24" s="26">
        <v>12.355</v>
      </c>
      <c r="G24" s="26">
        <v>362.575</v>
      </c>
      <c r="H24" s="26">
        <v>295.944</v>
      </c>
      <c r="I24" s="26">
        <v>47.608</v>
      </c>
      <c r="J24" s="26">
        <v>8.33</v>
      </c>
      <c r="K24" s="26">
        <v>-0.733</v>
      </c>
      <c r="L24" s="26">
        <v>-5.739</v>
      </c>
      <c r="M24" s="26">
        <v>0</v>
      </c>
    </row>
    <row r="25" ht="20.05" customHeight="1">
      <c r="B25" s="13"/>
      <c r="C25" s="67">
        <v>64.917</v>
      </c>
      <c r="D25" s="26">
        <v>7.424</v>
      </c>
      <c r="E25" s="26">
        <v>2.617</v>
      </c>
      <c r="F25" s="26">
        <v>7.579</v>
      </c>
      <c r="G25" s="26">
        <v>345.629</v>
      </c>
      <c r="H25" s="26">
        <v>281.615</v>
      </c>
      <c r="I25" s="26">
        <v>66.911</v>
      </c>
      <c r="J25" s="26">
        <v>11.852</v>
      </c>
      <c r="K25" s="26">
        <v>-0.602</v>
      </c>
      <c r="L25" s="26">
        <v>-15.842</v>
      </c>
      <c r="M25" s="26">
        <v>0</v>
      </c>
    </row>
    <row r="26" ht="20.05" customHeight="1">
      <c r="B26" s="13"/>
      <c r="C26" s="67">
        <v>62.94</v>
      </c>
      <c r="D26" s="26">
        <v>7.423</v>
      </c>
      <c r="E26" s="26">
        <v>1.387</v>
      </c>
      <c r="F26" s="26">
        <v>5.737</v>
      </c>
      <c r="G26" s="26">
        <v>336.045</v>
      </c>
      <c r="H26" s="26">
        <v>273.418</v>
      </c>
      <c r="I26" s="26">
        <v>61.42</v>
      </c>
      <c r="J26" s="26">
        <v>12.176</v>
      </c>
      <c r="K26" s="26">
        <v>3.46</v>
      </c>
      <c r="L26" s="26">
        <v>-17.468</v>
      </c>
      <c r="M26" s="26">
        <v>0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1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74" customWidth="1"/>
    <col min="2" max="27" width="10.4844" style="374" customWidth="1"/>
    <col min="28" max="28" width="18.9766" style="375" customWidth="1"/>
    <col min="29" max="32" width="9" style="375" customWidth="1"/>
    <col min="33" max="46" hidden="1" width="16.3333" style="375" customWidth="1"/>
    <col min="47" max="16384" width="16.3516" style="375" customWidth="1"/>
  </cols>
  <sheetData>
    <row r="1" ht="11.65" customHeight="1"/>
    <row r="2" ht="27.65" customHeight="1">
      <c r="B2" t="s" s="2">
        <v>737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493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320</v>
      </c>
      <c r="AA3" t="s" s="3">
        <v>19</v>
      </c>
    </row>
    <row r="4" ht="20.25" customHeight="1">
      <c r="B4" s="6">
        <v>2017</v>
      </c>
      <c r="C4" s="7">
        <v>1005</v>
      </c>
      <c r="D4" s="8">
        <v>35</v>
      </c>
      <c r="E4" s="8">
        <v>303</v>
      </c>
      <c r="F4" s="8">
        <v>339</v>
      </c>
      <c r="G4" s="8">
        <v>1142</v>
      </c>
      <c r="H4" s="8">
        <v>5281</v>
      </c>
      <c r="I4" s="8">
        <v>959.8</v>
      </c>
      <c r="J4" s="8">
        <v>290</v>
      </c>
      <c r="K4" s="8">
        <v>-405</v>
      </c>
      <c r="L4" s="8">
        <v>-36.5</v>
      </c>
      <c r="M4" s="8">
        <v>-212.5</v>
      </c>
      <c r="N4" s="9"/>
      <c r="O4" s="9"/>
      <c r="P4" s="55"/>
      <c r="Q4" s="55"/>
      <c r="R4" s="55"/>
      <c r="S4" s="9"/>
      <c r="T4" s="9"/>
      <c r="U4" s="9"/>
      <c r="V4" s="8">
        <f>-(L4+M4)</f>
        <v>249</v>
      </c>
      <c r="W4" s="9"/>
      <c r="X4" s="8">
        <f>F4-G4</f>
        <v>-803</v>
      </c>
      <c r="Y4" s="73"/>
      <c r="Z4" s="8">
        <v>540</v>
      </c>
      <c r="AA4" s="73"/>
    </row>
    <row r="5" ht="20.05" customHeight="1">
      <c r="B5" s="13"/>
      <c r="C5" s="14">
        <v>1411</v>
      </c>
      <c r="D5" s="15">
        <v>36</v>
      </c>
      <c r="E5" s="15">
        <v>543</v>
      </c>
      <c r="F5" s="15">
        <v>223</v>
      </c>
      <c r="G5" s="15">
        <v>1177</v>
      </c>
      <c r="H5" s="15">
        <v>5595</v>
      </c>
      <c r="I5" s="15">
        <v>1079.9</v>
      </c>
      <c r="J5" s="15">
        <v>200</v>
      </c>
      <c r="K5" s="15">
        <v>-55</v>
      </c>
      <c r="L5" s="15">
        <v>-36.5</v>
      </c>
      <c r="M5" s="15">
        <v>-212.5</v>
      </c>
      <c r="N5" s="17"/>
      <c r="O5" s="17"/>
      <c r="P5" s="16"/>
      <c r="Q5" s="16"/>
      <c r="R5" s="16"/>
      <c r="S5" s="17"/>
      <c r="T5" s="17"/>
      <c r="U5" s="17"/>
      <c r="V5" s="15">
        <f>-(L5+M5)+V4</f>
        <v>498</v>
      </c>
      <c r="W5" s="17"/>
      <c r="X5" s="15">
        <f>F5-G5</f>
        <v>-954</v>
      </c>
      <c r="Y5" s="24"/>
      <c r="Z5" s="15">
        <v>518</v>
      </c>
      <c r="AA5" s="24"/>
    </row>
    <row r="6" ht="20.05" customHeight="1">
      <c r="B6" s="13"/>
      <c r="C6" s="14">
        <v>1009</v>
      </c>
      <c r="D6" s="15">
        <v>36</v>
      </c>
      <c r="E6" s="15">
        <v>254</v>
      </c>
      <c r="F6" s="15">
        <v>521</v>
      </c>
      <c r="G6" s="15">
        <v>975</v>
      </c>
      <c r="H6" s="15">
        <v>5648</v>
      </c>
      <c r="I6" s="15">
        <v>1252.1</v>
      </c>
      <c r="J6" s="15">
        <v>382</v>
      </c>
      <c r="K6" s="15">
        <v>-31</v>
      </c>
      <c r="L6" s="15">
        <v>-36.5</v>
      </c>
      <c r="M6" s="15">
        <v>-212.5</v>
      </c>
      <c r="N6" s="17"/>
      <c r="O6" s="17"/>
      <c r="P6" s="16"/>
      <c r="Q6" s="16"/>
      <c r="R6" s="16"/>
      <c r="S6" s="17"/>
      <c r="T6" s="17"/>
      <c r="U6" s="17"/>
      <c r="V6" s="15">
        <f>-(L6+M6)+V5</f>
        <v>747</v>
      </c>
      <c r="W6" s="17"/>
      <c r="X6" s="15">
        <f>F6-G6</f>
        <v>-454</v>
      </c>
      <c r="Y6" s="24"/>
      <c r="Z6" s="15">
        <v>438</v>
      </c>
      <c r="AA6" s="24"/>
    </row>
    <row r="7" ht="20.05" customHeight="1">
      <c r="B7" s="13"/>
      <c r="C7" s="14">
        <v>1029</v>
      </c>
      <c r="D7" s="15">
        <v>43</v>
      </c>
      <c r="E7" s="15">
        <v>218</v>
      </c>
      <c r="F7" s="15">
        <v>245</v>
      </c>
      <c r="G7" s="15">
        <v>1014</v>
      </c>
      <c r="H7" s="15">
        <v>5450</v>
      </c>
      <c r="I7" s="15">
        <v>1123.5</v>
      </c>
      <c r="J7" s="15">
        <v>377</v>
      </c>
      <c r="K7" s="15">
        <v>-35</v>
      </c>
      <c r="L7" s="15">
        <v>-36.5</v>
      </c>
      <c r="M7" s="15">
        <v>-212.5</v>
      </c>
      <c r="N7" s="17"/>
      <c r="O7" s="17"/>
      <c r="P7" s="16"/>
      <c r="Q7" s="16"/>
      <c r="R7" s="16"/>
      <c r="S7" s="17"/>
      <c r="T7" s="17"/>
      <c r="U7" s="17"/>
      <c r="V7" s="15">
        <f>-(L7+M7)+V6</f>
        <v>996</v>
      </c>
      <c r="W7" s="17"/>
      <c r="X7" s="15">
        <f>F7-G7</f>
        <v>-769</v>
      </c>
      <c r="Y7" s="24"/>
      <c r="Z7" s="15">
        <v>496</v>
      </c>
      <c r="AA7" s="24"/>
    </row>
    <row r="8" ht="20.05" customHeight="1">
      <c r="B8" s="21">
        <v>2018</v>
      </c>
      <c r="C8" s="14">
        <v>1157</v>
      </c>
      <c r="D8" s="15">
        <v>38</v>
      </c>
      <c r="E8" s="15">
        <v>360</v>
      </c>
      <c r="F8" s="15">
        <v>398</v>
      </c>
      <c r="G8" s="15">
        <v>1044</v>
      </c>
      <c r="H8" s="15">
        <v>5805</v>
      </c>
      <c r="I8" s="15">
        <v>1020.8</v>
      </c>
      <c r="J8" s="15">
        <v>241</v>
      </c>
      <c r="K8" s="15">
        <v>-25</v>
      </c>
      <c r="L8" s="15">
        <v>-11.75</v>
      </c>
      <c r="M8" s="15">
        <v>-201.25</v>
      </c>
      <c r="N8" s="15">
        <f>SUM(C5:C8)/4</f>
        <v>1151.5</v>
      </c>
      <c r="O8" s="17"/>
      <c r="P8" s="16"/>
      <c r="Q8" s="16">
        <f>(E8+D8-C8)/C8</f>
        <v>-0.656006914433881</v>
      </c>
      <c r="R8" s="16"/>
      <c r="S8" s="17"/>
      <c r="T8" s="17"/>
      <c r="U8" s="17"/>
      <c r="V8" s="15">
        <f>-(L8+M8)+V7</f>
        <v>1209</v>
      </c>
      <c r="W8" s="17"/>
      <c r="X8" s="15">
        <f>F8-G8</f>
        <v>-646</v>
      </c>
      <c r="Y8" s="24"/>
      <c r="Z8" s="15">
        <v>542</v>
      </c>
      <c r="AA8" s="24"/>
    </row>
    <row r="9" ht="20.05" customHeight="1">
      <c r="B9" s="13"/>
      <c r="C9" s="14">
        <v>1430</v>
      </c>
      <c r="D9" s="15">
        <v>49.8</v>
      </c>
      <c r="E9" s="15">
        <v>477</v>
      </c>
      <c r="F9" s="15">
        <v>490</v>
      </c>
      <c r="G9" s="15">
        <v>1465</v>
      </c>
      <c r="H9" s="15">
        <v>6191</v>
      </c>
      <c r="I9" s="15">
        <v>1155.9</v>
      </c>
      <c r="J9" s="15">
        <v>110</v>
      </c>
      <c r="K9" s="15">
        <v>-124</v>
      </c>
      <c r="L9" s="15">
        <v>-11.75</v>
      </c>
      <c r="M9" s="15">
        <v>-201.25</v>
      </c>
      <c r="N9" s="15">
        <f>SUM(C6:C9)/4</f>
        <v>1156.25</v>
      </c>
      <c r="O9" s="17"/>
      <c r="P9" s="16"/>
      <c r="Q9" s="16">
        <f>(E9+D9-C9)/C9</f>
        <v>-0.631608391608392</v>
      </c>
      <c r="R9" s="16"/>
      <c r="S9" s="17"/>
      <c r="T9" s="17"/>
      <c r="U9" s="17"/>
      <c r="V9" s="15">
        <f>-(L9+M9)+V8</f>
        <v>1422</v>
      </c>
      <c r="W9" s="17"/>
      <c r="X9" s="15">
        <f>F9-G9</f>
        <v>-975</v>
      </c>
      <c r="Y9" s="24"/>
      <c r="Z9" s="15">
        <v>412</v>
      </c>
      <c r="AA9" s="24"/>
    </row>
    <row r="10" ht="20.05" customHeight="1">
      <c r="B10" s="13"/>
      <c r="C10" s="14">
        <v>1397</v>
      </c>
      <c r="D10" s="15">
        <v>36.7</v>
      </c>
      <c r="E10" s="15">
        <v>352</v>
      </c>
      <c r="F10" s="15">
        <v>762</v>
      </c>
      <c r="G10" s="15">
        <v>1110</v>
      </c>
      <c r="H10" s="15">
        <v>6188</v>
      </c>
      <c r="I10" s="15">
        <v>1707.6</v>
      </c>
      <c r="J10" s="15">
        <v>850</v>
      </c>
      <c r="K10" s="15">
        <v>135</v>
      </c>
      <c r="L10" s="15">
        <v>-11.75</v>
      </c>
      <c r="M10" s="15">
        <v>-201.25</v>
      </c>
      <c r="N10" s="15">
        <f>SUM(C7:C10)/4</f>
        <v>1253.25</v>
      </c>
      <c r="O10" s="17"/>
      <c r="P10" s="16"/>
      <c r="Q10" s="16">
        <f>(E10+D10-C10)/C10</f>
        <v>-0.721760916249105</v>
      </c>
      <c r="R10" s="16"/>
      <c r="S10" s="17"/>
      <c r="T10" s="17"/>
      <c r="U10" s="17"/>
      <c r="V10" s="15">
        <f>-(L10+M10)+V9</f>
        <v>1635</v>
      </c>
      <c r="W10" s="17"/>
      <c r="X10" s="15">
        <f>F10-G10</f>
        <v>-348</v>
      </c>
      <c r="Y10" s="24"/>
      <c r="Z10" s="15">
        <v>375</v>
      </c>
      <c r="AA10" s="24"/>
    </row>
    <row r="11" ht="20.05" customHeight="1">
      <c r="B11" s="13"/>
      <c r="C11" s="14">
        <v>1293</v>
      </c>
      <c r="D11" s="15">
        <v>95.40000000000001</v>
      </c>
      <c r="E11" s="15">
        <v>670</v>
      </c>
      <c r="F11" s="15">
        <v>994</v>
      </c>
      <c r="G11" s="15">
        <v>1138</v>
      </c>
      <c r="H11" s="15">
        <v>6589</v>
      </c>
      <c r="I11" s="15">
        <v>1183</v>
      </c>
      <c r="J11" s="15">
        <v>471</v>
      </c>
      <c r="K11" s="15">
        <v>-119</v>
      </c>
      <c r="L11" s="15">
        <v>-11.75</v>
      </c>
      <c r="M11" s="15">
        <v>-201.25</v>
      </c>
      <c r="N11" s="15">
        <f>SUM(C8:C11)/4</f>
        <v>1319.25</v>
      </c>
      <c r="O11" s="17"/>
      <c r="P11" s="16"/>
      <c r="Q11" s="16">
        <f>(E11+D11-C11)/C11</f>
        <v>-0.408043310131477</v>
      </c>
      <c r="R11" s="16"/>
      <c r="S11" s="17"/>
      <c r="T11" s="17"/>
      <c r="U11" s="17"/>
      <c r="V11" s="15">
        <f>-(L11+M11)+V10</f>
        <v>1848</v>
      </c>
      <c r="W11" s="17"/>
      <c r="X11" s="15">
        <f>F11-G11</f>
        <v>-144</v>
      </c>
      <c r="Y11" s="24"/>
      <c r="Z11" s="15">
        <v>374</v>
      </c>
      <c r="AA11" s="24"/>
    </row>
    <row r="12" ht="20.05" customHeight="1">
      <c r="B12" s="21">
        <v>2019</v>
      </c>
      <c r="C12" s="14">
        <v>1251</v>
      </c>
      <c r="D12" s="15">
        <v>46.3</v>
      </c>
      <c r="E12" s="15">
        <v>394</v>
      </c>
      <c r="F12" s="15">
        <v>1119</v>
      </c>
      <c r="G12" s="15">
        <v>1105</v>
      </c>
      <c r="H12" s="15">
        <v>6565</v>
      </c>
      <c r="I12" s="15">
        <v>1246.6</v>
      </c>
      <c r="J12" s="15">
        <v>376</v>
      </c>
      <c r="K12" s="15">
        <v>-59</v>
      </c>
      <c r="L12" s="15">
        <v>-0.75</v>
      </c>
      <c r="M12" s="15">
        <v>-134</v>
      </c>
      <c r="N12" s="15">
        <f>SUM(C9:C12)/4</f>
        <v>1342.75</v>
      </c>
      <c r="O12" s="17"/>
      <c r="P12" s="16"/>
      <c r="Q12" s="16">
        <f>(E12+D12-C12)/C12</f>
        <v>-0.648041566746603</v>
      </c>
      <c r="R12" s="16">
        <f>(D9+D10+D11+D12+E9+E10+E11+E12-C9-C10-C11-C12)/(C9+C10+C11+C12)</f>
        <v>-0.605064233848445</v>
      </c>
      <c r="S12" s="17"/>
      <c r="T12" s="15">
        <f>SUM(J9:K12)/4</f>
        <v>410</v>
      </c>
      <c r="U12" s="17"/>
      <c r="V12" s="15">
        <f>-(L12+M12)+V11</f>
        <v>1982.75</v>
      </c>
      <c r="W12" s="17"/>
      <c r="X12" s="15">
        <f>F12-G12</f>
        <v>14</v>
      </c>
      <c r="Y12" s="24"/>
      <c r="Z12" s="15">
        <v>331</v>
      </c>
      <c r="AA12" s="24"/>
    </row>
    <row r="13" ht="20.05" customHeight="1">
      <c r="B13" s="13"/>
      <c r="C13" s="14">
        <v>1515</v>
      </c>
      <c r="D13" s="15">
        <v>44.8</v>
      </c>
      <c r="E13" s="15">
        <v>365</v>
      </c>
      <c r="F13" s="15">
        <v>733</v>
      </c>
      <c r="G13" s="15">
        <v>1282</v>
      </c>
      <c r="H13" s="15">
        <v>6902</v>
      </c>
      <c r="I13" s="15">
        <v>1139.7</v>
      </c>
      <c r="J13" s="15">
        <v>54</v>
      </c>
      <c r="K13" s="15">
        <v>-485</v>
      </c>
      <c r="L13" s="15">
        <v>-0.75</v>
      </c>
      <c r="M13" s="15">
        <v>-134</v>
      </c>
      <c r="N13" s="15">
        <f>SUM(C10:C13)/4</f>
        <v>1364</v>
      </c>
      <c r="O13" s="17"/>
      <c r="P13" s="16"/>
      <c r="Q13" s="16">
        <f>(E13+D13-C13)/C13</f>
        <v>-0.72950495049505</v>
      </c>
      <c r="R13" s="16">
        <f>(D10+D11+D12+D13+E10+E11+E12+E13-C10-C11-C12-C13)/(C10+C11+C12+C13)</f>
        <v>-0.632661290322581</v>
      </c>
      <c r="S13" s="17"/>
      <c r="T13" s="15">
        <f>SUM(J10:K13)/4</f>
        <v>305.75</v>
      </c>
      <c r="U13" s="17"/>
      <c r="V13" s="15">
        <f>-(L13+M13)+V12</f>
        <v>2117.5</v>
      </c>
      <c r="W13" s="17"/>
      <c r="X13" s="15">
        <f>F13-G13</f>
        <v>-549</v>
      </c>
      <c r="Y13" s="24"/>
      <c r="Z13" s="15">
        <v>322</v>
      </c>
      <c r="AA13" s="24"/>
    </row>
    <row r="14" ht="20.05" customHeight="1">
      <c r="B14" s="13"/>
      <c r="C14" s="14">
        <v>1379</v>
      </c>
      <c r="D14" s="15">
        <v>46.3</v>
      </c>
      <c r="E14" s="15">
        <v>153</v>
      </c>
      <c r="F14" s="15">
        <v>726</v>
      </c>
      <c r="G14" s="15">
        <v>1321</v>
      </c>
      <c r="H14" s="15">
        <v>7114</v>
      </c>
      <c r="I14" s="15">
        <v>1646</v>
      </c>
      <c r="J14" s="15">
        <v>484</v>
      </c>
      <c r="K14" s="15">
        <v>-470</v>
      </c>
      <c r="L14" s="15">
        <v>-0.75</v>
      </c>
      <c r="M14" s="15">
        <v>-134</v>
      </c>
      <c r="N14" s="15">
        <f>SUM(C11:C14)/4</f>
        <v>1359.5</v>
      </c>
      <c r="O14" s="17"/>
      <c r="P14" s="16"/>
      <c r="Q14" s="16">
        <f>(E14+D14-C14)/C14</f>
        <v>-0.855474981870921</v>
      </c>
      <c r="R14" s="16">
        <f>(D11+D12+D13+D14+E11+E12+E13+E14-C11-C12-C13-C14)/(C11+C12+C13+C14)</f>
        <v>-0.666274365575579</v>
      </c>
      <c r="S14" s="17"/>
      <c r="T14" s="15">
        <f>SUM(J11:K14)/4</f>
        <v>63</v>
      </c>
      <c r="U14" s="17"/>
      <c r="V14" s="15">
        <f>-(L14+M14)+V13</f>
        <v>2252.25</v>
      </c>
      <c r="W14" s="17"/>
      <c r="X14" s="15">
        <f>F14-G14</f>
        <v>-595</v>
      </c>
      <c r="Y14" s="24"/>
      <c r="Z14" s="15">
        <v>232</v>
      </c>
      <c r="AA14" s="24"/>
    </row>
    <row r="15" ht="20.05" customHeight="1">
      <c r="B15" s="13"/>
      <c r="C15" s="14">
        <v>1378</v>
      </c>
      <c r="D15" s="15">
        <v>93.59999999999999</v>
      </c>
      <c r="E15" s="15">
        <v>60</v>
      </c>
      <c r="F15" s="15">
        <v>545</v>
      </c>
      <c r="G15" s="15">
        <v>1228</v>
      </c>
      <c r="H15" s="15">
        <v>6716</v>
      </c>
      <c r="I15" s="15">
        <v>1364.4</v>
      </c>
      <c r="J15" s="15">
        <v>279</v>
      </c>
      <c r="K15" s="15">
        <v>-88</v>
      </c>
      <c r="L15" s="15">
        <v>-0.75</v>
      </c>
      <c r="M15" s="15">
        <v>-134</v>
      </c>
      <c r="N15" s="15">
        <f>SUM(C12:C15)/4</f>
        <v>1380.75</v>
      </c>
      <c r="O15" s="17"/>
      <c r="P15" s="16"/>
      <c r="Q15" s="16">
        <f>(E15+D15-C15)/C15</f>
        <v>-0.888534107402032</v>
      </c>
      <c r="R15" s="16">
        <f>(D12+D13+D14+D15+E12+E13+E14+E15-C12-C13-C14-C15)/(C12+C13+C14+C15)</f>
        <v>-0.782183595871809</v>
      </c>
      <c r="S15" s="17"/>
      <c r="T15" s="15">
        <f>SUM(J12:K15)/4</f>
        <v>22.75</v>
      </c>
      <c r="U15" s="17"/>
      <c r="V15" s="15">
        <f>-(L15+M15)+V14</f>
        <v>2387</v>
      </c>
      <c r="W15" s="17"/>
      <c r="X15" s="15">
        <f>F15-G15</f>
        <v>-683</v>
      </c>
      <c r="Y15" s="24"/>
      <c r="Z15" s="15">
        <v>282</v>
      </c>
      <c r="AA15" s="24"/>
    </row>
    <row r="16" ht="20.05" customHeight="1">
      <c r="B16" s="21">
        <v>2020</v>
      </c>
      <c r="C16" s="14">
        <v>1304</v>
      </c>
      <c r="D16" s="15">
        <v>46.8</v>
      </c>
      <c r="E16" s="15">
        <v>328</v>
      </c>
      <c r="F16" s="15">
        <v>873</v>
      </c>
      <c r="G16" s="15">
        <v>1400</v>
      </c>
      <c r="H16" s="15">
        <v>7188</v>
      </c>
      <c r="I16" s="15">
        <v>1251.7</v>
      </c>
      <c r="J16" s="15">
        <v>377</v>
      </c>
      <c r="K16" s="15">
        <v>-43</v>
      </c>
      <c r="L16" s="15">
        <v>325.25</v>
      </c>
      <c r="M16" s="15">
        <v>-698.25</v>
      </c>
      <c r="N16" s="15">
        <f>SUM(C13:C16)/4</f>
        <v>1394</v>
      </c>
      <c r="O16" s="15"/>
      <c r="P16" s="16">
        <f>C16/C15-1</f>
        <v>-0.0537010159651669</v>
      </c>
      <c r="Q16" s="16">
        <f>(E16+D16-C16)/C16</f>
        <v>-0.712576687116564</v>
      </c>
      <c r="R16" s="16">
        <f>(D13+D14+D15+D16+E13+E14+E15+E16-C13-C14-C15-C16)/(C13+C14+C15+C16)</f>
        <v>-0.796000717360115</v>
      </c>
      <c r="S16" s="17"/>
      <c r="T16" s="15">
        <f>SUM(J13:K16)/4</f>
        <v>27</v>
      </c>
      <c r="U16" s="17"/>
      <c r="V16" s="15">
        <f>-(L16+M16)+V15</f>
        <v>2760</v>
      </c>
      <c r="W16" s="17"/>
      <c r="X16" s="15">
        <f>F16-G16</f>
        <v>-527</v>
      </c>
      <c r="Y16" s="24"/>
      <c r="Z16" s="15">
        <v>155</v>
      </c>
      <c r="AA16" s="24"/>
    </row>
    <row r="17" ht="20.05" customHeight="1">
      <c r="B17" s="13"/>
      <c r="C17" s="14">
        <v>1057</v>
      </c>
      <c r="D17" s="15">
        <v>46</v>
      </c>
      <c r="E17" s="15">
        <v>275</v>
      </c>
      <c r="F17" s="15">
        <v>708</v>
      </c>
      <c r="G17" s="15">
        <v>1155</v>
      </c>
      <c r="H17" s="15">
        <v>6789</v>
      </c>
      <c r="I17" s="15">
        <v>1272.1</v>
      </c>
      <c r="J17" s="15">
        <v>445</v>
      </c>
      <c r="K17" s="15">
        <v>-166</v>
      </c>
      <c r="L17" s="15">
        <v>325.25</v>
      </c>
      <c r="M17" s="15">
        <v>-698.25</v>
      </c>
      <c r="N17" s="15">
        <f>SUM(C14:C17)/4</f>
        <v>1279.5</v>
      </c>
      <c r="O17" s="15">
        <v>1419.75</v>
      </c>
      <c r="P17" s="16">
        <f>C17/C16-1</f>
        <v>-0.18941717791411</v>
      </c>
      <c r="Q17" s="16">
        <f>(E17+D17-C17)/C17</f>
        <v>-0.696310312204352</v>
      </c>
      <c r="R17" s="16">
        <f>(D14+D15+D16+D17+E14+E15+E16+E17-C14-C15-C16-C17)/(C14+C15+C16+C17)</f>
        <v>-0.795095740523642</v>
      </c>
      <c r="S17" s="17"/>
      <c r="T17" s="15">
        <f>SUM(J14:K17)/4</f>
        <v>204.5</v>
      </c>
      <c r="U17" s="17"/>
      <c r="V17" s="15">
        <f>-(L17+M17)+V16</f>
        <v>3133</v>
      </c>
      <c r="W17" s="17"/>
      <c r="X17" s="15">
        <f>F17-G17</f>
        <v>-447</v>
      </c>
      <c r="Y17" s="24"/>
      <c r="Z17" s="15">
        <v>233</v>
      </c>
      <c r="AA17" s="24"/>
    </row>
    <row r="18" ht="20.05" customHeight="1">
      <c r="B18" s="13"/>
      <c r="C18" s="14">
        <v>1224</v>
      </c>
      <c r="D18" s="15">
        <v>46.3</v>
      </c>
      <c r="E18" s="15">
        <v>308</v>
      </c>
      <c r="F18" s="15">
        <v>802</v>
      </c>
      <c r="G18" s="15">
        <v>1319</v>
      </c>
      <c r="H18" s="15">
        <v>6891</v>
      </c>
      <c r="I18" s="15">
        <v>1264.2</v>
      </c>
      <c r="J18" s="15">
        <v>547</v>
      </c>
      <c r="K18" s="15">
        <v>-118</v>
      </c>
      <c r="L18" s="15">
        <v>325.25</v>
      </c>
      <c r="M18" s="15">
        <v>-698.25</v>
      </c>
      <c r="N18" s="15">
        <f>SUM(C15:C18)/4</f>
        <v>1240.75</v>
      </c>
      <c r="O18" s="15">
        <v>1355.75</v>
      </c>
      <c r="P18" s="16">
        <f>C18/C17-1</f>
        <v>0.157994323557237</v>
      </c>
      <c r="Q18" s="16">
        <f>(E18+D18-C18)/C18</f>
        <v>-0.710539215686275</v>
      </c>
      <c r="R18" s="16">
        <f>(D15+D16+D17+D18+E15+E16+E17+E18-C15-C16-C17-C18)/(C15+C16+C17+C18)</f>
        <v>-0.757465242796696</v>
      </c>
      <c r="S18" s="17"/>
      <c r="T18" s="15">
        <f>SUM(J15:K18)/4</f>
        <v>308.25</v>
      </c>
      <c r="U18" s="17"/>
      <c r="V18" s="15">
        <f>-(L18+M18)+V17</f>
        <v>3506</v>
      </c>
      <c r="W18" s="17"/>
      <c r="X18" s="15">
        <f>F18-G18</f>
        <v>-517</v>
      </c>
      <c r="Y18" s="24"/>
      <c r="Z18" s="15">
        <v>243</v>
      </c>
      <c r="AA18" s="24"/>
    </row>
    <row r="19" ht="20.05" customHeight="1">
      <c r="B19" s="13"/>
      <c r="C19" s="14">
        <v>1516.11</v>
      </c>
      <c r="D19" s="15">
        <v>101.9</v>
      </c>
      <c r="E19" s="15">
        <v>239</v>
      </c>
      <c r="F19" s="15">
        <v>678</v>
      </c>
      <c r="G19" s="15">
        <v>2870</v>
      </c>
      <c r="H19" s="15">
        <v>6767</v>
      </c>
      <c r="I19" s="15">
        <v>1310.9</v>
      </c>
      <c r="J19" s="15">
        <v>475.55</v>
      </c>
      <c r="K19" s="15">
        <v>98.8</v>
      </c>
      <c r="L19" s="15">
        <v>325.25</v>
      </c>
      <c r="M19" s="15">
        <v>-698.25</v>
      </c>
      <c r="N19" s="15">
        <f>SUM(C16:C19)/4</f>
        <v>1275.2775</v>
      </c>
      <c r="O19" s="15">
        <v>1327.75</v>
      </c>
      <c r="P19" s="16">
        <f>C19/C18-1</f>
        <v>0.238651960784314</v>
      </c>
      <c r="Q19" s="16">
        <f>(E19+D19-C19)/C19</f>
        <v>-0.775148241222603</v>
      </c>
      <c r="R19" s="16">
        <f>(D16+D17+D18+D19+E16+E17+E18+E19-C16-C17-C18-C19)/(C16+C17+C18+C19)</f>
        <v>-0.727314251211991</v>
      </c>
      <c r="S19" s="17"/>
      <c r="T19" s="15">
        <f>SUM(J16:K19)/4</f>
        <v>404.0875</v>
      </c>
      <c r="U19" s="17"/>
      <c r="V19" s="15">
        <f>-(L19+M19)+V18</f>
        <v>3879</v>
      </c>
      <c r="W19" s="17"/>
      <c r="X19" s="15">
        <f>F19-G19</f>
        <v>-2192</v>
      </c>
      <c r="Y19" s="24"/>
      <c r="Z19" s="15">
        <v>458</v>
      </c>
      <c r="AA19" s="24"/>
    </row>
    <row r="20" ht="20.05" customHeight="1">
      <c r="B20" s="21">
        <v>2021</v>
      </c>
      <c r="C20" s="14">
        <v>1403.8</v>
      </c>
      <c r="D20" s="15">
        <v>43.9</v>
      </c>
      <c r="E20" s="15">
        <v>349.1</v>
      </c>
      <c r="F20" s="15">
        <v>770</v>
      </c>
      <c r="G20" s="15">
        <v>2624</v>
      </c>
      <c r="H20" s="15">
        <v>6860</v>
      </c>
      <c r="I20" s="15">
        <v>1468.6</v>
      </c>
      <c r="J20" s="15">
        <v>554</v>
      </c>
      <c r="K20" s="15">
        <v>-56.3</v>
      </c>
      <c r="L20" s="15">
        <v>-399</v>
      </c>
      <c r="M20" s="15">
        <v>-9.199999999999999</v>
      </c>
      <c r="N20" s="15">
        <f>SUM(C17:C20)/4</f>
        <v>1300.2275</v>
      </c>
      <c r="O20" s="15">
        <v>1366.567775</v>
      </c>
      <c r="P20" s="16">
        <f>C20/C19-1</f>
        <v>-0.0740777384226738</v>
      </c>
      <c r="Q20" s="16">
        <f>(E20+D20-C20)/C20</f>
        <v>-0.720045590539963</v>
      </c>
      <c r="R20" s="16">
        <f>(D17+D18+D19+D20+E17+E18+E19+E20-C17-C18-C19-C20)/(C17+C18+C19+C20)</f>
        <v>-0.729047416702077</v>
      </c>
      <c r="S20" s="17"/>
      <c r="T20" s="15">
        <f>SUM(J17:K20)/4</f>
        <v>445.0125</v>
      </c>
      <c r="U20" s="17"/>
      <c r="V20" s="15">
        <f>-(L20+M20)+V19</f>
        <v>4287.2</v>
      </c>
      <c r="W20" s="17"/>
      <c r="X20" s="15">
        <f>F20-G20</f>
        <v>-1854</v>
      </c>
      <c r="Y20" s="15"/>
      <c r="Z20" s="15">
        <v>340</v>
      </c>
      <c r="AA20" s="15"/>
    </row>
    <row r="21" ht="20.05" customHeight="1">
      <c r="B21" s="13"/>
      <c r="C21" s="14">
        <v>1543.4</v>
      </c>
      <c r="D21" s="15">
        <v>48.4</v>
      </c>
      <c r="E21" s="15">
        <v>398.7</v>
      </c>
      <c r="F21" s="15">
        <v>737</v>
      </c>
      <c r="G21" s="15">
        <v>2260</v>
      </c>
      <c r="H21" s="15">
        <v>6930</v>
      </c>
      <c r="I21" s="15">
        <v>1491.3</v>
      </c>
      <c r="J21" s="15">
        <v>77.3</v>
      </c>
      <c r="K21" s="15">
        <v>18.2</v>
      </c>
      <c r="L21" s="15">
        <v>-150</v>
      </c>
      <c r="M21" s="15">
        <v>-2</v>
      </c>
      <c r="N21" s="15">
        <f>SUM(C18:C21)/4</f>
        <v>1421.8275</v>
      </c>
      <c r="O21" s="15">
        <v>1413.065275</v>
      </c>
      <c r="P21" s="16">
        <f>C21/C20-1</f>
        <v>0.0994443652942015</v>
      </c>
      <c r="Q21" s="16">
        <f>(E21+D21-C21)/C21</f>
        <v>-0.71031488920565</v>
      </c>
      <c r="R21" s="16">
        <f>(D18+D19+D20+D21+E18+E19+E20+E21-C18-C19-C20-C21)/(C18+C19+C20+C21)</f>
        <v>-0.730048124684605</v>
      </c>
      <c r="S21" s="17"/>
      <c r="T21" s="15">
        <f>SUM(J18:K21)/4</f>
        <v>399.1375</v>
      </c>
      <c r="U21" s="17"/>
      <c r="V21" s="15">
        <f>-(L21+M21)+V20</f>
        <v>4439.2</v>
      </c>
      <c r="W21" s="17"/>
      <c r="X21" s="15">
        <f>F21-G21</f>
        <v>-1523</v>
      </c>
      <c r="Y21" s="15"/>
      <c r="Z21" s="15">
        <v>362</v>
      </c>
      <c r="AA21" s="15"/>
    </row>
    <row r="22" ht="20.05" customHeight="1">
      <c r="B22" s="13"/>
      <c r="C22" s="14">
        <v>1443.5</v>
      </c>
      <c r="D22" s="15">
        <v>49.1</v>
      </c>
      <c r="E22" s="15">
        <v>339.3</v>
      </c>
      <c r="F22" s="15">
        <v>765</v>
      </c>
      <c r="G22" s="15">
        <v>1991</v>
      </c>
      <c r="H22" s="15">
        <v>6988</v>
      </c>
      <c r="I22" s="15">
        <v>1523</v>
      </c>
      <c r="J22" s="15">
        <v>447.6</v>
      </c>
      <c r="K22" s="15">
        <v>-49.7</v>
      </c>
      <c r="L22" s="15">
        <v>-363</v>
      </c>
      <c r="M22" s="15">
        <v>-6</v>
      </c>
      <c r="N22" s="15">
        <f>SUM(C19:C22)/4</f>
        <v>1476.7025</v>
      </c>
      <c r="O22" s="15">
        <v>1445.372775</v>
      </c>
      <c r="P22" s="16">
        <f>C22/C21-1</f>
        <v>-0.06472722560580541</v>
      </c>
      <c r="Q22" s="16">
        <f>(E22+D22-C22)/C22</f>
        <v>-0.7309317630758571</v>
      </c>
      <c r="R22" s="16">
        <f>(D19+D20+D21+D22+E19+E20+E21+E22-C19-C20-C21-C22)/(C19+C20+C21+C22)</f>
        <v>-0.734306673145065</v>
      </c>
      <c r="S22" s="17"/>
      <c r="T22" s="15">
        <f>SUM(J19:K22)/4</f>
        <v>391.3625</v>
      </c>
      <c r="U22" s="17"/>
      <c r="V22" s="15">
        <f>-(L22+M22)+V21</f>
        <v>4808.2</v>
      </c>
      <c r="W22" s="17"/>
      <c r="X22" s="15">
        <f>F22-G22</f>
        <v>-1226</v>
      </c>
      <c r="Y22" s="15"/>
      <c r="Z22" s="15">
        <v>402</v>
      </c>
      <c r="AA22" s="15"/>
    </row>
    <row r="23" ht="20.05" customHeight="1">
      <c r="B23" s="13"/>
      <c r="C23" s="14">
        <v>1539.6</v>
      </c>
      <c r="D23" s="15">
        <v>106.7</v>
      </c>
      <c r="E23" s="15">
        <v>250.9</v>
      </c>
      <c r="F23" s="15">
        <v>3232</v>
      </c>
      <c r="G23" s="15">
        <v>2452</v>
      </c>
      <c r="H23" s="15">
        <v>9913</v>
      </c>
      <c r="I23" s="15">
        <v>1482.1</v>
      </c>
      <c r="J23" s="15">
        <v>241.7</v>
      </c>
      <c r="K23" s="15">
        <v>-167.9</v>
      </c>
      <c r="L23" s="15">
        <v>201.4</v>
      </c>
      <c r="M23" s="15">
        <v>2182.4</v>
      </c>
      <c r="N23" s="15">
        <f>SUM(C20:C23)/4</f>
        <v>1482.575</v>
      </c>
      <c r="O23" s="15">
        <v>1504.009025</v>
      </c>
      <c r="P23" s="16">
        <f>C23/C22-1</f>
        <v>0.06657429857984069</v>
      </c>
      <c r="Q23" s="16">
        <f>(E23+D23-C23)/C23</f>
        <v>-0.767731878409977</v>
      </c>
      <c r="R23" s="16">
        <f>(D20+D21+D22+D23+E20+E21+E22+E23-C20-C21-C22-C23)/(C20+C21+C22+C23)</f>
        <v>-0.7325430416673691</v>
      </c>
      <c r="S23" s="17"/>
      <c r="T23" s="15">
        <f>SUM(J20:K23)/4</f>
        <v>266.225</v>
      </c>
      <c r="U23" s="17"/>
      <c r="V23" s="15">
        <f>-(L23+M23)+V22</f>
        <v>2424.4</v>
      </c>
      <c r="W23" s="17"/>
      <c r="X23" s="15">
        <f>F23-G23</f>
        <v>780</v>
      </c>
      <c r="Y23" s="15"/>
      <c r="Z23" s="15">
        <v>326</v>
      </c>
      <c r="AA23" s="15"/>
    </row>
    <row r="24" ht="20.05" customHeight="1">
      <c r="B24" s="21">
        <v>2022</v>
      </c>
      <c r="C24" s="14">
        <v>1534.7</v>
      </c>
      <c r="D24" s="15">
        <v>53.9</v>
      </c>
      <c r="E24" s="15">
        <v>261.7</v>
      </c>
      <c r="F24" s="15">
        <v>2542</v>
      </c>
      <c r="G24" s="15">
        <v>2393</v>
      </c>
      <c r="H24" s="15">
        <v>10144</v>
      </c>
      <c r="I24" s="15">
        <v>1467.4</v>
      </c>
      <c r="J24" s="15">
        <v>-327</v>
      </c>
      <c r="K24" s="15">
        <v>-309.4</v>
      </c>
      <c r="L24" s="15">
        <v>-60.7</v>
      </c>
      <c r="M24" s="15">
        <v>-0.8</v>
      </c>
      <c r="N24" s="15">
        <f>SUM(C21:C24)/4</f>
        <v>1515.3</v>
      </c>
      <c r="O24" s="15">
        <v>1506.09125</v>
      </c>
      <c r="P24" s="16">
        <f>C24/C23-1</f>
        <v>-0.00318264484281632</v>
      </c>
      <c r="Q24" s="16">
        <f>(E24+D24-C24)/C24</f>
        <v>-0.794357203362221</v>
      </c>
      <c r="R24" s="16">
        <f>(D21+D22+D23+D24+E21+E22+E23+E24-C21-C22-C23-C24)/(C21+C22+C23+C24)</f>
        <v>-0.751088893288458</v>
      </c>
      <c r="S24" s="16">
        <v>-0.741850078944791</v>
      </c>
      <c r="T24" s="15">
        <f>SUM(J21:K24)/4</f>
        <v>-17.3</v>
      </c>
      <c r="U24" s="15">
        <v>404.074176920050</v>
      </c>
      <c r="V24" s="15">
        <f>-(L24+M24)+V23</f>
        <v>2485.9</v>
      </c>
      <c r="W24" s="15"/>
      <c r="X24" s="15">
        <f>F24-G24</f>
        <v>149</v>
      </c>
      <c r="Y24" s="15">
        <v>1217.962142223770</v>
      </c>
      <c r="Z24" s="15">
        <v>292</v>
      </c>
      <c r="AA24" s="140">
        <v>762.419688569084</v>
      </c>
    </row>
    <row r="25" ht="20.05" customHeight="1">
      <c r="B25" s="13"/>
      <c r="C25" s="14">
        <v>1629.3</v>
      </c>
      <c r="D25" s="15">
        <v>52</v>
      </c>
      <c r="E25" s="15">
        <v>304.3</v>
      </c>
      <c r="F25" s="15">
        <v>2289</v>
      </c>
      <c r="G25" s="15">
        <v>2488</v>
      </c>
      <c r="H25" s="15">
        <v>11094</v>
      </c>
      <c r="I25" s="15">
        <v>1471.6</v>
      </c>
      <c r="J25" s="15">
        <v>-108</v>
      </c>
      <c r="K25" s="15">
        <v>-818.6</v>
      </c>
      <c r="L25" s="15">
        <v>-0.3</v>
      </c>
      <c r="M25" s="15">
        <v>655.8</v>
      </c>
      <c r="N25" s="15">
        <f>SUM(C22:C25)/4</f>
        <v>1536.775</v>
      </c>
      <c r="O25" s="15">
        <v>1578.82</v>
      </c>
      <c r="P25" s="16">
        <f>C25/C24-1</f>
        <v>0.0616407115397146</v>
      </c>
      <c r="Q25" s="16">
        <f>(E25+D25-C25)/C25</f>
        <v>-0.781317130055852</v>
      </c>
      <c r="R25" s="16">
        <f>(D22+D23+D24+D25+E22+E23+E24+E25-C22-C23-C24-C25)/(C22+C23+C24+C25)</f>
        <v>-0.769338387206976</v>
      </c>
      <c r="S25" s="16">
        <v>-0.741850078944791</v>
      </c>
      <c r="T25" s="15">
        <f>SUM(J22:K25)/4</f>
        <v>-272.825</v>
      </c>
      <c r="U25" s="15">
        <v>413.622653962860</v>
      </c>
      <c r="V25" s="15">
        <f>-(L25+M25)+V24</f>
        <v>1830.4</v>
      </c>
      <c r="W25" s="15"/>
      <c r="X25" s="15">
        <f>F25-G25</f>
        <v>-199</v>
      </c>
      <c r="Y25" s="15">
        <v>718.7123864407801</v>
      </c>
      <c r="Z25" s="26">
        <v>220</v>
      </c>
      <c r="AA25" s="140">
        <v>575.0493006701651</v>
      </c>
    </row>
    <row r="26" ht="20.05" customHeight="1">
      <c r="B26" s="13"/>
      <c r="C26" s="14">
        <f>C30-C25-C24</f>
        <v>1788</v>
      </c>
      <c r="D26" s="15">
        <f>D30-D25-D24</f>
        <v>50.1</v>
      </c>
      <c r="E26" s="15">
        <f>E30-E25-E24</f>
        <v>176</v>
      </c>
      <c r="F26" s="15">
        <f>F30</f>
        <v>2431</v>
      </c>
      <c r="G26" s="15">
        <f>G30</f>
        <v>2518</v>
      </c>
      <c r="H26" s="15">
        <f>H30</f>
        <v>11359</v>
      </c>
      <c r="I26" s="15">
        <f>I30-I25-I24</f>
        <v>1822</v>
      </c>
      <c r="J26" s="15">
        <f>J30-J25-J24</f>
        <v>-120</v>
      </c>
      <c r="K26" s="15">
        <f>K30-K25-K24</f>
        <v>366</v>
      </c>
      <c r="L26" s="15">
        <f>L30-L25-L24</f>
        <v>0</v>
      </c>
      <c r="M26" s="15">
        <f>M30-M25-M24</f>
        <v>-151</v>
      </c>
      <c r="N26" s="15">
        <f>SUM(C23:C26)/4</f>
        <v>1622.9</v>
      </c>
      <c r="O26" s="15">
        <v>1636.5292041</v>
      </c>
      <c r="P26" s="16">
        <f>C26/C25-1</f>
        <v>0.0974037930399558</v>
      </c>
      <c r="Q26" s="16">
        <f>(E26+D26-C26)/C26</f>
        <v>-0.873545861297539</v>
      </c>
      <c r="R26" s="16">
        <f>(D23+D24+D25+D26+E23+E24+E25+E26-C23-C24-C25-C26)/(C23+C24+C25+C26)</f>
        <v>-0.8065808121264399</v>
      </c>
      <c r="S26" s="16">
        <v>-0.777943940161632</v>
      </c>
      <c r="T26" s="15">
        <f>SUM(J23:K26)/4</f>
        <v>-310.8</v>
      </c>
      <c r="U26" s="15">
        <v>49.328016020970</v>
      </c>
      <c r="V26" s="15">
        <f>-(L26+M26)+V25</f>
        <v>1981.4</v>
      </c>
      <c r="W26" s="15">
        <f>V26</f>
        <v>1981.4</v>
      </c>
      <c r="X26" s="15">
        <f>F26-G26</f>
        <v>-87</v>
      </c>
      <c r="Y26" s="15">
        <v>-90.995092508540</v>
      </c>
      <c r="Z26" s="15">
        <v>206</v>
      </c>
      <c r="AA26" s="140">
        <v>514.345193420284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AVERAGE(AC41:AF41)</f>
        <v>1934.47296</v>
      </c>
      <c r="P27" s="17"/>
      <c r="Q27" s="17"/>
      <c r="R27" s="17"/>
      <c r="S27" s="35">
        <f>AC42</f>
        <v>-0.8065808121264399</v>
      </c>
      <c r="T27" s="17"/>
      <c r="U27" s="15">
        <f>SUM(AC45:AF45)/4</f>
        <v>147.864188886560</v>
      </c>
      <c r="V27" s="17"/>
      <c r="W27" s="15">
        <f>-SUM(AC66:AF66)+V26</f>
        <v>2572.856755546240</v>
      </c>
      <c r="X27" s="17"/>
      <c r="Y27" s="15">
        <f>AF65</f>
        <v>375.591079991616</v>
      </c>
      <c r="Z27" s="15">
        <v>214</v>
      </c>
      <c r="AA27" s="15">
        <v>249.732867837572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SUM(N17:N26)</f>
        <v>14151.835</v>
      </c>
      <c r="O28" s="15">
        <f>SUM(O17:O26)</f>
        <v>14553.7053041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AF78</f>
        <v>233.934935203829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20.05" customHeight="1">
      <c r="B30" t="s" s="56">
        <v>477</v>
      </c>
      <c r="C30" s="14">
        <v>4952</v>
      </c>
      <c r="D30" s="15">
        <v>156</v>
      </c>
      <c r="E30" s="15">
        <v>742</v>
      </c>
      <c r="F30" s="15">
        <v>2431</v>
      </c>
      <c r="G30" s="15">
        <v>2518</v>
      </c>
      <c r="H30" s="15">
        <v>11359</v>
      </c>
      <c r="I30" s="15">
        <v>4761</v>
      </c>
      <c r="J30" s="15">
        <f>-551-4</f>
        <v>-555</v>
      </c>
      <c r="K30" s="15">
        <v>-762</v>
      </c>
      <c r="L30" s="15">
        <v>-61</v>
      </c>
      <c r="M30" s="15">
        <f>670-8-158</f>
        <v>504</v>
      </c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6" ht="27.65" customHeight="1">
      <c r="AB36" t="s" s="2">
        <v>320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ht="20.25" customHeight="1">
      <c r="AB37" t="s" s="28">
        <v>366</v>
      </c>
      <c r="AC37" t="s" s="29">
        <v>24</v>
      </c>
      <c r="AD37" t="s" s="29">
        <v>25</v>
      </c>
      <c r="AE37" t="s" s="29">
        <v>26</v>
      </c>
      <c r="AF37" t="s" s="29">
        <v>23</v>
      </c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</row>
    <row r="38" ht="20.25" customHeight="1">
      <c r="AB38" t="s" s="31">
        <v>15</v>
      </c>
      <c r="AC38" s="32"/>
      <c r="AD38" s="9"/>
      <c r="AE38" s="9"/>
      <c r="AF38" s="9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</row>
    <row r="39" ht="20.05" customHeight="1">
      <c r="AB39" t="s" s="33">
        <v>27</v>
      </c>
      <c r="AC39" s="71">
        <f>AVERAGE(P23:P26)</f>
        <v>0.0556090395791737</v>
      </c>
      <c r="AD39" s="35"/>
      <c r="AE39" s="35"/>
      <c r="AF39" s="35">
        <f>AVERAGE(AC40:AF40)</f>
        <v>0.0325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B40" t="s" s="33">
        <v>13</v>
      </c>
      <c r="AC40" s="37">
        <v>0.05</v>
      </c>
      <c r="AD40" s="35">
        <v>0</v>
      </c>
      <c r="AE40" s="35">
        <v>0.04</v>
      </c>
      <c r="AF40" s="35">
        <v>0.04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B41" t="s" s="33">
        <v>28</v>
      </c>
      <c r="AC41" s="38">
        <f>C26*(1+AC40)</f>
        <v>1877.4</v>
      </c>
      <c r="AD41" s="23">
        <f>AC41*(1+AD40)</f>
        <v>1877.4</v>
      </c>
      <c r="AE41" s="23">
        <f>AD41*(1+AE40)</f>
        <v>1952.496</v>
      </c>
      <c r="AF41" s="23">
        <f>AE41*(1+AF40)</f>
        <v>2030.59584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B42" t="s" s="33">
        <v>570</v>
      </c>
      <c r="AC42" s="37">
        <f>AVERAGE(R26)</f>
        <v>-0.8065808121264399</v>
      </c>
      <c r="AD42" s="35">
        <f>AC42</f>
        <v>-0.8065808121264399</v>
      </c>
      <c r="AE42" s="35">
        <f>AD42</f>
        <v>-0.8065808121264399</v>
      </c>
      <c r="AF42" s="35">
        <f>AE42</f>
        <v>-0.8065808121264399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B43" t="s" s="33">
        <v>571</v>
      </c>
      <c r="AC43" s="14">
        <f>AC41*AC42</f>
        <v>-1514.274816686180</v>
      </c>
      <c r="AD43" s="15">
        <f>AD41*AD42</f>
        <v>-1514.274816686180</v>
      </c>
      <c r="AE43" s="15">
        <f>AE41*AE42</f>
        <v>-1574.845809353630</v>
      </c>
      <c r="AF43" s="15">
        <f>AF41*AF42</f>
        <v>-1637.839641727770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29</v>
      </c>
      <c r="AC44" s="14">
        <f>AVERAGE(K25:K26)</f>
        <v>-226.3</v>
      </c>
      <c r="AD44" s="15">
        <f>AC44</f>
        <v>-226.3</v>
      </c>
      <c r="AE44" s="15">
        <f>AD44</f>
        <v>-226.3</v>
      </c>
      <c r="AF44" s="15">
        <f>AE44</f>
        <v>-226.3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30</v>
      </c>
      <c r="AC45" s="14">
        <f>AC41+AC43+AC44</f>
        <v>136.825183313820</v>
      </c>
      <c r="AD45" s="15">
        <f>AD41+AD43+AD44</f>
        <v>136.825183313820</v>
      </c>
      <c r="AE45" s="15">
        <f>AE41+AE43+AE44</f>
        <v>151.350190646370</v>
      </c>
      <c r="AF45" s="15">
        <f>AF41+AF43+AF44</f>
        <v>166.456198272230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31</v>
      </c>
      <c r="AC46" s="14">
        <f>-G26/20</f>
        <v>-125.9</v>
      </c>
      <c r="AD46" s="15">
        <f>-AC61/20</f>
        <v>-119.605</v>
      </c>
      <c r="AE46" s="15">
        <f>-AD61/20</f>
        <v>-113.62475</v>
      </c>
      <c r="AF46" s="15">
        <f>-AE61/20</f>
        <v>-107.9435125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32</v>
      </c>
      <c r="AC47" s="39">
        <v>-0.1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33</v>
      </c>
      <c r="AC48" s="14">
        <f>IF(AC56&gt;0,AC56*$AC$47,0)</f>
        <v>-31.112518331382</v>
      </c>
      <c r="AD48" s="15">
        <f>IF(AD56&gt;0,AD56*$AC$47,0)</f>
        <v>-31.112518331382</v>
      </c>
      <c r="AE48" s="15">
        <f>IF(AE56&gt;0,AE56*$AC$47,0)</f>
        <v>-32.565019064637</v>
      </c>
      <c r="AF48" s="15">
        <f>IF(AF56&gt;0,AF56*$AC$47,0)</f>
        <v>-34.075619827223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33">
        <v>34</v>
      </c>
      <c r="AC49" s="14">
        <f>AC45+AC46+AC48</f>
        <v>-20.187335017562</v>
      </c>
      <c r="AD49" s="15">
        <f>AD45+AD46+AD48</f>
        <v>-13.892335017562</v>
      </c>
      <c r="AE49" s="15">
        <f>AE45+AE46+AE48</f>
        <v>5.160421581733</v>
      </c>
      <c r="AF49" s="15">
        <f>AF45+AF46+AF48</f>
        <v>24.437065945007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B50" t="s" s="33">
        <v>35</v>
      </c>
      <c r="AC50" s="14">
        <f>-MIN(0,AC49)</f>
        <v>20.187335017562</v>
      </c>
      <c r="AD50" s="15">
        <f>-MIN(AC62,AD49)</f>
        <v>13.892335017562</v>
      </c>
      <c r="AE50" s="15">
        <f>-MIN(AD62,AE49)</f>
        <v>-5.160421581733</v>
      </c>
      <c r="AF50" s="15">
        <f>-MIN(AE62,AF49)</f>
        <v>-24.437065945007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36</v>
      </c>
      <c r="AC51" s="14">
        <f>F26</f>
        <v>2431</v>
      </c>
      <c r="AD51" s="15">
        <f>AC53</f>
        <v>2431</v>
      </c>
      <c r="AE51" s="15">
        <f>AD53</f>
        <v>2431</v>
      </c>
      <c r="AF51" s="15">
        <f>AE53</f>
        <v>2431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33">
        <v>37</v>
      </c>
      <c r="AC52" s="14">
        <f>AC45+AC46+AC48+AC50</f>
        <v>0</v>
      </c>
      <c r="AD52" s="15">
        <f>AD45+AD46+AD48+AD50</f>
        <v>0</v>
      </c>
      <c r="AE52" s="15">
        <f>AE45+AE46+AE48+AE50</f>
        <v>0</v>
      </c>
      <c r="AF52" s="15">
        <f>AF45+AF46+AF48+AF50</f>
        <v>0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38</v>
      </c>
      <c r="AC53" s="14">
        <f>AC51+AC52</f>
        <v>2431</v>
      </c>
      <c r="AD53" s="15">
        <f>AD51+AD52</f>
        <v>2431</v>
      </c>
      <c r="AE53" s="15">
        <f>AE51+AE52</f>
        <v>2431</v>
      </c>
      <c r="AF53" s="15">
        <f>AF51+AF52</f>
        <v>2431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41">
        <v>4</v>
      </c>
      <c r="AC54" s="14"/>
      <c r="AD54" s="15"/>
      <c r="AE54" s="15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ht="20.05" customHeight="1">
      <c r="AB55" t="s" s="33">
        <v>3</v>
      </c>
      <c r="AC55" s="14">
        <f>-AVERAGE(D24:D26)</f>
        <v>-52</v>
      </c>
      <c r="AD55" s="15">
        <f>AC55</f>
        <v>-52</v>
      </c>
      <c r="AE55" s="15">
        <f>AD55</f>
        <v>-52</v>
      </c>
      <c r="AF55" s="15">
        <f>AE55</f>
        <v>-52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4</v>
      </c>
      <c r="AC56" s="14">
        <f>AC41+AC43+AC55</f>
        <v>311.125183313820</v>
      </c>
      <c r="AD56" s="15">
        <f>AD41+AD43+AD55</f>
        <v>311.125183313820</v>
      </c>
      <c r="AE56" s="15">
        <f>AE41+AE43+AE55</f>
        <v>325.650190646370</v>
      </c>
      <c r="AF56" s="15">
        <f>AF41+AF43+AF55</f>
        <v>340.756198272230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41">
        <v>39</v>
      </c>
      <c r="AC57" s="14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40</v>
      </c>
      <c r="AC58" s="14">
        <f>H26-F26-AC44</f>
        <v>9154.299999999999</v>
      </c>
      <c r="AD58" s="15">
        <f>AC58-AD44</f>
        <v>9380.6</v>
      </c>
      <c r="AE58" s="15">
        <f>AD58-AE44</f>
        <v>9606.9</v>
      </c>
      <c r="AF58" s="15">
        <f>AE58-AF44</f>
        <v>9833.200000000001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41</v>
      </c>
      <c r="AC59" s="14">
        <f>0-AC55</f>
        <v>52</v>
      </c>
      <c r="AD59" s="15">
        <f>AC59-AD55</f>
        <v>104</v>
      </c>
      <c r="AE59" s="15">
        <f>AD59-AE55</f>
        <v>156</v>
      </c>
      <c r="AF59" s="15">
        <f>AE59-AF55</f>
        <v>208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42</v>
      </c>
      <c r="AC60" s="14">
        <f>AC58-AC59</f>
        <v>9102.299999999999</v>
      </c>
      <c r="AD60" s="15">
        <f>AD58-AD59</f>
        <v>9276.6</v>
      </c>
      <c r="AE60" s="15">
        <f>AE58-AE59</f>
        <v>9450.9</v>
      </c>
      <c r="AF60" s="15">
        <f>AF58-AF59</f>
        <v>9625.200000000001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6</v>
      </c>
      <c r="AC61" s="14">
        <f>G26+AC46</f>
        <v>2392.1</v>
      </c>
      <c r="AD61" s="15">
        <f>AC61+AD46</f>
        <v>2272.495</v>
      </c>
      <c r="AE61" s="15">
        <f>AD61+AE46</f>
        <v>2158.87025</v>
      </c>
      <c r="AF61" s="15">
        <f>AE61+AF46</f>
        <v>2050.9267375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35</v>
      </c>
      <c r="AC62" s="14">
        <f>AC50</f>
        <v>20.187335017562</v>
      </c>
      <c r="AD62" s="15">
        <f>AC62+AD50</f>
        <v>34.079670035124</v>
      </c>
      <c r="AE62" s="15">
        <f>AD62+AE50</f>
        <v>28.919248453391</v>
      </c>
      <c r="AF62" s="15">
        <f>AE62+AF50</f>
        <v>4.482182508384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11</v>
      </c>
      <c r="AC63" s="14">
        <f>(H26-G26)+AC56+AC48</f>
        <v>9121.012664982440</v>
      </c>
      <c r="AD63" s="15">
        <f>AC63+AD56+AD48</f>
        <v>9401.025329964879</v>
      </c>
      <c r="AE63" s="15">
        <f>AD63+AE56+AE48</f>
        <v>9694.110501546609</v>
      </c>
      <c r="AF63" s="15">
        <f>AE63+AF56+AF48</f>
        <v>10000.7910799916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33">
        <v>43</v>
      </c>
      <c r="AC64" s="14">
        <f>AC61+AC62+AC63-AC53-AC60</f>
        <v>2e-12</v>
      </c>
      <c r="AD64" s="15">
        <f>AD61+AD62+AD63-AD53-AD60</f>
        <v>4e-12</v>
      </c>
      <c r="AE64" s="15">
        <f>AE61+AE62+AE63-AE53-AE60</f>
        <v>1e-12</v>
      </c>
      <c r="AF64" s="15">
        <f>AF61+AF62+AF63-AF53-AF60</f>
        <v>-1.6e-11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18</v>
      </c>
      <c r="AC65" s="14">
        <f>AC53-AC61-AC62</f>
        <v>18.712664982438</v>
      </c>
      <c r="AD65" s="15">
        <f>AD53-AD61-AD62</f>
        <v>124.425329964876</v>
      </c>
      <c r="AE65" s="15">
        <f>AE53-AE61-AE62</f>
        <v>243.210501546609</v>
      </c>
      <c r="AF65" s="15">
        <f>AF53-AF61-AF62</f>
        <v>375.591079991616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44</v>
      </c>
      <c r="AC66" s="14">
        <f>AC46+AC48+AC50</f>
        <v>-136.825183313820</v>
      </c>
      <c r="AD66" s="15">
        <f>AD46+AD48+AD50</f>
        <v>-136.825183313820</v>
      </c>
      <c r="AE66" s="15">
        <f>AE46+AE48+AE50</f>
        <v>-151.350190646370</v>
      </c>
      <c r="AF66" s="15">
        <f>AF46+AF48+AF50</f>
        <v>-166.456198272230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45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B68" t="s" s="96">
        <v>320</v>
      </c>
      <c r="AC68" s="14"/>
      <c r="AD68" s="15"/>
      <c r="AE68" s="15"/>
      <c r="AF68" s="15">
        <v>214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8.35" customHeight="1" hidden="1">
      <c r="AB69" t="s" s="33">
        <f>$AB68</f>
        <v>738</v>
      </c>
      <c r="AC69" s="14"/>
      <c r="AD69" s="15"/>
      <c r="AE69" s="15"/>
      <c r="AF69" s="15">
        <v>13526383476736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46</v>
      </c>
      <c r="AC70" s="14"/>
      <c r="AD70" s="15"/>
      <c r="AE70" s="15"/>
      <c r="AF70" s="15">
        <f>AF69/1000000000</f>
        <v>13526.383476736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47</v>
      </c>
      <c r="AC71" s="14"/>
      <c r="AD71" s="15"/>
      <c r="AE71" s="15"/>
      <c r="AF71" s="15">
        <f>AF70/AF68</f>
        <v>63.207399424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48</v>
      </c>
      <c r="AC72" s="14"/>
      <c r="AD72" s="15"/>
      <c r="AE72" s="15"/>
      <c r="AF72" s="43">
        <f>AF70/(AF53+AF60)</f>
        <v>1.12194418446409</v>
      </c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</row>
    <row r="73" ht="20.05" customHeight="1">
      <c r="AB73" t="s" s="33">
        <v>49</v>
      </c>
      <c r="AC73" s="14"/>
      <c r="AD73" s="15"/>
      <c r="AE73" s="15"/>
      <c r="AF73" s="16">
        <f>-(AC48+AD48+AE48+AF48)/AF70</f>
        <v>0.00952698670537175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ht="20.05" customHeight="1">
      <c r="AB74" t="s" s="33">
        <v>50</v>
      </c>
      <c r="AC74" s="14"/>
      <c r="AD74" s="15"/>
      <c r="AE74" s="15"/>
      <c r="AF74" s="15">
        <f>SUM(AC45:AF45)</f>
        <v>591.4567555462399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B75" t="s" s="33">
        <v>51</v>
      </c>
      <c r="AC75" s="14"/>
      <c r="AD75" s="15"/>
      <c r="AE75" s="15"/>
      <c r="AF75" s="15">
        <f>(H26+F26)/AF74</f>
        <v>23.3153140456807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B76" t="s" s="33">
        <v>52</v>
      </c>
      <c r="AC76" s="14"/>
      <c r="AD76" s="15"/>
      <c r="AE76" s="15">
        <f>AF70/AF74</f>
        <v>22.869606864569</v>
      </c>
      <c r="AF76" s="15">
        <v>25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B77" t="s" s="33">
        <v>53</v>
      </c>
      <c r="AC77" s="14"/>
      <c r="AD77" s="15"/>
      <c r="AE77" s="15"/>
      <c r="AF77" s="15">
        <f>AF74*AF76</f>
        <v>14786.418888656</v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B78" t="s" s="33">
        <v>54</v>
      </c>
      <c r="AC78" s="14"/>
      <c r="AD78" s="15"/>
      <c r="AE78" s="15"/>
      <c r="AF78" s="15">
        <f>AF77/AF71</f>
        <v>233.934935203829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B79" t="s" s="33">
        <v>55</v>
      </c>
      <c r="AC79" s="38"/>
      <c r="AD79" s="23"/>
      <c r="AE79" s="23"/>
      <c r="AF79" s="16">
        <f>AF78/AF68-1</f>
        <v>0.0931539028216308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B80" t="s" s="33">
        <v>56</v>
      </c>
      <c r="AC80" s="38"/>
      <c r="AD80" s="23"/>
      <c r="AE80" s="23"/>
      <c r="AF80" s="16">
        <f>C26/C22-1</f>
        <v>0.238656044336682</v>
      </c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B81" t="s" s="33">
        <v>57</v>
      </c>
      <c r="AC81" s="38"/>
      <c r="AD81" s="23"/>
      <c r="AE81" s="23"/>
      <c r="AF81" s="16">
        <f>O28/N28-1</f>
        <v>0.028397045619879</v>
      </c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</row>
    <row r="82" ht="8.35" customHeight="1" hidden="1">
      <c r="AB82" s="98"/>
      <c r="AC82" s="38"/>
      <c r="AD82" s="23"/>
      <c r="AE82" s="23"/>
      <c r="AF82" s="16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</row>
    <row r="83" ht="8.35" customHeight="1" hidden="1">
      <c r="AB83" s="36"/>
      <c r="AC83" t="s" s="100">
        <f>$AB68</f>
        <v>739</v>
      </c>
      <c r="AD83" t="s" s="44">
        <v>60</v>
      </c>
      <c r="AE83" s="26">
        <f>AF68</f>
        <v>214</v>
      </c>
      <c r="AF83" t="s" s="44">
        <v>61</v>
      </c>
      <c r="AG83" s="101">
        <f>AF78</f>
        <v>233.934935203829</v>
      </c>
      <c r="AH83" t="s" s="102">
        <f>IF(AI83&gt;0,"+","")</f>
        <v>361</v>
      </c>
      <c r="AI83" s="99">
        <f>AG83/AE83-1</f>
        <v>0.0931539028216308</v>
      </c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ht="8.35" customHeight="1" hidden="1">
      <c r="AB84" s="36"/>
      <c r="AC84" s="46">
        <f>TODAY()</f>
        <v>44942</v>
      </c>
      <c r="AD84" s="17"/>
      <c r="AE84" s="17"/>
      <c r="AF84" s="1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ht="8.35" customHeight="1" hidden="1">
      <c r="AB85" s="36"/>
      <c r="AC85" t="s" s="45">
        <v>62</v>
      </c>
      <c r="AD85" s="17"/>
      <c r="AE85" s="17"/>
      <c r="AF85" s="1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ht="8.35" customHeight="1" hidden="1">
      <c r="AB86" s="36"/>
      <c r="AC86" t="s" s="45">
        <v>63</v>
      </c>
      <c r="AD86" t="s" s="44">
        <v>64</v>
      </c>
      <c r="AE86" t="s" s="44">
        <f>IF(AF86&gt;0,"+","")</f>
        <v>361</v>
      </c>
      <c r="AF86" s="16">
        <f>AG93/AC93-1</f>
        <v>0.238656044336682</v>
      </c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ht="8.35" customHeight="1" hidden="1">
      <c r="AB87" s="36"/>
      <c r="AC87" t="s" s="45">
        <v>63</v>
      </c>
      <c r="AD87" t="s" s="44">
        <v>65</v>
      </c>
      <c r="AE87" t="s" s="44">
        <f>IF(AF87&gt;0,"+","")</f>
      </c>
      <c r="AF87" s="16">
        <f>SUM(AD106:AG107)/AD123</f>
        <v>-0.0919092677017606</v>
      </c>
      <c r="AG87" t="s" s="102">
        <v>66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ht="8.35" customHeight="1" hidden="1">
      <c r="AB88" s="36"/>
      <c r="AC88" t="s" s="45">
        <v>63</v>
      </c>
      <c r="AD88" t="s" s="44">
        <v>17</v>
      </c>
      <c r="AE88" t="s" s="44">
        <f>IF(AF88&gt;0,"+","")</f>
      </c>
      <c r="AF88" s="16">
        <f>SUM(AD120:AG121)/AD123</f>
        <v>-0.208984168226622</v>
      </c>
      <c r="AG88" t="s" s="102">
        <f>AG87</f>
        <v>66</v>
      </c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ht="8.35" customHeight="1" hidden="1">
      <c r="AB89" s="36"/>
      <c r="AC89" t="s" s="45">
        <v>68</v>
      </c>
      <c r="AD89" t="s" s="44">
        <v>369</v>
      </c>
      <c r="AE89" s="16">
        <f>AN116/AD123</f>
        <v>-0.00643187442893595</v>
      </c>
      <c r="AF89" t="s" s="44">
        <f>AG88</f>
        <v>66</v>
      </c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ht="8.35" customHeight="1" hidden="1">
      <c r="AB90" s="36"/>
      <c r="AC90" t="s" s="45">
        <v>28</v>
      </c>
      <c r="AD90" t="s" s="44">
        <f>AD94</f>
        <v>362</v>
      </c>
      <c r="AE90" s="16">
        <f>AE94</f>
        <v>0.0974037930399558</v>
      </c>
      <c r="AF90" s="1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ht="8.35" customHeight="1" hidden="1">
      <c r="AB91" s="36"/>
      <c r="AC91" t="s" s="45">
        <v>70</v>
      </c>
      <c r="AD91" t="s" s="44">
        <v>371</v>
      </c>
      <c r="AE91" t="s" s="44">
        <f>AK94</f>
        <v>372</v>
      </c>
      <c r="AF91" s="1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ht="8.35" customHeight="1" hidden="1">
      <c r="AB92" s="36"/>
      <c r="AC92" s="71">
        <f>P22</f>
        <v>-0.06472722560580541</v>
      </c>
      <c r="AD92" s="16">
        <f>P23</f>
        <v>0.06657429857984069</v>
      </c>
      <c r="AE92" s="16">
        <f>P24</f>
        <v>-0.00318264484281632</v>
      </c>
      <c r="AF92" s="16">
        <f>P25</f>
        <v>0.0616407115397146</v>
      </c>
      <c r="AG92" s="99">
        <f>P26</f>
        <v>0.0974037930399558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ht="8.35" customHeight="1" hidden="1">
      <c r="AB93" s="36"/>
      <c r="AC93" s="14">
        <f>C22</f>
        <v>1443.5</v>
      </c>
      <c r="AD93" s="26">
        <f>C23</f>
        <v>1539.6</v>
      </c>
      <c r="AE93" s="26">
        <f>C24</f>
        <v>1534.7</v>
      </c>
      <c r="AF93" s="15">
        <f>C25</f>
        <v>1629.3</v>
      </c>
      <c r="AG93" s="101">
        <f>C26</f>
        <v>1788</v>
      </c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ht="8.35" customHeight="1" hidden="1">
      <c r="AB94" s="36"/>
      <c r="AC94" t="s" s="45">
        <v>2</v>
      </c>
      <c r="AD94" t="s" s="44">
        <f>IF(AE94&lt;0,"declined","grew")</f>
        <v>362</v>
      </c>
      <c r="AE94" s="16">
        <f>AG93/AF93-1</f>
        <v>0.0974037930399558</v>
      </c>
      <c r="AF94" t="s" s="44">
        <v>73</v>
      </c>
      <c r="AG94" t="s" s="102">
        <v>74</v>
      </c>
      <c r="AH94" t="s" s="102">
        <v>75</v>
      </c>
      <c r="AI94" t="s" s="102">
        <v>76</v>
      </c>
      <c r="AJ94" s="101">
        <f>AG93</f>
        <v>1788</v>
      </c>
      <c r="AK94" t="s" s="102">
        <v>372</v>
      </c>
      <c r="AL94" t="s" s="102">
        <v>378</v>
      </c>
      <c r="AM94" s="99">
        <v>0.0297063450445726</v>
      </c>
      <c r="AN94" t="s" s="102">
        <v>78</v>
      </c>
      <c r="AO94" s="103"/>
      <c r="AP94" s="103"/>
      <c r="AQ94" s="103"/>
      <c r="AR94" s="103"/>
      <c r="AS94" s="103"/>
      <c r="AT94" s="103"/>
    </row>
    <row r="95" ht="8.35" customHeight="1" hidden="1">
      <c r="AB95" s="36"/>
      <c r="AC95" t="s" s="45">
        <v>79</v>
      </c>
      <c r="AD95" s="16">
        <f>AVERAGE(AD92:AG92)</f>
        <v>0.0556090395791737</v>
      </c>
      <c r="AE95" t="s" s="44">
        <v>80</v>
      </c>
      <c r="AF95" s="17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ht="8.35" customHeight="1" hidden="1">
      <c r="AB96" s="36"/>
      <c r="AC96" t="s" s="45">
        <v>81</v>
      </c>
      <c r="AD96" s="35">
        <f>AF39</f>
        <v>0.0325</v>
      </c>
      <c r="AE96" t="s" s="44">
        <v>82</v>
      </c>
      <c r="AF96" t="s" s="44">
        <v>83</v>
      </c>
      <c r="AG96" s="199">
        <f>AF41</f>
        <v>2030.59584</v>
      </c>
      <c r="AH96" t="s" s="102">
        <f>AK94</f>
        <v>372</v>
      </c>
      <c r="AI96" t="s" s="102">
        <v>84</v>
      </c>
      <c r="AJ96" t="s" s="102">
        <f>AG94</f>
        <v>74</v>
      </c>
      <c r="AK96" t="s" s="102">
        <f>AH94</f>
        <v>75</v>
      </c>
      <c r="AL96" t="s" s="102">
        <v>85</v>
      </c>
      <c r="AM96" s="103"/>
      <c r="AN96" s="103"/>
      <c r="AO96" s="103"/>
      <c r="AP96" s="103"/>
      <c r="AQ96" s="103"/>
      <c r="AR96" s="103"/>
      <c r="AS96" s="103"/>
      <c r="AT96" s="103"/>
    </row>
    <row r="97" ht="8.35" customHeight="1" hidden="1">
      <c r="AB97" s="36"/>
      <c r="AC97" t="s" s="45">
        <v>574</v>
      </c>
      <c r="AD97" t="s" s="44">
        <f>IF(AF101&lt;AD101,"up","down")</f>
        <v>108</v>
      </c>
      <c r="AE97" t="s" s="44">
        <v>86</v>
      </c>
      <c r="AF97" t="s" s="44">
        <f>IF(AJ101&gt;AH101,"up","down")</f>
        <v>87</v>
      </c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ht="8.35" customHeight="1" hidden="1">
      <c r="AB98" s="36"/>
      <c r="AC98" t="s" s="45">
        <f>AC91</f>
        <v>70</v>
      </c>
      <c r="AD98" t="s" s="44">
        <v>575</v>
      </c>
      <c r="AE98" t="s" s="44">
        <f>AK94</f>
        <v>372</v>
      </c>
      <c r="AF98" s="17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ht="8.35" customHeight="1" hidden="1">
      <c r="AB99" s="36"/>
      <c r="AC99" s="71">
        <f>Q22</f>
        <v>-0.7309317630758571</v>
      </c>
      <c r="AD99" s="16">
        <f>Q23</f>
        <v>-0.767731878409977</v>
      </c>
      <c r="AE99" s="16">
        <f>Q24</f>
        <v>-0.794357203362221</v>
      </c>
      <c r="AF99" s="16">
        <f>Q25</f>
        <v>-0.781317130055852</v>
      </c>
      <c r="AG99" s="99">
        <f>Q26</f>
        <v>-0.873545861297539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ht="8.35" customHeight="1" hidden="1">
      <c r="AB100" s="36"/>
      <c r="AC100" s="14">
        <f>E22</f>
        <v>339.3</v>
      </c>
      <c r="AD100" s="26">
        <f>E23</f>
        <v>250.9</v>
      </c>
      <c r="AE100" s="26">
        <f>E24</f>
        <v>261.7</v>
      </c>
      <c r="AF100" s="15">
        <f>E25</f>
        <v>304.3</v>
      </c>
      <c r="AG100" s="101">
        <f>E26</f>
        <v>176</v>
      </c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ht="8.35" customHeight="1" hidden="1">
      <c r="AB101" s="36"/>
      <c r="AC101" t="s" s="45">
        <v>576</v>
      </c>
      <c r="AD101" s="16">
        <f>AF99</f>
        <v>-0.781317130055852</v>
      </c>
      <c r="AE101" t="s" s="44">
        <v>76</v>
      </c>
      <c r="AF101" s="16">
        <f>AG99</f>
        <v>-0.873545861297539</v>
      </c>
      <c r="AG101" t="s" s="102">
        <v>90</v>
      </c>
      <c r="AH101" s="101">
        <f>AF100</f>
        <v>304.3</v>
      </c>
      <c r="AI101" t="s" s="102">
        <v>76</v>
      </c>
      <c r="AJ101" s="101">
        <f>AG100</f>
        <v>176</v>
      </c>
      <c r="AK101" t="s" s="102">
        <f>AH96</f>
        <v>372</v>
      </c>
      <c r="AL101" t="s" s="102">
        <v>73</v>
      </c>
      <c r="AM101" t="s" s="102">
        <f>AJ96</f>
        <v>74</v>
      </c>
      <c r="AN101" t="s" s="102">
        <v>91</v>
      </c>
      <c r="AO101" s="103"/>
      <c r="AP101" s="103"/>
      <c r="AQ101" s="103"/>
      <c r="AR101" s="103"/>
      <c r="AS101" s="103"/>
      <c r="AT101" s="103"/>
    </row>
    <row r="102" ht="8.35" customHeight="1" hidden="1">
      <c r="AB102" s="36"/>
      <c r="AC102" t="s" s="45">
        <v>577</v>
      </c>
      <c r="AD102" s="16">
        <f>AVERAGE(AD99:AG99)</f>
        <v>-0.804238018281397</v>
      </c>
      <c r="AE102" t="s" s="44">
        <v>78</v>
      </c>
      <c r="AF102" s="17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ht="8.35" customHeight="1" hidden="1">
      <c r="AB103" s="36"/>
      <c r="AC103" t="s" s="45">
        <v>93</v>
      </c>
      <c r="AD103" s="35">
        <f>AC42</f>
        <v>-0.8065808121264399</v>
      </c>
      <c r="AE103" t="s" s="44">
        <v>559</v>
      </c>
      <c r="AF103" s="15">
        <f>AF56</f>
        <v>340.756198272230</v>
      </c>
      <c r="AG103" t="s" s="102">
        <f>AK101</f>
        <v>372</v>
      </c>
      <c r="AH103" t="s" s="102">
        <v>95</v>
      </c>
      <c r="AI103" t="s" s="102">
        <f>AM101</f>
        <v>74</v>
      </c>
      <c r="AJ103" t="s" s="102">
        <f>AH94</f>
        <v>75</v>
      </c>
      <c r="AK103" t="s" s="102">
        <f>AL96</f>
        <v>85</v>
      </c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ht="8.35" customHeight="1" hidden="1">
      <c r="AB104" s="36"/>
      <c r="AC104" t="s" s="45">
        <v>15</v>
      </c>
      <c r="AD104" t="s" s="44">
        <f>IF(AF108&lt;AD108,"lower","higher")</f>
        <v>363</v>
      </c>
      <c r="AE104" s="17"/>
      <c r="AF104" s="17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ht="8.35" customHeight="1" hidden="1">
      <c r="AB105" s="36"/>
      <c r="AC105" t="s" s="45">
        <f>AC98</f>
        <v>70</v>
      </c>
      <c r="AD105" t="s" s="44">
        <v>96</v>
      </c>
      <c r="AE105" t="s" s="44">
        <f>AK94</f>
        <v>372</v>
      </c>
      <c r="AF105" s="17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ht="8.35" customHeight="1" hidden="1">
      <c r="AB106" s="36"/>
      <c r="AC106" s="14">
        <f>J22</f>
        <v>447.6</v>
      </c>
      <c r="AD106" s="26">
        <f>J23</f>
        <v>241.7</v>
      </c>
      <c r="AE106" s="26">
        <f>J24</f>
        <v>-327</v>
      </c>
      <c r="AF106" s="15">
        <f>J25</f>
        <v>-108</v>
      </c>
      <c r="AG106" s="101">
        <f>J26</f>
        <v>-120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ht="8.35" customHeight="1" hidden="1">
      <c r="AB107" s="36"/>
      <c r="AC107" s="14">
        <f>K22</f>
        <v>-49.7</v>
      </c>
      <c r="AD107" s="26">
        <f>K23</f>
        <v>-167.9</v>
      </c>
      <c r="AE107" s="26">
        <f>K24</f>
        <v>-309.4</v>
      </c>
      <c r="AF107" s="15">
        <f>K25</f>
        <v>-818.6</v>
      </c>
      <c r="AG107" s="101">
        <f>K26</f>
        <v>366</v>
      </c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ht="8.35" customHeight="1" hidden="1">
      <c r="AB108" s="36"/>
      <c r="AC108" t="s" s="45">
        <v>97</v>
      </c>
      <c r="AD108" s="26">
        <f>AF106+AF107</f>
        <v>-926.6</v>
      </c>
      <c r="AE108" t="s" s="44">
        <v>76</v>
      </c>
      <c r="AF108" s="15">
        <f>AG106+AG107</f>
        <v>246</v>
      </c>
      <c r="AG108" t="s" s="102">
        <f>AG103</f>
        <v>372</v>
      </c>
      <c r="AH108" t="s" s="102">
        <v>84</v>
      </c>
      <c r="AI108" t="s" s="102">
        <f>AI103</f>
        <v>74</v>
      </c>
      <c r="AJ108" t="s" s="102">
        <v>98</v>
      </c>
      <c r="AK108" s="101">
        <f>AG107</f>
        <v>366</v>
      </c>
      <c r="AL108" t="s" s="102">
        <f>AK94</f>
        <v>372</v>
      </c>
      <c r="AM108" t="s" s="102">
        <v>99</v>
      </c>
      <c r="AN108" s="103"/>
      <c r="AO108" s="103"/>
      <c r="AP108" s="103"/>
      <c r="AQ108" s="103"/>
      <c r="AR108" s="103"/>
      <c r="AS108" s="103"/>
      <c r="AT108" s="103"/>
    </row>
    <row r="109" ht="8.35" customHeight="1" hidden="1">
      <c r="AB109" s="36"/>
      <c r="AC109" t="s" s="45">
        <v>100</v>
      </c>
      <c r="AD109" s="26">
        <f>SUM(AD106:AG107)/4</f>
        <v>-310.8</v>
      </c>
      <c r="AE109" t="s" s="44">
        <f>AK94</f>
        <v>372</v>
      </c>
      <c r="AF109" t="s" s="44">
        <v>78</v>
      </c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ht="8.35" customHeight="1" hidden="1">
      <c r="AB110" s="36"/>
      <c r="AC110" t="s" s="45">
        <v>101</v>
      </c>
      <c r="AD110" s="26">
        <f>AC44</f>
        <v>-226.3</v>
      </c>
      <c r="AE110" t="s" s="44">
        <f>AE109</f>
        <v>372</v>
      </c>
      <c r="AF110" t="s" s="44">
        <v>102</v>
      </c>
      <c r="AG110" t="s" s="102">
        <v>103</v>
      </c>
      <c r="AH110" t="s" s="102">
        <f>IF(AG96&gt;AJ94,"higher","lower")</f>
        <v>363</v>
      </c>
      <c r="AI110" t="s" s="102">
        <v>105</v>
      </c>
      <c r="AJ110" s="101">
        <f>SUM(AC45:AF45)/4</f>
        <v>147.864188886560</v>
      </c>
      <c r="AK110" t="s" s="102">
        <f>AE110</f>
        <v>372</v>
      </c>
      <c r="AL110" t="s" s="102">
        <v>106</v>
      </c>
      <c r="AM110" t="s" s="102">
        <v>107</v>
      </c>
      <c r="AN110" s="103"/>
      <c r="AO110" s="103"/>
      <c r="AP110" s="103"/>
      <c r="AQ110" s="103"/>
      <c r="AR110" s="103"/>
      <c r="AS110" s="103"/>
      <c r="AT110" s="103"/>
    </row>
    <row r="111" ht="8.35" customHeight="1" hidden="1">
      <c r="AB111" s="36"/>
      <c r="AC111" t="s" s="45">
        <v>18</v>
      </c>
      <c r="AD111" t="s" s="44">
        <f>AK116</f>
        <v>108</v>
      </c>
      <c r="AE111" s="17"/>
      <c r="AF111" s="1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ht="8.35" customHeight="1" hidden="1">
      <c r="AB112" s="36"/>
      <c r="AC112" t="s" s="45">
        <f>AC91</f>
        <v>70</v>
      </c>
      <c r="AD112" t="s" s="44">
        <v>109</v>
      </c>
      <c r="AE112" t="s" s="44">
        <f>AK94</f>
        <v>372</v>
      </c>
      <c r="AF112" s="1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ht="8.35" customHeight="1" hidden="1">
      <c r="AB113" s="36"/>
      <c r="AC113" s="14">
        <f>F22</f>
        <v>765</v>
      </c>
      <c r="AD113" s="26">
        <f>F23</f>
        <v>3232</v>
      </c>
      <c r="AE113" s="26">
        <f>F24</f>
        <v>2542</v>
      </c>
      <c r="AF113" s="15">
        <f>F25</f>
        <v>2289</v>
      </c>
      <c r="AG113" s="101">
        <f>F26</f>
        <v>2431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ht="8.35" customHeight="1" hidden="1">
      <c r="AB114" s="36"/>
      <c r="AC114" s="14">
        <f>G22</f>
        <v>1991</v>
      </c>
      <c r="AD114" s="26">
        <f>G23</f>
        <v>2452</v>
      </c>
      <c r="AE114" s="26">
        <f>G24</f>
        <v>2393</v>
      </c>
      <c r="AF114" s="15">
        <f>G25</f>
        <v>2488</v>
      </c>
      <c r="AG114" s="101">
        <f>G26</f>
        <v>2518</v>
      </c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ht="8.35" customHeight="1" hidden="1">
      <c r="AB115" s="36"/>
      <c r="AC115" t="s" s="45">
        <v>110</v>
      </c>
      <c r="AD115" t="s" s="44">
        <f>IF(AG115&lt;AE115,"declined","increased")</f>
        <v>111</v>
      </c>
      <c r="AE115" s="26">
        <f>AF113</f>
        <v>2289</v>
      </c>
      <c r="AF115" t="s" s="44">
        <v>76</v>
      </c>
      <c r="AG115" s="101">
        <f>AG113</f>
        <v>2431</v>
      </c>
      <c r="AH115" t="s" s="102">
        <f>AK110</f>
        <v>372</v>
      </c>
      <c r="AI115" t="s" s="102">
        <v>84</v>
      </c>
      <c r="AJ115" t="s" s="102">
        <f>AG94</f>
        <v>74</v>
      </c>
      <c r="AK115" t="s" s="102">
        <f>AN101</f>
        <v>91</v>
      </c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ht="8.35" customHeight="1" hidden="1">
      <c r="AB116" s="36"/>
      <c r="AC116" t="s" s="45">
        <v>112</v>
      </c>
      <c r="AD116" t="s" s="44">
        <f>IF(AG116&lt;AE116,"declined","increased")</f>
        <v>111</v>
      </c>
      <c r="AE116" s="26">
        <f>AF114</f>
        <v>2488</v>
      </c>
      <c r="AF116" t="s" s="44">
        <v>76</v>
      </c>
      <c r="AG116" s="101">
        <f>AG114</f>
        <v>2518</v>
      </c>
      <c r="AH116" t="s" s="102">
        <f>AH115</f>
        <v>372</v>
      </c>
      <c r="AI116" t="s" s="102">
        <v>113</v>
      </c>
      <c r="AJ116" t="s" s="102">
        <v>114</v>
      </c>
      <c r="AK116" t="s" s="102">
        <f>IF(AN116&lt;AL116,"down","up")</f>
        <v>108</v>
      </c>
      <c r="AL116" s="101">
        <f>AE115-AE116</f>
        <v>-199</v>
      </c>
      <c r="AM116" t="s" s="102">
        <v>76</v>
      </c>
      <c r="AN116" s="101">
        <f>AG115-AG116</f>
        <v>-87</v>
      </c>
      <c r="AO116" t="s" s="102">
        <f>AH116</f>
        <v>372</v>
      </c>
      <c r="AP116" t="s" s="102">
        <v>115</v>
      </c>
      <c r="AQ116" s="103"/>
      <c r="AR116" s="103"/>
      <c r="AS116" s="103"/>
      <c r="AT116" s="103"/>
    </row>
    <row r="117" ht="8.35" customHeight="1" hidden="1">
      <c r="AB117" s="36"/>
      <c r="AC117" t="s" s="45">
        <v>116</v>
      </c>
      <c r="AD117" s="26">
        <f>SUM(AC48:AF48)</f>
        <v>-128.865675554624</v>
      </c>
      <c r="AE117" t="s" s="44">
        <f>AH116</f>
        <v>372</v>
      </c>
      <c r="AF117" t="s" s="44">
        <v>117</v>
      </c>
      <c r="AG117" t="s" s="102">
        <f>IF(AH117&gt;0,"+","")</f>
      </c>
      <c r="AH117" s="101">
        <f>AC46+AD46+AE46+AF46+AC50+AD50+AE50+AF50</f>
        <v>-462.591079991616</v>
      </c>
      <c r="AI117" t="s" s="102">
        <f>AO116</f>
        <v>372</v>
      </c>
      <c r="AJ117" t="s" s="102">
        <v>118</v>
      </c>
      <c r="AK117" t="s" s="102">
        <v>119</v>
      </c>
      <c r="AL117" s="101">
        <f>AF65</f>
        <v>375.591079991616</v>
      </c>
      <c r="AM117" t="s" s="102">
        <f>AH116</f>
        <v>372</v>
      </c>
      <c r="AN117" t="s" s="102">
        <v>120</v>
      </c>
      <c r="AO117" s="103"/>
      <c r="AP117" s="103"/>
      <c r="AQ117" s="103"/>
      <c r="AR117" s="103"/>
      <c r="AS117" s="103"/>
      <c r="AT117" s="103"/>
    </row>
    <row r="118" ht="8.35" customHeight="1" hidden="1">
      <c r="AB118" s="36"/>
      <c r="AC118" t="s" s="45">
        <v>17</v>
      </c>
      <c r="AD118" t="s" s="44">
        <f>AD122</f>
        <v>374</v>
      </c>
      <c r="AE118" s="17"/>
      <c r="AF118" s="1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ht="8.35" customHeight="1" hidden="1">
      <c r="AB119" s="36"/>
      <c r="AC119" t="s" s="45">
        <f>AC91</f>
        <v>70</v>
      </c>
      <c r="AD119" t="s" s="44">
        <v>379</v>
      </c>
      <c r="AE119" t="s" s="44">
        <f>AK94</f>
        <v>372</v>
      </c>
      <c r="AF119" s="1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ht="8.35" customHeight="1" hidden="1">
      <c r="AB120" s="36"/>
      <c r="AC120" s="14">
        <f>-L22</f>
        <v>363</v>
      </c>
      <c r="AD120" s="26">
        <f>-L23</f>
        <v>-201.4</v>
      </c>
      <c r="AE120" s="26">
        <f>-L24</f>
        <v>60.7</v>
      </c>
      <c r="AF120" s="15">
        <f>-L25</f>
        <v>0.3</v>
      </c>
      <c r="AG120" s="101">
        <f>-L26</f>
        <v>0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ht="8.35" customHeight="1" hidden="1">
      <c r="AB121" s="36"/>
      <c r="AC121" s="14">
        <f>-M22</f>
        <v>6</v>
      </c>
      <c r="AD121" s="26">
        <f>-M23</f>
        <v>-2182.4</v>
      </c>
      <c r="AE121" s="26">
        <f>-M24</f>
        <v>0.8</v>
      </c>
      <c r="AF121" s="15">
        <f>-M25</f>
        <v>-655.8</v>
      </c>
      <c r="AG121" s="101">
        <f>-M26</f>
        <v>151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ht="8.35" customHeight="1" hidden="1">
      <c r="AB122" s="36"/>
      <c r="AC122" t="s" s="100">
        <f>AC83</f>
        <v>739</v>
      </c>
      <c r="AD122" t="s" s="44">
        <f>IF(AE122&gt;0,"paid","(raised)")</f>
        <v>374</v>
      </c>
      <c r="AE122" s="26">
        <f>SUM(AG120:AG121)</f>
        <v>151</v>
      </c>
      <c r="AF122" t="s" s="44">
        <f>AK94</f>
        <v>372</v>
      </c>
      <c r="AG122" t="s" s="102">
        <f>AF94</f>
        <v>73</v>
      </c>
      <c r="AH122" t="s" s="102">
        <f>AG94</f>
        <v>74</v>
      </c>
      <c r="AI122" t="s" s="102">
        <f>AH94</f>
        <v>75</v>
      </c>
      <c r="AJ122" s="101">
        <f>AG120</f>
        <v>0</v>
      </c>
      <c r="AK122" t="s" s="102">
        <f>AK94</f>
        <v>372</v>
      </c>
      <c r="AL122" t="s" s="102">
        <v>123</v>
      </c>
      <c r="AM122" s="101">
        <f>AG121</f>
        <v>151</v>
      </c>
      <c r="AN122" t="s" s="102">
        <f>AK94</f>
        <v>372</v>
      </c>
      <c r="AO122" t="s" s="102">
        <v>389</v>
      </c>
      <c r="AP122" t="s" s="102">
        <v>475</v>
      </c>
      <c r="AQ122" t="s" s="102">
        <f>IF(AR122&gt;0,"pay","raise")</f>
        <v>364</v>
      </c>
      <c r="AR122" s="101">
        <f>-SUM(AC66:AF66)</f>
        <v>591.4567555462399</v>
      </c>
      <c r="AS122" t="s" s="102">
        <f>AK94</f>
        <v>372</v>
      </c>
      <c r="AT122" t="s" s="102">
        <v>126</v>
      </c>
    </row>
    <row r="123" ht="8.35" customHeight="1" hidden="1">
      <c r="AB123" s="36"/>
      <c r="AC123" t="s" s="45">
        <v>375</v>
      </c>
      <c r="AD123" s="26">
        <f>AF70</f>
        <v>13526.383476736</v>
      </c>
      <c r="AE123" t="s" s="44">
        <f>AK94</f>
        <v>372</v>
      </c>
      <c r="AF123" t="s" s="44">
        <v>128</v>
      </c>
      <c r="AG123" t="s" s="102">
        <v>129</v>
      </c>
      <c r="AH123" s="101">
        <f>AF72</f>
        <v>1.12194418446409</v>
      </c>
      <c r="AI123" t="s" s="102">
        <v>130</v>
      </c>
      <c r="AJ123" t="s" s="102">
        <v>131</v>
      </c>
      <c r="AK123" t="s" s="102">
        <v>132</v>
      </c>
      <c r="AL123" s="101">
        <f>AF75</f>
        <v>23.3153140456807</v>
      </c>
      <c r="AM123" t="s" s="102">
        <v>133</v>
      </c>
      <c r="AN123" s="99">
        <f>-AD117/AD123</f>
        <v>0.00952698670537175</v>
      </c>
      <c r="AO123" t="s" s="102">
        <v>134</v>
      </c>
      <c r="AP123" s="103"/>
      <c r="AQ123" s="103"/>
      <c r="AR123" s="103"/>
      <c r="AS123" s="103"/>
      <c r="AT123" s="103"/>
    </row>
    <row r="124" ht="8.35" customHeight="1" hidden="1">
      <c r="AB124" s="36"/>
      <c r="AC124" t="s" s="45">
        <v>135</v>
      </c>
      <c r="AD124" s="26">
        <f>AF74</f>
        <v>591.4567555462399</v>
      </c>
      <c r="AE124" t="s" s="44">
        <f>AE123</f>
        <v>372</v>
      </c>
      <c r="AF124" t="s" s="44">
        <v>136</v>
      </c>
      <c r="AG124" s="101">
        <f>AD123/AD124</f>
        <v>22.869606864569</v>
      </c>
      <c r="AH124" t="s" s="102">
        <v>130</v>
      </c>
      <c r="AI124" t="s" s="102">
        <v>137</v>
      </c>
      <c r="AJ124" t="s" s="102">
        <v>138</v>
      </c>
      <c r="AK124" s="101">
        <f>AF76</f>
        <v>25</v>
      </c>
      <c r="AL124" t="s" s="102">
        <v>139</v>
      </c>
      <c r="AM124" t="s" s="102">
        <v>140</v>
      </c>
      <c r="AN124" t="s" s="102">
        <v>141</v>
      </c>
      <c r="AO124" s="99">
        <f>AI83</f>
        <v>0.0931539028216308</v>
      </c>
      <c r="AP124" t="s" s="102">
        <f>IF(AO124&gt;0,"higher","lower")</f>
        <v>363</v>
      </c>
      <c r="AQ124" t="s" s="102">
        <v>142</v>
      </c>
      <c r="AR124" s="101">
        <f>AG83</f>
        <v>233.934935203829</v>
      </c>
      <c r="AS124" t="s" s="102">
        <v>143</v>
      </c>
      <c r="AT124" s="103"/>
    </row>
    <row r="125" ht="8.35" customHeight="1" hidden="1">
      <c r="AB125" s="36"/>
      <c r="AC125" s="34"/>
      <c r="AD125" s="17"/>
      <c r="AE125" s="17"/>
      <c r="AF125" s="17"/>
      <c r="AG125" s="101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ht="8.35" customHeight="1" hidden="1">
      <c r="AB126" s="36"/>
      <c r="AC126" s="14">
        <f>AC93</f>
        <v>1443.5</v>
      </c>
      <c r="AD126" s="26">
        <f>AD93</f>
        <v>1539.6</v>
      </c>
      <c r="AE126" s="26">
        <f>AE93</f>
        <v>1534.7</v>
      </c>
      <c r="AF126" s="15">
        <f>AF93</f>
        <v>1629.3</v>
      </c>
      <c r="AG126" s="101">
        <f>AG93</f>
        <v>1788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ht="8.35" customHeight="1" hidden="1">
      <c r="AB127" s="36"/>
      <c r="AC127" s="14">
        <f>SUM(AC106:AC107)</f>
        <v>397.9</v>
      </c>
      <c r="AD127" s="26">
        <f>SUM(AD106:AD107)</f>
        <v>73.8</v>
      </c>
      <c r="AE127" s="26">
        <f>SUM(AE106:AE107)</f>
        <v>-636.4</v>
      </c>
      <c r="AF127" s="15">
        <f>SUM(AF106:AF107)</f>
        <v>-926.6</v>
      </c>
      <c r="AG127" s="101">
        <f>SUM(AG106:AG107)</f>
        <v>246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ht="8.35" customHeight="1" hidden="1">
      <c r="AB128" s="36"/>
      <c r="AC128" s="14">
        <f>SUM(AC120:AC121)</f>
        <v>369</v>
      </c>
      <c r="AD128" s="26">
        <f>SUM(AD120:AD121)</f>
        <v>-2383.8</v>
      </c>
      <c r="AE128" s="26">
        <f>SUM(AE120:AE121)</f>
        <v>61.5</v>
      </c>
      <c r="AF128" s="15">
        <f>SUM(AF120:AF121)</f>
        <v>-655.5</v>
      </c>
      <c r="AG128" s="101">
        <f>SUM(AG120:AG121)</f>
        <v>151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ht="8.35" customHeight="1" hidden="1">
      <c r="AB129" s="36"/>
      <c r="AC129" s="14">
        <f>AC113-AC114</f>
        <v>-1226</v>
      </c>
      <c r="AD129" s="26">
        <f>AD113-AD114</f>
        <v>780</v>
      </c>
      <c r="AE129" s="26">
        <f>AE113-AE114</f>
        <v>149</v>
      </c>
      <c r="AF129" s="15">
        <f>AF113-AF114</f>
        <v>-199</v>
      </c>
      <c r="AG129" s="101">
        <f>AG113-AG114</f>
        <v>-87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ht="8.35" customHeight="1" hidden="1">
      <c r="AB130" s="36"/>
      <c r="AC130" s="34"/>
      <c r="AD130" s="17"/>
      <c r="AE130" s="17"/>
      <c r="AF130" s="17"/>
      <c r="AG130" s="101">
        <f>AR124</f>
        <v>233.934935203829</v>
      </c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ht="8.35" customHeight="1" hidden="1">
      <c r="AB131" s="36"/>
      <c r="AC131" s="34"/>
      <c r="AD131" s="17"/>
      <c r="AE131" s="17"/>
      <c r="AF131" s="17"/>
      <c r="AG131" s="101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ht="8.35" customHeight="1" hidden="1">
      <c r="AB132" s="36"/>
      <c r="AC132" s="34"/>
      <c r="AD132" s="17"/>
      <c r="AE132" s="17"/>
      <c r="AF132" s="17"/>
      <c r="AG132" s="101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ht="8.35" customHeight="1" hidden="1">
      <c r="AB133" s="36"/>
      <c r="AC133" s="34"/>
      <c r="AD133" s="17"/>
      <c r="AE133" s="17"/>
      <c r="AF133" s="17"/>
      <c r="AG133" s="101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ht="8.35" customHeight="1" hidden="1">
      <c r="AB134" s="36"/>
      <c r="AC134" s="34"/>
      <c r="AD134" s="17"/>
      <c r="AE134" s="17"/>
      <c r="AF134" s="17"/>
      <c r="AG134" s="101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ht="8.35" customHeight="1" hidden="1">
      <c r="AB135" s="36"/>
      <c r="AC135" s="34"/>
      <c r="AD135" s="17"/>
      <c r="AE135" s="17"/>
      <c r="AF135" s="17"/>
      <c r="AG135" s="101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ht="8.35" customHeight="1" hidden="1">
      <c r="AB136" s="36"/>
      <c r="AC136" s="34"/>
      <c r="AD136" s="17"/>
      <c r="AE136" s="17"/>
      <c r="AF136" s="17"/>
      <c r="AG136" s="101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ht="8.35" customHeight="1" hidden="1">
      <c r="AB137" s="36"/>
      <c r="AC137" s="34"/>
      <c r="AD137" s="17"/>
      <c r="AE137" s="17"/>
      <c r="AF137" s="17"/>
      <c r="AG137" s="101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</sheetData>
  <mergeCells count="2">
    <mergeCell ref="B2:AA2"/>
    <mergeCell ref="AB36:AT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89" customWidth="1"/>
    <col min="2" max="27" width="10.4844" style="89" customWidth="1"/>
    <col min="28" max="28" width="18.9766" style="93" customWidth="1"/>
    <col min="29" max="32" width="9" style="93" customWidth="1"/>
    <col min="33" max="46" hidden="1" width="16.3333" style="93" customWidth="1"/>
    <col min="47" max="16384" width="16.3516" style="93" customWidth="1"/>
  </cols>
  <sheetData>
    <row r="1" ht="11.65" customHeight="1"/>
    <row r="2" ht="27.65" customHeight="1">
      <c r="B2" t="s" s="2">
        <v>470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3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471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90">
        <v>185</v>
      </c>
      <c r="AA3" t="s" s="3">
        <v>19</v>
      </c>
    </row>
    <row r="4" ht="20.7" customHeight="1">
      <c r="B4" s="6">
        <v>2017</v>
      </c>
      <c r="C4" s="7">
        <v>701.88</v>
      </c>
      <c r="D4" s="8">
        <v>20</v>
      </c>
      <c r="E4" s="8">
        <v>178.29</v>
      </c>
      <c r="F4" s="8">
        <v>1055</v>
      </c>
      <c r="G4" s="8">
        <v>12819</v>
      </c>
      <c r="H4" s="8">
        <v>20186</v>
      </c>
      <c r="I4" s="8">
        <v>786</v>
      </c>
      <c r="J4" s="8">
        <v>180</v>
      </c>
      <c r="K4" s="8">
        <v>-225.27</v>
      </c>
      <c r="L4" s="8">
        <v>-72.25</v>
      </c>
      <c r="M4" s="8">
        <v>17.5</v>
      </c>
      <c r="N4" s="9"/>
      <c r="O4" s="8"/>
      <c r="P4" s="55"/>
      <c r="Q4" s="55">
        <f>(E4+D4)/C4</f>
        <v>0.282512680230239</v>
      </c>
      <c r="R4" s="55"/>
      <c r="S4" s="9"/>
      <c r="T4" s="9"/>
      <c r="U4" s="9"/>
      <c r="V4" s="8">
        <f>-(L4+M4)</f>
        <v>54.75</v>
      </c>
      <c r="W4" s="9"/>
      <c r="X4" s="8">
        <f>F4-G4</f>
        <v>-11764</v>
      </c>
      <c r="Y4" s="73"/>
      <c r="Z4" s="91">
        <v>362</v>
      </c>
      <c r="AA4" s="10"/>
    </row>
    <row r="5" ht="20.7" customHeight="1">
      <c r="B5" s="13"/>
      <c r="C5" s="14">
        <v>983.3200000000001</v>
      </c>
      <c r="D5" s="15">
        <v>20</v>
      </c>
      <c r="E5" s="15">
        <v>531.21</v>
      </c>
      <c r="F5" s="15">
        <v>1146</v>
      </c>
      <c r="G5" s="15">
        <v>12974</v>
      </c>
      <c r="H5" s="15">
        <v>20890</v>
      </c>
      <c r="I5" s="15">
        <v>1056</v>
      </c>
      <c r="J5" s="15">
        <v>404</v>
      </c>
      <c r="K5" s="15">
        <v>-301.63</v>
      </c>
      <c r="L5" s="15">
        <v>-72.25</v>
      </c>
      <c r="M5" s="15">
        <v>17.5</v>
      </c>
      <c r="N5" s="17"/>
      <c r="O5" s="15"/>
      <c r="P5" s="16">
        <f>C5/C4-1</f>
        <v>0.400980224539807</v>
      </c>
      <c r="Q5" s="16">
        <f>(E5+D5)/C5</f>
        <v>0.560560143188382</v>
      </c>
      <c r="R5" s="16"/>
      <c r="S5" s="17"/>
      <c r="T5" s="17"/>
      <c r="U5" s="17"/>
      <c r="V5" s="15">
        <f>-(L5+M5)+V4</f>
        <v>109.5</v>
      </c>
      <c r="W5" s="17"/>
      <c r="X5" s="15">
        <f>F5-G5</f>
        <v>-11828</v>
      </c>
      <c r="Y5" s="24"/>
      <c r="Z5" s="91">
        <v>318</v>
      </c>
      <c r="AA5" s="18"/>
    </row>
    <row r="6" ht="20.7" customHeight="1">
      <c r="B6" s="13"/>
      <c r="C6" s="14">
        <v>1484.6</v>
      </c>
      <c r="D6" s="15">
        <v>22</v>
      </c>
      <c r="E6" s="15">
        <v>411.2</v>
      </c>
      <c r="F6" s="15">
        <v>828</v>
      </c>
      <c r="G6" s="15">
        <v>12065</v>
      </c>
      <c r="H6" s="15">
        <v>20391</v>
      </c>
      <c r="I6" s="15">
        <v>759</v>
      </c>
      <c r="J6" s="15">
        <v>173</v>
      </c>
      <c r="K6" s="15">
        <v>-354.8</v>
      </c>
      <c r="L6" s="15">
        <v>-72.25</v>
      </c>
      <c r="M6" s="15">
        <v>17.5</v>
      </c>
      <c r="N6" s="17"/>
      <c r="O6" s="15"/>
      <c r="P6" s="16">
        <f>C6/C5-1</f>
        <v>0.509783183500793</v>
      </c>
      <c r="Q6" s="16">
        <f>(E6+D6)/C6</f>
        <v>0.291795769904351</v>
      </c>
      <c r="R6" s="16"/>
      <c r="S6" s="17"/>
      <c r="T6" s="17"/>
      <c r="U6" s="17"/>
      <c r="V6" s="15">
        <f>-(L6+M6)+V5</f>
        <v>164.25</v>
      </c>
      <c r="W6" s="17"/>
      <c r="X6" s="15">
        <f>F6-G6</f>
        <v>-11237</v>
      </c>
      <c r="Y6" s="24"/>
      <c r="Z6" s="91">
        <v>378</v>
      </c>
      <c r="AA6" s="18"/>
    </row>
    <row r="7" ht="20.7" customHeight="1">
      <c r="B7" s="13"/>
      <c r="C7" s="14">
        <v>747.2</v>
      </c>
      <c r="D7" s="15">
        <v>24</v>
      </c>
      <c r="E7" s="15">
        <v>264.3</v>
      </c>
      <c r="F7" s="15">
        <v>718</v>
      </c>
      <c r="G7" s="15">
        <v>12155</v>
      </c>
      <c r="H7" s="15">
        <v>20728</v>
      </c>
      <c r="I7" s="15">
        <v>845</v>
      </c>
      <c r="J7" s="15">
        <v>470</v>
      </c>
      <c r="K7" s="15">
        <v>-600.6</v>
      </c>
      <c r="L7" s="15">
        <v>-72.25</v>
      </c>
      <c r="M7" s="15">
        <v>17.5</v>
      </c>
      <c r="N7" s="17"/>
      <c r="O7" s="15"/>
      <c r="P7" s="16">
        <f>C7/C6-1</f>
        <v>-0.49669944766267</v>
      </c>
      <c r="Q7" s="16">
        <f>(E7+D7)/C7</f>
        <v>0.385840471092077</v>
      </c>
      <c r="R7" s="16"/>
      <c r="S7" s="17"/>
      <c r="T7" s="17"/>
      <c r="U7" s="17"/>
      <c r="V7" s="15">
        <f>-(L7+M7)+V6</f>
        <v>219</v>
      </c>
      <c r="W7" s="17"/>
      <c r="X7" s="15">
        <f>F7-G7</f>
        <v>-11437</v>
      </c>
      <c r="Y7" s="24"/>
      <c r="Z7" s="91">
        <v>356</v>
      </c>
      <c r="AA7" s="18"/>
    </row>
    <row r="8" ht="20.7" customHeight="1">
      <c r="B8" s="21">
        <v>2018</v>
      </c>
      <c r="C8" s="14">
        <v>1014.52</v>
      </c>
      <c r="D8" s="15">
        <v>24</v>
      </c>
      <c r="E8" s="15">
        <v>299.53</v>
      </c>
      <c r="F8" s="15">
        <v>752</v>
      </c>
      <c r="G8" s="15">
        <v>12120</v>
      </c>
      <c r="H8" s="15">
        <v>20992</v>
      </c>
      <c r="I8" s="15">
        <v>942</v>
      </c>
      <c r="J8" s="15">
        <v>403</v>
      </c>
      <c r="K8" s="15">
        <v>-313.3</v>
      </c>
      <c r="L8" s="15">
        <v>-93</v>
      </c>
      <c r="M8" s="15">
        <v>0</v>
      </c>
      <c r="N8" s="15">
        <f>SUM(C5:C8)/4</f>
        <v>1057.41</v>
      </c>
      <c r="O8" s="15"/>
      <c r="P8" s="16">
        <f>C8/C7-1</f>
        <v>0.357762312633833</v>
      </c>
      <c r="Q8" s="16">
        <f>(E8+D8)/C8</f>
        <v>0.318899578125616</v>
      </c>
      <c r="R8" s="16">
        <f>AVERAGE(Q3:Q8)</f>
        <v>0.367921728508133</v>
      </c>
      <c r="S8" s="17"/>
      <c r="T8" s="15">
        <f>SUM(J5:K8)/4</f>
        <v>-30.0825</v>
      </c>
      <c r="U8" s="17"/>
      <c r="V8" s="15">
        <f>-(L8+M8)+V7</f>
        <v>312</v>
      </c>
      <c r="W8" s="17"/>
      <c r="X8" s="15">
        <f>F8-G8</f>
        <v>-11368</v>
      </c>
      <c r="Y8" s="24"/>
      <c r="Z8" s="91">
        <v>378</v>
      </c>
      <c r="AA8" s="18"/>
    </row>
    <row r="9" ht="20.7" customHeight="1">
      <c r="B9" s="13"/>
      <c r="C9" s="14">
        <v>1182.08</v>
      </c>
      <c r="D9" s="15">
        <v>20</v>
      </c>
      <c r="E9" s="15">
        <v>218.17</v>
      </c>
      <c r="F9" s="15">
        <v>676</v>
      </c>
      <c r="G9" s="15">
        <v>11892</v>
      </c>
      <c r="H9" s="15">
        <v>20986</v>
      </c>
      <c r="I9" s="15">
        <v>785</v>
      </c>
      <c r="J9" s="15">
        <v>306</v>
      </c>
      <c r="K9" s="15">
        <v>-225.7</v>
      </c>
      <c r="L9" s="15">
        <v>-93</v>
      </c>
      <c r="M9" s="15">
        <v>0</v>
      </c>
      <c r="N9" s="15">
        <f>SUM(C6:C9)/4</f>
        <v>1107.1</v>
      </c>
      <c r="O9" s="15"/>
      <c r="P9" s="16">
        <f>C9/C8-1</f>
        <v>0.165161849938887</v>
      </c>
      <c r="Q9" s="16">
        <f>(E9+D9)/C9</f>
        <v>0.201483825121819</v>
      </c>
      <c r="R9" s="16">
        <f>AVERAGE(Q3:Q9)</f>
        <v>0.340182077943747</v>
      </c>
      <c r="S9" s="17"/>
      <c r="T9" s="15">
        <f>SUM(J6:K9)/4</f>
        <v>-35.6</v>
      </c>
      <c r="U9" s="17"/>
      <c r="V9" s="15">
        <f>-(L9+M9)+V8</f>
        <v>405</v>
      </c>
      <c r="W9" s="17"/>
      <c r="X9" s="15">
        <f>F9-G9</f>
        <v>-11216</v>
      </c>
      <c r="Y9" s="24"/>
      <c r="Z9" s="91">
        <v>328</v>
      </c>
      <c r="AA9" s="18"/>
    </row>
    <row r="10" ht="20.7" customHeight="1">
      <c r="B10" s="13"/>
      <c r="C10" s="14">
        <v>1006.4</v>
      </c>
      <c r="D10" s="15">
        <v>21</v>
      </c>
      <c r="E10" s="15">
        <v>121</v>
      </c>
      <c r="F10" s="15">
        <v>563</v>
      </c>
      <c r="G10" s="15">
        <v>11811</v>
      </c>
      <c r="H10" s="15">
        <v>21028</v>
      </c>
      <c r="I10" s="15">
        <v>738</v>
      </c>
      <c r="J10" s="15">
        <v>126</v>
      </c>
      <c r="K10" s="15">
        <v>-203.9</v>
      </c>
      <c r="L10" s="15">
        <v>-93</v>
      </c>
      <c r="M10" s="15">
        <v>0</v>
      </c>
      <c r="N10" s="15">
        <f>SUM(C7:C10)/4</f>
        <v>987.55</v>
      </c>
      <c r="O10" s="15"/>
      <c r="P10" s="16">
        <f>C10/C9-1</f>
        <v>-0.148619382782891</v>
      </c>
      <c r="Q10" s="16">
        <f>(E10+D10)/C10</f>
        <v>0.141096979332273</v>
      </c>
      <c r="R10" s="16">
        <f>AVERAGE(Q3:Q10)</f>
        <v>0.31174134957068</v>
      </c>
      <c r="S10" s="17"/>
      <c r="T10" s="15">
        <f>SUM(J7:K10)/4</f>
        <v>-9.625</v>
      </c>
      <c r="U10" s="17"/>
      <c r="V10" s="15">
        <f>-(L10+M10)+V9</f>
        <v>498</v>
      </c>
      <c r="W10" s="17"/>
      <c r="X10" s="15">
        <f>F10-G10</f>
        <v>-11248</v>
      </c>
      <c r="Y10" s="24"/>
      <c r="Z10" s="91">
        <v>286</v>
      </c>
      <c r="AA10" s="18"/>
    </row>
    <row r="11" ht="20.7" customHeight="1">
      <c r="B11" s="13"/>
      <c r="C11" s="14">
        <v>772.2</v>
      </c>
      <c r="D11" s="15">
        <v>22</v>
      </c>
      <c r="E11" s="15">
        <v>331.8</v>
      </c>
      <c r="F11" s="15">
        <v>459</v>
      </c>
      <c r="G11" s="15">
        <v>11340</v>
      </c>
      <c r="H11" s="15">
        <v>20891</v>
      </c>
      <c r="I11" s="15">
        <v>503</v>
      </c>
      <c r="J11" s="15">
        <v>-45</v>
      </c>
      <c r="K11" s="15">
        <v>46.2</v>
      </c>
      <c r="L11" s="15">
        <v>-93</v>
      </c>
      <c r="M11" s="15">
        <v>0</v>
      </c>
      <c r="N11" s="15">
        <f>SUM(C8:C11)/4</f>
        <v>993.8</v>
      </c>
      <c r="O11" s="15"/>
      <c r="P11" s="16">
        <f>C11/C10-1</f>
        <v>-0.232710651828299</v>
      </c>
      <c r="Q11" s="16">
        <f>(E11+D11)/C11</f>
        <v>0.458171458171458</v>
      </c>
      <c r="R11" s="16">
        <f>AVERAGE(Q3:Q11)</f>
        <v>0.330045113145777</v>
      </c>
      <c r="S11" s="17"/>
      <c r="T11" s="15">
        <f>SUM(J8:K11)/4</f>
        <v>23.325</v>
      </c>
      <c r="U11" s="17"/>
      <c r="V11" s="15">
        <f>-(L11+M11)+V10</f>
        <v>591</v>
      </c>
      <c r="W11" s="17"/>
      <c r="X11" s="15">
        <f>F11-G11</f>
        <v>-10881</v>
      </c>
      <c r="Y11" s="24"/>
      <c r="Z11" s="91">
        <v>312</v>
      </c>
      <c r="AA11" s="18"/>
    </row>
    <row r="12" ht="20.7" customHeight="1">
      <c r="B12" s="21">
        <v>2019</v>
      </c>
      <c r="C12" s="14">
        <v>685.1</v>
      </c>
      <c r="D12" s="15">
        <v>24</v>
      </c>
      <c r="E12" s="15">
        <v>158.1</v>
      </c>
      <c r="F12" s="15">
        <v>469</v>
      </c>
      <c r="G12" s="15">
        <v>11394</v>
      </c>
      <c r="H12" s="15">
        <v>21105</v>
      </c>
      <c r="I12" s="15">
        <v>593</v>
      </c>
      <c r="J12" s="15">
        <v>55</v>
      </c>
      <c r="K12" s="15">
        <v>-52.7</v>
      </c>
      <c r="L12" s="15">
        <v>86.25</v>
      </c>
      <c r="M12" s="15">
        <v>0</v>
      </c>
      <c r="N12" s="15">
        <f>SUM(C9:C12)/4</f>
        <v>911.4450000000001</v>
      </c>
      <c r="O12" s="15"/>
      <c r="P12" s="16">
        <f>C12/C11-1</f>
        <v>-0.112794612794613</v>
      </c>
      <c r="Q12" s="16">
        <f>(E12+D12)/C12</f>
        <v>0.26580061304919</v>
      </c>
      <c r="R12" s="16">
        <f>AVERAGE(Q3:Q12)</f>
        <v>0.322906835357267</v>
      </c>
      <c r="S12" s="17"/>
      <c r="T12" s="15">
        <f>SUM(J9:K12)/4</f>
        <v>1.475</v>
      </c>
      <c r="U12" s="17"/>
      <c r="V12" s="15">
        <f>-(L12+M12)+V11</f>
        <v>504.75</v>
      </c>
      <c r="W12" s="17"/>
      <c r="X12" s="15">
        <f>F12-G12</f>
        <v>-10925</v>
      </c>
      <c r="Y12" s="24"/>
      <c r="Z12" s="91">
        <v>310</v>
      </c>
      <c r="AA12" s="18"/>
    </row>
    <row r="13" ht="20.7" customHeight="1">
      <c r="B13" s="13"/>
      <c r="C13" s="14">
        <v>597.9</v>
      </c>
      <c r="D13" s="15">
        <v>25</v>
      </c>
      <c r="E13" s="15">
        <v>-7.7</v>
      </c>
      <c r="F13" s="15">
        <v>1108</v>
      </c>
      <c r="G13" s="15">
        <v>11890</v>
      </c>
      <c r="H13" s="15">
        <v>21596</v>
      </c>
      <c r="I13" s="15">
        <v>879</v>
      </c>
      <c r="J13" s="15">
        <v>192</v>
      </c>
      <c r="K13" s="15">
        <v>-92.8</v>
      </c>
      <c r="L13" s="15">
        <v>86.25</v>
      </c>
      <c r="M13" s="15">
        <v>0</v>
      </c>
      <c r="N13" s="15">
        <f>SUM(C10:C13)/4</f>
        <v>765.4</v>
      </c>
      <c r="O13" s="15"/>
      <c r="P13" s="16">
        <f>C13/C12-1</f>
        <v>-0.127280688950518</v>
      </c>
      <c r="Q13" s="16">
        <f>(E13+D13)/C13</f>
        <v>0.0289346044489045</v>
      </c>
      <c r="R13" s="16">
        <f>AVERAGE(Q3:Q13)</f>
        <v>0.293509612266431</v>
      </c>
      <c r="S13" s="17"/>
      <c r="T13" s="15">
        <f>SUM(J10:K13)/4</f>
        <v>6.2</v>
      </c>
      <c r="U13" s="17"/>
      <c r="V13" s="15">
        <f>-(L13+M13)+V12</f>
        <v>418.5</v>
      </c>
      <c r="W13" s="17"/>
      <c r="X13" s="15">
        <f>F13-G13</f>
        <v>-10782</v>
      </c>
      <c r="Y13" s="24"/>
      <c r="Z13" s="91">
        <v>340</v>
      </c>
      <c r="AA13" s="18"/>
    </row>
    <row r="14" ht="20.7" customHeight="1">
      <c r="B14" s="13"/>
      <c r="C14" s="14">
        <v>677.4</v>
      </c>
      <c r="D14" s="15">
        <v>27</v>
      </c>
      <c r="E14" s="15">
        <v>48.1</v>
      </c>
      <c r="F14" s="15">
        <v>1086</v>
      </c>
      <c r="G14" s="15">
        <v>12050</v>
      </c>
      <c r="H14" s="15">
        <v>21806</v>
      </c>
      <c r="I14" s="15">
        <v>819</v>
      </c>
      <c r="J14" s="15">
        <v>386</v>
      </c>
      <c r="K14" s="15">
        <v>-272.1</v>
      </c>
      <c r="L14" s="15">
        <v>86.25</v>
      </c>
      <c r="M14" s="15">
        <v>0</v>
      </c>
      <c r="N14" s="15">
        <f>SUM(C11:C14)/4</f>
        <v>683.15</v>
      </c>
      <c r="O14" s="15"/>
      <c r="P14" s="16">
        <f>C14/C13-1</f>
        <v>0.132965378825891</v>
      </c>
      <c r="Q14" s="16">
        <f>(E14+D14)/C14</f>
        <v>0.1108650723354</v>
      </c>
      <c r="R14" s="16">
        <f>AVERAGE(Q3:Q14)</f>
        <v>0.276905563181792</v>
      </c>
      <c r="S14" s="17"/>
      <c r="T14" s="15">
        <f>SUM(J11:K14)/4</f>
        <v>54.15</v>
      </c>
      <c r="U14" s="17"/>
      <c r="V14" s="15">
        <f>-(L14+M14)+V13</f>
        <v>332.25</v>
      </c>
      <c r="W14" s="17"/>
      <c r="X14" s="15">
        <f>F14-G14</f>
        <v>-10964</v>
      </c>
      <c r="Y14" s="24"/>
      <c r="Z14" s="91">
        <v>290</v>
      </c>
      <c r="AA14" s="18"/>
    </row>
    <row r="15" ht="20.35" customHeight="1">
      <c r="B15" s="13"/>
      <c r="C15" s="14">
        <v>1515.2</v>
      </c>
      <c r="D15" s="15">
        <v>27</v>
      </c>
      <c r="E15" s="15">
        <v>814.4</v>
      </c>
      <c r="F15" s="15">
        <v>1209</v>
      </c>
      <c r="G15" s="15">
        <v>11332</v>
      </c>
      <c r="H15" s="15">
        <v>21894</v>
      </c>
      <c r="I15" s="15">
        <v>1092</v>
      </c>
      <c r="J15" s="15">
        <v>372</v>
      </c>
      <c r="K15" s="15">
        <v>-176.4</v>
      </c>
      <c r="L15" s="15">
        <v>86.25</v>
      </c>
      <c r="M15" s="15">
        <v>0</v>
      </c>
      <c r="N15" s="15">
        <f>SUM(C12:C15)/4</f>
        <v>868.9</v>
      </c>
      <c r="O15" s="15">
        <v>724.5</v>
      </c>
      <c r="P15" s="16">
        <f>C15/C14-1</f>
        <v>1.23678771774432</v>
      </c>
      <c r="Q15" s="16">
        <f>(E15+D15)/C15</f>
        <v>0.555306230200634</v>
      </c>
      <c r="R15" s="16">
        <f>AVERAGE(Q3:Q15)</f>
        <v>0.300105618766695</v>
      </c>
      <c r="S15" s="17"/>
      <c r="T15" s="15">
        <f>SUM(J12:K15)/4</f>
        <v>102.75</v>
      </c>
      <c r="U15" s="17"/>
      <c r="V15" s="15">
        <f>-(L15+M15)+V14</f>
        <v>246</v>
      </c>
      <c r="W15" s="17"/>
      <c r="X15" s="15">
        <f>F15-G15</f>
        <v>-10123</v>
      </c>
      <c r="Y15" s="24"/>
      <c r="Z15" s="92">
        <v>238</v>
      </c>
      <c r="AA15" s="18"/>
    </row>
    <row r="16" ht="20.05" customHeight="1">
      <c r="B16" s="21">
        <v>2020</v>
      </c>
      <c r="C16" s="14">
        <v>300</v>
      </c>
      <c r="D16" s="15">
        <v>1198</v>
      </c>
      <c r="E16" s="15">
        <v>-1374</v>
      </c>
      <c r="F16" s="15">
        <v>2139</v>
      </c>
      <c r="G16" s="15">
        <v>13665</v>
      </c>
      <c r="H16" s="15">
        <v>22853</v>
      </c>
      <c r="I16" s="15">
        <v>519</v>
      </c>
      <c r="J16" s="15">
        <v>26</v>
      </c>
      <c r="K16" s="15">
        <v>-100</v>
      </c>
      <c r="L16" s="15">
        <v>-131.75</v>
      </c>
      <c r="M16" s="15">
        <v>0</v>
      </c>
      <c r="N16" s="15">
        <f>SUM(C13:C16)/4</f>
        <v>772.625</v>
      </c>
      <c r="O16" s="15">
        <v>742</v>
      </c>
      <c r="P16" s="16">
        <f>C16/C15-1</f>
        <v>-0.802006335797254</v>
      </c>
      <c r="Q16" s="16">
        <f>(E16+D16)/C16</f>
        <v>-0.586666666666667</v>
      </c>
      <c r="R16" s="16">
        <f>AVERAGE(Q3:Q16)</f>
        <v>0.231892366041052</v>
      </c>
      <c r="S16" s="17"/>
      <c r="T16" s="15">
        <f>SUM(J13:K16)/4</f>
        <v>83.675</v>
      </c>
      <c r="U16" s="17"/>
      <c r="V16" s="15">
        <f>-(L16+M16)+V15</f>
        <v>377.75</v>
      </c>
      <c r="W16" s="17"/>
      <c r="X16" s="15">
        <f>F16-G16</f>
        <v>-11526</v>
      </c>
      <c r="Y16" s="24"/>
      <c r="Z16" s="18">
        <v>104</v>
      </c>
      <c r="AA16" s="18"/>
    </row>
    <row r="17" ht="20.05" customHeight="1">
      <c r="B17" s="13"/>
      <c r="C17" s="14">
        <v>619</v>
      </c>
      <c r="D17" s="15">
        <v>-873</v>
      </c>
      <c r="E17" s="15">
        <v>857</v>
      </c>
      <c r="F17" s="15">
        <v>888</v>
      </c>
      <c r="G17" s="15">
        <v>11523</v>
      </c>
      <c r="H17" s="15">
        <v>21431</v>
      </c>
      <c r="I17" s="15">
        <v>522</v>
      </c>
      <c r="J17" s="15">
        <v>-244</v>
      </c>
      <c r="K17" s="15">
        <v>-40</v>
      </c>
      <c r="L17" s="15">
        <v>-131.75</v>
      </c>
      <c r="M17" s="15">
        <v>0</v>
      </c>
      <c r="N17" s="15">
        <f>SUM(C14:C17)/4</f>
        <v>777.9</v>
      </c>
      <c r="O17" s="15">
        <v>776.75</v>
      </c>
      <c r="P17" s="16">
        <f>C17/C16-1</f>
        <v>1.06333333333333</v>
      </c>
      <c r="Q17" s="16">
        <f>(E17+D17)/C17</f>
        <v>-0.0258481421647819</v>
      </c>
      <c r="R17" s="16">
        <f>AVERAGE(Q3:Q17)</f>
        <v>0.213482329740635</v>
      </c>
      <c r="S17" s="17"/>
      <c r="T17" s="15">
        <f>SUM(J14:K17)/4</f>
        <v>-12.125</v>
      </c>
      <c r="U17" s="17"/>
      <c r="V17" s="15">
        <f>-(L17+M17)+V16</f>
        <v>509.5</v>
      </c>
      <c r="W17" s="17"/>
      <c r="X17" s="15">
        <f>F17-G17</f>
        <v>-10635</v>
      </c>
      <c r="Y17" s="24"/>
      <c r="Z17" s="18">
        <v>129</v>
      </c>
      <c r="AA17" s="18"/>
    </row>
    <row r="18" ht="20.05" customHeight="1">
      <c r="B18" s="13"/>
      <c r="C18" s="14">
        <v>184</v>
      </c>
      <c r="D18" s="15">
        <v>271</v>
      </c>
      <c r="E18" s="15">
        <v>-467</v>
      </c>
      <c r="F18" s="15">
        <v>960</v>
      </c>
      <c r="G18" s="15">
        <v>12233</v>
      </c>
      <c r="H18" s="15">
        <v>21673</v>
      </c>
      <c r="I18" s="15">
        <v>503</v>
      </c>
      <c r="J18" s="15">
        <v>141</v>
      </c>
      <c r="K18" s="15">
        <v>-43</v>
      </c>
      <c r="L18" s="15">
        <v>-131.75</v>
      </c>
      <c r="M18" s="15">
        <v>0</v>
      </c>
      <c r="N18" s="15">
        <f>SUM(C15:C18)/4</f>
        <v>654.55</v>
      </c>
      <c r="O18" s="15">
        <v>772.35</v>
      </c>
      <c r="P18" s="16">
        <f>C18/C17-1</f>
        <v>-0.702746365105008</v>
      </c>
      <c r="Q18" s="16">
        <f>(E18+D18)/C18</f>
        <v>-1.06521739130435</v>
      </c>
      <c r="R18" s="16">
        <f>AVERAGE(Q3:Q18)</f>
        <v>0.12823568167097</v>
      </c>
      <c r="S18" s="17"/>
      <c r="T18" s="15">
        <f>SUM(J15:K18)/4</f>
        <v>-16.1</v>
      </c>
      <c r="U18" s="17"/>
      <c r="V18" s="15">
        <f>-(L18+M18)+V17</f>
        <v>641.25</v>
      </c>
      <c r="W18" s="17"/>
      <c r="X18" s="15">
        <f>F18-G18</f>
        <v>-11273</v>
      </c>
      <c r="Y18" s="24"/>
      <c r="Z18" s="18">
        <v>111</v>
      </c>
      <c r="AA18" s="18"/>
    </row>
    <row r="19" ht="20.05" customHeight="1">
      <c r="B19" s="13"/>
      <c r="C19" s="14">
        <v>310.25</v>
      </c>
      <c r="D19" s="15">
        <v>-293.21</v>
      </c>
      <c r="E19" s="15">
        <v>-54.77</v>
      </c>
      <c r="F19" s="15">
        <v>625</v>
      </c>
      <c r="G19" s="15">
        <v>11841</v>
      </c>
      <c r="H19" s="15">
        <v>21227</v>
      </c>
      <c r="I19" s="15">
        <v>473.5</v>
      </c>
      <c r="J19" s="15">
        <v>-301.1</v>
      </c>
      <c r="K19" s="15">
        <v>35.1</v>
      </c>
      <c r="L19" s="15">
        <v>-131.75</v>
      </c>
      <c r="M19" s="15">
        <v>0</v>
      </c>
      <c r="N19" s="15">
        <f>SUM(C16:C19)/4</f>
        <v>353.3125</v>
      </c>
      <c r="O19" s="15">
        <v>721.85</v>
      </c>
      <c r="P19" s="16">
        <f>C19/C18-1</f>
        <v>0.6861413043478261</v>
      </c>
      <c r="Q19" s="16">
        <f>(E19+D19)/C19</f>
        <v>-1.12161160354553</v>
      </c>
      <c r="R19" s="16">
        <f>AVERAGE(Q16:Q19)</f>
        <v>-0.699835950920332</v>
      </c>
      <c r="S19" s="17"/>
      <c r="T19" s="15">
        <f>SUM(J16:K19)/4</f>
        <v>-131.5</v>
      </c>
      <c r="U19" s="17"/>
      <c r="V19" s="15">
        <f>-(L19+M19)+V18</f>
        <v>773</v>
      </c>
      <c r="W19" s="17"/>
      <c r="X19" s="15">
        <f>F19-G19</f>
        <v>-11216</v>
      </c>
      <c r="Y19" s="24"/>
      <c r="Z19" s="18">
        <v>242</v>
      </c>
      <c r="AA19" s="18"/>
    </row>
    <row r="20" ht="20.05" customHeight="1">
      <c r="B20" s="21">
        <v>2021</v>
      </c>
      <c r="C20" s="14">
        <v>467.6</v>
      </c>
      <c r="D20" s="15">
        <v>196.6</v>
      </c>
      <c r="E20" s="15">
        <v>-313.4</v>
      </c>
      <c r="F20" s="15">
        <v>770.188</v>
      </c>
      <c r="G20" s="15">
        <v>12379</v>
      </c>
      <c r="H20" s="15">
        <v>21451</v>
      </c>
      <c r="I20" s="15">
        <v>575.7</v>
      </c>
      <c r="J20" s="15">
        <v>179.8</v>
      </c>
      <c r="K20" s="15">
        <v>3.6</v>
      </c>
      <c r="L20" s="15">
        <v>-46.576</v>
      </c>
      <c r="M20" s="15">
        <v>0</v>
      </c>
      <c r="N20" s="15">
        <f>SUM(C17:C20)/4</f>
        <v>395.2125</v>
      </c>
      <c r="O20" s="15">
        <v>616.796875</v>
      </c>
      <c r="P20" s="16">
        <f>C20/C19-1</f>
        <v>0.5071716357775991</v>
      </c>
      <c r="Q20" s="16">
        <f>(E20+D20)/C20</f>
        <v>-0.249786142001711</v>
      </c>
      <c r="R20" s="16">
        <f>AVERAGE(Q17:Q20)</f>
        <v>-0.615615819754093</v>
      </c>
      <c r="S20" s="17"/>
      <c r="T20" s="15">
        <f>SUM(J17:K20)/4</f>
        <v>-67.15000000000001</v>
      </c>
      <c r="U20" s="17"/>
      <c r="V20" s="15">
        <f>-(L20+M20)+V19</f>
        <v>819.576</v>
      </c>
      <c r="W20" s="17"/>
      <c r="X20" s="15">
        <f>F20-G20</f>
        <v>-11608.812</v>
      </c>
      <c r="Y20" s="15"/>
      <c r="Z20" s="15">
        <v>212</v>
      </c>
      <c r="AA20" s="15"/>
    </row>
    <row r="21" ht="20.05" customHeight="1">
      <c r="B21" s="13"/>
      <c r="C21" s="14">
        <v>642.2</v>
      </c>
      <c r="D21" s="15">
        <v>-13.2</v>
      </c>
      <c r="E21" s="15">
        <v>65.3</v>
      </c>
      <c r="F21" s="15">
        <v>700</v>
      </c>
      <c r="G21" s="15">
        <v>12331</v>
      </c>
      <c r="H21" s="15">
        <v>21468</v>
      </c>
      <c r="I21" s="15">
        <v>830.9</v>
      </c>
      <c r="J21" s="15">
        <v>74.5</v>
      </c>
      <c r="K21" s="15">
        <v>-89.90000000000001</v>
      </c>
      <c r="L21" s="15">
        <v>-54.219</v>
      </c>
      <c r="M21" s="15">
        <v>0</v>
      </c>
      <c r="N21" s="15">
        <f>SUM(C18:C21)/4</f>
        <v>401.0125</v>
      </c>
      <c r="O21" s="15">
        <v>509.939875</v>
      </c>
      <c r="P21" s="16">
        <f>C21/C20-1</f>
        <v>0.373396065012831</v>
      </c>
      <c r="Q21" s="16">
        <f>(E21+D21)/C21</f>
        <v>0.0811273746496419</v>
      </c>
      <c r="R21" s="16">
        <f>AVERAGE(Q18:Q21)</f>
        <v>-0.588871940550487</v>
      </c>
      <c r="S21" s="17"/>
      <c r="T21" s="15">
        <f>SUM(J18:K21)/4</f>
        <v>0</v>
      </c>
      <c r="U21" s="17"/>
      <c r="V21" s="15">
        <f>-(L21+M21)+V20</f>
        <v>873.795</v>
      </c>
      <c r="W21" s="17"/>
      <c r="X21" s="15">
        <f>F21-G21</f>
        <v>-11631</v>
      </c>
      <c r="Y21" s="15"/>
      <c r="Z21" s="15">
        <v>160</v>
      </c>
      <c r="AA21" s="15"/>
    </row>
    <row r="22" ht="20.05" customHeight="1">
      <c r="B22" s="13"/>
      <c r="C22" s="14">
        <v>662.1</v>
      </c>
      <c r="D22" s="15">
        <v>-32.2</v>
      </c>
      <c r="E22" s="15">
        <v>105.5</v>
      </c>
      <c r="F22" s="15">
        <v>837</v>
      </c>
      <c r="G22" s="15">
        <v>12459</v>
      </c>
      <c r="H22" s="15">
        <v>21701</v>
      </c>
      <c r="I22" s="15">
        <v>828.4</v>
      </c>
      <c r="J22" s="15">
        <v>423.3</v>
      </c>
      <c r="K22" s="15">
        <v>-118.7</v>
      </c>
      <c r="L22" s="15">
        <v>-165.604</v>
      </c>
      <c r="M22" s="15">
        <v>0</v>
      </c>
      <c r="N22" s="15">
        <f>SUM(C19:C22)/4</f>
        <v>520.5375</v>
      </c>
      <c r="O22" s="15">
        <v>497.928875</v>
      </c>
      <c r="P22" s="16">
        <f>C22/C21-1</f>
        <v>0.0309872313920897</v>
      </c>
      <c r="Q22" s="16">
        <f>(E22+D22)/C22</f>
        <v>0.110708352212657</v>
      </c>
      <c r="R22" s="16">
        <f>AVERAGE(Q19:Q22)</f>
        <v>-0.294890504671236</v>
      </c>
      <c r="S22" s="17"/>
      <c r="T22" s="15">
        <f>SUM(J19:K22)/4</f>
        <v>51.65</v>
      </c>
      <c r="U22" s="17"/>
      <c r="V22" s="15">
        <f>-(L22+M22)+V21</f>
        <v>1039.399</v>
      </c>
      <c r="W22" s="17"/>
      <c r="X22" s="15">
        <f>F22-G22</f>
        <v>-11622</v>
      </c>
      <c r="Y22" s="15"/>
      <c r="Z22" s="15">
        <v>169</v>
      </c>
      <c r="AA22" s="15"/>
    </row>
    <row r="23" ht="20.05" customHeight="1">
      <c r="B23" s="13"/>
      <c r="C23" s="14">
        <v>1075.4</v>
      </c>
      <c r="D23" s="15">
        <v>48</v>
      </c>
      <c r="E23" s="15">
        <v>285.5</v>
      </c>
      <c r="F23" s="15">
        <v>991</v>
      </c>
      <c r="G23" s="15">
        <v>12398</v>
      </c>
      <c r="H23" s="15">
        <v>21934</v>
      </c>
      <c r="I23" s="15">
        <v>1030.1</v>
      </c>
      <c r="J23" s="15">
        <v>352</v>
      </c>
      <c r="K23" s="15">
        <v>-158.4</v>
      </c>
      <c r="L23" s="15">
        <v>-38.8</v>
      </c>
      <c r="M23" s="15">
        <v>0</v>
      </c>
      <c r="N23" s="15">
        <f>SUM(C20:C23)/4</f>
        <v>711.825</v>
      </c>
      <c r="O23" s="15">
        <v>566.8351249999999</v>
      </c>
      <c r="P23" s="16">
        <f>C23/C22-1</f>
        <v>0.624225947742033</v>
      </c>
      <c r="Q23" s="16">
        <f>(E23+D23)/C23</f>
        <v>0.310117165705784</v>
      </c>
      <c r="R23" s="16">
        <f>AVERAGE(Q20:Q23)</f>
        <v>0.063041687641593</v>
      </c>
      <c r="S23" s="17"/>
      <c r="T23" s="15">
        <f>SUM(J20:K23)/4</f>
        <v>166.55</v>
      </c>
      <c r="U23" s="17"/>
      <c r="V23" s="15">
        <f>-(L23+M23)+V22</f>
        <v>1078.199</v>
      </c>
      <c r="W23" s="17"/>
      <c r="X23" s="15">
        <f>F23-G23</f>
        <v>-11407</v>
      </c>
      <c r="Y23" s="15"/>
      <c r="Z23" s="15">
        <v>162</v>
      </c>
      <c r="AA23" s="15"/>
    </row>
    <row r="24" ht="20.05" customHeight="1">
      <c r="B24" s="21">
        <v>2022</v>
      </c>
      <c r="C24" s="14">
        <v>947.2</v>
      </c>
      <c r="D24" s="15">
        <v>57</v>
      </c>
      <c r="E24" s="15">
        <v>137</v>
      </c>
      <c r="F24" s="15">
        <v>1259</v>
      </c>
      <c r="G24" s="15">
        <v>12441</v>
      </c>
      <c r="H24" s="15">
        <v>22116</v>
      </c>
      <c r="I24" s="15">
        <v>814.9</v>
      </c>
      <c r="J24" s="15">
        <v>431.7</v>
      </c>
      <c r="K24" s="15">
        <v>-126.4</v>
      </c>
      <c r="L24" s="15">
        <v>-38.7</v>
      </c>
      <c r="M24" s="15">
        <v>0</v>
      </c>
      <c r="N24" s="15">
        <f>SUM(C21:C24)/4</f>
        <v>831.725</v>
      </c>
      <c r="O24" s="15">
        <v>754.55375</v>
      </c>
      <c r="P24" s="16">
        <f>C24/C23-1</f>
        <v>-0.119211456202343</v>
      </c>
      <c r="Q24" s="16">
        <f>(E24+D24)/C24</f>
        <v>0.204814189189189</v>
      </c>
      <c r="R24" s="16">
        <f>AVERAGE(Q21:Q24)</f>
        <v>0.176691770439318</v>
      </c>
      <c r="S24" s="16"/>
      <c r="T24" s="15">
        <f>SUM(J21:K24)/4</f>
        <v>197.025</v>
      </c>
      <c r="U24" s="15"/>
      <c r="V24" s="15">
        <f>-(L24+M24)+V23</f>
        <v>1116.899</v>
      </c>
      <c r="W24" s="15"/>
      <c r="X24" s="15">
        <f>F24-G24</f>
        <v>-11182</v>
      </c>
      <c r="Y24" s="15"/>
      <c r="Z24" s="15">
        <v>170</v>
      </c>
      <c r="AA24" s="15"/>
    </row>
    <row r="25" ht="20.05" customHeight="1">
      <c r="B25" s="13"/>
      <c r="C25" s="14">
        <v>1006.7</v>
      </c>
      <c r="D25" s="15">
        <v>-178.9</v>
      </c>
      <c r="E25" s="15">
        <v>81.5</v>
      </c>
      <c r="F25" s="15">
        <v>1254</v>
      </c>
      <c r="G25" s="15">
        <v>12082</v>
      </c>
      <c r="H25" s="15">
        <v>21840</v>
      </c>
      <c r="I25" s="15">
        <v>1023.3</v>
      </c>
      <c r="J25" s="15">
        <v>102.8</v>
      </c>
      <c r="K25" s="15">
        <v>-93.90000000000001</v>
      </c>
      <c r="L25" s="15">
        <v>-22.1</v>
      </c>
      <c r="M25" s="15">
        <v>0</v>
      </c>
      <c r="N25" s="15">
        <f>SUM(C22:C25)/4</f>
        <v>922.85</v>
      </c>
      <c r="O25" s="15">
        <v>918.07625</v>
      </c>
      <c r="P25" s="16">
        <f>C25/C24-1</f>
        <v>0.062816722972973</v>
      </c>
      <c r="Q25" s="16">
        <f>(E25+D25)/C25</f>
        <v>-0.09675176318664939</v>
      </c>
      <c r="R25" s="16">
        <f>AVERAGE(Q22:Q25)</f>
        <v>0.132221985980245</v>
      </c>
      <c r="S25" s="16"/>
      <c r="T25" s="15">
        <f>SUM(J22:K25)/4</f>
        <v>203.1</v>
      </c>
      <c r="U25" s="15">
        <v>50.156405185668</v>
      </c>
      <c r="V25" s="15">
        <f>-(L25+M25)+V24</f>
        <v>1138.999</v>
      </c>
      <c r="W25" s="15"/>
      <c r="X25" s="15">
        <f>F25-G25</f>
        <v>-10828</v>
      </c>
      <c r="Y25" s="15">
        <v>-10627.3743792573</v>
      </c>
      <c r="Z25" s="15">
        <v>169</v>
      </c>
      <c r="AA25" s="60">
        <v>306.150750334898</v>
      </c>
    </row>
    <row r="26" ht="20.05" customHeight="1">
      <c r="B26" s="13"/>
      <c r="C26" s="14">
        <f>C31-C30</f>
        <v>791</v>
      </c>
      <c r="D26" s="15">
        <v>552.7</v>
      </c>
      <c r="E26" s="15">
        <f>E31-E30</f>
        <v>-110</v>
      </c>
      <c r="F26" s="15">
        <f>F31</f>
        <v>1387</v>
      </c>
      <c r="G26" s="15">
        <f>G31</f>
        <v>12562</v>
      </c>
      <c r="H26" s="15">
        <f>H31</f>
        <v>22212</v>
      </c>
      <c r="I26" s="15">
        <f>I31-I30</f>
        <v>826</v>
      </c>
      <c r="J26" s="15">
        <f>J31-J30</f>
        <v>359</v>
      </c>
      <c r="K26" s="15">
        <f>K31-K30</f>
        <v>-196</v>
      </c>
      <c r="L26" s="15">
        <f>L31-L30</f>
        <v>-45</v>
      </c>
      <c r="M26" s="15">
        <f>M31-M30</f>
        <v>0</v>
      </c>
      <c r="N26" s="15">
        <f>SUM(C23:C26)/4</f>
        <v>955.075</v>
      </c>
      <c r="O26" s="15">
        <v>1019.9625</v>
      </c>
      <c r="P26" s="16">
        <f>C26/C25-1</f>
        <v>-0.214264428330188</v>
      </c>
      <c r="Q26" s="16">
        <f>(E26+D26)/C26</f>
        <v>0.559671302149178</v>
      </c>
      <c r="R26" s="16">
        <f>AVERAGE(Q23:Q26)</f>
        <v>0.244462723464375</v>
      </c>
      <c r="S26" s="16">
        <f>S27</f>
        <v>0.244462723464375</v>
      </c>
      <c r="T26" s="15">
        <f>SUM(J23:K26)/4</f>
        <v>167.7</v>
      </c>
      <c r="U26" s="15">
        <v>225.257676977228</v>
      </c>
      <c r="V26" s="15">
        <f>-(L26+M26)+V25</f>
        <v>1183.999</v>
      </c>
      <c r="W26" s="15">
        <f>V26</f>
        <v>1183.999</v>
      </c>
      <c r="X26" s="15">
        <f>F26-G26</f>
        <v>-11175</v>
      </c>
      <c r="Y26" s="15">
        <v>-9926.969292091080</v>
      </c>
      <c r="Z26" s="15">
        <v>169</v>
      </c>
      <c r="AA26" s="60">
        <v>306.150750334898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AVERAGE(AC42:AF42)</f>
        <v>1019.2371175</v>
      </c>
      <c r="P27" s="17"/>
      <c r="Q27" s="17"/>
      <c r="R27" s="17"/>
      <c r="S27" s="35">
        <f>AC43</f>
        <v>0.244462723464375</v>
      </c>
      <c r="T27" s="17"/>
      <c r="U27" s="15">
        <f>SUM(AC45:AF45)/4</f>
        <v>110.398814933362</v>
      </c>
      <c r="V27" s="17"/>
      <c r="W27" s="15">
        <f>-SUM(AC66:AF66)+V26</f>
        <v>1625.594259733450</v>
      </c>
      <c r="X27" s="17"/>
      <c r="Y27" s="15">
        <f>AF65</f>
        <v>-10733.4047402666</v>
      </c>
      <c r="Z27" s="15">
        <v>153</v>
      </c>
      <c r="AA27" s="60">
        <v>112.312932441959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SUM(N15:N26)</f>
        <v>8165.525</v>
      </c>
      <c r="O28" s="15">
        <f>SUM(O15:O26)</f>
        <v>8621.543250000001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AF78</f>
        <v>224.737264769056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20.05" customHeight="1">
      <c r="B30" s="13"/>
      <c r="C30" s="14">
        <v>1954</v>
      </c>
      <c r="D30" s="15"/>
      <c r="E30" s="15">
        <v>219</v>
      </c>
      <c r="F30" s="15">
        <v>1254</v>
      </c>
      <c r="G30" s="15">
        <v>12082</v>
      </c>
      <c r="H30" s="15">
        <v>21841</v>
      </c>
      <c r="I30" s="15">
        <v>1838</v>
      </c>
      <c r="J30" s="15">
        <v>534</v>
      </c>
      <c r="K30" s="15">
        <v>-220</v>
      </c>
      <c r="L30" s="15">
        <v>-60</v>
      </c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20.05" customHeight="1">
      <c r="B31" s="13"/>
      <c r="C31" s="14">
        <v>2745</v>
      </c>
      <c r="D31" s="15"/>
      <c r="E31" s="15">
        <v>109</v>
      </c>
      <c r="F31" s="15">
        <v>1387</v>
      </c>
      <c r="G31" s="15">
        <v>12562</v>
      </c>
      <c r="H31" s="15">
        <v>22212</v>
      </c>
      <c r="I31" s="15">
        <v>2664</v>
      </c>
      <c r="J31" s="15">
        <f>1247-354</f>
        <v>893</v>
      </c>
      <c r="K31" s="15">
        <v>-416</v>
      </c>
      <c r="L31" s="15">
        <f>-459+354</f>
        <v>-105</v>
      </c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6" ht="27.65" customHeight="1">
      <c r="AB36" t="s" s="2">
        <v>185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ht="20.25" customHeight="1">
      <c r="AB37" t="s" s="28">
        <v>366</v>
      </c>
      <c r="AC37" t="s" s="29">
        <v>24</v>
      </c>
      <c r="AD37" t="s" s="29">
        <v>25</v>
      </c>
      <c r="AE37" t="s" s="29">
        <v>26</v>
      </c>
      <c r="AF37" t="s" s="29">
        <v>23</v>
      </c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</row>
    <row r="38" ht="20.25" customHeight="1">
      <c r="AB38" t="s" s="31">
        <v>15</v>
      </c>
      <c r="AC38" s="32"/>
      <c r="AD38" s="9"/>
      <c r="AE38" s="9"/>
      <c r="AF38" s="9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</row>
    <row r="39" ht="20.05" customHeight="1">
      <c r="AB39" t="s" s="33">
        <v>27</v>
      </c>
      <c r="AC39" s="71">
        <f>AVERAGE(P23:P26)</f>
        <v>0.08839169654561881</v>
      </c>
      <c r="AD39" s="35"/>
      <c r="AE39" s="35"/>
      <c r="AF39" s="35">
        <f>AVERAGE(AC41:AF41)</f>
        <v>0.055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8.35" customHeight="1" hidden="1">
      <c r="AB40" s="36"/>
      <c r="AC40" s="37">
        <f>P23</f>
        <v>0.624225947742033</v>
      </c>
      <c r="AD40" s="35">
        <f>P24</f>
        <v>-0.119211456202343</v>
      </c>
      <c r="AE40" s="35">
        <f>P25</f>
        <v>0.062816722972973</v>
      </c>
      <c r="AF40" s="35">
        <f>P26</f>
        <v>-0.214264428330188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B41" t="s" s="33">
        <v>13</v>
      </c>
      <c r="AC41" s="37">
        <v>0.4</v>
      </c>
      <c r="AD41" s="35">
        <v>-0.1</v>
      </c>
      <c r="AE41" s="35">
        <v>0.07000000000000001</v>
      </c>
      <c r="AF41" s="35">
        <v>-0.15</v>
      </c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</row>
    <row r="42" ht="20.05" customHeight="1">
      <c r="AB42" t="s" s="33">
        <v>28</v>
      </c>
      <c r="AC42" s="38">
        <f>C26*(1+AC41)</f>
        <v>1107.4</v>
      </c>
      <c r="AD42" s="23">
        <f>AC42*(1+AD41)</f>
        <v>996.66</v>
      </c>
      <c r="AE42" s="23">
        <f>AD42*(1+AE41)</f>
        <v>1066.4262</v>
      </c>
      <c r="AF42" s="23">
        <f>AE42*(1+AF41)</f>
        <v>906.46227</v>
      </c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</row>
    <row r="43" ht="20.05" customHeight="1">
      <c r="AB43" t="s" s="33">
        <v>14</v>
      </c>
      <c r="AC43" s="37">
        <f>R26</f>
        <v>0.244462723464375</v>
      </c>
      <c r="AD43" s="35">
        <f>AC43</f>
        <v>0.244462723464375</v>
      </c>
      <c r="AE43" s="35">
        <f>AD43</f>
        <v>0.244462723464375</v>
      </c>
      <c r="AF43" s="35">
        <f>AE43</f>
        <v>0.244462723464375</v>
      </c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</row>
    <row r="44" ht="20.05" customHeight="1">
      <c r="AB44" t="s" s="33">
        <v>29</v>
      </c>
      <c r="AC44" s="14">
        <f>AVERAGE(K24:K26)</f>
        <v>-138.766666666667</v>
      </c>
      <c r="AD44" s="15">
        <f>AC44</f>
        <v>-138.766666666667</v>
      </c>
      <c r="AE44" s="15">
        <f>AD44</f>
        <v>-138.766666666667</v>
      </c>
      <c r="AF44" s="15">
        <f>AE44</f>
        <v>-138.766666666667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30</v>
      </c>
      <c r="AC45" s="14">
        <f>(AC42*AC43)+AC44</f>
        <v>131.951353297782</v>
      </c>
      <c r="AD45" s="15">
        <f>(AD42*AD43)+AD44</f>
        <v>104.879551301337</v>
      </c>
      <c r="AE45" s="15">
        <f>(AE42*AE43)+AE44</f>
        <v>121.934786559097</v>
      </c>
      <c r="AF45" s="15">
        <f>(AF42*AF43)+AF44</f>
        <v>82.8295685752326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31</v>
      </c>
      <c r="AC46" s="14">
        <f>-G26/20</f>
        <v>-628.1</v>
      </c>
      <c r="AD46" s="15">
        <f>-AC61/20</f>
        <v>-596.6950000000001</v>
      </c>
      <c r="AE46" s="15">
        <f>-AD61/20</f>
        <v>-566.86025</v>
      </c>
      <c r="AF46" s="15">
        <f>-AE61/20</f>
        <v>-538.5172375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32</v>
      </c>
      <c r="AC47" s="39">
        <v>0</v>
      </c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33</v>
      </c>
      <c r="AC48" s="14">
        <f>IF(AC56&gt;0,AC56*$AC$47,0)</f>
        <v>0</v>
      </c>
      <c r="AD48" s="15">
        <f>IF(AD56&gt;0,AD56*$AC$47,0)</f>
        <v>0</v>
      </c>
      <c r="AE48" s="15">
        <f>IF(AE56&gt;0,AE56*$AC$47,0)</f>
        <v>0</v>
      </c>
      <c r="AF48" s="15">
        <f>IF(AF56&gt;0,AF56*$AC$47,0)</f>
        <v>0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33">
        <v>34</v>
      </c>
      <c r="AC49" s="14">
        <f>AC45+AC46+AC48</f>
        <v>-496.148646702218</v>
      </c>
      <c r="AD49" s="15">
        <f>AD45+AD46+AD48</f>
        <v>-491.815448698663</v>
      </c>
      <c r="AE49" s="15">
        <f>AE45+AE46+AE48</f>
        <v>-444.925463440903</v>
      </c>
      <c r="AF49" s="15">
        <f>AF45+AF46+AF48</f>
        <v>-455.687668924767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B50" t="s" s="33">
        <v>35</v>
      </c>
      <c r="AC50" s="14">
        <f>-MIN(0,AC49)</f>
        <v>496.148646702218</v>
      </c>
      <c r="AD50" s="15">
        <f>-MIN(AC62,AD49)</f>
        <v>491.815448698663</v>
      </c>
      <c r="AE50" s="15">
        <f>-MIN(AD62,AE49)</f>
        <v>444.925463440903</v>
      </c>
      <c r="AF50" s="15">
        <f>-MIN(AE62,AF49)</f>
        <v>455.687668924767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36</v>
      </c>
      <c r="AC51" s="14">
        <f>F26</f>
        <v>1387</v>
      </c>
      <c r="AD51" s="15">
        <f>AC53</f>
        <v>1387</v>
      </c>
      <c r="AE51" s="15">
        <f>AD53</f>
        <v>1387</v>
      </c>
      <c r="AF51" s="15">
        <f>AE53</f>
        <v>1387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33">
        <v>37</v>
      </c>
      <c r="AC52" s="14">
        <f>AC45+AC46+AC48+AC50</f>
        <v>0</v>
      </c>
      <c r="AD52" s="15">
        <f>AD45+AD46+AD48+AD50</f>
        <v>0</v>
      </c>
      <c r="AE52" s="15">
        <f>AE45+AE46+AE48+AE50</f>
        <v>0</v>
      </c>
      <c r="AF52" s="15">
        <f>AF45+AF46+AF48+AF50</f>
        <v>-4e-13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38</v>
      </c>
      <c r="AC53" s="14">
        <f>AC51+AC52</f>
        <v>1387</v>
      </c>
      <c r="AD53" s="15">
        <f>AD51+AD52</f>
        <v>1387</v>
      </c>
      <c r="AE53" s="15">
        <f>AE51+AE52</f>
        <v>1387</v>
      </c>
      <c r="AF53" s="15">
        <f>AF51+AF52</f>
        <v>1387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41">
        <v>4</v>
      </c>
      <c r="AC54" s="14"/>
      <c r="AD54" s="15"/>
      <c r="AE54" s="15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ht="20.05" customHeight="1">
      <c r="AB55" t="s" s="33">
        <v>3</v>
      </c>
      <c r="AC55" s="14">
        <f>-AVERAGE(D24:D26)</f>
        <v>-143.6</v>
      </c>
      <c r="AD55" s="15">
        <f>AC55</f>
        <v>-143.6</v>
      </c>
      <c r="AE55" s="15">
        <f>AD55</f>
        <v>-143.6</v>
      </c>
      <c r="AF55" s="15">
        <f>AE55</f>
        <v>-143.6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4</v>
      </c>
      <c r="AC56" s="14">
        <f>(AC42*AC43)+AC55</f>
        <v>127.118019964449</v>
      </c>
      <c r="AD56" s="15">
        <f>(AD42*AD43)+AD55</f>
        <v>100.046217968004</v>
      </c>
      <c r="AE56" s="15">
        <f>(AE42*AE43)+AE55</f>
        <v>117.101453225764</v>
      </c>
      <c r="AF56" s="15">
        <f>(AF42*AF43)+AF55</f>
        <v>77.9962352418996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41">
        <v>39</v>
      </c>
      <c r="AC57" s="14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40</v>
      </c>
      <c r="AC58" s="14">
        <f>H26-F26-AC44</f>
        <v>20963.7666666667</v>
      </c>
      <c r="AD58" s="15">
        <f>AC58-AD44</f>
        <v>21102.5333333334</v>
      </c>
      <c r="AE58" s="15">
        <f>AD58-AE44</f>
        <v>21241.3000000001</v>
      </c>
      <c r="AF58" s="15">
        <f>AE58-AF44</f>
        <v>21380.0666666668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41</v>
      </c>
      <c r="AC59" s="14">
        <f>0-AC55</f>
        <v>143.6</v>
      </c>
      <c r="AD59" s="15">
        <f>AC59-AD55</f>
        <v>287.2</v>
      </c>
      <c r="AE59" s="15">
        <f>AD59-AE55</f>
        <v>430.8</v>
      </c>
      <c r="AF59" s="15">
        <f>AE59-AF55</f>
        <v>574.4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42</v>
      </c>
      <c r="AC60" s="14">
        <f>AC58-AC59</f>
        <v>20820.1666666667</v>
      </c>
      <c r="AD60" s="15">
        <f>AD58-AD59</f>
        <v>20815.3333333334</v>
      </c>
      <c r="AE60" s="15">
        <f>AE58-AE59</f>
        <v>20810.5000000001</v>
      </c>
      <c r="AF60" s="15">
        <f>AF58-AF59</f>
        <v>20805.6666666668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6</v>
      </c>
      <c r="AC61" s="14">
        <f>G26+AC46</f>
        <v>11933.9</v>
      </c>
      <c r="AD61" s="15">
        <f>AC61+AD46</f>
        <v>11337.205</v>
      </c>
      <c r="AE61" s="15">
        <f>AD61+AE46</f>
        <v>10770.34475</v>
      </c>
      <c r="AF61" s="15">
        <f>AE61+AF46</f>
        <v>10231.8275125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35</v>
      </c>
      <c r="AC62" s="14">
        <f>AC50</f>
        <v>496.148646702218</v>
      </c>
      <c r="AD62" s="15">
        <f>AC62+AD50</f>
        <v>987.964095400881</v>
      </c>
      <c r="AE62" s="15">
        <f>AD62+AE50</f>
        <v>1432.889558841780</v>
      </c>
      <c r="AF62" s="15">
        <f>AE62+AF50</f>
        <v>1888.577227766550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11</v>
      </c>
      <c r="AC63" s="14">
        <f>(H26-G26)+AC56+AC48</f>
        <v>9777.118019964450</v>
      </c>
      <c r="AD63" s="15">
        <f>AC63+AD56+AD48</f>
        <v>9877.164237932449</v>
      </c>
      <c r="AE63" s="15">
        <f>AD63+AE56+AE48</f>
        <v>9994.265691158211</v>
      </c>
      <c r="AF63" s="15">
        <f>AE63+AF56+AF48</f>
        <v>10072.2619264001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33">
        <v>43</v>
      </c>
      <c r="AC64" s="14">
        <f>AC61+AC62+AC63-AC53-AC60</f>
        <v>-3.2e-11</v>
      </c>
      <c r="AD64" s="15">
        <f>AD61+AD62+AD63-AD53-AD60</f>
        <v>-6.899999999999999e-11</v>
      </c>
      <c r="AE64" s="15">
        <f>AE61+AE62+AE63-AE53-AE60</f>
        <v>-1.1e-10</v>
      </c>
      <c r="AF64" s="15">
        <f>AF61+AF62+AF63-AF53-AF60</f>
        <v>-1.5e-10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18</v>
      </c>
      <c r="AC65" s="14">
        <f>AC53-AC61-AC62</f>
        <v>-11043.0486467022</v>
      </c>
      <c r="AD65" s="15">
        <f>AD53-AD61-AD62</f>
        <v>-10938.1690954009</v>
      </c>
      <c r="AE65" s="15">
        <f>AE53-AE61-AE62</f>
        <v>-10816.2343088418</v>
      </c>
      <c r="AF65" s="15">
        <f>AF53-AF61-AF62</f>
        <v>-10733.4047402666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44</v>
      </c>
      <c r="AC66" s="14">
        <f>AC46+AC48+AC50</f>
        <v>-131.951353297782</v>
      </c>
      <c r="AD66" s="15">
        <f>AD46+AD48+AD50</f>
        <v>-104.879551301337</v>
      </c>
      <c r="AE66" s="15">
        <f>AE46+AE48+AE50</f>
        <v>-121.934786559097</v>
      </c>
      <c r="AF66" s="15">
        <f>AF46+AF48+AF50</f>
        <v>-82.829568575233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45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B68" t="s" s="96">
        <v>185</v>
      </c>
      <c r="AC68" s="14"/>
      <c r="AD68" s="15"/>
      <c r="AE68" s="15"/>
      <c r="AF68" s="15">
        <v>153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8.35" customHeight="1" hidden="1">
      <c r="AB69" t="s" s="33">
        <f>$AB68</f>
        <v>472</v>
      </c>
      <c r="AC69" s="14"/>
      <c r="AD69" s="15"/>
      <c r="AE69" s="15"/>
      <c r="AF69" s="15">
        <v>3006358327296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46</v>
      </c>
      <c r="AC70" s="14"/>
      <c r="AD70" s="15"/>
      <c r="AE70" s="15"/>
      <c r="AF70" s="15">
        <f>AF69/1000000000</f>
        <v>3006.358327296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47</v>
      </c>
      <c r="AC71" s="14"/>
      <c r="AD71" s="15"/>
      <c r="AE71" s="15"/>
      <c r="AF71" s="15">
        <f>AF70/AF68</f>
        <v>19.649400832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48</v>
      </c>
      <c r="AC72" s="14"/>
      <c r="AD72" s="15"/>
      <c r="AE72" s="15"/>
      <c r="AF72" s="43">
        <f>AF70/(AF53+AF60)</f>
        <v>0.135466294900537</v>
      </c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</row>
    <row r="73" ht="20.05" customHeight="1">
      <c r="AB73" t="s" s="33">
        <v>49</v>
      </c>
      <c r="AC73" s="14"/>
      <c r="AD73" s="15"/>
      <c r="AE73" s="15"/>
      <c r="AF73" s="16">
        <f>-(AC48+AD48+AE48+AF48)/AF70</f>
        <v>0</v>
      </c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</row>
    <row r="74" ht="20.05" customHeight="1">
      <c r="AB74" t="s" s="33">
        <v>50</v>
      </c>
      <c r="AC74" s="14"/>
      <c r="AD74" s="15"/>
      <c r="AE74" s="15"/>
      <c r="AF74" s="15">
        <f>SUM(AC45:AF45)</f>
        <v>441.595259733449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B75" t="s" s="33">
        <v>51</v>
      </c>
      <c r="AC75" s="14"/>
      <c r="AD75" s="15"/>
      <c r="AE75" s="15"/>
      <c r="AF75" s="15">
        <f>(H26+F26)/AF74</f>
        <v>53.4403381373355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B76" t="s" s="33">
        <v>52</v>
      </c>
      <c r="AC76" s="14"/>
      <c r="AD76" s="15"/>
      <c r="AE76" s="15">
        <f>AF70/AF74</f>
        <v>6.80794972552619</v>
      </c>
      <c r="AF76" s="15">
        <v>10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B77" t="s" s="33">
        <v>53</v>
      </c>
      <c r="AC77" s="14"/>
      <c r="AD77" s="15"/>
      <c r="AE77" s="15"/>
      <c r="AF77" s="15">
        <f>AF74*AF76</f>
        <v>4415.952597334490</v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B78" t="s" s="33">
        <v>54</v>
      </c>
      <c r="AC78" s="14"/>
      <c r="AD78" s="15"/>
      <c r="AE78" s="15"/>
      <c r="AF78" s="15">
        <f>AF77/AF71</f>
        <v>224.737264769056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B79" t="s" s="33">
        <v>55</v>
      </c>
      <c r="AC79" s="38"/>
      <c r="AD79" s="23"/>
      <c r="AE79" s="23"/>
      <c r="AF79" s="16">
        <f>AF78/AF68-1</f>
        <v>0.468871011562458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B80" t="s" s="33">
        <v>56</v>
      </c>
      <c r="AC80" s="38"/>
      <c r="AD80" s="23"/>
      <c r="AE80" s="23"/>
      <c r="AF80" s="16">
        <f>C26/C22-1</f>
        <v>0.194683582540402</v>
      </c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B81" t="s" s="33">
        <v>57</v>
      </c>
      <c r="AC81" s="38"/>
      <c r="AD81" s="23"/>
      <c r="AE81" s="23"/>
      <c r="AF81" s="16">
        <f>O28/N28-1</f>
        <v>0.0558467765391693</v>
      </c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</row>
    <row r="82" ht="8.35" customHeight="1" hidden="1">
      <c r="AB82" s="98"/>
      <c r="AC82" s="38"/>
      <c r="AD82" s="23"/>
      <c r="AE82" s="23"/>
      <c r="AF82" s="16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</row>
    <row r="83" ht="8.35" customHeight="1" hidden="1">
      <c r="AB83" s="36"/>
      <c r="AC83" t="s" s="100">
        <f>$AB68</f>
        <v>473</v>
      </c>
      <c r="AD83" t="s" s="44">
        <v>60</v>
      </c>
      <c r="AE83" s="26">
        <f>AF68</f>
        <v>153</v>
      </c>
      <c r="AF83" t="s" s="44">
        <v>61</v>
      </c>
      <c r="AG83" s="101">
        <f>AF78</f>
        <v>224.737264769056</v>
      </c>
      <c r="AH83" t="s" s="102">
        <f>IF(AI83&gt;0,"+","")</f>
        <v>361</v>
      </c>
      <c r="AI83" s="99">
        <f>AG83/AE83-1</f>
        <v>0.468871011562458</v>
      </c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ht="8.35" customHeight="1" hidden="1">
      <c r="AB84" s="36"/>
      <c r="AC84" s="46">
        <f>TODAY()</f>
        <v>44942</v>
      </c>
      <c r="AD84" s="17"/>
      <c r="AE84" s="17"/>
      <c r="AF84" s="1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ht="8.35" customHeight="1" hidden="1">
      <c r="AB85" s="36"/>
      <c r="AC85" t="s" s="45">
        <v>62</v>
      </c>
      <c r="AD85" s="17"/>
      <c r="AE85" s="17"/>
      <c r="AF85" s="17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ht="8.35" customHeight="1" hidden="1">
      <c r="AB86" s="36"/>
      <c r="AC86" t="s" s="45">
        <v>63</v>
      </c>
      <c r="AD86" t="s" s="44">
        <v>64</v>
      </c>
      <c r="AE86" t="s" s="44">
        <f>IF(AF86&gt;0,"+","")</f>
        <v>361</v>
      </c>
      <c r="AF86" s="16">
        <f>AG93/AC93-1</f>
        <v>0.194683582540402</v>
      </c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ht="8.35" customHeight="1" hidden="1">
      <c r="AB87" s="36"/>
      <c r="AC87" t="s" s="45">
        <v>63</v>
      </c>
      <c r="AD87" t="s" s="44">
        <v>65</v>
      </c>
      <c r="AE87" t="s" s="44">
        <f>IF(AF87&gt;0,"+","")</f>
        <v>361</v>
      </c>
      <c r="AF87" s="16">
        <f>SUM(AD106:AG107)/AD123</f>
        <v>0.223127094967198</v>
      </c>
      <c r="AG87" t="s" s="102">
        <v>66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ht="8.35" customHeight="1" hidden="1">
      <c r="AB88" s="36"/>
      <c r="AC88" t="s" s="45">
        <v>63</v>
      </c>
      <c r="AD88" t="s" s="44">
        <v>17</v>
      </c>
      <c r="AE88" t="s" s="44">
        <f>IF(AF88&gt;0,"+","")</f>
        <v>361</v>
      </c>
      <c r="AF88" s="16">
        <f>SUM(AD120:AG121)/AD123</f>
        <v>0.0480980589330006</v>
      </c>
      <c r="AG88" t="s" s="102">
        <f>AG87</f>
        <v>66</v>
      </c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ht="8.35" customHeight="1" hidden="1">
      <c r="AB89" s="36"/>
      <c r="AC89" t="s" s="45">
        <v>68</v>
      </c>
      <c r="AD89" t="s" s="44">
        <v>369</v>
      </c>
      <c r="AE89" s="16">
        <f>AN116/AD123</f>
        <v>-3.71712177438645</v>
      </c>
      <c r="AF89" t="s" s="44">
        <f>AG88</f>
        <v>66</v>
      </c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ht="8.35" customHeight="1" hidden="1">
      <c r="AB90" s="36"/>
      <c r="AC90" t="s" s="45">
        <v>28</v>
      </c>
      <c r="AD90" t="s" s="44">
        <f>AD94</f>
        <v>370</v>
      </c>
      <c r="AE90" s="16">
        <f>AE94</f>
        <v>-0.214264428330188</v>
      </c>
      <c r="AF90" s="1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ht="8.35" customHeight="1" hidden="1">
      <c r="AB91" s="36"/>
      <c r="AC91" t="s" s="45">
        <v>70</v>
      </c>
      <c r="AD91" t="s" s="44">
        <v>371</v>
      </c>
      <c r="AE91" t="s" s="44">
        <f>AK94</f>
        <v>372</v>
      </c>
      <c r="AF91" s="17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ht="8.35" customHeight="1" hidden="1">
      <c r="AB92" s="36"/>
      <c r="AC92" s="71">
        <f>P22</f>
        <v>0.0309872313920897</v>
      </c>
      <c r="AD92" s="16">
        <f>P23</f>
        <v>0.624225947742033</v>
      </c>
      <c r="AE92" s="16">
        <f>P24</f>
        <v>-0.119211456202343</v>
      </c>
      <c r="AF92" s="16">
        <f>P25</f>
        <v>0.062816722972973</v>
      </c>
      <c r="AG92" s="99">
        <f>P26</f>
        <v>-0.214264428330188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ht="8.35" customHeight="1" hidden="1">
      <c r="AB93" s="36"/>
      <c r="AC93" s="67">
        <f>C22</f>
        <v>662.1</v>
      </c>
      <c r="AD93" s="26">
        <f>C23</f>
        <v>1075.4</v>
      </c>
      <c r="AE93" s="26">
        <f>C24</f>
        <v>947.2</v>
      </c>
      <c r="AF93" s="15">
        <f>C25</f>
        <v>1006.7</v>
      </c>
      <c r="AG93" s="101">
        <f>C26</f>
        <v>791</v>
      </c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ht="8.35" customHeight="1" hidden="1">
      <c r="AB94" s="36"/>
      <c r="AC94" t="s" s="45">
        <v>2</v>
      </c>
      <c r="AD94" t="s" s="44">
        <f>IF(AE94&lt;0,"declined","grew")</f>
        <v>370</v>
      </c>
      <c r="AE94" s="16">
        <f>AG93/AF93-1</f>
        <v>-0.214264428330188</v>
      </c>
      <c r="AF94" t="s" s="44">
        <v>73</v>
      </c>
      <c r="AG94" t="s" s="102">
        <v>74</v>
      </c>
      <c r="AH94" t="s" s="102">
        <v>75</v>
      </c>
      <c r="AI94" t="s" s="102">
        <v>76</v>
      </c>
      <c r="AJ94" s="101">
        <f>AG93</f>
        <v>791</v>
      </c>
      <c r="AK94" t="s" s="102">
        <v>372</v>
      </c>
      <c r="AL94" t="s" s="102">
        <v>378</v>
      </c>
      <c r="AM94" s="99">
        <v>0.0297063450445726</v>
      </c>
      <c r="AN94" t="s" s="102">
        <v>78</v>
      </c>
      <c r="AO94" s="103"/>
      <c r="AP94" s="103"/>
      <c r="AQ94" s="103"/>
      <c r="AR94" s="103"/>
      <c r="AS94" s="103"/>
      <c r="AT94" s="103"/>
    </row>
    <row r="95" ht="8.35" customHeight="1" hidden="1">
      <c r="AB95" s="36"/>
      <c r="AC95" t="s" s="45">
        <v>79</v>
      </c>
      <c r="AD95" s="16">
        <f>AVERAGE(AD92:AG92)</f>
        <v>0.08839169654561881</v>
      </c>
      <c r="AE95" t="s" s="44">
        <v>80</v>
      </c>
      <c r="AF95" s="17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ht="8.35" customHeight="1" hidden="1">
      <c r="AB96" s="36"/>
      <c r="AC96" t="s" s="45">
        <v>81</v>
      </c>
      <c r="AD96" s="35">
        <f>AF39</f>
        <v>0.055</v>
      </c>
      <c r="AE96" t="s" s="44">
        <v>82</v>
      </c>
      <c r="AF96" t="s" s="44">
        <v>83</v>
      </c>
      <c r="AG96" s="101">
        <f>AF42</f>
        <v>906.46227</v>
      </c>
      <c r="AH96" t="s" s="102">
        <f>AK94</f>
        <v>372</v>
      </c>
      <c r="AI96" t="s" s="102">
        <v>84</v>
      </c>
      <c r="AJ96" t="s" s="102">
        <f>AG94</f>
        <v>74</v>
      </c>
      <c r="AK96" t="s" s="102">
        <f>AH94</f>
        <v>75</v>
      </c>
      <c r="AL96" t="s" s="102">
        <v>85</v>
      </c>
      <c r="AM96" s="103"/>
      <c r="AN96" s="103"/>
      <c r="AO96" s="103"/>
      <c r="AP96" s="103"/>
      <c r="AQ96" s="103"/>
      <c r="AR96" s="103"/>
      <c r="AS96" s="103"/>
      <c r="AT96" s="103"/>
    </row>
    <row r="97" ht="8.35" customHeight="1" hidden="1">
      <c r="AB97" s="36"/>
      <c r="AC97" t="s" s="45">
        <v>14</v>
      </c>
      <c r="AD97" t="s" s="44">
        <f>IF(AF101&lt;AD101,"down","up")</f>
        <v>108</v>
      </c>
      <c r="AE97" t="s" s="44">
        <v>86</v>
      </c>
      <c r="AF97" t="s" s="44">
        <f>IF(AJ101&gt;AH101,"up","down")</f>
        <v>87</v>
      </c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ht="8.35" customHeight="1" hidden="1">
      <c r="AB98" s="36"/>
      <c r="AC98" t="s" s="45">
        <f>AC91</f>
        <v>70</v>
      </c>
      <c r="AD98" t="s" s="44">
        <v>474</v>
      </c>
      <c r="AE98" t="s" s="44">
        <f>AK94</f>
        <v>372</v>
      </c>
      <c r="AF98" s="17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ht="8.35" customHeight="1" hidden="1">
      <c r="AB99" s="36"/>
      <c r="AC99" s="71">
        <f>(D22+E22)/C22</f>
        <v>0.110708352212657</v>
      </c>
      <c r="AD99" s="16">
        <f>(D23+E23)/C23</f>
        <v>0.310117165705784</v>
      </c>
      <c r="AE99" s="16">
        <f>(D24+E24)/C24</f>
        <v>0.204814189189189</v>
      </c>
      <c r="AF99" s="16">
        <f>(D25+E25)/C25</f>
        <v>-0.09675176318664939</v>
      </c>
      <c r="AG99" s="99">
        <f>(D26+E26)/C26</f>
        <v>0.559671302149178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ht="8.35" customHeight="1" hidden="1">
      <c r="AB100" s="36"/>
      <c r="AC100" s="67">
        <f>E22</f>
        <v>105.5</v>
      </c>
      <c r="AD100" s="26">
        <f>E23</f>
        <v>285.5</v>
      </c>
      <c r="AE100" s="26">
        <f>E24</f>
        <v>137</v>
      </c>
      <c r="AF100" s="15">
        <f>E25</f>
        <v>81.5</v>
      </c>
      <c r="AG100" s="101">
        <f>E26</f>
        <v>-110</v>
      </c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ht="8.35" customHeight="1" hidden="1">
      <c r="AB101" s="36"/>
      <c r="AC101" t="s" s="45">
        <v>89</v>
      </c>
      <c r="AD101" s="16">
        <f>AF99</f>
        <v>-0.09675176318664939</v>
      </c>
      <c r="AE101" t="s" s="44">
        <v>76</v>
      </c>
      <c r="AF101" s="16">
        <f>AG99</f>
        <v>0.559671302149178</v>
      </c>
      <c r="AG101" t="s" s="102">
        <v>90</v>
      </c>
      <c r="AH101" s="101">
        <f>AF100</f>
        <v>81.5</v>
      </c>
      <c r="AI101" t="s" s="102">
        <v>76</v>
      </c>
      <c r="AJ101" s="101">
        <f>AG100</f>
        <v>-110</v>
      </c>
      <c r="AK101" t="s" s="102">
        <f>AH96</f>
        <v>372</v>
      </c>
      <c r="AL101" t="s" s="102">
        <v>73</v>
      </c>
      <c r="AM101" t="s" s="102">
        <f>AJ96</f>
        <v>74</v>
      </c>
      <c r="AN101" t="s" s="102">
        <v>91</v>
      </c>
      <c r="AO101" s="103"/>
      <c r="AP101" s="103"/>
      <c r="AQ101" s="103"/>
      <c r="AR101" s="103"/>
      <c r="AS101" s="103"/>
      <c r="AT101" s="103"/>
    </row>
    <row r="102" ht="8.35" customHeight="1" hidden="1">
      <c r="AB102" s="36"/>
      <c r="AC102" t="s" s="45">
        <v>92</v>
      </c>
      <c r="AD102" s="16">
        <f>AVERAGE(AD99:AG99)</f>
        <v>0.244462723464375</v>
      </c>
      <c r="AE102" t="s" s="44">
        <v>78</v>
      </c>
      <c r="AF102" s="17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ht="8.35" customHeight="1" hidden="1">
      <c r="AB103" s="36"/>
      <c r="AC103" t="s" s="45">
        <v>93</v>
      </c>
      <c r="AD103" s="35">
        <f>AC43</f>
        <v>0.244462723464375</v>
      </c>
      <c r="AE103" t="s" s="44">
        <v>94</v>
      </c>
      <c r="AF103" s="15">
        <f>AF56</f>
        <v>77.9962352418996</v>
      </c>
      <c r="AG103" t="s" s="102">
        <f>AK101</f>
        <v>372</v>
      </c>
      <c r="AH103" t="s" s="102">
        <v>95</v>
      </c>
      <c r="AI103" t="s" s="102">
        <f>AM101</f>
        <v>74</v>
      </c>
      <c r="AJ103" t="s" s="102">
        <f>AH94</f>
        <v>75</v>
      </c>
      <c r="AK103" t="s" s="102">
        <f>AL96</f>
        <v>85</v>
      </c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ht="8.35" customHeight="1" hidden="1">
      <c r="AB104" s="36"/>
      <c r="AC104" t="s" s="45">
        <v>15</v>
      </c>
      <c r="AD104" t="s" s="44">
        <f>IF(AF108&lt;AD108,"lower","higher")</f>
        <v>363</v>
      </c>
      <c r="AE104" s="17"/>
      <c r="AF104" s="17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ht="8.35" customHeight="1" hidden="1">
      <c r="AB105" s="36"/>
      <c r="AC105" t="s" s="45">
        <f>AC98</f>
        <v>70</v>
      </c>
      <c r="AD105" t="s" s="44">
        <v>96</v>
      </c>
      <c r="AE105" t="s" s="44">
        <f>AK94</f>
        <v>372</v>
      </c>
      <c r="AF105" s="17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ht="8.35" customHeight="1" hidden="1">
      <c r="AB106" s="36"/>
      <c r="AC106" s="67">
        <f>J22</f>
        <v>423.3</v>
      </c>
      <c r="AD106" s="26">
        <f>J23</f>
        <v>352</v>
      </c>
      <c r="AE106" s="26">
        <f>J24</f>
        <v>431.7</v>
      </c>
      <c r="AF106" s="15">
        <f>J25</f>
        <v>102.8</v>
      </c>
      <c r="AG106" s="101">
        <f>J26</f>
        <v>359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ht="8.35" customHeight="1" hidden="1">
      <c r="AB107" s="36"/>
      <c r="AC107" s="67">
        <f>K22</f>
        <v>-118.7</v>
      </c>
      <c r="AD107" s="26">
        <f>K23</f>
        <v>-158.4</v>
      </c>
      <c r="AE107" s="26">
        <f>K24</f>
        <v>-126.4</v>
      </c>
      <c r="AF107" s="15">
        <f>K25</f>
        <v>-93.90000000000001</v>
      </c>
      <c r="AG107" s="101">
        <f>K26</f>
        <v>-196</v>
      </c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ht="8.35" customHeight="1" hidden="1">
      <c r="AB108" s="36"/>
      <c r="AC108" t="s" s="45">
        <v>97</v>
      </c>
      <c r="AD108" s="26">
        <f>AF106+AF107</f>
        <v>8.9</v>
      </c>
      <c r="AE108" t="s" s="44">
        <v>76</v>
      </c>
      <c r="AF108" s="15">
        <f>AG106+AG107</f>
        <v>163</v>
      </c>
      <c r="AG108" t="s" s="102">
        <f>AG103</f>
        <v>372</v>
      </c>
      <c r="AH108" t="s" s="102">
        <v>84</v>
      </c>
      <c r="AI108" t="s" s="102">
        <f>AI103</f>
        <v>74</v>
      </c>
      <c r="AJ108" t="s" s="102">
        <v>98</v>
      </c>
      <c r="AK108" s="101">
        <f>AG107</f>
        <v>-196</v>
      </c>
      <c r="AL108" t="s" s="102">
        <f>AK94</f>
        <v>372</v>
      </c>
      <c r="AM108" t="s" s="102">
        <v>99</v>
      </c>
      <c r="AN108" s="103"/>
      <c r="AO108" s="103"/>
      <c r="AP108" s="103"/>
      <c r="AQ108" s="103"/>
      <c r="AR108" s="103"/>
      <c r="AS108" s="103"/>
      <c r="AT108" s="103"/>
    </row>
    <row r="109" ht="8.35" customHeight="1" hidden="1">
      <c r="AB109" s="36"/>
      <c r="AC109" t="s" s="45">
        <v>100</v>
      </c>
      <c r="AD109" s="26">
        <f>SUM(AD106:AG107)/4</f>
        <v>167.7</v>
      </c>
      <c r="AE109" t="s" s="44">
        <f>AK94</f>
        <v>372</v>
      </c>
      <c r="AF109" t="s" s="44">
        <v>78</v>
      </c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ht="8.35" customHeight="1" hidden="1">
      <c r="AB110" s="36"/>
      <c r="AC110" t="s" s="45">
        <v>101</v>
      </c>
      <c r="AD110" s="26">
        <f>AC44</f>
        <v>-138.766666666667</v>
      </c>
      <c r="AE110" t="s" s="44">
        <f>AE109</f>
        <v>372</v>
      </c>
      <c r="AF110" t="s" s="44">
        <v>102</v>
      </c>
      <c r="AG110" t="s" s="102">
        <v>103</v>
      </c>
      <c r="AH110" t="s" s="102">
        <f>IF(AG96&gt;AJ94,"higher","lower")</f>
        <v>363</v>
      </c>
      <c r="AI110" t="s" s="102">
        <v>105</v>
      </c>
      <c r="AJ110" s="101">
        <f>SUM(AC45:AF45)/4</f>
        <v>110.398814933362</v>
      </c>
      <c r="AK110" t="s" s="102">
        <f>AE110</f>
        <v>372</v>
      </c>
      <c r="AL110" t="s" s="102">
        <v>106</v>
      </c>
      <c r="AM110" t="s" s="102">
        <v>107</v>
      </c>
      <c r="AN110" s="103"/>
      <c r="AO110" s="103"/>
      <c r="AP110" s="103"/>
      <c r="AQ110" s="103"/>
      <c r="AR110" s="103"/>
      <c r="AS110" s="103"/>
      <c r="AT110" s="103"/>
    </row>
    <row r="111" ht="8.35" customHeight="1" hidden="1">
      <c r="AB111" s="36"/>
      <c r="AC111" t="s" s="45">
        <v>18</v>
      </c>
      <c r="AD111" t="s" s="44">
        <f>AK116</f>
        <v>87</v>
      </c>
      <c r="AE111" s="17"/>
      <c r="AF111" s="1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ht="8.35" customHeight="1" hidden="1">
      <c r="AB112" s="36"/>
      <c r="AC112" t="s" s="45">
        <f>AC91</f>
        <v>70</v>
      </c>
      <c r="AD112" t="s" s="44">
        <v>109</v>
      </c>
      <c r="AE112" t="s" s="44">
        <f>AK94</f>
        <v>372</v>
      </c>
      <c r="AF112" s="17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ht="8.35" customHeight="1" hidden="1">
      <c r="AB113" s="36"/>
      <c r="AC113" s="67">
        <f>F22</f>
        <v>837</v>
      </c>
      <c r="AD113" s="26">
        <f>F23</f>
        <v>991</v>
      </c>
      <c r="AE113" s="26">
        <f>F24</f>
        <v>1259</v>
      </c>
      <c r="AF113" s="15">
        <f>F25</f>
        <v>1254</v>
      </c>
      <c r="AG113" s="101">
        <f>F26</f>
        <v>1387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ht="8.35" customHeight="1" hidden="1">
      <c r="AB114" s="36"/>
      <c r="AC114" s="67">
        <f>G22</f>
        <v>12459</v>
      </c>
      <c r="AD114" s="26">
        <f>G23</f>
        <v>12398</v>
      </c>
      <c r="AE114" s="26">
        <f>G24</f>
        <v>12441</v>
      </c>
      <c r="AF114" s="15">
        <f>G25</f>
        <v>12082</v>
      </c>
      <c r="AG114" s="101">
        <f>G26</f>
        <v>12562</v>
      </c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ht="8.35" customHeight="1" hidden="1">
      <c r="AB115" s="36"/>
      <c r="AC115" t="s" s="45">
        <v>110</v>
      </c>
      <c r="AD115" t="s" s="44">
        <f>IF(AG115&lt;AE115,"declined","increased")</f>
        <v>111</v>
      </c>
      <c r="AE115" s="26">
        <f>AF113</f>
        <v>1254</v>
      </c>
      <c r="AF115" t="s" s="44">
        <v>76</v>
      </c>
      <c r="AG115" s="101">
        <f>AG113</f>
        <v>1387</v>
      </c>
      <c r="AH115" t="s" s="102">
        <f>AK110</f>
        <v>372</v>
      </c>
      <c r="AI115" t="s" s="102">
        <v>84</v>
      </c>
      <c r="AJ115" t="s" s="102">
        <f>AG94</f>
        <v>74</v>
      </c>
      <c r="AK115" t="s" s="102">
        <f>AN101</f>
        <v>91</v>
      </c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ht="8.35" customHeight="1" hidden="1">
      <c r="AB116" s="36"/>
      <c r="AC116" t="s" s="45">
        <v>112</v>
      </c>
      <c r="AD116" t="s" s="44">
        <f>IF(AG116&lt;AE116,"declined","increased")</f>
        <v>111</v>
      </c>
      <c r="AE116" s="26">
        <f>AF114</f>
        <v>12082</v>
      </c>
      <c r="AF116" t="s" s="44">
        <v>76</v>
      </c>
      <c r="AG116" s="101">
        <f>AG114</f>
        <v>12562</v>
      </c>
      <c r="AH116" t="s" s="102">
        <f>AH115</f>
        <v>372</v>
      </c>
      <c r="AI116" t="s" s="102">
        <v>113</v>
      </c>
      <c r="AJ116" t="s" s="102">
        <v>114</v>
      </c>
      <c r="AK116" t="s" s="102">
        <f>IF(AN116&lt;AL116,"down","up")</f>
        <v>87</v>
      </c>
      <c r="AL116" s="101">
        <f>AE115-AE116</f>
        <v>-10828</v>
      </c>
      <c r="AM116" t="s" s="102">
        <v>76</v>
      </c>
      <c r="AN116" s="101">
        <f>AG115-AG116</f>
        <v>-11175</v>
      </c>
      <c r="AO116" t="s" s="102">
        <f>AH116</f>
        <v>372</v>
      </c>
      <c r="AP116" t="s" s="102">
        <v>115</v>
      </c>
      <c r="AQ116" s="103"/>
      <c r="AR116" s="103"/>
      <c r="AS116" s="103"/>
      <c r="AT116" s="103"/>
    </row>
    <row r="117" ht="8.35" customHeight="1" hidden="1">
      <c r="AB117" s="36"/>
      <c r="AC117" t="s" s="45">
        <v>116</v>
      </c>
      <c r="AD117" s="26">
        <f>SUM(AC48:AF48)</f>
        <v>0</v>
      </c>
      <c r="AE117" t="s" s="44">
        <f>AH116</f>
        <v>372</v>
      </c>
      <c r="AF117" t="s" s="44">
        <v>117</v>
      </c>
      <c r="AG117" t="s" s="102">
        <f>IF(AH117&gt;0,"+","")</f>
      </c>
      <c r="AH117" s="101">
        <f>AC46+AD46+AE46+AF46+AC50+AD50+AE50+AF50</f>
        <v>-441.595259733449</v>
      </c>
      <c r="AI117" t="s" s="102">
        <f>AO116</f>
        <v>372</v>
      </c>
      <c r="AJ117" t="s" s="102">
        <v>118</v>
      </c>
      <c r="AK117" t="s" s="102">
        <v>119</v>
      </c>
      <c r="AL117" s="101">
        <f>AF65</f>
        <v>-10733.4047402666</v>
      </c>
      <c r="AM117" t="s" s="102">
        <f>AH116</f>
        <v>372</v>
      </c>
      <c r="AN117" t="s" s="102">
        <v>120</v>
      </c>
      <c r="AO117" s="103"/>
      <c r="AP117" s="103"/>
      <c r="AQ117" s="103"/>
      <c r="AR117" s="103"/>
      <c r="AS117" s="103"/>
      <c r="AT117" s="103"/>
    </row>
    <row r="118" ht="8.35" customHeight="1" hidden="1">
      <c r="AB118" s="36"/>
      <c r="AC118" t="s" s="45">
        <v>17</v>
      </c>
      <c r="AD118" t="s" s="44">
        <f>AD122</f>
        <v>374</v>
      </c>
      <c r="AE118" s="17"/>
      <c r="AF118" s="1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ht="8.35" customHeight="1" hidden="1">
      <c r="AB119" s="36"/>
      <c r="AC119" t="s" s="45">
        <f>AC91</f>
        <v>70</v>
      </c>
      <c r="AD119" t="s" s="44">
        <v>379</v>
      </c>
      <c r="AE119" t="s" s="44">
        <f>AK94</f>
        <v>372</v>
      </c>
      <c r="AF119" s="17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ht="8.35" customHeight="1" hidden="1">
      <c r="AB120" s="36"/>
      <c r="AC120" s="67">
        <f>-L22</f>
        <v>165.604</v>
      </c>
      <c r="AD120" s="26">
        <f>-L23</f>
        <v>38.8</v>
      </c>
      <c r="AE120" s="26">
        <f>-L24</f>
        <v>38.7</v>
      </c>
      <c r="AF120" s="15">
        <f>-L25</f>
        <v>22.1</v>
      </c>
      <c r="AG120" s="101">
        <f>-L26</f>
        <v>45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ht="8.35" customHeight="1" hidden="1">
      <c r="AB121" s="36"/>
      <c r="AC121" s="67">
        <f>-M22</f>
        <v>0</v>
      </c>
      <c r="AD121" s="26">
        <f>-M23</f>
        <v>0</v>
      </c>
      <c r="AE121" s="26">
        <f>-M24</f>
        <v>0</v>
      </c>
      <c r="AF121" s="15">
        <f>-M25</f>
        <v>0</v>
      </c>
      <c r="AG121" s="101">
        <f>-M26</f>
        <v>0</v>
      </c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ht="8.35" customHeight="1" hidden="1">
      <c r="AB122" s="36"/>
      <c r="AC122" t="s" s="100">
        <f>AC83</f>
        <v>473</v>
      </c>
      <c r="AD122" t="s" s="44">
        <f>IF(AE122&gt;0,"paid","(raised)")</f>
        <v>374</v>
      </c>
      <c r="AE122" s="26">
        <f>SUM(AG120:AG121)</f>
        <v>45</v>
      </c>
      <c r="AF122" t="s" s="44">
        <f>AK94</f>
        <v>372</v>
      </c>
      <c r="AG122" t="s" s="102">
        <f>AF94</f>
        <v>73</v>
      </c>
      <c r="AH122" t="s" s="102">
        <f>AG94</f>
        <v>74</v>
      </c>
      <c r="AI122" t="s" s="102">
        <f>AH94</f>
        <v>75</v>
      </c>
      <c r="AJ122" s="101">
        <f>AG120</f>
        <v>45</v>
      </c>
      <c r="AK122" t="s" s="102">
        <f>AK94</f>
        <v>372</v>
      </c>
      <c r="AL122" t="s" s="102">
        <v>123</v>
      </c>
      <c r="AM122" s="101">
        <f>AG121</f>
        <v>0</v>
      </c>
      <c r="AN122" t="s" s="102">
        <f>AK94</f>
        <v>372</v>
      </c>
      <c r="AO122" t="s" s="102">
        <v>389</v>
      </c>
      <c r="AP122" t="s" s="102">
        <v>475</v>
      </c>
      <c r="AQ122" t="s" s="102">
        <f>IF(AR122&gt;0,"pay","raise")</f>
        <v>364</v>
      </c>
      <c r="AR122" s="101">
        <f>-SUM(AC66:AF66)</f>
        <v>441.595259733449</v>
      </c>
      <c r="AS122" t="s" s="102">
        <f>AK94</f>
        <v>372</v>
      </c>
      <c r="AT122" t="s" s="102">
        <v>126</v>
      </c>
    </row>
    <row r="123" ht="8.35" customHeight="1" hidden="1">
      <c r="AB123" s="36"/>
      <c r="AC123" t="s" s="45">
        <v>375</v>
      </c>
      <c r="AD123" s="26">
        <f>AF70</f>
        <v>3006.358327296</v>
      </c>
      <c r="AE123" t="s" s="44">
        <f>AK94</f>
        <v>372</v>
      </c>
      <c r="AF123" t="s" s="44">
        <v>128</v>
      </c>
      <c r="AG123" t="s" s="102">
        <v>129</v>
      </c>
      <c r="AH123" s="101">
        <f>AF72</f>
        <v>0.135466294900537</v>
      </c>
      <c r="AI123" t="s" s="102">
        <v>130</v>
      </c>
      <c r="AJ123" t="s" s="102">
        <v>131</v>
      </c>
      <c r="AK123" t="s" s="102">
        <v>132</v>
      </c>
      <c r="AL123" s="101">
        <f>AF75</f>
        <v>53.4403381373355</v>
      </c>
      <c r="AM123" t="s" s="102">
        <v>133</v>
      </c>
      <c r="AN123" s="99">
        <f>-AD117/AD123</f>
        <v>0</v>
      </c>
      <c r="AO123" t="s" s="102">
        <v>134</v>
      </c>
      <c r="AP123" s="103"/>
      <c r="AQ123" s="103"/>
      <c r="AR123" s="103"/>
      <c r="AS123" s="103"/>
      <c r="AT123" s="103"/>
    </row>
    <row r="124" ht="8.35" customHeight="1" hidden="1">
      <c r="AB124" s="36"/>
      <c r="AC124" t="s" s="45">
        <v>135</v>
      </c>
      <c r="AD124" s="26">
        <f>AF74</f>
        <v>441.595259733449</v>
      </c>
      <c r="AE124" t="s" s="44">
        <f>AE123</f>
        <v>372</v>
      </c>
      <c r="AF124" t="s" s="44">
        <v>136</v>
      </c>
      <c r="AG124" s="101">
        <f>AD123/AD124</f>
        <v>6.80794972552619</v>
      </c>
      <c r="AH124" t="s" s="102">
        <v>130</v>
      </c>
      <c r="AI124" t="s" s="102">
        <v>137</v>
      </c>
      <c r="AJ124" t="s" s="102">
        <v>138</v>
      </c>
      <c r="AK124" s="101">
        <f>AF76</f>
        <v>10</v>
      </c>
      <c r="AL124" t="s" s="102">
        <v>139</v>
      </c>
      <c r="AM124" t="s" s="102">
        <v>140</v>
      </c>
      <c r="AN124" t="s" s="102">
        <v>141</v>
      </c>
      <c r="AO124" s="99">
        <f>AI83</f>
        <v>0.468871011562458</v>
      </c>
      <c r="AP124" t="s" s="102">
        <f>IF(AO124&gt;0,"higher","lower")</f>
        <v>363</v>
      </c>
      <c r="AQ124" t="s" s="102">
        <v>142</v>
      </c>
      <c r="AR124" s="101">
        <f>AG83</f>
        <v>224.737264769056</v>
      </c>
      <c r="AS124" t="s" s="102">
        <v>143</v>
      </c>
      <c r="AT124" s="103"/>
    </row>
    <row r="125" ht="8.35" customHeight="1" hidden="1">
      <c r="AB125" s="36"/>
      <c r="AC125" s="34"/>
      <c r="AD125" s="17"/>
      <c r="AE125" s="17"/>
      <c r="AF125" s="17"/>
      <c r="AG125" s="101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ht="8.35" customHeight="1" hidden="1">
      <c r="AB126" s="36"/>
      <c r="AC126" s="67">
        <f>AC93</f>
        <v>662.1</v>
      </c>
      <c r="AD126" s="26">
        <f>AD93</f>
        <v>1075.4</v>
      </c>
      <c r="AE126" s="26">
        <f>AE93</f>
        <v>947.2</v>
      </c>
      <c r="AF126" s="15">
        <f>AF93</f>
        <v>1006.7</v>
      </c>
      <c r="AG126" s="101">
        <f>AG93</f>
        <v>791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ht="8.35" customHeight="1" hidden="1">
      <c r="AB127" s="36"/>
      <c r="AC127" s="67">
        <f>SUM(AC106:AC107)</f>
        <v>304.6</v>
      </c>
      <c r="AD127" s="26">
        <f>SUM(AD106:AD107)</f>
        <v>193.6</v>
      </c>
      <c r="AE127" s="26">
        <f>SUM(AE106:AE107)</f>
        <v>305.3</v>
      </c>
      <c r="AF127" s="15">
        <f>SUM(AF106:AF107)</f>
        <v>8.9</v>
      </c>
      <c r="AG127" s="101">
        <f>SUM(AG106:AG107)</f>
        <v>163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ht="8.35" customHeight="1" hidden="1">
      <c r="AB128" s="36"/>
      <c r="AC128" s="67">
        <f>SUM(AC120:AC121)</f>
        <v>165.604</v>
      </c>
      <c r="AD128" s="26">
        <f>SUM(AD120:AD121)</f>
        <v>38.8</v>
      </c>
      <c r="AE128" s="26">
        <f>SUM(AE120:AE121)</f>
        <v>38.7</v>
      </c>
      <c r="AF128" s="15">
        <f>SUM(AF120:AF121)</f>
        <v>22.1</v>
      </c>
      <c r="AG128" s="101">
        <f>SUM(AG120:AG121)</f>
        <v>45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ht="8.35" customHeight="1" hidden="1">
      <c r="AB129" s="36"/>
      <c r="AC129" s="67">
        <f>AC113-AC114</f>
        <v>-11622</v>
      </c>
      <c r="AD129" s="26">
        <f>AD113-AD114</f>
        <v>-11407</v>
      </c>
      <c r="AE129" s="26">
        <f>AE113-AE114</f>
        <v>-11182</v>
      </c>
      <c r="AF129" s="15">
        <f>AF113-AF114</f>
        <v>-10828</v>
      </c>
      <c r="AG129" s="101">
        <f>AG113-AG114</f>
        <v>-11175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ht="8.35" customHeight="1" hidden="1">
      <c r="AB130" s="36"/>
      <c r="AC130" s="34"/>
      <c r="AD130" s="17"/>
      <c r="AE130" s="17"/>
      <c r="AF130" s="17"/>
      <c r="AG130" s="101">
        <f>AR124</f>
        <v>224.737264769056</v>
      </c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ht="8.35" customHeight="1" hidden="1">
      <c r="AB131" s="36"/>
      <c r="AC131" s="34"/>
      <c r="AD131" s="17"/>
      <c r="AE131" s="17"/>
      <c r="AF131" s="17"/>
      <c r="AG131" s="101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ht="8.35" customHeight="1" hidden="1">
      <c r="AB132" s="36"/>
      <c r="AC132" s="34"/>
      <c r="AD132" s="17"/>
      <c r="AE132" s="17"/>
      <c r="AF132" s="17"/>
      <c r="AG132" s="101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ht="8.35" customHeight="1" hidden="1">
      <c r="AB133" s="36"/>
      <c r="AC133" s="34"/>
      <c r="AD133" s="17"/>
      <c r="AE133" s="17"/>
      <c r="AF133" s="17"/>
      <c r="AG133" s="101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ht="8.35" customHeight="1" hidden="1">
      <c r="AB134" s="36"/>
      <c r="AC134" s="34"/>
      <c r="AD134" s="17"/>
      <c r="AE134" s="17"/>
      <c r="AF134" s="17"/>
      <c r="AG134" s="101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ht="8.35" customHeight="1" hidden="1">
      <c r="AB135" s="36"/>
      <c r="AC135" s="34"/>
      <c r="AD135" s="17"/>
      <c r="AE135" s="17"/>
      <c r="AF135" s="17"/>
      <c r="AG135" s="101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ht="8.35" customHeight="1" hidden="1">
      <c r="AB136" s="36"/>
      <c r="AC136" s="34"/>
      <c r="AD136" s="17"/>
      <c r="AE136" s="17"/>
      <c r="AF136" s="17"/>
      <c r="AG136" s="101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ht="8.35" customHeight="1" hidden="1">
      <c r="AB137" s="36"/>
      <c r="AC137" s="34"/>
      <c r="AD137" s="17"/>
      <c r="AE137" s="17"/>
      <c r="AF137" s="17"/>
      <c r="AG137" s="101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</sheetData>
  <mergeCells count="2">
    <mergeCell ref="B2:AA2"/>
    <mergeCell ref="AB36:AT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2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76" customWidth="1"/>
    <col min="2" max="28" width="10.4844" style="376" customWidth="1"/>
    <col min="29" max="29" width="18.9766" style="377" customWidth="1"/>
    <col min="30" max="48" width="9" style="377" customWidth="1"/>
    <col min="49" max="16384" width="16.3516" style="377" customWidth="1"/>
  </cols>
  <sheetData>
    <row r="1" ht="11.65" customHeight="1"/>
    <row r="2" ht="27.65" customHeight="1">
      <c r="B2" t="s" s="2">
        <v>740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228</v>
      </c>
      <c r="AA3" t="s" s="3">
        <v>19</v>
      </c>
      <c r="AB3" t="s" s="3">
        <v>20</v>
      </c>
    </row>
    <row r="4" ht="20.25" customHeight="1">
      <c r="B4" s="6">
        <v>2017</v>
      </c>
      <c r="C4" s="87">
        <v>1029</v>
      </c>
      <c r="D4" s="59">
        <v>70.25</v>
      </c>
      <c r="E4" s="59">
        <v>162</v>
      </c>
      <c r="F4" s="59">
        <v>100</v>
      </c>
      <c r="G4" s="59">
        <v>4125</v>
      </c>
      <c r="H4" s="59">
        <v>8042</v>
      </c>
      <c r="I4" s="59">
        <v>896.75</v>
      </c>
      <c r="J4" s="59">
        <v>-12</v>
      </c>
      <c r="K4" s="59">
        <v>-128</v>
      </c>
      <c r="L4" s="59">
        <v>-49.5</v>
      </c>
      <c r="M4" s="59">
        <v>-15.75</v>
      </c>
      <c r="N4" s="59"/>
      <c r="O4" s="59"/>
      <c r="P4" s="9"/>
      <c r="Q4" s="9"/>
      <c r="R4" s="9"/>
      <c r="S4" s="9"/>
      <c r="T4" s="9"/>
      <c r="U4" s="9"/>
      <c r="V4" s="59">
        <f>-(L4+M4)</f>
        <v>65.25</v>
      </c>
      <c r="W4" s="9"/>
      <c r="X4" s="59">
        <f>F4-G4</f>
        <v>-4025</v>
      </c>
      <c r="Y4" s="9"/>
      <c r="Z4" s="59"/>
      <c r="AA4" s="11"/>
      <c r="AB4" s="12">
        <v>13.3</v>
      </c>
    </row>
    <row r="5" ht="20.05" customHeight="1">
      <c r="B5" s="13"/>
      <c r="C5" s="67">
        <v>583</v>
      </c>
      <c r="D5" s="26">
        <v>70.25</v>
      </c>
      <c r="E5" s="26">
        <v>19</v>
      </c>
      <c r="F5" s="26">
        <v>135</v>
      </c>
      <c r="G5" s="26">
        <v>4175</v>
      </c>
      <c r="H5" s="26">
        <v>8065</v>
      </c>
      <c r="I5" s="26">
        <v>896.75</v>
      </c>
      <c r="J5" s="26">
        <v>-48</v>
      </c>
      <c r="K5" s="26">
        <v>-154</v>
      </c>
      <c r="L5" s="26">
        <v>-49.5</v>
      </c>
      <c r="M5" s="26">
        <v>-15.75</v>
      </c>
      <c r="N5" s="26"/>
      <c r="O5" s="26"/>
      <c r="P5" s="16"/>
      <c r="Q5" s="17"/>
      <c r="R5" s="17"/>
      <c r="S5" s="17"/>
      <c r="T5" s="17"/>
      <c r="U5" s="17"/>
      <c r="V5" s="26">
        <f>-(L5+M5)+V4</f>
        <v>130.5</v>
      </c>
      <c r="W5" s="17"/>
      <c r="X5" s="26">
        <f>F5-G5</f>
        <v>-4040</v>
      </c>
      <c r="Y5" s="17"/>
      <c r="Z5" s="26"/>
      <c r="AA5" s="19"/>
      <c r="AB5" s="20">
        <v>13.327</v>
      </c>
    </row>
    <row r="6" ht="20.05" customHeight="1">
      <c r="B6" s="13"/>
      <c r="C6" s="67">
        <v>928</v>
      </c>
      <c r="D6" s="26">
        <v>70.25</v>
      </c>
      <c r="E6" s="26">
        <v>52</v>
      </c>
      <c r="F6" s="26">
        <v>132</v>
      </c>
      <c r="G6" s="26">
        <v>4262</v>
      </c>
      <c r="H6" s="26">
        <v>8204</v>
      </c>
      <c r="I6" s="26">
        <v>896.75</v>
      </c>
      <c r="J6" s="26">
        <v>245</v>
      </c>
      <c r="K6" s="26">
        <v>-150</v>
      </c>
      <c r="L6" s="26">
        <v>-49.5</v>
      </c>
      <c r="M6" s="26">
        <v>-15.75</v>
      </c>
      <c r="N6" s="26"/>
      <c r="O6" s="26"/>
      <c r="P6" s="16"/>
      <c r="Q6" s="17"/>
      <c r="R6" s="17"/>
      <c r="S6" s="17"/>
      <c r="T6" s="17"/>
      <c r="U6" s="17"/>
      <c r="V6" s="26">
        <f>-(L6+M6)+V5</f>
        <v>195.75</v>
      </c>
      <c r="W6" s="17"/>
      <c r="X6" s="26">
        <f>F6-G6</f>
        <v>-4130</v>
      </c>
      <c r="Y6" s="17"/>
      <c r="Z6" s="26"/>
      <c r="AA6" s="19"/>
      <c r="AB6" s="20">
        <v>13.305</v>
      </c>
    </row>
    <row r="7" ht="20.05" customHeight="1">
      <c r="B7" s="13"/>
      <c r="C7" s="67">
        <v>1076</v>
      </c>
      <c r="D7" s="26">
        <v>70.25</v>
      </c>
      <c r="E7" s="26">
        <v>70</v>
      </c>
      <c r="F7" s="26">
        <v>89</v>
      </c>
      <c r="G7" s="26">
        <v>4279</v>
      </c>
      <c r="H7" s="26">
        <v>8284</v>
      </c>
      <c r="I7" s="26">
        <v>896.75</v>
      </c>
      <c r="J7" s="26">
        <v>300</v>
      </c>
      <c r="K7" s="26">
        <v>-186</v>
      </c>
      <c r="L7" s="26">
        <v>-49.5</v>
      </c>
      <c r="M7" s="26">
        <v>-15.75</v>
      </c>
      <c r="N7" s="26"/>
      <c r="O7" s="26"/>
      <c r="P7" s="16"/>
      <c r="Q7" s="17"/>
      <c r="R7" s="17"/>
      <c r="S7" s="17"/>
      <c r="T7" s="17"/>
      <c r="U7" s="17"/>
      <c r="V7" s="26">
        <f>-(L7+M7)+V6</f>
        <v>261</v>
      </c>
      <c r="W7" s="17"/>
      <c r="X7" s="26">
        <f>F7-G7</f>
        <v>-4190</v>
      </c>
      <c r="Y7" s="17"/>
      <c r="Z7" s="26"/>
      <c r="AA7" s="19"/>
      <c r="AB7" s="20">
        <v>13.557</v>
      </c>
    </row>
    <row r="8" ht="20.05" customHeight="1">
      <c r="B8" s="21">
        <v>2018</v>
      </c>
      <c r="C8" s="67">
        <v>668</v>
      </c>
      <c r="D8" s="26">
        <v>75.25</v>
      </c>
      <c r="E8" s="26">
        <v>17</v>
      </c>
      <c r="F8" s="26">
        <v>113</v>
      </c>
      <c r="G8" s="26">
        <v>4201</v>
      </c>
      <c r="H8" s="26">
        <v>8254</v>
      </c>
      <c r="I8" s="26">
        <v>700.5</v>
      </c>
      <c r="J8" s="26">
        <v>-27</v>
      </c>
      <c r="K8" s="26">
        <v>-162</v>
      </c>
      <c r="L8" s="26">
        <v>154.75</v>
      </c>
      <c r="M8" s="26">
        <v>-34.5</v>
      </c>
      <c r="N8" s="26">
        <f>SUM(C5:C8)/4</f>
        <v>813.75</v>
      </c>
      <c r="O8" s="26"/>
      <c r="P8" s="16"/>
      <c r="Q8" s="16"/>
      <c r="R8" s="16"/>
      <c r="S8" s="17"/>
      <c r="T8" s="26">
        <f>SUM(J5:K8)/4</f>
        <v>-45.5</v>
      </c>
      <c r="U8" s="17"/>
      <c r="V8" s="26">
        <f>-(L8+M8)+V7</f>
        <v>140.75</v>
      </c>
      <c r="W8" s="17"/>
      <c r="X8" s="26">
        <f>F8-G8</f>
        <v>-4088</v>
      </c>
      <c r="Y8" s="24"/>
      <c r="Z8" s="26">
        <v>2480</v>
      </c>
      <c r="AA8" s="22"/>
      <c r="AB8" s="20">
        <v>13.761</v>
      </c>
    </row>
    <row r="9" ht="20.05" customHeight="1">
      <c r="B9" s="13"/>
      <c r="C9" s="67">
        <v>665</v>
      </c>
      <c r="D9" s="26">
        <v>75.25</v>
      </c>
      <c r="E9" s="26">
        <v>75</v>
      </c>
      <c r="F9" s="26">
        <v>114</v>
      </c>
      <c r="G9" s="26">
        <v>4612</v>
      </c>
      <c r="H9" s="26">
        <v>8607</v>
      </c>
      <c r="I9" s="26">
        <v>700.5</v>
      </c>
      <c r="J9" s="26">
        <v>-84</v>
      </c>
      <c r="K9" s="26">
        <v>-217</v>
      </c>
      <c r="L9" s="26">
        <v>154.75</v>
      </c>
      <c r="M9" s="26">
        <v>-34.5</v>
      </c>
      <c r="N9" s="26">
        <f>SUM(C6:C9)/4</f>
        <v>834.25</v>
      </c>
      <c r="O9" s="26"/>
      <c r="P9" s="16"/>
      <c r="Q9" s="16">
        <f>(E9+D9)/C9</f>
        <v>0.22593984962406</v>
      </c>
      <c r="R9" s="16"/>
      <c r="S9" s="17"/>
      <c r="T9" s="26">
        <f>SUM(J6:K9)/4</f>
        <v>-70.25</v>
      </c>
      <c r="U9" s="17"/>
      <c r="V9" s="26">
        <f>-(L9+M9)+V8</f>
        <v>20.5</v>
      </c>
      <c r="W9" s="17"/>
      <c r="X9" s="26">
        <f>F9-G9</f>
        <v>-4498</v>
      </c>
      <c r="Y9" s="24"/>
      <c r="Z9" s="26">
        <v>2350</v>
      </c>
      <c r="AA9" s="22"/>
      <c r="AB9" s="20">
        <v>14</v>
      </c>
    </row>
    <row r="10" ht="20.05" customHeight="1">
      <c r="B10" s="13"/>
      <c r="C10" s="67">
        <v>952</v>
      </c>
      <c r="D10" s="26">
        <v>75.25</v>
      </c>
      <c r="E10" s="26">
        <v>83</v>
      </c>
      <c r="F10" s="26">
        <v>9</v>
      </c>
      <c r="G10" s="26">
        <v>4935</v>
      </c>
      <c r="H10" s="26">
        <v>9042</v>
      </c>
      <c r="I10" s="26">
        <v>775</v>
      </c>
      <c r="J10" s="26">
        <v>-45</v>
      </c>
      <c r="K10" s="26">
        <v>-246</v>
      </c>
      <c r="L10" s="26">
        <v>154.75</v>
      </c>
      <c r="M10" s="26">
        <v>-34.5</v>
      </c>
      <c r="N10" s="26">
        <f>SUM(C7:C10)/4</f>
        <v>840.25</v>
      </c>
      <c r="O10" s="26"/>
      <c r="P10" s="16">
        <f>C10/C9-1</f>
        <v>0.431578947368421</v>
      </c>
      <c r="Q10" s="16">
        <f>(E10+D10)/C10</f>
        <v>0.166228991596639</v>
      </c>
      <c r="R10" s="16"/>
      <c r="S10" s="17"/>
      <c r="T10" s="26">
        <f>SUM(J7:K10)/4</f>
        <v>-166.75</v>
      </c>
      <c r="U10" s="17"/>
      <c r="V10" s="26">
        <f>-(L10+M10)+V9</f>
        <v>-99.75</v>
      </c>
      <c r="W10" s="17"/>
      <c r="X10" s="26">
        <f>F10-G10</f>
        <v>-4926</v>
      </c>
      <c r="Y10" s="24"/>
      <c r="Z10" s="26">
        <v>2330</v>
      </c>
      <c r="AA10" s="22"/>
      <c r="AB10" s="20">
        <v>14.902</v>
      </c>
    </row>
    <row r="11" ht="20.05" customHeight="1">
      <c r="B11" s="13"/>
      <c r="C11" s="67">
        <v>922</v>
      </c>
      <c r="D11" s="26">
        <v>75.25</v>
      </c>
      <c r="E11" s="26">
        <v>-111</v>
      </c>
      <c r="F11" s="26">
        <v>81.7</v>
      </c>
      <c r="G11" s="26">
        <v>4990</v>
      </c>
      <c r="H11" s="26">
        <v>9019</v>
      </c>
      <c r="I11" s="26">
        <v>1083</v>
      </c>
      <c r="J11" s="26">
        <v>226</v>
      </c>
      <c r="K11" s="26">
        <v>-127</v>
      </c>
      <c r="L11" s="26">
        <v>154.75</v>
      </c>
      <c r="M11" s="26">
        <v>-34.5</v>
      </c>
      <c r="N11" s="26">
        <f>SUM(C8:C11)/4</f>
        <v>801.75</v>
      </c>
      <c r="O11" s="26"/>
      <c r="P11" s="16">
        <f>C11/C10-1</f>
        <v>-0.0315126050420168</v>
      </c>
      <c r="Q11" s="16">
        <f>(E11+D11)/C11</f>
        <v>-0.0387744034707158</v>
      </c>
      <c r="R11" s="16"/>
      <c r="S11" s="17"/>
      <c r="T11" s="26">
        <f>SUM(J8:K11)/4</f>
        <v>-170.5</v>
      </c>
      <c r="U11" s="17"/>
      <c r="V11" s="26">
        <f>-(L11+M11)+V10</f>
        <v>-220</v>
      </c>
      <c r="W11" s="17"/>
      <c r="X11" s="26">
        <f>F11-G11</f>
        <v>-4908.3</v>
      </c>
      <c r="Y11" s="24"/>
      <c r="Z11" s="26">
        <v>2370</v>
      </c>
      <c r="AA11" s="22"/>
      <c r="AB11" s="20">
        <v>14.38</v>
      </c>
    </row>
    <row r="12" ht="20.05" customHeight="1">
      <c r="B12" s="21">
        <v>2019</v>
      </c>
      <c r="C12" s="67">
        <v>757</v>
      </c>
      <c r="D12" s="26">
        <v>81.5</v>
      </c>
      <c r="E12" s="26">
        <v>4</v>
      </c>
      <c r="F12" s="26">
        <v>31.5</v>
      </c>
      <c r="G12" s="26">
        <v>4831</v>
      </c>
      <c r="H12" s="26">
        <v>8933</v>
      </c>
      <c r="I12" s="26">
        <v>762</v>
      </c>
      <c r="J12" s="26">
        <v>35</v>
      </c>
      <c r="K12" s="26">
        <v>-138</v>
      </c>
      <c r="L12" s="26">
        <v>35.25</v>
      </c>
      <c r="M12" s="26">
        <v>-1.5</v>
      </c>
      <c r="N12" s="26">
        <f>SUM(C9:C12)/4</f>
        <v>824</v>
      </c>
      <c r="O12" s="26"/>
      <c r="P12" s="16">
        <f>C12/C11-1</f>
        <v>-0.178958785249458</v>
      </c>
      <c r="Q12" s="16">
        <f>(E12+D12)/C12</f>
        <v>0.112945838837517</v>
      </c>
      <c r="R12" s="16">
        <f>AVERAGE(Q9:Q12)</f>
        <v>0.116585069146875</v>
      </c>
      <c r="S12" s="17"/>
      <c r="T12" s="26">
        <f>SUM(J9:K12)/4</f>
        <v>-149</v>
      </c>
      <c r="U12" s="17"/>
      <c r="V12" s="26">
        <f>-(L12+M12)+V11</f>
        <v>-253.75</v>
      </c>
      <c r="W12" s="17"/>
      <c r="X12" s="26">
        <f>F12-G12</f>
        <v>-4799.5</v>
      </c>
      <c r="Y12" s="24"/>
      <c r="Z12" s="26">
        <v>2550</v>
      </c>
      <c r="AA12" s="22"/>
      <c r="AB12" s="20">
        <v>14.24</v>
      </c>
    </row>
    <row r="13" ht="20.05" customHeight="1">
      <c r="B13" s="13"/>
      <c r="C13" s="67">
        <v>607</v>
      </c>
      <c r="D13" s="26">
        <v>81.5</v>
      </c>
      <c r="E13" s="26">
        <v>-22.2</v>
      </c>
      <c r="F13" s="26">
        <v>7.6</v>
      </c>
      <c r="G13" s="26">
        <v>5126</v>
      </c>
      <c r="H13" s="26">
        <v>9206</v>
      </c>
      <c r="I13" s="26">
        <v>582</v>
      </c>
      <c r="J13" s="26">
        <v>-145.1</v>
      </c>
      <c r="K13" s="26">
        <v>-174</v>
      </c>
      <c r="L13" s="26">
        <v>35.25</v>
      </c>
      <c r="M13" s="26">
        <v>-1.5</v>
      </c>
      <c r="N13" s="26">
        <f>SUM(C10:C13)/4</f>
        <v>809.5</v>
      </c>
      <c r="O13" s="26"/>
      <c r="P13" s="16">
        <f>C13/C12-1</f>
        <v>-0.198150594451783</v>
      </c>
      <c r="Q13" s="16">
        <f>(E13+D13)/C13</f>
        <v>0.0976935749588138</v>
      </c>
      <c r="R13" s="16">
        <f>AVERAGE(Q10:Q13)</f>
        <v>0.08452350048056349</v>
      </c>
      <c r="S13" s="17"/>
      <c r="T13" s="26">
        <f>SUM(J10:K13)/4</f>
        <v>-153.525</v>
      </c>
      <c r="U13" s="17"/>
      <c r="V13" s="26">
        <f>-(L13+M13)+V12</f>
        <v>-287.5</v>
      </c>
      <c r="W13" s="17"/>
      <c r="X13" s="26">
        <f>F13-G13</f>
        <v>-5118.4</v>
      </c>
      <c r="Y13" s="24"/>
      <c r="Z13" s="26">
        <v>2270</v>
      </c>
      <c r="AA13" s="24"/>
      <c r="AB13" s="15">
        <v>14.127</v>
      </c>
    </row>
    <row r="14" ht="20.05" customHeight="1">
      <c r="B14" s="13"/>
      <c r="C14" s="67">
        <v>903</v>
      </c>
      <c r="D14" s="26">
        <v>81.5</v>
      </c>
      <c r="E14" s="26">
        <v>36.2</v>
      </c>
      <c r="F14" s="26">
        <v>114</v>
      </c>
      <c r="G14" s="26">
        <v>5239</v>
      </c>
      <c r="H14" s="26">
        <v>9374</v>
      </c>
      <c r="I14" s="26">
        <v>946</v>
      </c>
      <c r="J14" s="26">
        <v>340.1</v>
      </c>
      <c r="K14" s="26">
        <v>-211</v>
      </c>
      <c r="L14" s="26">
        <v>35.25</v>
      </c>
      <c r="M14" s="26">
        <v>-1.5</v>
      </c>
      <c r="N14" s="26">
        <f>SUM(C11:C14)/4</f>
        <v>797.25</v>
      </c>
      <c r="O14" s="26"/>
      <c r="P14" s="16">
        <f>C14/C13-1</f>
        <v>0.487644151565074</v>
      </c>
      <c r="Q14" s="16">
        <f>(E14+D14)/C14</f>
        <v>0.130343300110742</v>
      </c>
      <c r="R14" s="16">
        <f>AVERAGE(Q11:Q14)</f>
        <v>0.0755520776090893</v>
      </c>
      <c r="S14" s="17"/>
      <c r="T14" s="26">
        <f>SUM(J11:K14)/4</f>
        <v>-48.5</v>
      </c>
      <c r="U14" s="17"/>
      <c r="V14" s="26">
        <f>-(L14+M14)+V13</f>
        <v>-321.25</v>
      </c>
      <c r="W14" s="17"/>
      <c r="X14" s="26">
        <f>F14-G14</f>
        <v>-5125</v>
      </c>
      <c r="Y14" s="24"/>
      <c r="Z14" s="26">
        <v>2170</v>
      </c>
      <c r="AA14" s="24"/>
      <c r="AB14" s="15">
        <v>14.195</v>
      </c>
    </row>
    <row r="15" ht="20.05" customHeight="1">
      <c r="B15" s="13"/>
      <c r="C15" s="67">
        <v>1001</v>
      </c>
      <c r="D15" s="26">
        <v>81.5</v>
      </c>
      <c r="E15" s="26">
        <v>22</v>
      </c>
      <c r="F15" s="26">
        <v>167</v>
      </c>
      <c r="G15" s="26">
        <v>5314</v>
      </c>
      <c r="H15" s="26">
        <v>9467</v>
      </c>
      <c r="I15" s="26">
        <v>1019</v>
      </c>
      <c r="J15" s="26">
        <v>253</v>
      </c>
      <c r="K15" s="26">
        <v>-232</v>
      </c>
      <c r="L15" s="26">
        <v>35.25</v>
      </c>
      <c r="M15" s="26">
        <v>-1.5</v>
      </c>
      <c r="N15" s="26">
        <f>SUM(C12:C15)/4</f>
        <v>817</v>
      </c>
      <c r="O15" s="26"/>
      <c r="P15" s="16">
        <f>C15/C14-1</f>
        <v>0.108527131782946</v>
      </c>
      <c r="Q15" s="16">
        <f>(E15+D15)/C15</f>
        <v>0.103396603396603</v>
      </c>
      <c r="R15" s="16">
        <f>AVERAGE(Q12:Q15)</f>
        <v>0.111094829325919</v>
      </c>
      <c r="S15" s="17"/>
      <c r="T15" s="26">
        <f>SUM(J12:K15)/4</f>
        <v>-68</v>
      </c>
      <c r="U15" s="17"/>
      <c r="V15" s="26">
        <f>-(L15+M15)+V14</f>
        <v>-355</v>
      </c>
      <c r="W15" s="17"/>
      <c r="X15" s="26">
        <f>F15-G15</f>
        <v>-5147</v>
      </c>
      <c r="Y15" s="24"/>
      <c r="Z15" s="26">
        <v>2510</v>
      </c>
      <c r="AA15" s="24"/>
      <c r="AB15" s="15">
        <v>13.882</v>
      </c>
    </row>
    <row r="16" ht="20.05" customHeight="1">
      <c r="B16" s="21">
        <v>2020</v>
      </c>
      <c r="C16" s="67">
        <v>903.8</v>
      </c>
      <c r="D16" s="26">
        <v>83.6666666666667</v>
      </c>
      <c r="E16" s="26">
        <v>2</v>
      </c>
      <c r="F16" s="26">
        <v>344</v>
      </c>
      <c r="G16" s="26">
        <v>5492</v>
      </c>
      <c r="H16" s="26">
        <v>9647</v>
      </c>
      <c r="I16" s="26">
        <v>1030</v>
      </c>
      <c r="J16" s="26">
        <v>198</v>
      </c>
      <c r="K16" s="26">
        <v>-139</v>
      </c>
      <c r="L16" s="26">
        <v>117</v>
      </c>
      <c r="M16" s="26">
        <v>0</v>
      </c>
      <c r="N16" s="26">
        <f>SUM(C13:C16)/4</f>
        <v>853.7</v>
      </c>
      <c r="O16" s="26">
        <v>904.1849999999999</v>
      </c>
      <c r="P16" s="16">
        <f>C16/C15-1</f>
        <v>-0.0971028971028971</v>
      </c>
      <c r="Q16" s="16">
        <f>(E16+D16)/C16</f>
        <v>0.0947849819281552</v>
      </c>
      <c r="R16" s="16">
        <f>AVERAGE(Q13:Q16)</f>
        <v>0.106554615098579</v>
      </c>
      <c r="S16" s="17"/>
      <c r="T16" s="26">
        <f>SUM(J13:K16)/4</f>
        <v>-27.5</v>
      </c>
      <c r="U16" s="17"/>
      <c r="V16" s="26">
        <f>-(L16+M16)+V15</f>
        <v>-472</v>
      </c>
      <c r="W16" s="17"/>
      <c r="X16" s="26">
        <f>F16-G16</f>
        <v>-5148</v>
      </c>
      <c r="Y16" s="24"/>
      <c r="Z16" s="26">
        <v>2200</v>
      </c>
      <c r="AA16" s="24"/>
      <c r="AB16" s="15">
        <v>16.31</v>
      </c>
    </row>
    <row r="17" ht="20.05" customHeight="1">
      <c r="B17" s="13"/>
      <c r="C17" s="67">
        <v>698.636</v>
      </c>
      <c r="D17" s="26">
        <v>83.6666666666667</v>
      </c>
      <c r="E17" s="26">
        <v>2.94</v>
      </c>
      <c r="F17" s="26">
        <v>214.536</v>
      </c>
      <c r="G17" s="26">
        <v>5312.43</v>
      </c>
      <c r="H17" s="26">
        <v>9465.047</v>
      </c>
      <c r="I17" s="26">
        <v>734.66</v>
      </c>
      <c r="J17" s="26">
        <v>160</v>
      </c>
      <c r="K17" s="26">
        <v>-110.7</v>
      </c>
      <c r="L17" s="26">
        <v>-173.3</v>
      </c>
      <c r="M17" s="26">
        <v>-5.1</v>
      </c>
      <c r="N17" s="26">
        <f>SUM(C14:C17)/4</f>
        <v>876.609</v>
      </c>
      <c r="O17" s="26">
        <v>906.29</v>
      </c>
      <c r="P17" s="16">
        <f>C17/C16-1</f>
        <v>-0.227001549015269</v>
      </c>
      <c r="Q17" s="16">
        <f>(E17+D17)/C17</f>
        <v>0.12396536489197</v>
      </c>
      <c r="R17" s="16">
        <f>AVERAGE(Q14:Q17)</f>
        <v>0.113122562581868</v>
      </c>
      <c r="S17" s="17"/>
      <c r="T17" s="26">
        <f>SUM(J14:K17)/4</f>
        <v>64.59999999999999</v>
      </c>
      <c r="U17" s="17"/>
      <c r="V17" s="26">
        <f>-(L17+M17)+V16</f>
        <v>-293.6</v>
      </c>
      <c r="W17" s="17"/>
      <c r="X17" s="26">
        <f>F17-G17</f>
        <v>-5097.894</v>
      </c>
      <c r="Y17" s="24"/>
      <c r="Z17" s="26">
        <v>2080</v>
      </c>
      <c r="AA17" s="24"/>
      <c r="AB17" s="15">
        <v>14.255</v>
      </c>
    </row>
    <row r="18" ht="20.05" customHeight="1">
      <c r="B18" s="13"/>
      <c r="C18" s="67">
        <v>654.564</v>
      </c>
      <c r="D18" s="26">
        <v>83.6666666666667</v>
      </c>
      <c r="E18" s="26">
        <v>20.06</v>
      </c>
      <c r="F18" s="26">
        <v>223</v>
      </c>
      <c r="G18" s="26">
        <v>5403</v>
      </c>
      <c r="H18" s="26">
        <v>9585</v>
      </c>
      <c r="I18" s="26">
        <v>683.34</v>
      </c>
      <c r="J18" s="26">
        <v>79</v>
      </c>
      <c r="K18" s="26">
        <v>-102.3</v>
      </c>
      <c r="L18" s="26">
        <v>41.9</v>
      </c>
      <c r="M18" s="26">
        <v>-10.5</v>
      </c>
      <c r="N18" s="26">
        <f>SUM(C15:C18)/4</f>
        <v>814.5</v>
      </c>
      <c r="O18" s="26">
        <v>898.04125</v>
      </c>
      <c r="P18" s="16">
        <f>C18/C17-1</f>
        <v>-0.0630829215786189</v>
      </c>
      <c r="Q18" s="16">
        <f>(E18+D18)/C18</f>
        <v>0.158466806403448</v>
      </c>
      <c r="R18" s="16">
        <f>AVERAGE(Q15:Q18)</f>
        <v>0.120153439155044</v>
      </c>
      <c r="S18" s="17"/>
      <c r="T18" s="26">
        <f>SUM(J15:K18)/4</f>
        <v>26.5</v>
      </c>
      <c r="U18" s="17"/>
      <c r="V18" s="26">
        <f>-(L18+M18)+V17</f>
        <v>-325</v>
      </c>
      <c r="W18" s="17"/>
      <c r="X18" s="26">
        <f>F18-G18</f>
        <v>-5180</v>
      </c>
      <c r="Y18" s="24"/>
      <c r="Z18" s="26">
        <v>1500</v>
      </c>
      <c r="AA18" s="24"/>
      <c r="AB18" s="15">
        <v>14.79</v>
      </c>
    </row>
    <row r="19" ht="20.05" customHeight="1">
      <c r="B19" s="13"/>
      <c r="C19" s="67">
        <v>1245</v>
      </c>
      <c r="D19" s="26">
        <v>417</v>
      </c>
      <c r="E19" s="26">
        <v>-216.7</v>
      </c>
      <c r="F19" s="26">
        <v>249.6</v>
      </c>
      <c r="G19" s="26">
        <v>5948.6</v>
      </c>
      <c r="H19" s="26">
        <v>9744.68</v>
      </c>
      <c r="I19" s="26">
        <v>905.2</v>
      </c>
      <c r="J19" s="26">
        <v>-116.46</v>
      </c>
      <c r="K19" s="26">
        <v>-31</v>
      </c>
      <c r="L19" s="26">
        <v>175</v>
      </c>
      <c r="M19" s="26">
        <v>0</v>
      </c>
      <c r="N19" s="26">
        <f>SUM(C16:C19)/4</f>
        <v>875.5</v>
      </c>
      <c r="O19" s="26">
        <v>909.6598</v>
      </c>
      <c r="P19" s="16">
        <f>C19/C18-1</f>
        <v>0.902029442499129</v>
      </c>
      <c r="Q19" s="16">
        <f>(E19+D19)/C19</f>
        <v>0.160883534136546</v>
      </c>
      <c r="R19" s="16">
        <f>AVERAGE(Q16:Q19)</f>
        <v>0.13452517184003</v>
      </c>
      <c r="S19" s="17"/>
      <c r="T19" s="26">
        <f>SUM(J16:K19)/4</f>
        <v>-15.615</v>
      </c>
      <c r="U19" s="17"/>
      <c r="V19" s="26">
        <f>-(L19+M19)+V18</f>
        <v>-500</v>
      </c>
      <c r="W19" s="17"/>
      <c r="X19" s="26">
        <f>F19-G19</f>
        <v>-5699</v>
      </c>
      <c r="Y19" s="24"/>
      <c r="Z19" s="26">
        <v>1615</v>
      </c>
      <c r="AA19" s="24"/>
      <c r="AB19" s="15">
        <v>14.1</v>
      </c>
    </row>
    <row r="20" ht="20.05" customHeight="1">
      <c r="B20" s="21">
        <v>2021</v>
      </c>
      <c r="C20" s="67">
        <v>1330</v>
      </c>
      <c r="D20" s="26">
        <v>86</v>
      </c>
      <c r="E20" s="26">
        <v>213</v>
      </c>
      <c r="F20" s="26">
        <v>357</v>
      </c>
      <c r="G20" s="26">
        <v>5594</v>
      </c>
      <c r="H20" s="26">
        <v>9599</v>
      </c>
      <c r="I20" s="26">
        <v>1533</v>
      </c>
      <c r="J20" s="26">
        <v>487</v>
      </c>
      <c r="K20" s="26">
        <v>-81</v>
      </c>
      <c r="L20" s="26">
        <v>-299</v>
      </c>
      <c r="M20" s="26">
        <v>0</v>
      </c>
      <c r="N20" s="26">
        <f>SUM(C17:C20)/4</f>
        <v>982.05</v>
      </c>
      <c r="O20" s="26">
        <v>995.2798</v>
      </c>
      <c r="P20" s="16">
        <f>C20/C19-1</f>
        <v>0.0682730923694779</v>
      </c>
      <c r="Q20" s="16">
        <f>(E20+D20)/C20</f>
        <v>0.224812030075188</v>
      </c>
      <c r="R20" s="16">
        <f>AVERAGE(Q17:Q20)</f>
        <v>0.167031933876788</v>
      </c>
      <c r="S20" s="17"/>
      <c r="T20" s="26">
        <f>SUM(J17:K20)/4</f>
        <v>71.13500000000001</v>
      </c>
      <c r="U20" s="17"/>
      <c r="V20" s="26">
        <f>-(L20+M20)+V19</f>
        <v>-201</v>
      </c>
      <c r="W20" s="17"/>
      <c r="X20" s="26">
        <f>F20-G20</f>
        <v>-5237</v>
      </c>
      <c r="Y20" s="26"/>
      <c r="Z20" s="26">
        <v>1750</v>
      </c>
      <c r="AA20" s="17"/>
      <c r="AB20" s="15">
        <v>14.606</v>
      </c>
    </row>
    <row r="21" ht="20.05" customHeight="1">
      <c r="B21" s="13"/>
      <c r="C21" s="67">
        <v>1336.6</v>
      </c>
      <c r="D21" s="26">
        <v>87.09999999999999</v>
      </c>
      <c r="E21" s="26">
        <v>182.8</v>
      </c>
      <c r="F21" s="26">
        <v>434</v>
      </c>
      <c r="G21" s="26">
        <v>5449</v>
      </c>
      <c r="H21" s="26">
        <v>9635</v>
      </c>
      <c r="I21" s="26">
        <v>1251.9</v>
      </c>
      <c r="J21" s="26">
        <v>239.7</v>
      </c>
      <c r="K21" s="26">
        <v>-45.2</v>
      </c>
      <c r="L21" s="26">
        <v>-116.3</v>
      </c>
      <c r="M21" s="26">
        <v>-1.1</v>
      </c>
      <c r="N21" s="26">
        <f>SUM(C18:C21)/4</f>
        <v>1141.541</v>
      </c>
      <c r="O21" s="26">
        <v>1105.46605</v>
      </c>
      <c r="P21" s="16">
        <f>C21/C20-1</f>
        <v>0.00496240601503759</v>
      </c>
      <c r="Q21" s="16">
        <f>(E21+D21)/C21</f>
        <v>0.201930270836451</v>
      </c>
      <c r="R21" s="16">
        <f>AVERAGE(Q18:Q21)</f>
        <v>0.186523160362908</v>
      </c>
      <c r="S21" s="17"/>
      <c r="T21" s="26">
        <f>SUM(J18:K21)/4</f>
        <v>107.435</v>
      </c>
      <c r="U21" s="17"/>
      <c r="V21" s="26">
        <f>-(L21+M21)+V20</f>
        <v>-83.59999999999999</v>
      </c>
      <c r="W21" s="17"/>
      <c r="X21" s="26">
        <f>F21-G21</f>
        <v>-5015</v>
      </c>
      <c r="Y21" s="26"/>
      <c r="Z21" s="26">
        <v>1780</v>
      </c>
      <c r="AA21" s="17"/>
      <c r="AB21" s="15">
        <v>14.45</v>
      </c>
    </row>
    <row r="22" ht="20.05" customHeight="1">
      <c r="B22" s="13"/>
      <c r="C22" s="67">
        <v>1239.1</v>
      </c>
      <c r="D22" s="26">
        <v>86.8</v>
      </c>
      <c r="E22" s="26">
        <v>125.4</v>
      </c>
      <c r="F22" s="26">
        <v>121</v>
      </c>
      <c r="G22" s="26">
        <v>5474</v>
      </c>
      <c r="H22" s="26">
        <v>9763</v>
      </c>
      <c r="I22" s="26">
        <v>1352.9</v>
      </c>
      <c r="J22" s="26">
        <v>381.1</v>
      </c>
      <c r="K22" s="26">
        <v>-36.8</v>
      </c>
      <c r="L22" s="26">
        <v>-204.3</v>
      </c>
      <c r="M22" s="26">
        <v>-0.8</v>
      </c>
      <c r="N22" s="26">
        <f>SUM(C19:C22)/4</f>
        <v>1287.675</v>
      </c>
      <c r="O22" s="26">
        <v>1248.0243</v>
      </c>
      <c r="P22" s="16">
        <f>C22/C21-1</f>
        <v>-0.0729462816100554</v>
      </c>
      <c r="Q22" s="16">
        <f>(E22+D22)/C22</f>
        <v>0.171253329029134</v>
      </c>
      <c r="R22" s="16">
        <f>AVERAGE(Q19:Q22)</f>
        <v>0.18971979101933</v>
      </c>
      <c r="S22" s="17"/>
      <c r="T22" s="26">
        <f>SUM(J19:K22)/4</f>
        <v>199.335</v>
      </c>
      <c r="U22" s="17"/>
      <c r="V22" s="26">
        <f>-(L22+M22)+V21</f>
        <v>121.5</v>
      </c>
      <c r="W22" s="17"/>
      <c r="X22" s="26">
        <f>F22-G22</f>
        <v>-5353</v>
      </c>
      <c r="Y22" s="26"/>
      <c r="Z22" s="26">
        <v>1915</v>
      </c>
      <c r="AA22" s="17"/>
      <c r="AB22" s="15">
        <v>14.328</v>
      </c>
    </row>
    <row r="23" ht="20.05" customHeight="1">
      <c r="B23" s="13"/>
      <c r="C23" s="67">
        <v>1316.6</v>
      </c>
      <c r="D23" s="26">
        <v>90.8</v>
      </c>
      <c r="E23" s="26">
        <v>293.5</v>
      </c>
      <c r="F23" s="26">
        <v>497</v>
      </c>
      <c r="G23" s="26">
        <v>5154</v>
      </c>
      <c r="H23" s="26">
        <v>9751</v>
      </c>
      <c r="I23" s="26">
        <v>1281.2</v>
      </c>
      <c r="J23" s="26">
        <v>294</v>
      </c>
      <c r="K23" s="26">
        <v>-184.9</v>
      </c>
      <c r="L23" s="26">
        <v>-183.6</v>
      </c>
      <c r="M23" s="26">
        <v>-2.1</v>
      </c>
      <c r="N23" s="26">
        <f>SUM(C20:C23)/4</f>
        <v>1305.575</v>
      </c>
      <c r="O23" s="26">
        <v>1350.622</v>
      </c>
      <c r="P23" s="16">
        <f>C23/C22-1</f>
        <v>0.0625453958518279</v>
      </c>
      <c r="Q23" s="16">
        <f>(E23+D23)/C23</f>
        <v>0.291888196870728</v>
      </c>
      <c r="R23" s="16">
        <f>AVERAGE(Q20:Q23)</f>
        <v>0.222470956702875</v>
      </c>
      <c r="S23" s="17"/>
      <c r="T23" s="26">
        <f>SUM(J20:K23)/4</f>
        <v>263.475</v>
      </c>
      <c r="U23" s="17"/>
      <c r="V23" s="26">
        <f>-(L23+M23)+V22</f>
        <v>307.2</v>
      </c>
      <c r="W23" s="17"/>
      <c r="X23" s="26">
        <f>F23-G23</f>
        <v>-4657</v>
      </c>
      <c r="Y23" s="26"/>
      <c r="Z23" s="26">
        <v>1995</v>
      </c>
      <c r="AA23" s="17"/>
      <c r="AB23" s="15">
        <v>14.275</v>
      </c>
    </row>
    <row r="24" ht="20.05" customHeight="1">
      <c r="B24" s="21">
        <v>2022</v>
      </c>
      <c r="C24" s="67">
        <v>1259</v>
      </c>
      <c r="D24" s="26">
        <v>88</v>
      </c>
      <c r="E24" s="26">
        <v>249</v>
      </c>
      <c r="F24" s="26">
        <v>629.6</v>
      </c>
      <c r="G24" s="26">
        <v>5225</v>
      </c>
      <c r="H24" s="26">
        <v>10068</v>
      </c>
      <c r="I24" s="26">
        <v>1271</v>
      </c>
      <c r="J24" s="26">
        <v>267.8</v>
      </c>
      <c r="K24" s="26">
        <v>-131.2</v>
      </c>
      <c r="L24" s="26">
        <v>-2</v>
      </c>
      <c r="M24" s="26">
        <v>-1.1</v>
      </c>
      <c r="N24" s="26">
        <f>SUM(C21:C24)/4</f>
        <v>1287.825</v>
      </c>
      <c r="O24" s="26">
        <v>1411.17575</v>
      </c>
      <c r="P24" s="16">
        <f>C24/C23-1</f>
        <v>-0.0437490505848397</v>
      </c>
      <c r="Q24" s="16">
        <f>(E24+D24)/C24</f>
        <v>0.267672756155679</v>
      </c>
      <c r="R24" s="16">
        <f>AVERAGE(Q21:Q24)</f>
        <v>0.233186138222998</v>
      </c>
      <c r="S24" s="35"/>
      <c r="T24" s="26">
        <f>SUM(J21:K24)/4</f>
        <v>196.125</v>
      </c>
      <c r="U24" s="26">
        <v>282.664904172130</v>
      </c>
      <c r="V24" s="26">
        <f>-(L24+M24)+V23</f>
        <v>310.3</v>
      </c>
      <c r="W24" s="26"/>
      <c r="X24" s="26">
        <f>F24-G24</f>
        <v>-4595.4</v>
      </c>
      <c r="Y24" s="26">
        <v>-3695.403197412</v>
      </c>
      <c r="Z24" s="15">
        <v>2250</v>
      </c>
      <c r="AA24" s="26">
        <v>7514.1057109157</v>
      </c>
      <c r="AB24" s="15">
        <v>14.327</v>
      </c>
    </row>
    <row r="25" ht="20.05" customHeight="1">
      <c r="B25" s="13"/>
      <c r="C25" s="67">
        <v>1364.9</v>
      </c>
      <c r="D25" s="26">
        <v>90.3</v>
      </c>
      <c r="E25" s="26">
        <v>291.7</v>
      </c>
      <c r="F25" s="26">
        <v>302.3</v>
      </c>
      <c r="G25" s="26">
        <v>5230</v>
      </c>
      <c r="H25" s="26">
        <v>10114</v>
      </c>
      <c r="I25" s="26">
        <v>1284.5</v>
      </c>
      <c r="J25" s="26">
        <v>85.8</v>
      </c>
      <c r="K25" s="26">
        <v>-127</v>
      </c>
      <c r="L25" s="26">
        <v>-38.8</v>
      </c>
      <c r="M25" s="26">
        <v>-247.3</v>
      </c>
      <c r="N25" s="26">
        <f>SUM(C22:C25)/4</f>
        <v>1294.9</v>
      </c>
      <c r="O25" s="26">
        <v>1429.032</v>
      </c>
      <c r="P25" s="16">
        <f>C25/C24-1</f>
        <v>0.08411437648927721</v>
      </c>
      <c r="Q25" s="16">
        <f>(E25+D25)/C25</f>
        <v>0.27987398344201</v>
      </c>
      <c r="R25" s="16">
        <f>AVERAGE(Q22:Q25)</f>
        <v>0.252672066374388</v>
      </c>
      <c r="S25" s="35"/>
      <c r="T25" s="26">
        <f>SUM(J22:K25)/4</f>
        <v>137.2</v>
      </c>
      <c r="U25" s="26">
        <v>282.664904172130</v>
      </c>
      <c r="V25" s="26">
        <f>-(L25+M25)+V24</f>
        <v>596.4</v>
      </c>
      <c r="W25" s="26"/>
      <c r="X25" s="26">
        <f>F25-G25</f>
        <v>-4927.7</v>
      </c>
      <c r="Y25" s="26">
        <v>-3695.403197412</v>
      </c>
      <c r="Z25" s="26">
        <v>2120</v>
      </c>
      <c r="AA25" s="26">
        <v>5376.366700439220</v>
      </c>
      <c r="AB25" s="15">
        <v>14.66</v>
      </c>
    </row>
    <row r="26" ht="20.05" customHeight="1">
      <c r="B26" s="13"/>
      <c r="C26" s="67">
        <v>1286.9</v>
      </c>
      <c r="D26" s="26">
        <v>91.8</v>
      </c>
      <c r="E26" s="26">
        <v>268.4</v>
      </c>
      <c r="F26" s="26">
        <v>415.2</v>
      </c>
      <c r="G26" s="26">
        <v>5240</v>
      </c>
      <c r="H26" s="26">
        <v>10390</v>
      </c>
      <c r="I26" s="26">
        <v>1277</v>
      </c>
      <c r="J26" s="26">
        <v>160.4</v>
      </c>
      <c r="K26" s="26">
        <v>-28</v>
      </c>
      <c r="L26" s="26">
        <v>-29.4</v>
      </c>
      <c r="M26" s="26">
        <v>0</v>
      </c>
      <c r="N26" s="26">
        <f>SUM(C23:C26)/4</f>
        <v>1306.85</v>
      </c>
      <c r="O26" s="26">
        <v>1412.78725</v>
      </c>
      <c r="P26" s="16">
        <f>C26/C25-1</f>
        <v>-0.0571470437394681</v>
      </c>
      <c r="Q26" s="16">
        <f>(E26+D26)/C26</f>
        <v>0.279897427927578</v>
      </c>
      <c r="R26" s="16">
        <f>AVERAGE(Q23:Q26)</f>
        <v>0.279833091098999</v>
      </c>
      <c r="S26" s="35">
        <f>S27</f>
        <v>0.279833091098999</v>
      </c>
      <c r="T26" s="26">
        <f>SUM(J23:K26)/4</f>
        <v>84.22499999999999</v>
      </c>
      <c r="U26" s="26">
        <v>279.31248</v>
      </c>
      <c r="V26" s="26">
        <f>-(L26+M26)+V25</f>
        <v>625.8</v>
      </c>
      <c r="W26" s="26">
        <f>W27</f>
        <v>1597.78725</v>
      </c>
      <c r="X26" s="26">
        <f>F26-G26</f>
        <v>-4824.8</v>
      </c>
      <c r="Y26" s="26">
        <v>-4066.620064</v>
      </c>
      <c r="Z26" s="26">
        <v>2100</v>
      </c>
      <c r="AA26" s="26">
        <v>5376.366700439220</v>
      </c>
      <c r="AB26" s="15">
        <v>15.705</v>
      </c>
    </row>
    <row r="27" ht="20.05" customHeight="1">
      <c r="B27" s="13"/>
      <c r="C27" s="14"/>
      <c r="D27" s="17"/>
      <c r="E27" s="26"/>
      <c r="F27" s="17"/>
      <c r="G27" s="17"/>
      <c r="H27" s="17"/>
      <c r="I27" s="26"/>
      <c r="J27" s="26"/>
      <c r="K27" s="26"/>
      <c r="L27" s="26"/>
      <c r="M27" s="26"/>
      <c r="N27" s="26"/>
      <c r="O27" s="26">
        <f>AVERAGE(AE52:AH52)</f>
        <v>1343.9759775225</v>
      </c>
      <c r="P27" s="17"/>
      <c r="Q27" s="17"/>
      <c r="R27" s="17"/>
      <c r="S27" s="35">
        <f>AE53</f>
        <v>0.279833091098999</v>
      </c>
      <c r="T27" s="17"/>
      <c r="U27" s="26">
        <f>SUM(AE55:AH55)/4</f>
        <v>348.088952152920</v>
      </c>
      <c r="V27" s="17"/>
      <c r="W27" s="26">
        <f>-SUM(AE76:AH76)+V26</f>
        <v>1597.78725</v>
      </c>
      <c r="X27" s="17"/>
      <c r="Y27" s="26">
        <f>AH75</f>
        <v>-3432.444191388320</v>
      </c>
      <c r="Z27" s="26">
        <v>2100</v>
      </c>
      <c r="AA27" s="26">
        <v>5529.054504553040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SUM(N16:N26)</f>
        <v>12026.725</v>
      </c>
      <c r="O28" s="26">
        <f>SUM(O16:O26)</f>
        <v>12570.5632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3828.055844849730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228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0.0114409195041993</v>
      </c>
      <c r="AF49" s="35"/>
      <c r="AG49" s="35"/>
      <c r="AH49" s="35">
        <f>AVERAGE(AE51:AH51)</f>
        <v>0.0175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0.0625453958518279</v>
      </c>
      <c r="AF50" s="35">
        <f>P24</f>
        <v>-0.0437490505848397</v>
      </c>
      <c r="AG50" s="35">
        <f>P25</f>
        <v>0.08411437648927721</v>
      </c>
      <c r="AH50" s="35">
        <f>P26</f>
        <v>-0.0571470437394681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-0.03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1286.9</v>
      </c>
      <c r="AE52" s="23">
        <f>C26*(1+AE51)</f>
        <v>1351.245</v>
      </c>
      <c r="AF52" s="23">
        <f>AE52*(1+AF51)</f>
        <v>1310.70765</v>
      </c>
      <c r="AG52" s="23">
        <f>AF52*(1+AG51)</f>
        <v>1336.921803</v>
      </c>
      <c r="AH52" s="23">
        <f>AG52*(1+AH51)</f>
        <v>1377.02945709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0.279833091098999</v>
      </c>
      <c r="AF53" s="35">
        <f>AE53</f>
        <v>0.279833091098999</v>
      </c>
      <c r="AG53" s="35">
        <f>AF53</f>
        <v>0.279833091098999</v>
      </c>
      <c r="AH53" s="35">
        <f>AG53</f>
        <v>0.279833091098999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-28</v>
      </c>
      <c r="AF54" s="15">
        <f>AE54</f>
        <v>-28</v>
      </c>
      <c r="AG54" s="15">
        <f>AF54</f>
        <v>-28</v>
      </c>
      <c r="AH54" s="15">
        <f>AG54</f>
        <v>-28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350.123065182067</v>
      </c>
      <c r="AF55" s="15">
        <f>(AF52*AF53)+AF54</f>
        <v>338.779373226605</v>
      </c>
      <c r="AG55" s="15">
        <f>(AG52*AG53)+AG54</f>
        <v>346.114960691137</v>
      </c>
      <c r="AH55" s="15">
        <f>(AH52*AH53)+AH54</f>
        <v>357.338409511871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-262</v>
      </c>
      <c r="AF56" s="15">
        <f>-AE71/20</f>
        <v>-248.9</v>
      </c>
      <c r="AG56" s="15">
        <f>-AF71/20</f>
        <v>-236.455</v>
      </c>
      <c r="AH56" s="15">
        <f>-AG71/20</f>
        <v>-224.63225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88.12306518206699</v>
      </c>
      <c r="AF59" s="15">
        <f>AF55+AF56+AF58</f>
        <v>89.879373226605</v>
      </c>
      <c r="AG59" s="15">
        <f>AG55+AG56+AG58</f>
        <v>109.659960691137</v>
      </c>
      <c r="AH59" s="15">
        <f>AH55+AH56+AH58</f>
        <v>132.706159511871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415.2</v>
      </c>
      <c r="AF61" s="15">
        <f>AE63</f>
        <v>503.323065182067</v>
      </c>
      <c r="AG61" s="15">
        <f>AF63</f>
        <v>593.202438408672</v>
      </c>
      <c r="AH61" s="15">
        <f>AG63</f>
        <v>702.862399099809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88.12306518206699</v>
      </c>
      <c r="AF62" s="15">
        <f>AF55+AF56+AF58+AF60</f>
        <v>89.879373226605</v>
      </c>
      <c r="AG62" s="15">
        <f>AG55+AG56+AG58+AG60</f>
        <v>109.659960691137</v>
      </c>
      <c r="AH62" s="15">
        <f>AH55+AH56+AH58+AH60</f>
        <v>132.706159511871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503.323065182067</v>
      </c>
      <c r="AF63" s="15">
        <f>AF61+AF62</f>
        <v>593.202438408672</v>
      </c>
      <c r="AG63" s="15">
        <f>AG61+AG62</f>
        <v>702.862399099809</v>
      </c>
      <c r="AH63" s="15">
        <f>AH61+AH62</f>
        <v>835.568558611680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-90.0333333333333</v>
      </c>
      <c r="AF65" s="15">
        <f>AE65</f>
        <v>-90.0333333333333</v>
      </c>
      <c r="AG65" s="15">
        <f>AF65</f>
        <v>-90.0333333333333</v>
      </c>
      <c r="AH65" s="15">
        <f>AG65</f>
        <v>-90.0333333333333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288.089731848734</v>
      </c>
      <c r="AF66" s="15">
        <f>(AF52*AF53)+AF65</f>
        <v>276.746039893272</v>
      </c>
      <c r="AG66" s="15">
        <f>(AG52*AG53)+AG65</f>
        <v>284.081627357804</v>
      </c>
      <c r="AH66" s="15">
        <f>(AH52*AH53)+AH65</f>
        <v>295.305076178538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10002.8</v>
      </c>
      <c r="AF68" s="15">
        <f>AE68-AF54</f>
        <v>10030.8</v>
      </c>
      <c r="AG68" s="15">
        <f>AF68-AG54</f>
        <v>10058.8</v>
      </c>
      <c r="AH68" s="15">
        <f>AG68-AH54</f>
        <v>10086.8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90.0333333333333</v>
      </c>
      <c r="AF69" s="15">
        <f>AE69-AF65</f>
        <v>180.066666666667</v>
      </c>
      <c r="AG69" s="15">
        <f>AF69-AG65</f>
        <v>270.1</v>
      </c>
      <c r="AH69" s="15">
        <f>AG69-AH65</f>
        <v>360.133333333333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9912.766666666670</v>
      </c>
      <c r="AF70" s="15">
        <f>AF68-AF69</f>
        <v>9850.733333333330</v>
      </c>
      <c r="AG70" s="15">
        <f>AG68-AG69</f>
        <v>9788.700000000001</v>
      </c>
      <c r="AH70" s="15">
        <f>AH68-AH69</f>
        <v>9726.666666666670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4978</v>
      </c>
      <c r="AF71" s="15">
        <f>AE71+AF56</f>
        <v>4729.1</v>
      </c>
      <c r="AG71" s="15">
        <f>AF71+AG56</f>
        <v>4492.645</v>
      </c>
      <c r="AH71" s="15">
        <f>AG71+AH56</f>
        <v>4268.01275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5438.089731848730</v>
      </c>
      <c r="AF73" s="15">
        <f>AE73+AF66+AF58</f>
        <v>5714.835771742</v>
      </c>
      <c r="AG73" s="15">
        <f>AF73+AG66+AG58</f>
        <v>5998.9173990998</v>
      </c>
      <c r="AH73" s="15">
        <f>AG73+AH66+AH58</f>
        <v>6294.222475278340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-7e-12</v>
      </c>
      <c r="AF74" s="15">
        <f>AF71+AF72+AF73-AF63-AF70</f>
        <v>-2e-12</v>
      </c>
      <c r="AG74" s="15">
        <f>AG71+AG72+AG73-AG63-AG70</f>
        <v>-9e-12</v>
      </c>
      <c r="AH74" s="15">
        <f>AH71+AH72+AH73-AH63-AH70</f>
        <v>-9.999999999999999e-12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-4474.676934817930</v>
      </c>
      <c r="AF75" s="15">
        <f>AF63-AF71-AF72</f>
        <v>-4135.897561591330</v>
      </c>
      <c r="AG75" s="15">
        <f>AG63-AG71-AG72</f>
        <v>-3789.782600900190</v>
      </c>
      <c r="AH75" s="15">
        <f>AH63-AH71-AH72</f>
        <v>-3432.444191388320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-262</v>
      </c>
      <c r="AF76" s="15">
        <f>AF56+AF58+AF60</f>
        <v>-248.9</v>
      </c>
      <c r="AG76" s="15">
        <f>AG56+AG58+AG60</f>
        <v>-236.455</v>
      </c>
      <c r="AH76" s="15">
        <f>AH56+AH58+AH60</f>
        <v>-224.63225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741</v>
      </c>
      <c r="AD78" s="14"/>
      <c r="AE78" s="15"/>
      <c r="AF78" s="15"/>
      <c r="AG78" s="15"/>
      <c r="AH78" s="15">
        <v>2100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741</v>
      </c>
      <c r="AD79" s="14"/>
      <c r="AE79" s="15"/>
      <c r="AF79" s="15"/>
      <c r="AG79" s="15"/>
      <c r="AH79" s="15">
        <v>3819102067200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3819.1020672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1.818620032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0.361580857246943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1392.355808611680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6.98576226457887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2.74290669351826</v>
      </c>
      <c r="AH86" s="15">
        <v>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6961.7790430584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3828.055844849730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0.822883735642729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0.0385763860866758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0.045219143199832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741</v>
      </c>
      <c r="AF94" t="s" s="44">
        <v>60</v>
      </c>
      <c r="AG94" s="15">
        <f>AH78</f>
        <v>2100</v>
      </c>
      <c r="AH94" t="s" s="44">
        <v>61</v>
      </c>
      <c r="AI94" s="15">
        <f>AH88</f>
        <v>3828.055844849730</v>
      </c>
      <c r="AJ94" t="s" s="44">
        <f>IF(AK94&gt;0,"+","")</f>
        <v>361</v>
      </c>
      <c r="AK94" s="16">
        <f>AI94/AG94-1</f>
        <v>0.822883735642729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0.0385763860866758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0.0882144530499549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0.132046745838802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-1.26333360960351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-0.0571470437394681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-0.0729462816100554</v>
      </c>
      <c r="AF103" s="16">
        <f>P23</f>
        <v>0.0625453958518279</v>
      </c>
      <c r="AG103" s="16">
        <f>P24</f>
        <v>-0.0437490505848397</v>
      </c>
      <c r="AH103" s="16">
        <f>P25</f>
        <v>0.08411437648927721</v>
      </c>
      <c r="AI103" s="16">
        <f>P26</f>
        <v>-0.0571470437394681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23">
        <f>C22</f>
        <v>1239.1</v>
      </c>
      <c r="AF104" s="23">
        <f>C23</f>
        <v>1316.6</v>
      </c>
      <c r="AG104" s="23">
        <f>C24</f>
        <v>1259</v>
      </c>
      <c r="AH104" s="23">
        <f>C25</f>
        <v>1364.9</v>
      </c>
      <c r="AI104" s="23">
        <f>C26</f>
        <v>1286.9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-0.0571470437394681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23">
        <f>AI104</f>
        <v>1286.9</v>
      </c>
      <c r="AM105" t="s" s="44">
        <v>372</v>
      </c>
      <c r="AN105" t="s" s="44">
        <v>378</v>
      </c>
      <c r="AO105" s="16">
        <f>AH91</f>
        <v>0.045219143199832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0.0114409195041993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0.0175</v>
      </c>
      <c r="AG107" t="s" s="44">
        <v>82</v>
      </c>
      <c r="AH107" t="s" s="44">
        <v>83</v>
      </c>
      <c r="AI107" s="23">
        <f>AH52</f>
        <v>1377.02945709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0.171253329029134</v>
      </c>
      <c r="AF110" s="16">
        <f>(D23+E23)/C23</f>
        <v>0.291888196870728</v>
      </c>
      <c r="AG110" s="16">
        <f>((E24+D24)/C24)</f>
        <v>0.267672756155679</v>
      </c>
      <c r="AH110" s="16">
        <f>(D25+E25)/C25</f>
        <v>0.27987398344201</v>
      </c>
      <c r="AI110" s="16">
        <f>(D26+E26)/C26</f>
        <v>0.279897427927578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125.4</v>
      </c>
      <c r="AF111" s="15">
        <f>E23</f>
        <v>293.5</v>
      </c>
      <c r="AG111" s="15">
        <f>E24</f>
        <v>249</v>
      </c>
      <c r="AH111" s="15">
        <f>E25</f>
        <v>291.7</v>
      </c>
      <c r="AI111" s="15">
        <f>E26</f>
        <v>268.4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0.27987398344201</v>
      </c>
      <c r="AG112" t="s" s="44">
        <v>76</v>
      </c>
      <c r="AH112" s="16">
        <f>AI110</f>
        <v>0.279897427927578</v>
      </c>
      <c r="AI112" t="s" s="44">
        <v>90</v>
      </c>
      <c r="AJ112" s="15">
        <f>AH111</f>
        <v>291.7</v>
      </c>
      <c r="AK112" t="s" s="44">
        <v>76</v>
      </c>
      <c r="AL112" s="15">
        <f>AI111</f>
        <v>268.4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0.279833091098999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0.279833091098999</v>
      </c>
      <c r="AG114" t="s" s="44">
        <v>94</v>
      </c>
      <c r="AH114" s="15">
        <f>AH66</f>
        <v>295.305076178538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381.1</v>
      </c>
      <c r="AF117" s="15">
        <f>J23</f>
        <v>294</v>
      </c>
      <c r="AG117" s="15">
        <f>J24</f>
        <v>267.8</v>
      </c>
      <c r="AH117" s="15">
        <f>J25</f>
        <v>85.8</v>
      </c>
      <c r="AI117" s="15">
        <f>J26</f>
        <v>160.4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-36.8</v>
      </c>
      <c r="AF118" s="15">
        <f>K23</f>
        <v>-184.9</v>
      </c>
      <c r="AG118" s="15">
        <f>K24</f>
        <v>-131.2</v>
      </c>
      <c r="AH118" s="15">
        <f>K25</f>
        <v>-127</v>
      </c>
      <c r="AI118" s="15">
        <f>K26</f>
        <v>-28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-41.2</v>
      </c>
      <c r="AG119" t="s" s="44">
        <v>76</v>
      </c>
      <c r="AH119" s="15">
        <f>AI117+AI118</f>
        <v>132.4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-28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84.22499999999999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-28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348.088952152920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121</v>
      </c>
      <c r="AF124" s="15">
        <f>F23</f>
        <v>497</v>
      </c>
      <c r="AG124" s="15">
        <f>F24</f>
        <v>629.6</v>
      </c>
      <c r="AH124" s="15">
        <f>F25</f>
        <v>302.3</v>
      </c>
      <c r="AI124" s="15">
        <f>F26</f>
        <v>415.2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5474</v>
      </c>
      <c r="AF125" s="15">
        <f>G23</f>
        <v>5154</v>
      </c>
      <c r="AG125" s="15">
        <f>G24</f>
        <v>5225</v>
      </c>
      <c r="AH125" s="15">
        <f>G25</f>
        <v>5230</v>
      </c>
      <c r="AI125" s="15">
        <f>G26</f>
        <v>5240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302.3</v>
      </c>
      <c r="AH126" t="s" s="44">
        <v>76</v>
      </c>
      <c r="AI126" s="15">
        <f>AI124</f>
        <v>415.2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5230</v>
      </c>
      <c r="AH127" t="s" s="44">
        <v>76</v>
      </c>
      <c r="AI127" s="15">
        <f>AI125</f>
        <v>5240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-4927.7</v>
      </c>
      <c r="AO127" t="s" s="44">
        <v>76</v>
      </c>
      <c r="AP127" s="15">
        <f>AI126-AI127</f>
        <v>-4824.8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-971.98725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-3432.444191388320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204.3</v>
      </c>
      <c r="AF131" s="15">
        <f>-L23</f>
        <v>183.6</v>
      </c>
      <c r="AG131" s="15">
        <f>-L24</f>
        <v>2</v>
      </c>
      <c r="AH131" s="15">
        <f>-L25</f>
        <v>38.8</v>
      </c>
      <c r="AI131" s="15">
        <f>-L26</f>
        <v>29.4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0.8</v>
      </c>
      <c r="AF132" s="15">
        <f>-M23</f>
        <v>2.1</v>
      </c>
      <c r="AG132" s="15">
        <f>-M24</f>
        <v>1.1</v>
      </c>
      <c r="AH132" s="15">
        <f>-M25</f>
        <v>247.3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741</v>
      </c>
      <c r="AF133" t="s" s="44">
        <f>IF(AG133&gt;0,"paid","(raised)")</f>
        <v>374</v>
      </c>
      <c r="AG133" s="15">
        <f>SUM(AI131:AI132)</f>
        <v>29.4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29.4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971.98725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3819.1020672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0.361580857246943</v>
      </c>
      <c r="AK134" t="s" s="44">
        <v>130</v>
      </c>
      <c r="AL134" t="s" s="44">
        <v>131</v>
      </c>
      <c r="AM134" t="s" s="44">
        <v>132</v>
      </c>
      <c r="AN134" s="15">
        <f>AH85</f>
        <v>6.98576226457887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1392.355808611680</v>
      </c>
      <c r="AG135" t="s" s="44">
        <f>AG134</f>
        <v>372</v>
      </c>
      <c r="AH135" t="s" s="44">
        <v>136</v>
      </c>
      <c r="AI135" s="15">
        <f>AF134/AF135</f>
        <v>2.74290669351826</v>
      </c>
      <c r="AJ135" t="s" s="44">
        <v>130</v>
      </c>
      <c r="AK135" t="s" s="44">
        <v>137</v>
      </c>
      <c r="AL135" t="s" s="44">
        <v>138</v>
      </c>
      <c r="AM135" s="15">
        <f>AH86</f>
        <v>5</v>
      </c>
      <c r="AN135" t="s" s="44">
        <v>139</v>
      </c>
      <c r="AO135" t="s" s="44">
        <v>140</v>
      </c>
      <c r="AP135" t="s" s="44">
        <v>141</v>
      </c>
      <c r="AQ135" s="16">
        <f>AK94</f>
        <v>0.822883735642729</v>
      </c>
      <c r="AR135" t="s" s="44">
        <f>IF(AQ135&gt;0,"higher","lower")</f>
        <v>363</v>
      </c>
      <c r="AS135" t="s" s="44">
        <v>142</v>
      </c>
      <c r="AT135" s="15">
        <f>AI94</f>
        <v>3828.055844849730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38">
        <f>AE104</f>
        <v>1239.1</v>
      </c>
      <c r="AE137" s="23">
        <f>AF104</f>
        <v>1316.6</v>
      </c>
      <c r="AF137" s="23">
        <f>AG104</f>
        <v>1259</v>
      </c>
      <c r="AG137" s="23">
        <f>AH104</f>
        <v>1364.9</v>
      </c>
      <c r="AH137" s="23">
        <f>AI104</f>
        <v>1286.9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344.3</v>
      </c>
      <c r="AE138" s="15">
        <f>SUM(AF117:AF118)</f>
        <v>109.1</v>
      </c>
      <c r="AF138" s="15">
        <f>SUM(AG117:AG118)</f>
        <v>136.6</v>
      </c>
      <c r="AG138" s="15">
        <f>SUM(AH117:AH118)</f>
        <v>-41.2</v>
      </c>
      <c r="AH138" s="15">
        <f>SUM(AI117:AI118)</f>
        <v>132.4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205.1</v>
      </c>
      <c r="AE139" s="15">
        <f>SUM(AF131:AF132)</f>
        <v>185.7</v>
      </c>
      <c r="AF139" s="15">
        <f>SUM(AG131:AG132)</f>
        <v>3.1</v>
      </c>
      <c r="AG139" s="15">
        <f>SUM(AH131:AH132)</f>
        <v>286.1</v>
      </c>
      <c r="AH139" s="15">
        <f>SUM(AI131:AI132)</f>
        <v>29.4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-5353</v>
      </c>
      <c r="AE140" s="15">
        <f>(AF124-AF125)</f>
        <v>-4657</v>
      </c>
      <c r="AF140" s="15">
        <f>(AG124-AG125)</f>
        <v>-4595.4</v>
      </c>
      <c r="AG140" s="15">
        <f>(AH124-AH125)</f>
        <v>-4927.7</v>
      </c>
      <c r="AH140" s="15">
        <f>(AI124-AI125)</f>
        <v>-4824.8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3828.055844849730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78" customWidth="1"/>
    <col min="2" max="28" width="10.4844" style="378" customWidth="1"/>
    <col min="29" max="29" width="18.9766" style="379" customWidth="1"/>
    <col min="30" max="48" width="9" style="379" customWidth="1"/>
    <col min="49" max="16384" width="16.3516" style="379" customWidth="1"/>
  </cols>
  <sheetData>
    <row r="1" ht="11.65" customHeight="1"/>
    <row r="2" ht="27.65" customHeight="1">
      <c r="B2" t="s" s="2">
        <v>742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294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5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5">
        <v>505</v>
      </c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5">
        <v>4160</v>
      </c>
      <c r="AA15" s="24"/>
      <c r="AB15" s="15">
        <v>13.882</v>
      </c>
    </row>
    <row r="16" ht="20.05" customHeight="1">
      <c r="B16" s="21">
        <v>2020</v>
      </c>
      <c r="C16" s="14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f>SUM(C13:C16)/4</f>
        <v>0</v>
      </c>
      <c r="O16" s="15"/>
      <c r="P16" s="16"/>
      <c r="Q16" s="16"/>
      <c r="R16" s="16"/>
      <c r="S16" s="17"/>
      <c r="T16" s="15">
        <f>SUM(J13:K16)/4</f>
        <v>0</v>
      </c>
      <c r="U16" s="25"/>
      <c r="V16" s="15">
        <f>-(L16+M16)+V15</f>
        <v>0</v>
      </c>
      <c r="W16" s="17"/>
      <c r="X16" s="15">
        <f>F16-G16</f>
        <v>0</v>
      </c>
      <c r="Y16" s="24"/>
      <c r="Z16" s="15">
        <v>5000</v>
      </c>
      <c r="AA16" s="24"/>
      <c r="AB16" s="15">
        <v>16.31</v>
      </c>
    </row>
    <row r="17" ht="20.05" customHeight="1">
      <c r="B17" s="13"/>
      <c r="C17" s="1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>
        <f>SUM(C14:C17)/4</f>
        <v>0</v>
      </c>
      <c r="O17" s="15"/>
      <c r="P17" s="16"/>
      <c r="Q17" s="16"/>
      <c r="R17" s="16"/>
      <c r="S17" s="17"/>
      <c r="T17" s="25">
        <f>SUM(J14:K17)/4</f>
        <v>0</v>
      </c>
      <c r="U17" s="25"/>
      <c r="V17" s="15">
        <f>-(L17+M17)+V16</f>
        <v>0</v>
      </c>
      <c r="W17" s="17"/>
      <c r="X17" s="15">
        <f>F17-G17</f>
        <v>0</v>
      </c>
      <c r="Y17" s="24"/>
      <c r="Z17" s="15">
        <v>5125</v>
      </c>
      <c r="AA17" s="24"/>
      <c r="AB17" s="15">
        <v>14.255</v>
      </c>
    </row>
    <row r="18" ht="20.05" customHeight="1">
      <c r="B18" s="13"/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>
        <f>SUM(C15:C18)/4</f>
        <v>0</v>
      </c>
      <c r="O18" s="15"/>
      <c r="P18" s="16"/>
      <c r="Q18" s="16"/>
      <c r="R18" s="16"/>
      <c r="S18" s="17"/>
      <c r="T18" s="25">
        <f>SUM(J15:K18)/4</f>
        <v>0</v>
      </c>
      <c r="U18" s="25"/>
      <c r="V18" s="15">
        <f>-(L18+M18)+V17</f>
        <v>0</v>
      </c>
      <c r="W18" s="17"/>
      <c r="X18" s="15">
        <f>F18-G18</f>
        <v>0</v>
      </c>
      <c r="Y18" s="24"/>
      <c r="Z18" s="15">
        <v>4790</v>
      </c>
      <c r="AA18" s="24"/>
      <c r="AB18" s="15">
        <v>14.79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>
        <f>SUM(C16:C19)/4</f>
        <v>0</v>
      </c>
      <c r="O19" s="15"/>
      <c r="P19" s="16"/>
      <c r="Q19" s="16"/>
      <c r="R19" s="16"/>
      <c r="S19" s="17"/>
      <c r="T19" s="25">
        <f>SUM(J16:K19)/4</f>
        <v>0</v>
      </c>
      <c r="U19" s="25"/>
      <c r="V19" s="15">
        <f>-(L19+M19)+V18</f>
        <v>0</v>
      </c>
      <c r="W19" s="17"/>
      <c r="X19" s="15">
        <f>F19-G19</f>
        <v>0</v>
      </c>
      <c r="Y19" s="24"/>
      <c r="Z19" s="15">
        <v>4740</v>
      </c>
      <c r="AA19" s="24"/>
      <c r="AB19" s="15">
        <v>14.1</v>
      </c>
    </row>
    <row r="20" ht="20.05" customHeight="1">
      <c r="B20" s="21">
        <v>2021</v>
      </c>
      <c r="C20" s="14">
        <v>105</v>
      </c>
      <c r="D20" s="15">
        <v>1.25</v>
      </c>
      <c r="E20" s="15">
        <v>6.4</v>
      </c>
      <c r="F20" s="15">
        <v>4</v>
      </c>
      <c r="G20" s="15">
        <v>213</v>
      </c>
      <c r="H20" s="15">
        <v>398</v>
      </c>
      <c r="I20" s="15">
        <v>87</v>
      </c>
      <c r="J20" s="15">
        <v>7</v>
      </c>
      <c r="K20" s="15">
        <v>-0.2</v>
      </c>
      <c r="L20" s="15">
        <v>-8</v>
      </c>
      <c r="M20" s="15">
        <v>0</v>
      </c>
      <c r="N20" s="15">
        <f>SUM(C17:C20)/4</f>
        <v>26.25</v>
      </c>
      <c r="O20" s="15"/>
      <c r="P20" s="16"/>
      <c r="Q20" s="16">
        <f>(E20+D20)/C20</f>
        <v>0.0728571428571429</v>
      </c>
      <c r="R20" s="16">
        <f>AVERAGE(Q17:Q20)</f>
        <v>0.0728571428571429</v>
      </c>
      <c r="S20" s="17"/>
      <c r="T20" s="25">
        <f>SUM(J17:K20)/4</f>
        <v>1.7</v>
      </c>
      <c r="U20" s="25"/>
      <c r="V20" s="15">
        <f>-(L20+M20)+V19</f>
        <v>8</v>
      </c>
      <c r="W20" s="17"/>
      <c r="X20" s="15">
        <f>F20-G20</f>
        <v>-209</v>
      </c>
      <c r="Y20" s="15"/>
      <c r="Z20" s="15">
        <v>7200</v>
      </c>
      <c r="AA20" s="15"/>
      <c r="AB20" s="15">
        <v>14.606</v>
      </c>
    </row>
    <row r="21" ht="20.05" customHeight="1">
      <c r="B21" s="13"/>
      <c r="C21" s="14">
        <v>115</v>
      </c>
      <c r="D21" s="15">
        <f>D20</f>
        <v>1.25</v>
      </c>
      <c r="E21" s="15">
        <v>7.6</v>
      </c>
      <c r="F21" s="15">
        <v>4.7</v>
      </c>
      <c r="G21" s="15">
        <v>188</v>
      </c>
      <c r="H21" s="15">
        <v>380</v>
      </c>
      <c r="I21" s="15">
        <v>128</v>
      </c>
      <c r="J21" s="15">
        <v>-1.6</v>
      </c>
      <c r="K21" s="15">
        <v>-0.1</v>
      </c>
      <c r="L21" s="15">
        <v>2</v>
      </c>
      <c r="M21" s="15">
        <v>0</v>
      </c>
      <c r="N21" s="15">
        <f>SUM(C18:C21)/4</f>
        <v>55</v>
      </c>
      <c r="O21" s="15"/>
      <c r="P21" s="16">
        <f>C21/C20-1</f>
        <v>0.09523809523809521</v>
      </c>
      <c r="Q21" s="16">
        <f>(E21+D21)/C21</f>
        <v>0.0769565217391304</v>
      </c>
      <c r="R21" s="16">
        <f>AVERAGE(Q18:Q21)</f>
        <v>0.0749068322981367</v>
      </c>
      <c r="S21" s="17"/>
      <c r="T21" s="25">
        <f>SUM(J18:K21)/4</f>
        <v>1.275</v>
      </c>
      <c r="U21" s="25"/>
      <c r="V21" s="15">
        <f>-(L21+M21)+V20</f>
        <v>6</v>
      </c>
      <c r="W21" s="17"/>
      <c r="X21" s="15">
        <f>F21-G21</f>
        <v>-183.3</v>
      </c>
      <c r="Y21" s="15"/>
      <c r="Z21" s="15">
        <v>10350</v>
      </c>
      <c r="AA21" s="15"/>
      <c r="AB21" s="15">
        <v>14.45</v>
      </c>
    </row>
    <row r="22" ht="20.05" customHeight="1">
      <c r="B22" s="13"/>
      <c r="C22" s="14">
        <v>101</v>
      </c>
      <c r="D22" s="15">
        <f>D21</f>
        <v>1.25</v>
      </c>
      <c r="E22" s="15">
        <v>6</v>
      </c>
      <c r="F22" s="15">
        <v>5.5</v>
      </c>
      <c r="G22" s="15">
        <v>181</v>
      </c>
      <c r="H22" s="15">
        <v>379</v>
      </c>
      <c r="I22" s="15">
        <v>109</v>
      </c>
      <c r="J22" s="15">
        <v>5.6</v>
      </c>
      <c r="K22" s="15">
        <v>-0.7</v>
      </c>
      <c r="L22" s="15">
        <v>-4</v>
      </c>
      <c r="M22" s="15">
        <v>0</v>
      </c>
      <c r="N22" s="15">
        <f>SUM(C19:C22)/4</f>
        <v>80.25</v>
      </c>
      <c r="O22" s="15"/>
      <c r="P22" s="16">
        <f>C22/C21-1</f>
        <v>-0.121739130434783</v>
      </c>
      <c r="Q22" s="16">
        <f>(E22+D22)/C22</f>
        <v>0.0717821782178218</v>
      </c>
      <c r="R22" s="16">
        <f>AVERAGE(Q19:Q22)</f>
        <v>0.0738652809380317</v>
      </c>
      <c r="S22" s="17"/>
      <c r="T22" s="25">
        <f>SUM(J19:K22)/4</f>
        <v>2.5</v>
      </c>
      <c r="U22" s="25"/>
      <c r="V22" s="15">
        <f>-(L22+M22)+V21</f>
        <v>10</v>
      </c>
      <c r="W22" s="17"/>
      <c r="X22" s="15">
        <f>F22-G22</f>
        <v>-175.5</v>
      </c>
      <c r="Y22" s="15"/>
      <c r="Z22" s="15">
        <v>3220</v>
      </c>
      <c r="AA22" s="15"/>
      <c r="AB22" s="15">
        <v>14.328</v>
      </c>
    </row>
    <row r="23" ht="20.05" customHeight="1">
      <c r="B23" s="13"/>
      <c r="C23" s="14">
        <v>127</v>
      </c>
      <c r="D23" s="15">
        <f>D22</f>
        <v>1.25</v>
      </c>
      <c r="E23" s="15">
        <v>5</v>
      </c>
      <c r="F23" s="15">
        <v>6</v>
      </c>
      <c r="G23" s="15">
        <v>191</v>
      </c>
      <c r="H23" s="15">
        <v>396</v>
      </c>
      <c r="I23" s="15">
        <v>115</v>
      </c>
      <c r="J23" s="15">
        <v>3</v>
      </c>
      <c r="K23" s="15">
        <v>0.2</v>
      </c>
      <c r="L23" s="15">
        <v>-1.4</v>
      </c>
      <c r="M23" s="15">
        <v>0</v>
      </c>
      <c r="N23" s="15">
        <f>SUM(C20:C23)/4</f>
        <v>112</v>
      </c>
      <c r="O23" s="15"/>
      <c r="P23" s="16">
        <f>C23/C22-1</f>
        <v>0.257425742574257</v>
      </c>
      <c r="Q23" s="16">
        <f>(E23+D23)/C23</f>
        <v>0.0492125984251969</v>
      </c>
      <c r="R23" s="16">
        <f>AVERAGE(Q20:Q23)</f>
        <v>0.067702110309823</v>
      </c>
      <c r="S23" s="17"/>
      <c r="T23" s="25">
        <f>SUM(J20:K23)/4</f>
        <v>3.3</v>
      </c>
      <c r="U23" s="25"/>
      <c r="V23" s="15">
        <f>-(L23+M23)+V22</f>
        <v>11.4</v>
      </c>
      <c r="W23" s="17"/>
      <c r="X23" s="15">
        <f>F23-G23</f>
        <v>-185</v>
      </c>
      <c r="Y23" s="15"/>
      <c r="Z23" s="15">
        <v>800</v>
      </c>
      <c r="AA23" s="15"/>
      <c r="AB23" s="15">
        <v>14.275</v>
      </c>
    </row>
    <row r="24" ht="20.05" customHeight="1">
      <c r="B24" s="21">
        <v>2022</v>
      </c>
      <c r="C24" s="14">
        <v>10</v>
      </c>
      <c r="D24" s="15">
        <v>1.16666666666667</v>
      </c>
      <c r="E24" s="15">
        <v>6.9</v>
      </c>
      <c r="F24" s="15">
        <v>9.699999999999999</v>
      </c>
      <c r="G24" s="15">
        <v>187</v>
      </c>
      <c r="H24" s="15">
        <v>399</v>
      </c>
      <c r="I24" s="15">
        <v>103</v>
      </c>
      <c r="J24" s="15">
        <v>0.8</v>
      </c>
      <c r="K24" s="15">
        <v>-0.04</v>
      </c>
      <c r="L24" s="15">
        <v>2.8</v>
      </c>
      <c r="M24" s="15">
        <v>0</v>
      </c>
      <c r="N24" s="15">
        <f>SUM(C21:C24)/4</f>
        <v>88.25</v>
      </c>
      <c r="O24" s="15"/>
      <c r="P24" s="16">
        <f>C24/C23-1</f>
        <v>-0.921259842519685</v>
      </c>
      <c r="Q24" s="16">
        <f>(E24+D24)/C24</f>
        <v>0.806666666666667</v>
      </c>
      <c r="R24" s="16">
        <f>AVERAGE(Q21:Q24)</f>
        <v>0.251154491262204</v>
      </c>
      <c r="S24" s="35"/>
      <c r="T24" s="25">
        <f>SUM(J21:K24)/4</f>
        <v>1.79</v>
      </c>
      <c r="U24" s="15">
        <v>30.8123072286774</v>
      </c>
      <c r="V24" s="15">
        <f>-(L24+M24)+V23</f>
        <v>8.6</v>
      </c>
      <c r="W24" s="15"/>
      <c r="X24" s="15">
        <f>F24-G24</f>
        <v>-177.3</v>
      </c>
      <c r="Y24" s="15"/>
      <c r="Z24" s="15">
        <v>436</v>
      </c>
      <c r="AA24" s="17"/>
      <c r="AB24" s="15">
        <v>14.327</v>
      </c>
    </row>
    <row r="25" ht="20.05" customHeight="1">
      <c r="B25" s="13"/>
      <c r="C25" s="14">
        <v>217</v>
      </c>
      <c r="D25" s="15">
        <f>D24</f>
        <v>1.16666666666667</v>
      </c>
      <c r="E25" s="15">
        <v>8.1</v>
      </c>
      <c r="F25" s="15">
        <v>9.199999999999999</v>
      </c>
      <c r="G25" s="15">
        <v>170</v>
      </c>
      <c r="H25" s="15">
        <v>390</v>
      </c>
      <c r="I25" s="15">
        <v>121</v>
      </c>
      <c r="J25" s="15">
        <v>9.199999999999999</v>
      </c>
      <c r="K25" s="15">
        <v>-0.96</v>
      </c>
      <c r="L25" s="15">
        <v>-9.300000000000001</v>
      </c>
      <c r="M25" s="15">
        <v>0</v>
      </c>
      <c r="N25" s="15">
        <f>SUM(C22:C25)/4</f>
        <v>113.75</v>
      </c>
      <c r="O25" s="15"/>
      <c r="P25" s="16">
        <f>C25/C24-1</f>
        <v>20.7</v>
      </c>
      <c r="Q25" s="16">
        <f>(E25+D25)/C25</f>
        <v>0.0427035330261137</v>
      </c>
      <c r="R25" s="16">
        <f>AVERAGE(Q22:Q25)</f>
        <v>0.24259124408395</v>
      </c>
      <c r="S25" s="35"/>
      <c r="T25" s="25">
        <f>SUM(J22:K25)/4</f>
        <v>4.275</v>
      </c>
      <c r="U25" s="15">
        <v>49.4382175706408</v>
      </c>
      <c r="V25" s="15">
        <f>-(L25+M25)+V24</f>
        <v>17.9</v>
      </c>
      <c r="W25" s="15"/>
      <c r="X25" s="15">
        <f>F25-G25</f>
        <v>-160.8</v>
      </c>
      <c r="Y25" s="15"/>
      <c r="Z25" s="15">
        <v>252</v>
      </c>
      <c r="AA25" s="17"/>
      <c r="AB25" s="15">
        <v>14.66</v>
      </c>
    </row>
    <row r="26" ht="20.05" customHeight="1">
      <c r="B26" s="13"/>
      <c r="C26" s="14">
        <v>130</v>
      </c>
      <c r="D26" s="15">
        <f>D25</f>
        <v>1.16666666666667</v>
      </c>
      <c r="E26" s="15">
        <v>10</v>
      </c>
      <c r="F26" s="15">
        <v>10.6</v>
      </c>
      <c r="G26" s="15">
        <v>187</v>
      </c>
      <c r="H26" s="15">
        <v>416</v>
      </c>
      <c r="I26" s="15">
        <v>96</v>
      </c>
      <c r="J26" s="15">
        <v>-24</v>
      </c>
      <c r="K26" s="15">
        <v>-3</v>
      </c>
      <c r="L26" s="15">
        <v>28.5</v>
      </c>
      <c r="M26" s="15">
        <v>0</v>
      </c>
      <c r="N26" s="15">
        <f>SUM(C23:C26)/4</f>
        <v>121</v>
      </c>
      <c r="O26" s="15"/>
      <c r="P26" s="16">
        <f>C26/C25-1</f>
        <v>-0.400921658986175</v>
      </c>
      <c r="Q26" s="16">
        <f>(E26+D26)/C26</f>
        <v>0.0858974358974359</v>
      </c>
      <c r="R26" s="16">
        <f>AVERAGE(Q23:Q26)</f>
        <v>0.246120058503853</v>
      </c>
      <c r="S26" s="35">
        <f>S27</f>
        <v>0.0858974358974359</v>
      </c>
      <c r="T26" s="25">
        <f>SUM(J23:K26)/4</f>
        <v>-3.7</v>
      </c>
      <c r="U26" s="15">
        <v>36.9739004351871</v>
      </c>
      <c r="V26" s="15">
        <f>-(L26+M26)+V25</f>
        <v>-10.6</v>
      </c>
      <c r="W26" s="15">
        <f>W27</f>
        <v>23.8655141566667</v>
      </c>
      <c r="X26" s="15">
        <f>F26-G26</f>
        <v>-176.4</v>
      </c>
      <c r="Y26" s="15"/>
      <c r="Z26" s="15">
        <v>342</v>
      </c>
      <c r="AA26" s="15"/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135.23545165</v>
      </c>
      <c r="P27" s="17"/>
      <c r="Q27" s="17"/>
      <c r="R27" s="17"/>
      <c r="S27" s="35">
        <f>AE53</f>
        <v>0.0858974358974359</v>
      </c>
      <c r="T27" s="25"/>
      <c r="U27" s="15">
        <f>SUM(AE55:AH55)/4</f>
        <v>8.61637853916667</v>
      </c>
      <c r="V27" s="17"/>
      <c r="W27" s="15">
        <f>-SUM(AE76:AH76)+V26</f>
        <v>23.8655141566667</v>
      </c>
      <c r="X27" s="26"/>
      <c r="Y27" s="15">
        <f>AH75</f>
        <v>-141.934485843333</v>
      </c>
      <c r="Z27" s="15">
        <v>252</v>
      </c>
      <c r="AA27" s="15">
        <f>AA28</f>
        <v>224.025842018334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596.5</v>
      </c>
      <c r="O28" s="15">
        <f>SUM(O20:O26)</f>
        <v>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224.025842018334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294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4.9088110602671</v>
      </c>
      <c r="AF49" s="35"/>
      <c r="AG49" s="35"/>
      <c r="AH49" s="35">
        <f>AVERAGE(AE51:AH51)</f>
        <v>0.0175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0.257425742574257</v>
      </c>
      <c r="AF50" s="35">
        <f>P24</f>
        <v>-0.921259842519685</v>
      </c>
      <c r="AG50" s="35">
        <f>P25</f>
        <v>20.7</v>
      </c>
      <c r="AH50" s="35">
        <f>P26</f>
        <v>-0.400921658986175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0.03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130</v>
      </c>
      <c r="AE52" s="23">
        <f>C26*(1+AE51)</f>
        <v>133.9</v>
      </c>
      <c r="AF52" s="23">
        <f>AE52*(1+AF51)</f>
        <v>132.561</v>
      </c>
      <c r="AG52" s="23">
        <f>AF52*(1+AG51)</f>
        <v>135.21222</v>
      </c>
      <c r="AH52" s="23">
        <f>AG52*(1+AH51)</f>
        <v>139.2685866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0.0858974358974359</v>
      </c>
      <c r="AF53" s="35">
        <f>AE53</f>
        <v>0.0858974358974359</v>
      </c>
      <c r="AG53" s="35">
        <f>AF53</f>
        <v>0.0858974358974359</v>
      </c>
      <c r="AH53" s="35">
        <f>AG53</f>
        <v>0.0858974358974359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-3</v>
      </c>
      <c r="AF54" s="15">
        <f>AE54</f>
        <v>-3</v>
      </c>
      <c r="AG54" s="15">
        <f>AF54</f>
        <v>-3</v>
      </c>
      <c r="AH54" s="15">
        <f>AG54</f>
        <v>-3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8.50166666666667</v>
      </c>
      <c r="AF55" s="15">
        <f>(AF52*AF53)+AF54</f>
        <v>8.386649999999999</v>
      </c>
      <c r="AG55" s="15">
        <f>(AG52*AG53)+AG54</f>
        <v>8.614383</v>
      </c>
      <c r="AH55" s="15">
        <f>(AH52*AH53)+AH54</f>
        <v>8.96281449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-9.35</v>
      </c>
      <c r="AF56" s="15">
        <f>-AE71/20</f>
        <v>-8.8825</v>
      </c>
      <c r="AG56" s="15">
        <f>-AF71/20</f>
        <v>-8.438375000000001</v>
      </c>
      <c r="AH56" s="15">
        <f>-AG71/20</f>
        <v>-8.016456249999999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-0.8483333333333301</v>
      </c>
      <c r="AF59" s="15">
        <f>AF55+AF56+AF58</f>
        <v>-0.49585</v>
      </c>
      <c r="AG59" s="15">
        <f>AG55+AG56+AG58</f>
        <v>0.176008</v>
      </c>
      <c r="AH59" s="15">
        <f>AH55+AH56+AH58</f>
        <v>0.94635824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0.8483333333333301</v>
      </c>
      <c r="AF60" s="15">
        <f>-MIN(AE72,AF59)</f>
        <v>0.49585</v>
      </c>
      <c r="AG60" s="15">
        <f>-MIN(AF72,AG59)</f>
        <v>-0.176008</v>
      </c>
      <c r="AH60" s="15">
        <f>-MIN(AG72,AH59)</f>
        <v>-0.94635824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10.6</v>
      </c>
      <c r="AF61" s="15">
        <f>AE63</f>
        <v>10.6</v>
      </c>
      <c r="AG61" s="15">
        <f>AF63</f>
        <v>10.6</v>
      </c>
      <c r="AH61" s="15">
        <f>AG63</f>
        <v>10.6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10.6</v>
      </c>
      <c r="AF63" s="15">
        <f>AF61+AF62</f>
        <v>10.6</v>
      </c>
      <c r="AG63" s="15">
        <f>AG61+AG62</f>
        <v>10.6</v>
      </c>
      <c r="AH63" s="15">
        <f>AH61+AH62</f>
        <v>10.6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-1.16666666666667</v>
      </c>
      <c r="AF65" s="15">
        <f>AE65</f>
        <v>-1.16666666666667</v>
      </c>
      <c r="AG65" s="15">
        <f>AF65</f>
        <v>-1.16666666666667</v>
      </c>
      <c r="AH65" s="15">
        <f>AG65</f>
        <v>-1.16666666666667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10.335</v>
      </c>
      <c r="AF66" s="15">
        <f>(AF52*AF53)+AF65</f>
        <v>10.2199833333333</v>
      </c>
      <c r="AG66" s="15">
        <f>(AG52*AG53)+AG65</f>
        <v>10.4477163333333</v>
      </c>
      <c r="AH66" s="15">
        <f>(AH52*AH53)+AH65</f>
        <v>10.7961478233333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408.4</v>
      </c>
      <c r="AF68" s="15">
        <f>AE68-AF54</f>
        <v>411.4</v>
      </c>
      <c r="AG68" s="15">
        <f>AF68-AG54</f>
        <v>414.4</v>
      </c>
      <c r="AH68" s="15">
        <f>AG68-AH54</f>
        <v>417.4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1.16666666666667</v>
      </c>
      <c r="AF69" s="15">
        <f>AE69-AF65</f>
        <v>2.33333333333334</v>
      </c>
      <c r="AG69" s="15">
        <f>AF69-AG65</f>
        <v>3.50000000000001</v>
      </c>
      <c r="AH69" s="15">
        <f>AG69-AH65</f>
        <v>4.66666666666668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407.233333333333</v>
      </c>
      <c r="AF70" s="15">
        <f>AF68-AF69</f>
        <v>409.066666666667</v>
      </c>
      <c r="AG70" s="15">
        <f>AG68-AG69</f>
        <v>410.9</v>
      </c>
      <c r="AH70" s="15">
        <f>AH68-AH69</f>
        <v>412.733333333333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177.65</v>
      </c>
      <c r="AF71" s="15">
        <f>AE71+AF56</f>
        <v>168.7675</v>
      </c>
      <c r="AG71" s="15">
        <f>AF71+AG56</f>
        <v>160.329125</v>
      </c>
      <c r="AH71" s="15">
        <f>AG71+AH56</f>
        <v>152.31266875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0.8483333333333301</v>
      </c>
      <c r="AF72" s="15">
        <f>AE72+AF60</f>
        <v>1.34418333333333</v>
      </c>
      <c r="AG72" s="15">
        <f>AF72+AG60</f>
        <v>1.16817533333333</v>
      </c>
      <c r="AH72" s="15">
        <f>AG72+AH60</f>
        <v>0.22181709333333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239.335</v>
      </c>
      <c r="AF73" s="15">
        <f>AE73+AF66+AF58</f>
        <v>249.554983333333</v>
      </c>
      <c r="AG73" s="15">
        <f>AF73+AG66+AG58</f>
        <v>260.002699666666</v>
      </c>
      <c r="AH73" s="15">
        <f>AG73+AH66+AH58</f>
        <v>270.798847489999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3.3e-13</v>
      </c>
      <c r="AF74" s="15">
        <f>AF71+AF72+AF73-AF63-AF70</f>
        <v>-6.7e-13</v>
      </c>
      <c r="AG74" s="15">
        <f>AG71+AG72+AG73-AG63-AG70</f>
        <v>-6.7e-13</v>
      </c>
      <c r="AH74" s="15">
        <f>AH71+AH72+AH73-AH63-AH70</f>
        <v>-6.7e-13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-167.898333333333</v>
      </c>
      <c r="AF75" s="15">
        <f>AF63-AF71-AF72</f>
        <v>-159.511683333333</v>
      </c>
      <c r="AG75" s="15">
        <f>AG63-AG71-AG72</f>
        <v>-150.897300333333</v>
      </c>
      <c r="AH75" s="15">
        <f>AH63-AH71-AH72</f>
        <v>-141.934485843333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-8.50166666666667</v>
      </c>
      <c r="AF76" s="15">
        <f>AF56+AF58+AF60</f>
        <v>-8.386649999999999</v>
      </c>
      <c r="AG76" s="15">
        <f>AG56+AG58+AG60</f>
        <v>-8.614383</v>
      </c>
      <c r="AH76" s="15">
        <f>AH56+AH58+AH60</f>
        <v>-8.96281449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743</v>
      </c>
      <c r="AD78" s="14"/>
      <c r="AE78" s="15"/>
      <c r="AF78" s="15"/>
      <c r="AG78" s="15"/>
      <c r="AH78" s="15">
        <v>252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743</v>
      </c>
      <c r="AD79" s="14"/>
      <c r="AE79" s="15"/>
      <c r="AF79" s="15"/>
      <c r="AG79" s="15"/>
      <c r="AH79" s="15">
        <v>504000000000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504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1.19055118110236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34.4655141566667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11.9752553656159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14.6233129646351</v>
      </c>
      <c r="AH86" s="15">
        <v>13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448.051684036667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224.025842018334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-0.11100856341931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0.287128712871287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743</v>
      </c>
      <c r="AF94" t="s" s="44">
        <v>60</v>
      </c>
      <c r="AG94" s="15">
        <f>AH78</f>
        <v>252</v>
      </c>
      <c r="AH94" t="s" s="44">
        <v>61</v>
      </c>
      <c r="AI94" s="15">
        <f>AH88</f>
        <v>224.025842018334</v>
      </c>
      <c r="AJ94" t="s" s="44">
        <f>IF(AK94&gt;0,"+","")</f>
      </c>
      <c r="AK94" s="16">
        <f>AI94/AG94-1</f>
        <v>-0.11100856341931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0.287128712871287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-0.0293650793650794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-0.0408730158730159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-0.35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-0.400921658986175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-0.121739130434783</v>
      </c>
      <c r="AF103" s="16">
        <f>P23</f>
        <v>0.257425742574257</v>
      </c>
      <c r="AG103" s="16">
        <f>P24</f>
        <v>-0.921259842519685</v>
      </c>
      <c r="AH103" s="16">
        <f>P25</f>
        <v>20.7</v>
      </c>
      <c r="AI103" s="16">
        <f>P26</f>
        <v>-0.400921658986175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101</v>
      </c>
      <c r="AF104" t="s" s="44">
        <v>72</v>
      </c>
      <c r="AG104" s="15">
        <f>C23</f>
        <v>127</v>
      </c>
      <c r="AH104" t="s" s="44">
        <v>72</v>
      </c>
      <c r="AI104" s="15">
        <f>C24</f>
        <v>10</v>
      </c>
      <c r="AJ104" t="s" s="44">
        <v>72</v>
      </c>
      <c r="AK104" s="15">
        <f>C25</f>
        <v>217</v>
      </c>
      <c r="AL104" t="s" s="44">
        <v>72</v>
      </c>
      <c r="AM104" s="15">
        <f>C26</f>
        <v>130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-0.400921658986175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130</v>
      </c>
      <c r="AM105" t="s" s="44">
        <v>372</v>
      </c>
      <c r="AN105" t="s" s="44">
        <v>373</v>
      </c>
      <c r="AO105" s="16">
        <f>AH91</f>
        <v>-1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4.9088110602671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0.0175</v>
      </c>
      <c r="AG107" t="s" s="44">
        <v>82</v>
      </c>
      <c r="AH107" t="s" s="44">
        <v>83</v>
      </c>
      <c r="AI107" s="23">
        <f>AH52</f>
        <v>139.2685866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0.0717821782178218</v>
      </c>
      <c r="AF110" s="16">
        <f>(D23+E23)/C23</f>
        <v>0.0492125984251969</v>
      </c>
      <c r="AG110" s="16">
        <f>((E24+D24)/C24)</f>
        <v>0.806666666666667</v>
      </c>
      <c r="AH110" s="16">
        <f>(D25+E25)/C25</f>
        <v>0.0427035330261137</v>
      </c>
      <c r="AI110" s="16">
        <f>(D26+E26)/C26</f>
        <v>0.0858974358974359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6</v>
      </c>
      <c r="AF111" t="s" s="44">
        <v>72</v>
      </c>
      <c r="AG111" s="15">
        <f>E23</f>
        <v>5</v>
      </c>
      <c r="AH111" t="s" s="44">
        <v>72</v>
      </c>
      <c r="AI111" s="15">
        <f>E24</f>
        <v>6.9</v>
      </c>
      <c r="AJ111" t="s" s="44">
        <v>72</v>
      </c>
      <c r="AK111" s="15">
        <f>E25</f>
        <v>8.1</v>
      </c>
      <c r="AL111" t="s" s="44">
        <v>72</v>
      </c>
      <c r="AM111" s="15">
        <f>E26</f>
        <v>10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0.0427035330261137</v>
      </c>
      <c r="AG112" t="s" s="44">
        <v>76</v>
      </c>
      <c r="AH112" s="16">
        <f>AI110</f>
        <v>0.0858974358974359</v>
      </c>
      <c r="AI112" t="s" s="44">
        <v>90</v>
      </c>
      <c r="AJ112" s="15">
        <f>AK111</f>
        <v>8.1</v>
      </c>
      <c r="AK112" t="s" s="44">
        <v>76</v>
      </c>
      <c r="AL112" s="15">
        <f>AM111</f>
        <v>10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0.246120058503853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0.0858974358974359</v>
      </c>
      <c r="AG114" t="s" s="44">
        <v>94</v>
      </c>
      <c r="AH114" s="15">
        <f>AH66</f>
        <v>10.7961478233333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5.6</v>
      </c>
      <c r="AF117" t="s" s="44">
        <v>72</v>
      </c>
      <c r="AG117" s="15">
        <f>J23</f>
        <v>3</v>
      </c>
      <c r="AH117" t="s" s="44">
        <v>72</v>
      </c>
      <c r="AI117" s="15">
        <f>J24</f>
        <v>0.8</v>
      </c>
      <c r="AJ117" t="s" s="44">
        <v>72</v>
      </c>
      <c r="AK117" s="15">
        <f>J25</f>
        <v>9.199999999999999</v>
      </c>
      <c r="AL117" t="s" s="44">
        <v>72</v>
      </c>
      <c r="AM117" s="15">
        <f>J26</f>
        <v>-24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-0.7</v>
      </c>
      <c r="AF118" t="s" s="44">
        <v>72</v>
      </c>
      <c r="AG118" s="15">
        <f>K23</f>
        <v>0.2</v>
      </c>
      <c r="AH118" t="s" s="44">
        <v>72</v>
      </c>
      <c r="AI118" s="15">
        <f>K24</f>
        <v>-0.04</v>
      </c>
      <c r="AJ118" t="s" s="44">
        <v>72</v>
      </c>
      <c r="AK118" s="15">
        <f>K25</f>
        <v>-0.96</v>
      </c>
      <c r="AL118" t="s" s="44">
        <v>72</v>
      </c>
      <c r="AM118" s="15">
        <f>K26</f>
        <v>-3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8.24</v>
      </c>
      <c r="AG119" t="s" s="44">
        <v>76</v>
      </c>
      <c r="AH119" s="15">
        <f>AM117+AM118</f>
        <v>-27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-3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-3.7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8.61637853916667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5.5</v>
      </c>
      <c r="AF124" t="s" s="44">
        <v>72</v>
      </c>
      <c r="AG124" s="15">
        <f>F23</f>
        <v>6</v>
      </c>
      <c r="AH124" t="s" s="44">
        <v>72</v>
      </c>
      <c r="AI124" s="15">
        <f>F24</f>
        <v>9.699999999999999</v>
      </c>
      <c r="AJ124" t="s" s="44">
        <v>72</v>
      </c>
      <c r="AK124" s="15">
        <f>F25</f>
        <v>9.199999999999999</v>
      </c>
      <c r="AL124" t="s" s="44">
        <v>72</v>
      </c>
      <c r="AM124" s="15">
        <f>F26</f>
        <v>10.6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181</v>
      </c>
      <c r="AF125" t="s" s="44">
        <v>72</v>
      </c>
      <c r="AG125" s="15">
        <f>G23</f>
        <v>191</v>
      </c>
      <c r="AH125" t="s" s="44">
        <v>72</v>
      </c>
      <c r="AI125" s="15">
        <f>G24</f>
        <v>187</v>
      </c>
      <c r="AJ125" t="s" s="44">
        <v>72</v>
      </c>
      <c r="AK125" s="15">
        <f>G25</f>
        <v>170</v>
      </c>
      <c r="AL125" t="s" s="44">
        <v>72</v>
      </c>
      <c r="AM125" s="15">
        <f>G26</f>
        <v>187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9.199999999999999</v>
      </c>
      <c r="AH126" t="s" s="44">
        <v>76</v>
      </c>
      <c r="AI126" s="15">
        <f>AM124</f>
        <v>10.6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170</v>
      </c>
      <c r="AH127" t="s" s="44">
        <v>76</v>
      </c>
      <c r="AI127" s="15">
        <f>AM125</f>
        <v>187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-160.8</v>
      </c>
      <c r="AO127" t="s" s="44">
        <v>76</v>
      </c>
      <c r="AP127" s="15">
        <f>AI126-AI127</f>
        <v>-176.4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-34.4655141566667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-141.934485843333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4</v>
      </c>
      <c r="AF131" t="s" s="44">
        <v>72</v>
      </c>
      <c r="AG131" s="15">
        <f>-L23</f>
        <v>1.4</v>
      </c>
      <c r="AH131" t="s" s="44">
        <v>72</v>
      </c>
      <c r="AI131" s="15">
        <f>-L24</f>
        <v>-2.8</v>
      </c>
      <c r="AJ131" t="s" s="44">
        <v>72</v>
      </c>
      <c r="AK131" s="15">
        <f>-L25</f>
        <v>9.300000000000001</v>
      </c>
      <c r="AL131" t="s" s="44">
        <v>72</v>
      </c>
      <c r="AM131" s="15">
        <f>-L26</f>
        <v>-28.5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743</v>
      </c>
      <c r="AF133" t="s" s="44">
        <f>IF(AG133&gt;0,"paid","(raised)")</f>
        <v>121</v>
      </c>
      <c r="AG133" s="15">
        <f>SUM(AM131:AM132)</f>
        <v>-28.5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-28.5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34.4655141566667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504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1.19055118110236</v>
      </c>
      <c r="AK134" t="s" s="44">
        <v>130</v>
      </c>
      <c r="AL134" t="s" s="44">
        <v>131</v>
      </c>
      <c r="AM134" t="s" s="44">
        <v>132</v>
      </c>
      <c r="AN134" s="15">
        <f>AH85</f>
        <v>11.9752553656159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34.4655141566667</v>
      </c>
      <c r="AG135" t="s" s="44">
        <f>AG134</f>
        <v>372</v>
      </c>
      <c r="AH135" t="s" s="44">
        <v>136</v>
      </c>
      <c r="AI135" s="15">
        <f>AF134/AF135</f>
        <v>14.6233129646351</v>
      </c>
      <c r="AJ135" t="s" s="44">
        <v>130</v>
      </c>
      <c r="AK135" t="s" s="44">
        <v>137</v>
      </c>
      <c r="AL135" t="s" s="44">
        <v>138</v>
      </c>
      <c r="AM135" s="15">
        <f>AH86</f>
        <v>13</v>
      </c>
      <c r="AN135" t="s" s="44">
        <v>139</v>
      </c>
      <c r="AO135" t="s" s="44">
        <v>140</v>
      </c>
      <c r="AP135" t="s" s="44">
        <v>141</v>
      </c>
      <c r="AQ135" s="16">
        <f>AK94</f>
        <v>-0.11100856341931</v>
      </c>
      <c r="AR135" t="s" s="44">
        <f>IF(AQ135&gt;0,"higher","lower")</f>
        <v>104</v>
      </c>
      <c r="AS135" t="s" s="44">
        <v>142</v>
      </c>
      <c r="AT135" s="15">
        <f>AI94</f>
        <v>224.025842018334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101</v>
      </c>
      <c r="AE137" s="15">
        <f>AG104</f>
        <v>127</v>
      </c>
      <c r="AF137" s="15">
        <f>AI104</f>
        <v>10</v>
      </c>
      <c r="AG137" s="15">
        <f>AK104</f>
        <v>217</v>
      </c>
      <c r="AH137" s="15">
        <f>AM104</f>
        <v>130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4.9</v>
      </c>
      <c r="AE138" s="15">
        <f>SUM(AG117:AG118)</f>
        <v>3.2</v>
      </c>
      <c r="AF138" s="15">
        <f>SUM(AI117:AI118)</f>
        <v>0.76</v>
      </c>
      <c r="AG138" s="15">
        <f>SUM(AK117:AK118)</f>
        <v>8.24</v>
      </c>
      <c r="AH138" s="15">
        <f>SUM(AM117:AM118)</f>
        <v>-27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4</v>
      </c>
      <c r="AE139" s="15">
        <f>SUM(AG131:AG132)</f>
        <v>1.4</v>
      </c>
      <c r="AF139" s="15">
        <f>SUM(AI131:AI132)</f>
        <v>-2.8</v>
      </c>
      <c r="AG139" s="15">
        <f>SUM(AK131:AK132)</f>
        <v>9.300000000000001</v>
      </c>
      <c r="AH139" s="15">
        <f>SUM(AM131:AM132)</f>
        <v>-28.5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-175.5</v>
      </c>
      <c r="AE140" s="15">
        <f>(AG124-AG125)</f>
        <v>-185</v>
      </c>
      <c r="AF140" s="15">
        <f>(AI124-AI125)</f>
        <v>-177.3</v>
      </c>
      <c r="AG140" s="15">
        <f>(AK124-AK125)</f>
        <v>-160.8</v>
      </c>
      <c r="AH140" s="15">
        <f>(AM124-AM125)</f>
        <v>-176.4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224.025842018334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80" customWidth="1"/>
    <col min="2" max="27" width="10.4844" style="380" customWidth="1"/>
    <col min="28" max="28" width="18.9766" style="381" customWidth="1"/>
    <col min="29" max="47" width="9" style="381" customWidth="1"/>
    <col min="48" max="16384" width="16.3516" style="381" customWidth="1"/>
  </cols>
  <sheetData>
    <row r="1" ht="11.65" customHeight="1"/>
    <row r="2" ht="27.65" customHeight="1">
      <c r="B2" t="s" s="2">
        <v>744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160</v>
      </c>
      <c r="AA3" t="s" s="3">
        <v>19</v>
      </c>
    </row>
    <row r="4" ht="20.25" customHeight="1">
      <c r="B4" s="6">
        <v>2017</v>
      </c>
      <c r="C4" s="7">
        <v>4401</v>
      </c>
      <c r="D4" s="8">
        <v>274</v>
      </c>
      <c r="E4" s="8">
        <v>470</v>
      </c>
      <c r="F4" s="8">
        <v>2160</v>
      </c>
      <c r="G4" s="8">
        <v>15576</v>
      </c>
      <c r="H4" s="8">
        <v>33661</v>
      </c>
      <c r="I4" s="8">
        <v>3954.9</v>
      </c>
      <c r="J4" s="8">
        <v>252</v>
      </c>
      <c r="K4" s="8">
        <v>-361</v>
      </c>
      <c r="L4" s="8">
        <v>119.25</v>
      </c>
      <c r="M4" s="8">
        <v>-52.5</v>
      </c>
      <c r="N4" s="59"/>
      <c r="O4" s="9"/>
      <c r="P4" s="9"/>
      <c r="Q4" s="9"/>
      <c r="R4" s="9"/>
      <c r="S4" s="9"/>
      <c r="T4" s="9"/>
      <c r="U4" s="9"/>
      <c r="V4" s="8">
        <f>-(L4+M4)</f>
        <v>-66.75</v>
      </c>
      <c r="W4" s="9"/>
      <c r="X4" s="8">
        <f>F4-G4</f>
        <v>-13416</v>
      </c>
      <c r="Y4" s="9"/>
      <c r="Z4" s="79"/>
      <c r="AA4" s="9"/>
    </row>
    <row r="5" ht="20.05" customHeight="1">
      <c r="B5" s="13"/>
      <c r="C5" s="14">
        <v>4117</v>
      </c>
      <c r="D5" s="15">
        <v>319</v>
      </c>
      <c r="E5" s="15">
        <v>27</v>
      </c>
      <c r="F5" s="15">
        <v>2057</v>
      </c>
      <c r="G5" s="15">
        <v>15499</v>
      </c>
      <c r="H5" s="15">
        <v>33354</v>
      </c>
      <c r="I5" s="15">
        <v>3999.6</v>
      </c>
      <c r="J5" s="15">
        <v>309</v>
      </c>
      <c r="K5" s="15">
        <v>-463</v>
      </c>
      <c r="L5" s="15">
        <v>119.25</v>
      </c>
      <c r="M5" s="15">
        <v>-52.5</v>
      </c>
      <c r="N5" s="26"/>
      <c r="O5" s="17"/>
      <c r="P5" s="17"/>
      <c r="Q5" s="17"/>
      <c r="R5" s="17"/>
      <c r="S5" s="17"/>
      <c r="T5" s="17"/>
      <c r="U5" s="17"/>
      <c r="V5" s="15">
        <f>-(L5+M5)+V4</f>
        <v>-133.5</v>
      </c>
      <c r="W5" s="17"/>
      <c r="X5" s="15">
        <f>F5-G5</f>
        <v>-13442</v>
      </c>
      <c r="Y5" s="17"/>
      <c r="Z5" s="80"/>
      <c r="AA5" s="17"/>
    </row>
    <row r="6" ht="20.05" customHeight="1">
      <c r="B6" s="13"/>
      <c r="C6" s="14">
        <v>3715</v>
      </c>
      <c r="D6" s="15">
        <v>348</v>
      </c>
      <c r="E6" s="15">
        <v>71</v>
      </c>
      <c r="F6" s="15">
        <v>1942</v>
      </c>
      <c r="G6" s="15">
        <v>15062</v>
      </c>
      <c r="H6" s="15">
        <v>32982</v>
      </c>
      <c r="I6" s="15">
        <v>4072.4</v>
      </c>
      <c r="J6" s="15">
        <v>1261</v>
      </c>
      <c r="K6" s="15">
        <v>-619</v>
      </c>
      <c r="L6" s="15">
        <v>119.25</v>
      </c>
      <c r="M6" s="15">
        <v>-52.5</v>
      </c>
      <c r="N6" s="26"/>
      <c r="O6" s="17"/>
      <c r="P6" s="17"/>
      <c r="Q6" s="17"/>
      <c r="R6" s="17"/>
      <c r="S6" s="17"/>
      <c r="T6" s="17"/>
      <c r="U6" s="17"/>
      <c r="V6" s="15">
        <f>-(L6+M6)+V5</f>
        <v>-200.25</v>
      </c>
      <c r="W6" s="17"/>
      <c r="X6" s="15">
        <f>F6-G6</f>
        <v>-13120</v>
      </c>
      <c r="Y6" s="17"/>
      <c r="Z6" s="80"/>
      <c r="AA6" s="17"/>
    </row>
    <row r="7" ht="20.05" customHeight="1">
      <c r="B7" s="13"/>
      <c r="C7" s="14">
        <v>3594</v>
      </c>
      <c r="D7" s="15">
        <v>278</v>
      </c>
      <c r="E7" s="15">
        <v>127</v>
      </c>
      <c r="F7" s="15">
        <v>2261</v>
      </c>
      <c r="G7" s="15">
        <v>15332</v>
      </c>
      <c r="H7" s="15">
        <v>33859</v>
      </c>
      <c r="I7" s="15">
        <v>3479.3</v>
      </c>
      <c r="J7" s="15">
        <v>163</v>
      </c>
      <c r="K7" s="15">
        <v>-420</v>
      </c>
      <c r="L7" s="15">
        <v>119.25</v>
      </c>
      <c r="M7" s="15">
        <v>-52.5</v>
      </c>
      <c r="N7" s="26"/>
      <c r="O7" s="17"/>
      <c r="P7" s="17"/>
      <c r="Q7" s="17"/>
      <c r="R7" s="17"/>
      <c r="S7" s="17"/>
      <c r="T7" s="17"/>
      <c r="U7" s="17"/>
      <c r="V7" s="15">
        <f>-(L7+M7)+V6</f>
        <v>-267</v>
      </c>
      <c r="W7" s="17"/>
      <c r="X7" s="15">
        <f>F7-G7</f>
        <v>-13071</v>
      </c>
      <c r="Y7" s="17"/>
      <c r="Z7" s="80"/>
      <c r="AA7" s="17"/>
    </row>
    <row r="8" ht="20.05" customHeight="1">
      <c r="B8" s="21">
        <v>2018</v>
      </c>
      <c r="C8" s="14">
        <v>3190</v>
      </c>
      <c r="D8" s="15">
        <v>327</v>
      </c>
      <c r="E8" s="15">
        <v>105</v>
      </c>
      <c r="F8" s="15">
        <v>2321</v>
      </c>
      <c r="G8" s="15">
        <v>15889</v>
      </c>
      <c r="H8" s="15">
        <v>34505</v>
      </c>
      <c r="I8" s="15">
        <v>3088.8</v>
      </c>
      <c r="J8" s="15">
        <v>243</v>
      </c>
      <c r="K8" s="15">
        <v>-406</v>
      </c>
      <c r="L8" s="15">
        <v>244.25</v>
      </c>
      <c r="M8" s="15">
        <v>-57.75</v>
      </c>
      <c r="N8" s="15">
        <f>SUM(C5:C8)/4</f>
        <v>3654</v>
      </c>
      <c r="O8" s="17"/>
      <c r="P8" s="16"/>
      <c r="Q8" s="16">
        <f>((D8+E8)/C8)</f>
        <v>0.135423197492163</v>
      </c>
      <c r="R8" s="16"/>
      <c r="S8" s="17"/>
      <c r="T8" s="15">
        <f>SUM(J5:K8)/4</f>
        <v>17</v>
      </c>
      <c r="U8" s="17"/>
      <c r="V8" s="15">
        <f>-(L8+M8)+V7</f>
        <v>-453.5</v>
      </c>
      <c r="W8" s="17"/>
      <c r="X8" s="15">
        <f>F8-G8</f>
        <v>-13568</v>
      </c>
      <c r="Y8" s="24"/>
      <c r="Z8" s="25">
        <v>595</v>
      </c>
      <c r="AA8" s="24"/>
    </row>
    <row r="9" ht="20.05" customHeight="1">
      <c r="B9" s="13"/>
      <c r="C9" s="14">
        <v>3366</v>
      </c>
      <c r="D9" s="15">
        <v>350</v>
      </c>
      <c r="E9" s="15">
        <v>-50</v>
      </c>
      <c r="F9" s="15">
        <v>2413</v>
      </c>
      <c r="G9" s="15">
        <v>17154</v>
      </c>
      <c r="H9" s="15">
        <v>35473</v>
      </c>
      <c r="I9" s="15">
        <v>3370.2</v>
      </c>
      <c r="J9" s="15">
        <v>-112</v>
      </c>
      <c r="K9" s="15">
        <v>-594</v>
      </c>
      <c r="L9" s="15">
        <v>115.25</v>
      </c>
      <c r="M9" s="15">
        <v>11.75</v>
      </c>
      <c r="N9" s="15">
        <f>SUM(C6:C9)/4</f>
        <v>3466.25</v>
      </c>
      <c r="O9" s="17"/>
      <c r="P9" s="16"/>
      <c r="Q9" s="16">
        <f>((D9+E9)/C9)</f>
        <v>0.089126559714795</v>
      </c>
      <c r="R9" s="16"/>
      <c r="S9" s="17"/>
      <c r="T9" s="15">
        <f>SUM(J6:K9)/4</f>
        <v>-121</v>
      </c>
      <c r="U9" s="17"/>
      <c r="V9" s="15">
        <f>-(L9+M9)+V8</f>
        <v>-580.5</v>
      </c>
      <c r="W9" s="17"/>
      <c r="X9" s="15">
        <f>F9-G9</f>
        <v>-14741</v>
      </c>
      <c r="Y9" s="24"/>
      <c r="Z9" s="25">
        <v>492</v>
      </c>
      <c r="AA9" s="24"/>
    </row>
    <row r="10" ht="20.05" customHeight="1">
      <c r="B10" s="13"/>
      <c r="C10" s="14">
        <v>3850</v>
      </c>
      <c r="D10" s="15">
        <v>345</v>
      </c>
      <c r="E10" s="15">
        <v>16</v>
      </c>
      <c r="F10" s="15">
        <v>2234</v>
      </c>
      <c r="G10" s="15">
        <v>17171</v>
      </c>
      <c r="H10" s="15">
        <v>35514</v>
      </c>
      <c r="I10" s="15">
        <v>3639</v>
      </c>
      <c r="J10" s="15">
        <v>485</v>
      </c>
      <c r="K10" s="15">
        <v>-595</v>
      </c>
      <c r="L10" s="15">
        <v>-13.25</v>
      </c>
      <c r="M10" s="15">
        <v>-45.75</v>
      </c>
      <c r="N10" s="15">
        <f>SUM(C7:C10)/4</f>
        <v>3500</v>
      </c>
      <c r="O10" s="17"/>
      <c r="P10" s="16"/>
      <c r="Q10" s="16">
        <f>((D10+E10)/C10)</f>
        <v>0.0937662337662338</v>
      </c>
      <c r="R10" s="16"/>
      <c r="S10" s="17"/>
      <c r="T10" s="15">
        <f>SUM(J7:K10)/4</f>
        <v>-309</v>
      </c>
      <c r="U10" s="17"/>
      <c r="V10" s="15">
        <f>-(L10+M10)+V9</f>
        <v>-521.5</v>
      </c>
      <c r="W10" s="17"/>
      <c r="X10" s="15">
        <f>F10-G10</f>
        <v>-14937</v>
      </c>
      <c r="Y10" s="24"/>
      <c r="Z10" s="25">
        <v>490</v>
      </c>
      <c r="AA10" s="24"/>
    </row>
    <row r="11" ht="20.05" customHeight="1">
      <c r="B11" s="13"/>
      <c r="C11" s="14">
        <v>3653</v>
      </c>
      <c r="D11" s="15">
        <v>303</v>
      </c>
      <c r="E11" s="15">
        <v>-249</v>
      </c>
      <c r="F11" s="15">
        <v>2071</v>
      </c>
      <c r="G11" s="15">
        <v>16379</v>
      </c>
      <c r="H11" s="15">
        <v>34666</v>
      </c>
      <c r="I11" s="15">
        <v>3789</v>
      </c>
      <c r="J11" s="15">
        <v>539</v>
      </c>
      <c r="K11" s="15">
        <v>-525</v>
      </c>
      <c r="L11" s="15">
        <v>244.25</v>
      </c>
      <c r="M11" s="15">
        <v>-57.75</v>
      </c>
      <c r="N11" s="15">
        <f>SUM(C8:C11)/4</f>
        <v>3514.75</v>
      </c>
      <c r="O11" s="17"/>
      <c r="P11" s="16"/>
      <c r="Q11" s="16">
        <f>((D11+E11)/C11)</f>
        <v>0.0147823706542568</v>
      </c>
      <c r="R11" s="16"/>
      <c r="S11" s="17"/>
      <c r="T11" s="15">
        <f>SUM(J8:K11)/4</f>
        <v>-241.25</v>
      </c>
      <c r="U11" s="17"/>
      <c r="V11" s="15">
        <f>-(L11+M11)+V10</f>
        <v>-708</v>
      </c>
      <c r="W11" s="17"/>
      <c r="X11" s="15">
        <f>F11-G11</f>
        <v>-14308</v>
      </c>
      <c r="Y11" s="24"/>
      <c r="Z11" s="25">
        <v>460</v>
      </c>
      <c r="AA11" s="24"/>
    </row>
    <row r="12" ht="20.05" customHeight="1">
      <c r="B12" s="21">
        <v>2019</v>
      </c>
      <c r="C12" s="14">
        <v>3358</v>
      </c>
      <c r="D12" s="15">
        <v>372.75</v>
      </c>
      <c r="E12" s="15">
        <v>-75</v>
      </c>
      <c r="F12" s="15">
        <v>2118</v>
      </c>
      <c r="G12" s="15">
        <v>17287</v>
      </c>
      <c r="H12" s="15">
        <v>35497</v>
      </c>
      <c r="I12" s="15">
        <v>3278.3</v>
      </c>
      <c r="J12" s="15">
        <v>442</v>
      </c>
      <c r="K12" s="15">
        <v>-854</v>
      </c>
      <c r="L12" s="15">
        <v>115.25</v>
      </c>
      <c r="M12" s="15">
        <v>11.75</v>
      </c>
      <c r="N12" s="15">
        <f>SUM(C9:C12)/4</f>
        <v>3556.75</v>
      </c>
      <c r="O12" s="23"/>
      <c r="P12" s="16"/>
      <c r="Q12" s="16">
        <f>((D12+E12)/C12)</f>
        <v>0.0886688505062537</v>
      </c>
      <c r="R12" s="16">
        <f>AVERAGE(Q9:Q12)</f>
        <v>0.0715860036603848</v>
      </c>
      <c r="S12" s="17"/>
      <c r="T12" s="15">
        <f>SUM(J9:K12)/4</f>
        <v>-303.5</v>
      </c>
      <c r="U12" s="17"/>
      <c r="V12" s="15">
        <f>-(L12+M12)+V11</f>
        <v>-835</v>
      </c>
      <c r="W12" s="17"/>
      <c r="X12" s="15">
        <f>F12-G12</f>
        <v>-15169</v>
      </c>
      <c r="Y12" s="24"/>
      <c r="Z12" s="25">
        <v>440</v>
      </c>
      <c r="AA12" s="24"/>
    </row>
    <row r="13" ht="20.05" customHeight="1">
      <c r="B13" s="13"/>
      <c r="C13" s="14">
        <v>3144</v>
      </c>
      <c r="D13" s="15">
        <v>361.75</v>
      </c>
      <c r="E13" s="15">
        <v>-360</v>
      </c>
      <c r="F13" s="15">
        <v>1844</v>
      </c>
      <c r="G13" s="15">
        <v>17432</v>
      </c>
      <c r="H13" s="15">
        <v>35228</v>
      </c>
      <c r="I13" s="15">
        <v>3326.7</v>
      </c>
      <c r="J13" s="15">
        <v>204</v>
      </c>
      <c r="K13" s="15">
        <v>-569</v>
      </c>
      <c r="L13" s="15">
        <v>115.25</v>
      </c>
      <c r="M13" s="15">
        <v>11.75</v>
      </c>
      <c r="N13" s="15">
        <f>SUM(C10:C13)/4</f>
        <v>3501.25</v>
      </c>
      <c r="O13" s="23"/>
      <c r="P13" s="16"/>
      <c r="Q13" s="16">
        <f>((D13+E13)/C13)</f>
        <v>0.000556615776081425</v>
      </c>
      <c r="R13" s="16">
        <f>AVERAGE(Q10:Q13)</f>
        <v>0.0494435176757064</v>
      </c>
      <c r="S13" s="17"/>
      <c r="T13" s="15">
        <f>SUM(J10:K13)/4</f>
        <v>-218.25</v>
      </c>
      <c r="U13" s="17"/>
      <c r="V13" s="15">
        <f>-(L13+M13)+V12</f>
        <v>-962</v>
      </c>
      <c r="W13" s="17"/>
      <c r="X13" s="15">
        <f>F13-G13</f>
        <v>-15588</v>
      </c>
      <c r="Y13" s="24"/>
      <c r="Z13" s="25">
        <v>350</v>
      </c>
      <c r="AA13" s="24"/>
    </row>
    <row r="14" ht="20.05" customHeight="1">
      <c r="B14" s="13"/>
      <c r="C14" s="14">
        <v>3593</v>
      </c>
      <c r="D14" s="15">
        <v>382.75</v>
      </c>
      <c r="E14" s="15">
        <v>-162</v>
      </c>
      <c r="F14" s="15">
        <v>1850</v>
      </c>
      <c r="G14" s="15">
        <v>17412</v>
      </c>
      <c r="H14" s="15">
        <v>35046</v>
      </c>
      <c r="I14" s="15">
        <v>3691</v>
      </c>
      <c r="J14" s="15">
        <v>623</v>
      </c>
      <c r="K14" s="15">
        <v>-491</v>
      </c>
      <c r="L14" s="15">
        <v>115.25</v>
      </c>
      <c r="M14" s="15">
        <v>11.75</v>
      </c>
      <c r="N14" s="15">
        <f>SUM(C11:C14)/4</f>
        <v>3437</v>
      </c>
      <c r="O14" s="23"/>
      <c r="P14" s="16"/>
      <c r="Q14" s="16">
        <f>((D14+E14)/C14)</f>
        <v>0.0614389089897022</v>
      </c>
      <c r="R14" s="16">
        <f>AVERAGE(Q11:Q14)</f>
        <v>0.0413616864815735</v>
      </c>
      <c r="S14" s="17"/>
      <c r="T14" s="15">
        <f>SUM(J11:K14)/4</f>
        <v>-157.75</v>
      </c>
      <c r="U14" s="17"/>
      <c r="V14" s="15">
        <f>-(L14+M14)+V13</f>
        <v>-1089</v>
      </c>
      <c r="W14" s="17"/>
      <c r="X14" s="15">
        <f>F14-G14</f>
        <v>-15562</v>
      </c>
      <c r="Y14" s="24"/>
      <c r="Z14" s="25">
        <v>330</v>
      </c>
      <c r="AA14" s="24"/>
    </row>
    <row r="15" ht="20.05" customHeight="1">
      <c r="B15" s="13"/>
      <c r="C15" s="14">
        <v>3555</v>
      </c>
      <c r="D15" s="15">
        <v>475.75</v>
      </c>
      <c r="E15" s="15">
        <v>-45</v>
      </c>
      <c r="F15" s="15">
        <v>1717</v>
      </c>
      <c r="G15" s="15">
        <v>17130</v>
      </c>
      <c r="H15" s="15">
        <v>34911</v>
      </c>
      <c r="I15" s="15">
        <v>3626</v>
      </c>
      <c r="J15" s="15">
        <v>408</v>
      </c>
      <c r="K15" s="15">
        <v>-600</v>
      </c>
      <c r="L15" s="15">
        <v>115.25</v>
      </c>
      <c r="M15" s="15">
        <v>11.75</v>
      </c>
      <c r="N15" s="15">
        <f>SUM(C12:C15)/4</f>
        <v>3412.5</v>
      </c>
      <c r="O15" s="15"/>
      <c r="P15" s="16"/>
      <c r="Q15" s="16">
        <f>((D15+E15)/C15)</f>
        <v>0.121167369901547</v>
      </c>
      <c r="R15" s="16">
        <f>AVERAGE(Q12:Q15)</f>
        <v>0.0679579362933961</v>
      </c>
      <c r="S15" s="17"/>
      <c r="T15" s="15">
        <f>SUM(J12:K15)/4</f>
        <v>-209.25</v>
      </c>
      <c r="U15" s="17"/>
      <c r="V15" s="15">
        <f>-(L15+M15)+V14</f>
        <v>-1216</v>
      </c>
      <c r="W15" s="17"/>
      <c r="X15" s="15">
        <f>F15-G15</f>
        <v>-15413</v>
      </c>
      <c r="Y15" s="24"/>
      <c r="Z15" s="25">
        <v>432</v>
      </c>
      <c r="AA15" s="24"/>
    </row>
    <row r="16" ht="20.05" customHeight="1">
      <c r="B16" s="21">
        <v>2020</v>
      </c>
      <c r="C16" s="14">
        <v>3316.3</v>
      </c>
      <c r="D16" s="15">
        <v>165</v>
      </c>
      <c r="E16" s="15">
        <v>-77.40000000000001</v>
      </c>
      <c r="F16" s="15">
        <v>2091.9</v>
      </c>
      <c r="G16" s="15">
        <v>17610.6</v>
      </c>
      <c r="H16" s="15">
        <v>35315.7</v>
      </c>
      <c r="I16" s="15">
        <v>3369.9</v>
      </c>
      <c r="J16" s="15">
        <v>831.3</v>
      </c>
      <c r="K16" s="15">
        <v>-382.9</v>
      </c>
      <c r="L16" s="15">
        <v>-13.25</v>
      </c>
      <c r="M16" s="15">
        <v>-45.75</v>
      </c>
      <c r="N16" s="15">
        <f>SUM(C13:C16)/4</f>
        <v>3402.075</v>
      </c>
      <c r="O16" s="15"/>
      <c r="P16" s="16"/>
      <c r="Q16" s="16">
        <f>((D16+E16)/C16)</f>
        <v>0.0264149805506136</v>
      </c>
      <c r="R16" s="16">
        <f>AVERAGE(Q13:Q16)</f>
        <v>0.0523944688044861</v>
      </c>
      <c r="S16" s="17"/>
      <c r="T16" s="15">
        <f>SUM(J13:K16)/4</f>
        <v>5.85</v>
      </c>
      <c r="U16" s="17"/>
      <c r="V16" s="15">
        <f>-(L16+M16)+V15</f>
        <v>-1157</v>
      </c>
      <c r="W16" s="17"/>
      <c r="X16" s="15">
        <f>F16-G16</f>
        <v>-15518.7</v>
      </c>
      <c r="Y16" s="24"/>
      <c r="Z16" s="25">
        <v>210</v>
      </c>
      <c r="AA16" s="24"/>
    </row>
    <row r="17" ht="20.05" customHeight="1">
      <c r="B17" s="13"/>
      <c r="C17" s="14">
        <v>3556.7</v>
      </c>
      <c r="D17" s="15">
        <v>329</v>
      </c>
      <c r="E17" s="15">
        <v>-300.6</v>
      </c>
      <c r="F17" s="15">
        <v>2652</v>
      </c>
      <c r="G17" s="15">
        <v>17531</v>
      </c>
      <c r="H17" s="15">
        <v>34922</v>
      </c>
      <c r="I17" s="15">
        <v>3543.1</v>
      </c>
      <c r="J17" s="15">
        <v>871.8</v>
      </c>
      <c r="K17" s="15">
        <v>-343.1</v>
      </c>
      <c r="L17" s="15">
        <v>-13.25</v>
      </c>
      <c r="M17" s="15">
        <v>-45.75</v>
      </c>
      <c r="N17" s="15">
        <f>SUM(C14:C17)/4</f>
        <v>3505.25</v>
      </c>
      <c r="O17" s="15">
        <v>3447.13</v>
      </c>
      <c r="P17" s="16"/>
      <c r="Q17" s="16">
        <f>((D17+E17)/C17)</f>
        <v>0.0079849298507043</v>
      </c>
      <c r="R17" s="16">
        <f>AVERAGE(Q14:Q17)</f>
        <v>0.0542515473231418</v>
      </c>
      <c r="S17" s="17"/>
      <c r="T17" s="15">
        <f>SUM(J14:K17)/4</f>
        <v>229.275</v>
      </c>
      <c r="U17" s="17"/>
      <c r="V17" s="15">
        <f>-(L17+M17)+V16</f>
        <v>-1098</v>
      </c>
      <c r="W17" s="17"/>
      <c r="X17" s="15">
        <f>F17-G17</f>
        <v>-14879</v>
      </c>
      <c r="Y17" s="24"/>
      <c r="Z17" s="25">
        <v>254</v>
      </c>
      <c r="AA17" s="24"/>
    </row>
    <row r="18" ht="20.05" customHeight="1">
      <c r="B18" s="13"/>
      <c r="C18" s="14">
        <v>3440</v>
      </c>
      <c r="D18" s="15">
        <v>495</v>
      </c>
      <c r="E18" s="15">
        <v>141</v>
      </c>
      <c r="F18" s="15">
        <v>2518</v>
      </c>
      <c r="G18" s="15">
        <v>18031</v>
      </c>
      <c r="H18" s="15">
        <v>35522</v>
      </c>
      <c r="I18" s="15">
        <v>3429</v>
      </c>
      <c r="J18" s="15">
        <v>296</v>
      </c>
      <c r="K18" s="15">
        <v>-407</v>
      </c>
      <c r="L18" s="15">
        <v>-13.25</v>
      </c>
      <c r="M18" s="15">
        <v>-45.75</v>
      </c>
      <c r="N18" s="15">
        <f>SUM(C15:C18)/4</f>
        <v>3467</v>
      </c>
      <c r="O18" s="15">
        <v>3531.683333333330</v>
      </c>
      <c r="P18" s="16"/>
      <c r="Q18" s="16">
        <f>((D18+E18)/C18)</f>
        <v>0.184883720930233</v>
      </c>
      <c r="R18" s="16">
        <f>AVERAGE(Q15:Q18)</f>
        <v>0.0851127503082745</v>
      </c>
      <c r="S18" s="17"/>
      <c r="T18" s="15">
        <f>SUM(J15:K18)/4</f>
        <v>168.525</v>
      </c>
      <c r="U18" s="17"/>
      <c r="V18" s="15">
        <f>-(L18+M18)+V17</f>
        <v>-1039</v>
      </c>
      <c r="W18" s="17"/>
      <c r="X18" s="15">
        <f>F18-G18</f>
        <v>-15513</v>
      </c>
      <c r="Y18" s="24"/>
      <c r="Z18" s="15">
        <v>296</v>
      </c>
      <c r="AA18" s="24"/>
    </row>
    <row r="19" ht="20.05" customHeight="1">
      <c r="B19" s="13"/>
      <c r="C19" s="14">
        <v>4161.7</v>
      </c>
      <c r="D19" s="15">
        <v>375.7</v>
      </c>
      <c r="E19" s="15">
        <v>577.3</v>
      </c>
      <c r="F19" s="15">
        <v>2427</v>
      </c>
      <c r="G19" s="15">
        <v>16905</v>
      </c>
      <c r="H19" s="15">
        <v>35395</v>
      </c>
      <c r="I19" s="15">
        <v>4128.4</v>
      </c>
      <c r="J19" s="15">
        <v>512.8</v>
      </c>
      <c r="K19" s="15">
        <v>-442.5</v>
      </c>
      <c r="L19" s="15">
        <v>-13.25</v>
      </c>
      <c r="M19" s="15">
        <v>-45.75</v>
      </c>
      <c r="N19" s="15">
        <f>SUM(C16:C19)/4</f>
        <v>3618.675</v>
      </c>
      <c r="O19" s="15">
        <v>3594.7625</v>
      </c>
      <c r="P19" s="16"/>
      <c r="Q19" s="16">
        <f>((D19+E19)/C19)</f>
        <v>0.228992959607853</v>
      </c>
      <c r="R19" s="16">
        <f>AVERAGE(Q16:Q19)</f>
        <v>0.112069147734851</v>
      </c>
      <c r="S19" s="17"/>
      <c r="T19" s="15">
        <f>SUM(J16:K19)/4</f>
        <v>234.1</v>
      </c>
      <c r="U19" s="17"/>
      <c r="V19" s="15">
        <f>-(L19+M19)+V18</f>
        <v>-980</v>
      </c>
      <c r="W19" s="17"/>
      <c r="X19" s="15">
        <f>F19-G19</f>
        <v>-14478</v>
      </c>
      <c r="Y19" s="24"/>
      <c r="Z19" s="15">
        <v>420</v>
      </c>
      <c r="AA19" s="24"/>
    </row>
    <row r="20" ht="20.05" customHeight="1">
      <c r="B20" s="21">
        <v>2021</v>
      </c>
      <c r="C20" s="14">
        <v>4699.2</v>
      </c>
      <c r="D20" s="15">
        <v>304.8</v>
      </c>
      <c r="E20" s="15">
        <v>189.1</v>
      </c>
      <c r="F20" s="15">
        <v>3055</v>
      </c>
      <c r="G20" s="15">
        <v>17477</v>
      </c>
      <c r="H20" s="15">
        <v>36156</v>
      </c>
      <c r="I20" s="15">
        <v>4518.7</v>
      </c>
      <c r="J20" s="15">
        <v>935.55</v>
      </c>
      <c r="K20" s="15">
        <v>-293.7</v>
      </c>
      <c r="L20" s="15">
        <v>-46.846</v>
      </c>
      <c r="M20" s="15">
        <v>0</v>
      </c>
      <c r="N20" s="15">
        <f>SUM(C17:C20)/4</f>
        <v>3964.4</v>
      </c>
      <c r="O20" s="15">
        <v>3768.13525</v>
      </c>
      <c r="P20" s="16"/>
      <c r="Q20" s="16">
        <f>((D20+E20)/C20)</f>
        <v>0.105102996254682</v>
      </c>
      <c r="R20" s="16">
        <f>AVERAGE(Q17:Q20)</f>
        <v>0.131741151660868</v>
      </c>
      <c r="S20" s="17"/>
      <c r="T20" s="15">
        <f>SUM(J17:K20)/4</f>
        <v>282.4625</v>
      </c>
      <c r="U20" s="17"/>
      <c r="V20" s="15">
        <f>-(L20+M20)+V19</f>
        <v>-933.154</v>
      </c>
      <c r="W20" s="17"/>
      <c r="X20" s="15">
        <f>F20-G20</f>
        <v>-14422</v>
      </c>
      <c r="Y20" s="15"/>
      <c r="Z20" s="15">
        <v>490</v>
      </c>
      <c r="AA20" s="17"/>
    </row>
    <row r="21" ht="20.05" customHeight="1">
      <c r="B21" s="13"/>
      <c r="C21" s="14">
        <v>4258.4</v>
      </c>
      <c r="D21" s="15">
        <v>340.8</v>
      </c>
      <c r="E21" s="15">
        <v>164</v>
      </c>
      <c r="F21" s="15">
        <v>3023</v>
      </c>
      <c r="G21" s="15">
        <v>17146</v>
      </c>
      <c r="H21" s="15">
        <v>35998</v>
      </c>
      <c r="I21" s="15">
        <v>4491.2</v>
      </c>
      <c r="J21" s="15">
        <v>477.35</v>
      </c>
      <c r="K21" s="15">
        <v>-305.5</v>
      </c>
      <c r="L21" s="15">
        <v>-102.932</v>
      </c>
      <c r="M21" s="15">
        <v>-110</v>
      </c>
      <c r="N21" s="15">
        <f>SUM(C18:C21)/4</f>
        <v>4139.825</v>
      </c>
      <c r="O21" s="15">
        <v>4141.13125</v>
      </c>
      <c r="P21" s="16">
        <f>C21/C20-1</f>
        <v>-0.0938032005447736</v>
      </c>
      <c r="Q21" s="16">
        <f>((D21+E21)/C21)</f>
        <v>0.118542175464963</v>
      </c>
      <c r="R21" s="16">
        <f>AVERAGE(Q18:Q21)</f>
        <v>0.159380463064433</v>
      </c>
      <c r="S21" s="17"/>
      <c r="T21" s="15">
        <f>SUM(J18:K21)/4</f>
        <v>193.25</v>
      </c>
      <c r="U21" s="17"/>
      <c r="V21" s="15">
        <f>-(L21+M21)+V20</f>
        <v>-720.222</v>
      </c>
      <c r="W21" s="17"/>
      <c r="X21" s="15">
        <f>F21-G21</f>
        <v>-14123</v>
      </c>
      <c r="Y21" s="15"/>
      <c r="Z21" s="15">
        <v>436</v>
      </c>
      <c r="AA21" s="17"/>
    </row>
    <row r="22" ht="20.05" customHeight="1">
      <c r="B22" s="13"/>
      <c r="C22" s="14">
        <v>5167.8</v>
      </c>
      <c r="D22" s="15">
        <v>506.9</v>
      </c>
      <c r="E22" s="15">
        <v>1611.1</v>
      </c>
      <c r="F22" s="15">
        <v>3532</v>
      </c>
      <c r="G22" s="15">
        <v>17381</v>
      </c>
      <c r="H22" s="15">
        <v>36582</v>
      </c>
      <c r="I22" s="15">
        <v>4943.2</v>
      </c>
      <c r="J22" s="15">
        <v>1049.15</v>
      </c>
      <c r="K22" s="15">
        <v>-293.6</v>
      </c>
      <c r="L22" s="15">
        <v>-145.619</v>
      </c>
      <c r="M22" s="15">
        <v>-102.733</v>
      </c>
      <c r="N22" s="15">
        <f>SUM(C19:C22)/4</f>
        <v>4571.775</v>
      </c>
      <c r="O22" s="23">
        <v>4291.17975</v>
      </c>
      <c r="P22" s="16">
        <f>C22/C21-1</f>
        <v>0.213554386624084</v>
      </c>
      <c r="Q22" s="16">
        <f>((D22+E22)/C22)</f>
        <v>0.409845582259375</v>
      </c>
      <c r="R22" s="16">
        <f>AVERAGE(Q19:Q22)</f>
        <v>0.215620928396718</v>
      </c>
      <c r="S22" s="17"/>
      <c r="T22" s="15">
        <f>SUM(J19:K22)/4</f>
        <v>409.8875</v>
      </c>
      <c r="U22" s="17"/>
      <c r="V22" s="15">
        <f>-(L22+M22)+V21</f>
        <v>-471.87</v>
      </c>
      <c r="W22" s="17"/>
      <c r="X22" s="15">
        <f>F22-G22</f>
        <v>-13849</v>
      </c>
      <c r="Y22" s="15"/>
      <c r="Z22" s="15">
        <v>458</v>
      </c>
      <c r="AA22" s="17"/>
    </row>
    <row r="23" ht="20.05" customHeight="1">
      <c r="B23" s="13"/>
      <c r="C23" s="14">
        <v>5533.6</v>
      </c>
      <c r="D23" s="15">
        <v>645.5</v>
      </c>
      <c r="E23" s="15">
        <v>-441.4</v>
      </c>
      <c r="F23" s="15">
        <v>3726.3</v>
      </c>
      <c r="G23" s="15">
        <v>16193</v>
      </c>
      <c r="H23" s="15">
        <v>35979</v>
      </c>
      <c r="I23" s="15">
        <v>5556.9</v>
      </c>
      <c r="J23" s="15">
        <v>1198.95</v>
      </c>
      <c r="K23" s="15">
        <v>-483.2</v>
      </c>
      <c r="L23" s="15">
        <v>-552.603</v>
      </c>
      <c r="M23" s="15">
        <v>67.733</v>
      </c>
      <c r="N23" s="15">
        <f>SUM(C20:C23)/4</f>
        <v>4914.75</v>
      </c>
      <c r="O23" s="23">
        <v>4779.24425</v>
      </c>
      <c r="P23" s="16">
        <f>C23/C22-1</f>
        <v>0.0707844730833237</v>
      </c>
      <c r="Q23" s="16">
        <f>((D23+E23)/C23)</f>
        <v>0.0368837646378488</v>
      </c>
      <c r="R23" s="16">
        <f>AVERAGE(Q20:Q23)</f>
        <v>0.167593629654217</v>
      </c>
      <c r="S23" s="17"/>
      <c r="T23" s="15">
        <f>SUM(J20:K23)/4</f>
        <v>571.25</v>
      </c>
      <c r="U23" s="17"/>
      <c r="V23" s="15">
        <f>-(L23+M23)+V22</f>
        <v>13</v>
      </c>
      <c r="W23" s="17"/>
      <c r="X23" s="15">
        <f>F23-G23</f>
        <v>-12466.7</v>
      </c>
      <c r="Y23" s="15"/>
      <c r="Z23" s="15">
        <v>466</v>
      </c>
      <c r="AA23" s="17"/>
    </row>
    <row r="24" ht="20.05" customHeight="1">
      <c r="B24" s="21">
        <v>2022</v>
      </c>
      <c r="C24" s="14">
        <v>4041.1</v>
      </c>
      <c r="D24" s="15">
        <v>381.4</v>
      </c>
      <c r="E24" s="15">
        <v>420.1</v>
      </c>
      <c r="F24" s="15">
        <v>4731</v>
      </c>
      <c r="G24" s="15">
        <v>16809</v>
      </c>
      <c r="H24" s="15">
        <v>37015</v>
      </c>
      <c r="I24" s="15">
        <v>4753.7</v>
      </c>
      <c r="J24" s="15">
        <v>1284.9</v>
      </c>
      <c r="K24" s="15">
        <v>-250.3</v>
      </c>
      <c r="L24" s="15">
        <v>-34.7</v>
      </c>
      <c r="M24" s="15">
        <v>0</v>
      </c>
      <c r="N24" s="15">
        <f>SUM(C21:C24)/4</f>
        <v>4750.225</v>
      </c>
      <c r="O24" s="23">
        <v>5049.5045</v>
      </c>
      <c r="P24" s="16">
        <f>C24/C23-1</f>
        <v>-0.26971591730519</v>
      </c>
      <c r="Q24" s="16">
        <f>((D24+E24)/C24)</f>
        <v>0.198337086436861</v>
      </c>
      <c r="R24" s="16">
        <f>AVERAGE(Q21:Q24)</f>
        <v>0.190902152199762</v>
      </c>
      <c r="S24" s="35"/>
      <c r="T24" s="15">
        <f>SUM(J21:K24)/4</f>
        <v>669.4375</v>
      </c>
      <c r="U24" s="15">
        <v>951.9431572836399</v>
      </c>
      <c r="V24" s="15">
        <f>-(L24+M24)+V23</f>
        <v>47.7</v>
      </c>
      <c r="W24" s="15"/>
      <c r="X24" s="15">
        <f>F24-G24</f>
        <v>-12078</v>
      </c>
      <c r="Y24" s="15">
        <v>-10093.1258408097</v>
      </c>
      <c r="Z24" s="15">
        <v>500</v>
      </c>
      <c r="AA24" s="17"/>
    </row>
    <row r="25" ht="20.05" customHeight="1">
      <c r="B25" s="13"/>
      <c r="C25" s="14">
        <v>4031.7</v>
      </c>
      <c r="D25" s="15">
        <v>179.9</v>
      </c>
      <c r="E25" s="15">
        <v>222.3</v>
      </c>
      <c r="F25" s="15">
        <v>4122</v>
      </c>
      <c r="G25" s="15">
        <v>16282</v>
      </c>
      <c r="H25" s="15">
        <v>36710</v>
      </c>
      <c r="I25" s="15">
        <v>3494.5</v>
      </c>
      <c r="J25" s="15">
        <v>-11.2</v>
      </c>
      <c r="K25" s="15">
        <v>-382.1</v>
      </c>
      <c r="L25" s="15">
        <v>-245</v>
      </c>
      <c r="M25" s="15">
        <v>0</v>
      </c>
      <c r="N25" s="15">
        <f>SUM(C22:C25)/4</f>
        <v>4693.55</v>
      </c>
      <c r="O25" s="23">
        <v>5013.02475</v>
      </c>
      <c r="P25" s="16">
        <f>C25/C24-1</f>
        <v>-0.00232609932939051</v>
      </c>
      <c r="Q25" s="16">
        <f>((D25+E25)/C25)</f>
        <v>0.0997594067018875</v>
      </c>
      <c r="R25" s="16">
        <f>AVERAGE(Q22:Q25)</f>
        <v>0.186206460008993</v>
      </c>
      <c r="S25" s="35"/>
      <c r="T25" s="15">
        <f>SUM(J22:K25)/4</f>
        <v>528.15</v>
      </c>
      <c r="U25" s="15">
        <v>573.895531608753</v>
      </c>
      <c r="V25" s="15">
        <f>-(L25+M25)+V24</f>
        <v>292.7</v>
      </c>
      <c r="W25" s="15"/>
      <c r="X25" s="15">
        <f>F25-G25</f>
        <v>-12160</v>
      </c>
      <c r="Y25" s="15">
        <v>-9864.417873564989</v>
      </c>
      <c r="Z25" s="15">
        <v>474</v>
      </c>
      <c r="AA25" s="15">
        <v>1112.152899633460</v>
      </c>
    </row>
    <row r="26" ht="20.05" customHeight="1">
      <c r="B26" s="13"/>
      <c r="C26" s="14">
        <v>4262.4</v>
      </c>
      <c r="D26" s="15">
        <v>306.5</v>
      </c>
      <c r="E26" s="15">
        <v>519.6</v>
      </c>
      <c r="F26" s="15">
        <v>4724</v>
      </c>
      <c r="G26" s="15">
        <v>16173</v>
      </c>
      <c r="H26" s="15">
        <v>36778</v>
      </c>
      <c r="I26" s="15">
        <v>4710</v>
      </c>
      <c r="J26" s="15">
        <v>1777.6</v>
      </c>
      <c r="K26" s="15">
        <v>-333.6</v>
      </c>
      <c r="L26" s="15">
        <v>-571.4</v>
      </c>
      <c r="M26" s="15">
        <v>-342.3</v>
      </c>
      <c r="N26" s="15">
        <f>AVERAGE(C26)</f>
        <v>4262.4</v>
      </c>
      <c r="O26" s="23">
        <v>4965.86225</v>
      </c>
      <c r="P26" s="16">
        <f>C26/C25-1</f>
        <v>0.057221519458293</v>
      </c>
      <c r="Q26" s="16">
        <f>((D26+E26)/C26)</f>
        <v>0.193810998498498</v>
      </c>
      <c r="R26" s="16">
        <f>AVERAGE(Q23:Q26)</f>
        <v>0.132197814068774</v>
      </c>
      <c r="S26" s="35">
        <f>S27</f>
        <v>0.193810998498498</v>
      </c>
      <c r="T26" s="15">
        <f>SUM(J23:K26)/4</f>
        <v>700.2625</v>
      </c>
      <c r="U26" s="15">
        <v>510.305704976588</v>
      </c>
      <c r="V26" s="15">
        <f>-(L26+M26)+V25</f>
        <v>1206.4</v>
      </c>
      <c r="W26" s="15">
        <f>W27</f>
        <v>3388.687658813990</v>
      </c>
      <c r="X26" s="15">
        <f>F26-G26</f>
        <v>-11449</v>
      </c>
      <c r="Y26" s="15">
        <v>-10304.1394620843</v>
      </c>
      <c r="Z26" s="15">
        <v>412</v>
      </c>
      <c r="AA26" s="15">
        <v>921.765271610310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AVERAGE(AD52:AG52)</f>
        <v>4536.233348544</v>
      </c>
      <c r="P27" s="17"/>
      <c r="Q27" s="17"/>
      <c r="R27" s="17"/>
      <c r="S27" s="35">
        <f>AD53</f>
        <v>0.193810998498498</v>
      </c>
      <c r="T27" s="17"/>
      <c r="U27" s="15">
        <f>SUM(AD55:AG55)/4</f>
        <v>545.571914703498</v>
      </c>
      <c r="V27" s="17"/>
      <c r="W27" s="15">
        <f>-SUM(AD76:AG76)+V26</f>
        <v>3388.687658813990</v>
      </c>
      <c r="X27" s="17"/>
      <c r="Y27" s="15">
        <f>AG75</f>
        <v>-9266.712341186010</v>
      </c>
      <c r="Z27" s="15">
        <v>410</v>
      </c>
      <c r="AA27" s="15">
        <v>1036.627579187090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SUM(N17:N26)</f>
        <v>41887.85</v>
      </c>
      <c r="O28" s="15">
        <f>SUM(O17:O26)</f>
        <v>42581.6578333333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AG88</f>
        <v>1126.247578904430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6" ht="27.65" customHeight="1">
      <c r="AB46" t="s" s="2">
        <v>160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ht="20.25" customHeight="1">
      <c r="AB47" t="s" s="28">
        <v>366</v>
      </c>
      <c r="AC47" t="s" s="29">
        <v>23</v>
      </c>
      <c r="AD47" t="s" s="29">
        <v>24</v>
      </c>
      <c r="AE47" t="s" s="29">
        <v>25</v>
      </c>
      <c r="AF47" t="s" s="29">
        <v>26</v>
      </c>
      <c r="AG47" t="s" s="29">
        <v>23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ht="20.25" customHeight="1">
      <c r="AB48" t="s" s="31">
        <v>15</v>
      </c>
      <c r="AC48" s="32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</row>
    <row r="49" ht="20.05" customHeight="1">
      <c r="AB49" t="s" s="33">
        <v>27</v>
      </c>
      <c r="AC49" s="34"/>
      <c r="AD49" s="16">
        <f>AVERAGE(P23:P26)</f>
        <v>-0.036009006023241</v>
      </c>
      <c r="AE49" s="35"/>
      <c r="AF49" s="35"/>
      <c r="AG49" s="35">
        <f>AVERAGE(AD51:AG51)</f>
        <v>0.0225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s="36"/>
      <c r="AC50" s="37"/>
      <c r="AD50" s="35">
        <f>P23</f>
        <v>0.0707844730833237</v>
      </c>
      <c r="AE50" s="35">
        <f>P24</f>
        <v>-0.26971591730519</v>
      </c>
      <c r="AF50" s="35">
        <f>P25</f>
        <v>-0.00232609932939051</v>
      </c>
      <c r="AG50" s="35">
        <f>P26</f>
        <v>0.057221519458293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t="s" s="33">
        <v>13</v>
      </c>
      <c r="AC51" s="37"/>
      <c r="AD51" s="35">
        <v>0.07000000000000001</v>
      </c>
      <c r="AE51" s="35">
        <v>-0.03</v>
      </c>
      <c r="AF51" s="35">
        <v>0.02</v>
      </c>
      <c r="AG51" s="35">
        <v>0.03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28</v>
      </c>
      <c r="AC52" s="38">
        <f>C26</f>
        <v>4262.4</v>
      </c>
      <c r="AD52" s="23">
        <f>C26*(1+AD51)</f>
        <v>4560.768</v>
      </c>
      <c r="AE52" s="23">
        <f>AD52*(1+AE51)</f>
        <v>4423.94496</v>
      </c>
      <c r="AF52" s="23">
        <f>AE52*(1+AF51)</f>
        <v>4512.4238592</v>
      </c>
      <c r="AG52" s="23">
        <f>AF52*(1+AG51)</f>
        <v>4647.796574976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ht="20.05" customHeight="1">
      <c r="AB53" t="s" s="33">
        <v>14</v>
      </c>
      <c r="AC53" s="37"/>
      <c r="AD53" s="35">
        <f>AVERAGE(Q26)</f>
        <v>0.193810998498498</v>
      </c>
      <c r="AE53" s="35">
        <f>AD53</f>
        <v>0.193810998498498</v>
      </c>
      <c r="AF53" s="35">
        <f>AE53</f>
        <v>0.193810998498498</v>
      </c>
      <c r="AG53" s="35">
        <f>AF53</f>
        <v>0.193810998498498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</row>
    <row r="54" ht="20.05" customHeight="1">
      <c r="AB54" t="s" s="33">
        <v>29</v>
      </c>
      <c r="AC54" s="14"/>
      <c r="AD54" s="15">
        <f>AVERAGE(K26)</f>
        <v>-333.6</v>
      </c>
      <c r="AE54" s="15">
        <f>AD54</f>
        <v>-333.6</v>
      </c>
      <c r="AF54" s="15">
        <f>AE54</f>
        <v>-333.6</v>
      </c>
      <c r="AG54" s="15">
        <f>AF54</f>
        <v>-333.6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30</v>
      </c>
      <c r="AC55" s="14"/>
      <c r="AD55" s="15">
        <f>(AD52*AD53)+AD54</f>
        <v>550.326999999998</v>
      </c>
      <c r="AE55" s="15">
        <f>(AE52*AE53)+AE54</f>
        <v>523.809189999998</v>
      </c>
      <c r="AF55" s="15">
        <f>(AF52*AF53)+AF54</f>
        <v>540.957373799998</v>
      </c>
      <c r="AG55" s="15">
        <f>(AG52*AG53)+AG54</f>
        <v>567.194095013998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31</v>
      </c>
      <c r="AC56" s="14"/>
      <c r="AD56" s="15">
        <f>-G26/20</f>
        <v>-808.65</v>
      </c>
      <c r="AE56" s="15">
        <f>-AD71/20</f>
        <v>-768.2175</v>
      </c>
      <c r="AF56" s="15">
        <f>-AE71/20</f>
        <v>-729.8066250000001</v>
      </c>
      <c r="AG56" s="15">
        <f>-AF71/20</f>
        <v>-693.31629375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32</v>
      </c>
      <c r="AC57" s="39"/>
      <c r="AD57" s="40">
        <v>0</v>
      </c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33</v>
      </c>
      <c r="AC58" s="14"/>
      <c r="AD58" s="15">
        <f>IF(AD66&gt;0,AD66*$AD$57,0)</f>
        <v>0</v>
      </c>
      <c r="AE58" s="15">
        <f>IF(AE66&gt;0,AE66*$AD$57,0)</f>
        <v>0</v>
      </c>
      <c r="AF58" s="15">
        <f>IF(AF66&gt;0,AF66*$AD$57,0)</f>
        <v>0</v>
      </c>
      <c r="AG58" s="15">
        <f>IF(AG66&gt;0,AG66*$AD$57,0)</f>
        <v>0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34</v>
      </c>
      <c r="AC59" s="14"/>
      <c r="AD59" s="15">
        <f>AD55+AD56+AD58</f>
        <v>-258.323000000002</v>
      </c>
      <c r="AE59" s="15">
        <f>AE55+AE56+AE58</f>
        <v>-244.408310000002</v>
      </c>
      <c r="AF59" s="15">
        <f>AF55+AF56+AF58</f>
        <v>-188.849251200002</v>
      </c>
      <c r="AG59" s="15">
        <f>AG55+AG56+AG58</f>
        <v>-126.122198736002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35</v>
      </c>
      <c r="AC60" s="14"/>
      <c r="AD60" s="15">
        <f>-MIN(0,AD59)</f>
        <v>258.323000000002</v>
      </c>
      <c r="AE60" s="15">
        <f>-MIN(AD72,AE59)</f>
        <v>244.408310000002</v>
      </c>
      <c r="AF60" s="15">
        <f>-MIN(AE72,AF59)</f>
        <v>188.849251200002</v>
      </c>
      <c r="AG60" s="15">
        <f>-MIN(AF72,AG59)</f>
        <v>126.122198736002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36</v>
      </c>
      <c r="AC61" s="14"/>
      <c r="AD61" s="15">
        <f>F26</f>
        <v>4724</v>
      </c>
      <c r="AE61" s="15">
        <f>AD63</f>
        <v>4724</v>
      </c>
      <c r="AF61" s="15">
        <f>AE63</f>
        <v>4724</v>
      </c>
      <c r="AG61" s="15">
        <f>AF63</f>
        <v>4724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37</v>
      </c>
      <c r="AC62" s="14"/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38</v>
      </c>
      <c r="AC63" s="14"/>
      <c r="AD63" s="15">
        <f>AD61+AD62</f>
        <v>4724</v>
      </c>
      <c r="AE63" s="15">
        <f>AE61+AE62</f>
        <v>4724</v>
      </c>
      <c r="AF63" s="15">
        <f>AF61+AF62</f>
        <v>4724</v>
      </c>
      <c r="AG63" s="15">
        <f>AG61+AG62</f>
        <v>4724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41">
        <v>4</v>
      </c>
      <c r="AC64" s="14"/>
      <c r="AD64" s="15"/>
      <c r="AE64" s="15"/>
      <c r="AF64" s="15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ht="20.05" customHeight="1">
      <c r="AB65" t="s" s="33">
        <v>3</v>
      </c>
      <c r="AC65" s="14"/>
      <c r="AD65" s="15">
        <f>-AVERAGE(D24:D26)</f>
        <v>-289.266666666667</v>
      </c>
      <c r="AE65" s="15">
        <f>AD65</f>
        <v>-289.266666666667</v>
      </c>
      <c r="AF65" s="15">
        <f>AE65</f>
        <v>-289.266666666667</v>
      </c>
      <c r="AG65" s="15">
        <f>AF65</f>
        <v>-289.266666666667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</v>
      </c>
      <c r="AC66" s="14"/>
      <c r="AD66" s="15">
        <f>(AD52*AD53)+AD65</f>
        <v>594.660333333331</v>
      </c>
      <c r="AE66" s="15">
        <f>(AE52*AE53)+AE65</f>
        <v>568.142523333331</v>
      </c>
      <c r="AF66" s="15">
        <f>(AF52*AF53)+AF65</f>
        <v>585.290707133331</v>
      </c>
      <c r="AG66" s="15">
        <f>(AG52*AG53)+AG65</f>
        <v>611.527428347331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41">
        <v>39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40</v>
      </c>
      <c r="AC68" s="14"/>
      <c r="AD68" s="15">
        <f>H26-F26-AD54</f>
        <v>32387.6</v>
      </c>
      <c r="AE68" s="15">
        <f>AD68-AE54</f>
        <v>32721.2</v>
      </c>
      <c r="AF68" s="15">
        <f>AE68-AF54</f>
        <v>33054.8</v>
      </c>
      <c r="AG68" s="15">
        <f>AF68-AG54</f>
        <v>33388.4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41</v>
      </c>
      <c r="AC69" s="14"/>
      <c r="AD69" s="15">
        <f>0-AD65</f>
        <v>289.266666666667</v>
      </c>
      <c r="AE69" s="15">
        <f>AD69-AE65</f>
        <v>578.533333333334</v>
      </c>
      <c r="AF69" s="15">
        <f>AE69-AF65</f>
        <v>867.800000000001</v>
      </c>
      <c r="AG69" s="15">
        <f>AF69-AG65</f>
        <v>1157.066666666670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42</v>
      </c>
      <c r="AC70" s="14"/>
      <c r="AD70" s="15">
        <f>AD68-AD69</f>
        <v>32098.3333333333</v>
      </c>
      <c r="AE70" s="15">
        <f>AE68-AE69</f>
        <v>32142.6666666667</v>
      </c>
      <c r="AF70" s="15">
        <f>AF68-AF69</f>
        <v>32187</v>
      </c>
      <c r="AG70" s="15">
        <f>AG68-AG69</f>
        <v>32231.3333333333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6</v>
      </c>
      <c r="AC71" s="14"/>
      <c r="AD71" s="15">
        <f>G26+AD56</f>
        <v>15364.35</v>
      </c>
      <c r="AE71" s="15">
        <f>AD71+AE56</f>
        <v>14596.1325</v>
      </c>
      <c r="AF71" s="15">
        <f>AE71+AF56</f>
        <v>13866.325875</v>
      </c>
      <c r="AG71" s="15">
        <f>AF71+AG56</f>
        <v>13173.00958125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35</v>
      </c>
      <c r="AC72" s="14"/>
      <c r="AD72" s="15">
        <f>AD60</f>
        <v>258.323000000002</v>
      </c>
      <c r="AE72" s="15">
        <f>AD72+AE60</f>
        <v>502.731310000004</v>
      </c>
      <c r="AF72" s="15">
        <f>AE72+AF60</f>
        <v>691.5805612000059</v>
      </c>
      <c r="AG72" s="15">
        <f>AF72+AG60</f>
        <v>817.702759936008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11</v>
      </c>
      <c r="AC73" s="14"/>
      <c r="AD73" s="15">
        <f>(H26-G26)+AD66+AD58</f>
        <v>21199.6603333333</v>
      </c>
      <c r="AE73" s="15">
        <f>AD73+AE66+AE58</f>
        <v>21767.8028566666</v>
      </c>
      <c r="AF73" s="15">
        <f>AE73+AF66+AF58</f>
        <v>22353.0935637999</v>
      </c>
      <c r="AG73" s="15">
        <f>AF73+AG66+AG58</f>
        <v>22964.6209921472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43</v>
      </c>
      <c r="AC74" s="14"/>
      <c r="AD74" s="15">
        <f>AD71+AD72+AD73-AD63-AD70</f>
        <v>2e-12</v>
      </c>
      <c r="AE74" s="15">
        <f>AE71+AE72+AE73-AE63-AE70</f>
        <v>-9.6e-11</v>
      </c>
      <c r="AF74" s="15">
        <f>AF71+AF72+AF73-AF63-AF70</f>
        <v>-9.4e-11</v>
      </c>
      <c r="AG74" s="15">
        <f>AG71+AG72+AG73-AG63-AG70</f>
        <v>-9.200000000000001e-11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18</v>
      </c>
      <c r="AC75" s="14"/>
      <c r="AD75" s="15">
        <f>AD63-AD71-AD72</f>
        <v>-10898.673</v>
      </c>
      <c r="AE75" s="15">
        <f>AE63-AE71-AE72</f>
        <v>-10374.86381</v>
      </c>
      <c r="AF75" s="15">
        <f>AF63-AF71-AF72</f>
        <v>-9833.906436200010</v>
      </c>
      <c r="AG75" s="15">
        <f>AG63-AG71-AG72</f>
        <v>-9266.712341186010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44</v>
      </c>
      <c r="AC76" s="14"/>
      <c r="AD76" s="15">
        <f>AD56+AD58+AD60</f>
        <v>-550.326999999998</v>
      </c>
      <c r="AE76" s="15">
        <f>AE56+AE58+AE60</f>
        <v>-523.809189999998</v>
      </c>
      <c r="AF76" s="15">
        <f>AF56+AF58+AF60</f>
        <v>-540.957373799998</v>
      </c>
      <c r="AG76" s="15">
        <f>AG56+AG58+AG60</f>
        <v>-567.194095013998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45</v>
      </c>
      <c r="AC77" s="14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160</v>
      </c>
      <c r="AC78" s="14"/>
      <c r="AD78" s="15"/>
      <c r="AE78" s="15"/>
      <c r="AF78" s="15"/>
      <c r="AG78" s="15">
        <v>410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$AB78</f>
        <v>745</v>
      </c>
      <c r="AC79" s="14"/>
      <c r="AD79" s="15"/>
      <c r="AE79" s="15"/>
      <c r="AF79" s="15"/>
      <c r="AG79" s="15">
        <v>6355532881920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46</v>
      </c>
      <c r="AC80" s="14"/>
      <c r="AD80" s="15"/>
      <c r="AE80" s="15"/>
      <c r="AF80" s="15"/>
      <c r="AG80" s="15">
        <f>AG79/1000000000</f>
        <v>6355.53288192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47</v>
      </c>
      <c r="AC81" s="14"/>
      <c r="AD81" s="15"/>
      <c r="AE81" s="15"/>
      <c r="AF81" s="15"/>
      <c r="AG81" s="15">
        <f>AG80/AG78</f>
        <v>15.501299712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48</v>
      </c>
      <c r="AC82" s="14"/>
      <c r="AD82" s="15"/>
      <c r="AE82" s="15"/>
      <c r="AF82" s="15"/>
      <c r="AG82" s="43">
        <f>AG80/(AG63+AG70)</f>
        <v>0.171978772985045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ht="20.05" customHeight="1">
      <c r="AB83" t="s" s="33">
        <v>49</v>
      </c>
      <c r="AC83" s="14"/>
      <c r="AD83" s="15"/>
      <c r="AE83" s="15"/>
      <c r="AF83" s="15"/>
      <c r="AG83" s="16">
        <f>-(AD58+AE58+AF58+AG58)/AG80</f>
        <v>0</v>
      </c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ht="20.05" customHeight="1">
      <c r="AB84" t="s" s="33">
        <v>50</v>
      </c>
      <c r="AC84" s="14"/>
      <c r="AD84" s="15"/>
      <c r="AE84" s="15"/>
      <c r="AF84" s="15"/>
      <c r="AG84" s="15">
        <f>SUM(AD55:AG55)</f>
        <v>2182.287658813990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51</v>
      </c>
      <c r="AC85" s="14"/>
      <c r="AD85" s="15"/>
      <c r="AE85" s="15"/>
      <c r="AF85" s="15"/>
      <c r="AG85" s="15">
        <f>AG70/AG84</f>
        <v>14.7695163848611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52</v>
      </c>
      <c r="AC86" s="14"/>
      <c r="AD86" s="15"/>
      <c r="AE86" s="15"/>
      <c r="AF86" s="15">
        <f>AG80/AG84</f>
        <v>2.91232590545558</v>
      </c>
      <c r="AG86" s="15">
        <v>8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53</v>
      </c>
      <c r="AC87" s="14"/>
      <c r="AD87" s="15"/>
      <c r="AE87" s="15"/>
      <c r="AF87" s="15"/>
      <c r="AG87" s="15">
        <f>AG84*AG86</f>
        <v>17458.3012705119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54</v>
      </c>
      <c r="AC88" s="14"/>
      <c r="AD88" s="15"/>
      <c r="AE88" s="15"/>
      <c r="AF88" s="15"/>
      <c r="AG88" s="15">
        <f>(AG87/AG81)</f>
        <v>1126.247578904430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55</v>
      </c>
      <c r="AC89" s="38"/>
      <c r="AD89" s="23"/>
      <c r="AE89" s="23"/>
      <c r="AF89" s="23"/>
      <c r="AG89" s="16">
        <f>AG88/AG78-1</f>
        <v>1.74694531440105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56</v>
      </c>
      <c r="AC90" s="38"/>
      <c r="AD90" s="23"/>
      <c r="AE90" s="23"/>
      <c r="AF90" s="23"/>
      <c r="AG90" s="16">
        <f>C26/C22-1</f>
        <v>-0.175200278648555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57</v>
      </c>
      <c r="AC91" s="38"/>
      <c r="AD91" s="23"/>
      <c r="AE91" s="23"/>
      <c r="AF91" s="23"/>
      <c r="AG91" s="16">
        <f>O28/N28-1</f>
        <v>0.0165634625155815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38"/>
      <c r="AD92" s="23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45"/>
      <c r="AD94" t="s" s="44">
        <f>$AB78</f>
        <v>745</v>
      </c>
      <c r="AE94" t="s" s="44">
        <v>60</v>
      </c>
      <c r="AF94" s="15">
        <f>AG78</f>
        <v>410</v>
      </c>
      <c r="AG94" t="s" s="44">
        <v>61</v>
      </c>
      <c r="AH94" s="15">
        <f>AG88</f>
        <v>1126.247578904430</v>
      </c>
      <c r="AI94" t="s" s="44">
        <f>IF(AJ94&gt;0,"+","")</f>
        <v>361</v>
      </c>
      <c r="AJ94" s="16">
        <f>AH94/AF94-1</f>
        <v>1.74694531440105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20.05" customHeight="1">
      <c r="AB95" s="36"/>
      <c r="AC95" s="46"/>
      <c r="AD95" s="47">
        <f>TODAY()</f>
        <v>44942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64</v>
      </c>
      <c r="AF97" t="s" s="44">
        <f>IF(AG97&gt;0,"+","")</f>
      </c>
      <c r="AG97" s="16">
        <f>AH104/AD104-1</f>
        <v>-0.175200278648555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65</v>
      </c>
      <c r="AF98" t="s" s="44">
        <f>IF(AG98&gt;0,"+","")</f>
        <v>361</v>
      </c>
      <c r="AG98" s="16">
        <f>SUM(AE117:AH118)/AE134</f>
        <v>0.440726222653702</v>
      </c>
      <c r="AH98" t="s" s="44"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17</v>
      </c>
      <c r="AF99" t="s" s="44">
        <f>IF(AG99&gt;0,"+","")</f>
        <v>361</v>
      </c>
      <c r="AG99" s="16">
        <f>SUM(AE131:AH132)/AE134</f>
        <v>0.264064403596162</v>
      </c>
      <c r="AH99" t="s" s="44">
        <f>AH98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68</v>
      </c>
      <c r="AE100" t="s" s="44">
        <v>369</v>
      </c>
      <c r="AF100" s="16">
        <f>AO127/AE134</f>
        <v>-1.80142251054506</v>
      </c>
      <c r="AG100" t="s" s="44">
        <f>AH99</f>
        <v>66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20.05" customHeight="1">
      <c r="AB101" s="36"/>
      <c r="AC101" s="34"/>
      <c r="AD101" t="s" s="44">
        <v>28</v>
      </c>
      <c r="AE101" t="s" s="44">
        <f>AE105</f>
        <v>362</v>
      </c>
      <c r="AF101" s="16">
        <f>AF105</f>
        <v>0.057221519458293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32.05" customHeight="1">
      <c r="AB102" s="36"/>
      <c r="AC102" s="34"/>
      <c r="AD102" t="s" s="44">
        <v>70</v>
      </c>
      <c r="AE102" t="s" s="44">
        <v>371</v>
      </c>
      <c r="AF102" t="s" s="44">
        <f>AL105</f>
        <v>372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71"/>
      <c r="AD103" s="16">
        <f>P22</f>
        <v>0.213554386624084</v>
      </c>
      <c r="AE103" s="16">
        <f>P23</f>
        <v>0.0707844730833237</v>
      </c>
      <c r="AF103" s="16">
        <f>P24</f>
        <v>-0.26971591730519</v>
      </c>
      <c r="AG103" s="16">
        <f>P25</f>
        <v>-0.00232609932939051</v>
      </c>
      <c r="AH103" s="16">
        <f>P26</f>
        <v>0.057221519458293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34"/>
      <c r="AD104" s="15">
        <f>C22</f>
        <v>5167.8</v>
      </c>
      <c r="AE104" s="15">
        <f>C23</f>
        <v>5533.6</v>
      </c>
      <c r="AF104" s="15">
        <f>C24</f>
        <v>4041.1</v>
      </c>
      <c r="AG104" s="15">
        <f>C25</f>
        <v>4031.7</v>
      </c>
      <c r="AH104" s="15">
        <f>C26</f>
        <v>4262.4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44.05" customHeight="1">
      <c r="AB105" s="36"/>
      <c r="AC105" s="34"/>
      <c r="AD105" t="s" s="44">
        <v>2</v>
      </c>
      <c r="AE105" t="s" s="44">
        <f>IF(AF105&lt;0,"declined","grew")</f>
        <v>362</v>
      </c>
      <c r="AF105" s="16">
        <f>AH104/AG104-1</f>
        <v>0.057221519458293</v>
      </c>
      <c r="AG105" t="s" s="44">
        <v>73</v>
      </c>
      <c r="AH105" t="s" s="44">
        <v>74</v>
      </c>
      <c r="AI105" t="s" s="44">
        <v>75</v>
      </c>
      <c r="AJ105" t="s" s="44">
        <v>76</v>
      </c>
      <c r="AK105" s="15">
        <f>AH104</f>
        <v>4262.4</v>
      </c>
      <c r="AL105" t="s" s="44">
        <v>372</v>
      </c>
      <c r="AM105" t="s" s="44">
        <v>378</v>
      </c>
      <c r="AN105" s="16">
        <v>0.0297063450445726</v>
      </c>
      <c r="AO105" t="s" s="44">
        <v>78</v>
      </c>
      <c r="AP105" s="17"/>
      <c r="AQ105" s="17"/>
      <c r="AR105" s="17"/>
      <c r="AS105" s="17"/>
      <c r="AT105" s="17"/>
      <c r="AU105" s="17"/>
    </row>
    <row r="106" ht="56.05" customHeight="1">
      <c r="AB106" s="36"/>
      <c r="AC106" s="34"/>
      <c r="AD106" t="s" s="44">
        <v>79</v>
      </c>
      <c r="AE106" s="16">
        <f>AVERAGE(AE103:AH103)</f>
        <v>-0.036009006023241</v>
      </c>
      <c r="AF106" t="s" s="44">
        <v>80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81</v>
      </c>
      <c r="AE107" s="35">
        <f>AG49</f>
        <v>0.0225</v>
      </c>
      <c r="AF107" t="s" s="44">
        <v>82</v>
      </c>
      <c r="AG107" t="s" s="44">
        <v>83</v>
      </c>
      <c r="AH107" s="23">
        <f>AG52</f>
        <v>4647.796574976</v>
      </c>
      <c r="AI107" t="s" s="44">
        <f>AL105</f>
        <v>372</v>
      </c>
      <c r="AJ107" t="s" s="44">
        <v>84</v>
      </c>
      <c r="AK107" t="s" s="44">
        <f>AH105</f>
        <v>74</v>
      </c>
      <c r="AL107" t="s" s="44">
        <f>AI105</f>
        <v>75</v>
      </c>
      <c r="AM107" t="s" s="44">
        <v>85</v>
      </c>
      <c r="AN107" s="17"/>
      <c r="AO107" s="17"/>
      <c r="AP107" s="17"/>
      <c r="AQ107" s="17"/>
      <c r="AR107" s="17"/>
      <c r="AS107" s="17"/>
      <c r="AT107" s="17"/>
      <c r="AU107" s="17"/>
    </row>
    <row r="108" ht="20.05" customHeight="1">
      <c r="AB108" s="36"/>
      <c r="AC108" s="34"/>
      <c r="AD108" t="s" s="44">
        <v>14</v>
      </c>
      <c r="AE108" t="s" s="44">
        <f>IF(AG112&lt;AE112,"down","up")</f>
        <v>108</v>
      </c>
      <c r="AF108" t="s" s="44">
        <v>86</v>
      </c>
      <c r="AG108" t="s" s="44">
        <f>IF(AK112&gt;AI112,"up","down")</f>
        <v>108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44.05" customHeight="1">
      <c r="AB109" s="36"/>
      <c r="AC109" s="34"/>
      <c r="AD109" t="s" s="44">
        <f>AD102</f>
        <v>70</v>
      </c>
      <c r="AE109" t="s" s="44">
        <v>88</v>
      </c>
      <c r="AF109" t="s" s="44">
        <f>AL105</f>
        <v>372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71"/>
      <c r="AD110" s="16">
        <f>(D22+E22)/C22</f>
        <v>0.409845582259375</v>
      </c>
      <c r="AE110" s="16">
        <f>(D23+E23)/C23</f>
        <v>0.0368837646378488</v>
      </c>
      <c r="AF110" s="16">
        <f>((E24+D24)/C24)</f>
        <v>0.198337086436861</v>
      </c>
      <c r="AG110" s="16">
        <f>(D25+E25)/C25</f>
        <v>0.0997594067018875</v>
      </c>
      <c r="AH110" s="16">
        <f>(D26+E26)/C26</f>
        <v>0.193810998498498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34"/>
      <c r="AD111" s="15">
        <f>E22</f>
        <v>1611.1</v>
      </c>
      <c r="AE111" s="15">
        <f>E23</f>
        <v>-441.4</v>
      </c>
      <c r="AF111" s="15">
        <f>E24</f>
        <v>420.1</v>
      </c>
      <c r="AG111" s="15">
        <f>E25</f>
        <v>222.3</v>
      </c>
      <c r="AH111" s="15">
        <f>E26</f>
        <v>519.6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44.05" customHeight="1">
      <c r="AB112" s="36"/>
      <c r="AC112" s="34"/>
      <c r="AD112" t="s" s="44">
        <v>89</v>
      </c>
      <c r="AE112" s="16">
        <f>AG110</f>
        <v>0.0997594067018875</v>
      </c>
      <c r="AF112" t="s" s="44">
        <v>76</v>
      </c>
      <c r="AG112" s="16">
        <f>AH110</f>
        <v>0.193810998498498</v>
      </c>
      <c r="AH112" t="s" s="44">
        <v>90</v>
      </c>
      <c r="AI112" s="15">
        <f>AG111</f>
        <v>222.3</v>
      </c>
      <c r="AJ112" t="s" s="44">
        <v>76</v>
      </c>
      <c r="AK112" s="15">
        <f>AH111</f>
        <v>519.6</v>
      </c>
      <c r="AL112" t="s" s="44">
        <f>AI107</f>
        <v>372</v>
      </c>
      <c r="AM112" t="s" s="44">
        <v>73</v>
      </c>
      <c r="AN112" t="s" s="44">
        <f>AK107</f>
        <v>74</v>
      </c>
      <c r="AO112" t="s" s="44">
        <v>91</v>
      </c>
      <c r="AP112" s="17"/>
      <c r="AQ112" s="17"/>
      <c r="AR112" s="17"/>
      <c r="AS112" s="17"/>
      <c r="AT112" s="17"/>
      <c r="AU112" s="17"/>
    </row>
    <row r="113" ht="68.05" customHeight="1">
      <c r="AB113" s="36"/>
      <c r="AC113" s="34"/>
      <c r="AD113" t="s" s="44">
        <v>92</v>
      </c>
      <c r="AE113" s="16">
        <f>AVERAGE(AE110:AH110)</f>
        <v>0.132197814068774</v>
      </c>
      <c r="AF113" t="s" s="44">
        <v>78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44.05" customHeight="1">
      <c r="AB114" s="36"/>
      <c r="AC114" s="34"/>
      <c r="AD114" t="s" s="44">
        <v>93</v>
      </c>
      <c r="AE114" s="35">
        <f>AD53</f>
        <v>0.193810998498498</v>
      </c>
      <c r="AF114" t="s" s="44">
        <v>94</v>
      </c>
      <c r="AG114" s="15">
        <f>AG66</f>
        <v>611.527428347331</v>
      </c>
      <c r="AH114" t="s" s="44">
        <f>AL112</f>
        <v>372</v>
      </c>
      <c r="AI114" t="s" s="44">
        <v>95</v>
      </c>
      <c r="AJ114" t="s" s="44">
        <f>AN112</f>
        <v>74</v>
      </c>
      <c r="AK114" t="s" s="44">
        <f>AI105</f>
        <v>75</v>
      </c>
      <c r="AL114" t="s" s="44">
        <f>AM107</f>
        <v>85</v>
      </c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20.05" customHeight="1">
      <c r="AB115" s="36"/>
      <c r="AC115" s="34"/>
      <c r="AD115" t="s" s="44">
        <v>15</v>
      </c>
      <c r="AE115" t="s" s="44">
        <f>IF(AG119&lt;AE119,"lower","higher")</f>
        <v>363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56.05" customHeight="1">
      <c r="AB116" s="36"/>
      <c r="AC116" s="34"/>
      <c r="AD116" t="s" s="44">
        <f>AD109</f>
        <v>70</v>
      </c>
      <c r="AE116" t="s" s="44">
        <v>96</v>
      </c>
      <c r="AF116" t="s" s="44">
        <f>AL105</f>
        <v>372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J22</f>
        <v>1049.15</v>
      </c>
      <c r="AE117" s="15">
        <f>J23</f>
        <v>1198.95</v>
      </c>
      <c r="AF117" s="15">
        <f>J24</f>
        <v>1284.9</v>
      </c>
      <c r="AG117" s="15">
        <f>J25</f>
        <v>-11.2</v>
      </c>
      <c r="AH117" s="15">
        <f>J26</f>
        <v>1777.6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K22</f>
        <v>-293.6</v>
      </c>
      <c r="AE118" s="15">
        <f>K23</f>
        <v>-483.2</v>
      </c>
      <c r="AF118" s="15">
        <f>K24</f>
        <v>-250.3</v>
      </c>
      <c r="AG118" s="15">
        <f>K25</f>
        <v>-382.1</v>
      </c>
      <c r="AH118" s="15">
        <f>K26</f>
        <v>-333.6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44.05" customHeight="1">
      <c r="AB119" s="36"/>
      <c r="AC119" s="34"/>
      <c r="AD119" t="s" s="44">
        <v>97</v>
      </c>
      <c r="AE119" s="15">
        <f>AG117+AG118</f>
        <v>-393.3</v>
      </c>
      <c r="AF119" t="s" s="44">
        <v>76</v>
      </c>
      <c r="AG119" s="15">
        <f>AH117+AH118</f>
        <v>1444</v>
      </c>
      <c r="AH119" t="s" s="44">
        <f>AH114</f>
        <v>372</v>
      </c>
      <c r="AI119" t="s" s="44">
        <v>84</v>
      </c>
      <c r="AJ119" t="s" s="44">
        <f>AJ114</f>
        <v>74</v>
      </c>
      <c r="AK119" t="s" s="44">
        <v>98</v>
      </c>
      <c r="AL119" s="15">
        <f>AH118</f>
        <v>-333.6</v>
      </c>
      <c r="AM119" t="s" s="44">
        <f>AL105</f>
        <v>372</v>
      </c>
      <c r="AN119" t="s" s="44">
        <v>99</v>
      </c>
      <c r="AO119" s="17"/>
      <c r="AP119" s="17"/>
      <c r="AQ119" s="17"/>
      <c r="AR119" s="17"/>
      <c r="AS119" s="17"/>
      <c r="AT119" s="17"/>
      <c r="AU119" s="17"/>
    </row>
    <row r="120" ht="56.05" customHeight="1">
      <c r="AB120" s="36"/>
      <c r="AC120" s="34"/>
      <c r="AD120" t="s" s="44">
        <v>100</v>
      </c>
      <c r="AE120" s="15">
        <f>SUM(AE117:AH118)/4</f>
        <v>700.2625</v>
      </c>
      <c r="AF120" t="s" s="44">
        <f>AL105</f>
        <v>372</v>
      </c>
      <c r="AG120" t="s" s="44">
        <v>78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44.05" customHeight="1">
      <c r="AB121" s="36"/>
      <c r="AC121" s="34"/>
      <c r="AD121" t="s" s="44">
        <v>101</v>
      </c>
      <c r="AE121" s="15">
        <f>AD54</f>
        <v>-333.6</v>
      </c>
      <c r="AF121" t="s" s="44">
        <f>AF120</f>
        <v>372</v>
      </c>
      <c r="AG121" t="s" s="44">
        <v>102</v>
      </c>
      <c r="AH121" t="s" s="44">
        <v>103</v>
      </c>
      <c r="AI121" t="s" s="44">
        <f>IF(AH107&gt;AK105,"higher","lower")</f>
        <v>363</v>
      </c>
      <c r="AJ121" t="s" s="44">
        <v>105</v>
      </c>
      <c r="AK121" s="15">
        <f>SUM(AD55:AG55)/4</f>
        <v>545.571914703498</v>
      </c>
      <c r="AL121" t="s" s="44">
        <f>AF121</f>
        <v>372</v>
      </c>
      <c r="AM121" t="s" s="44">
        <v>106</v>
      </c>
      <c r="AN121" t="s" s="44">
        <v>107</v>
      </c>
      <c r="AO121" s="17"/>
      <c r="AP121" s="17"/>
      <c r="AQ121" s="17"/>
      <c r="AR121" s="17"/>
      <c r="AS121" s="17"/>
      <c r="AT121" s="17"/>
      <c r="AU121" s="17"/>
    </row>
    <row r="122" ht="20.05" customHeight="1">
      <c r="AB122" s="36"/>
      <c r="AC122" s="34"/>
      <c r="AD122" t="s" s="44">
        <v>18</v>
      </c>
      <c r="AE122" t="s" s="44">
        <f>AL127</f>
        <v>108</v>
      </c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32.05" customHeight="1">
      <c r="AB123" s="36"/>
      <c r="AC123" s="34"/>
      <c r="AD123" t="s" s="44">
        <f>AD102</f>
        <v>70</v>
      </c>
      <c r="AE123" t="s" s="44">
        <v>109</v>
      </c>
      <c r="AF123" t="s" s="44">
        <f>AL105</f>
        <v>372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s="36"/>
      <c r="AC124" s="34"/>
      <c r="AD124" s="15">
        <f>F22</f>
        <v>3532</v>
      </c>
      <c r="AE124" s="15">
        <f>F23</f>
        <v>3726.3</v>
      </c>
      <c r="AF124" s="15">
        <f>F24</f>
        <v>4731</v>
      </c>
      <c r="AG124" s="15">
        <f>F25</f>
        <v>4122</v>
      </c>
      <c r="AH124" s="15">
        <f>F26</f>
        <v>4724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G22</f>
        <v>17381</v>
      </c>
      <c r="AE125" s="15">
        <f>G23</f>
        <v>16193</v>
      </c>
      <c r="AF125" s="15">
        <f>G24</f>
        <v>16809</v>
      </c>
      <c r="AG125" s="15">
        <f>G25</f>
        <v>16282</v>
      </c>
      <c r="AH125" s="15">
        <f>G26</f>
        <v>16173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32.05" customHeight="1">
      <c r="AB126" s="36"/>
      <c r="AC126" s="34"/>
      <c r="AD126" t="s" s="44">
        <v>110</v>
      </c>
      <c r="AE126" t="s" s="44">
        <f>IF(AH126&lt;AF126,"declined","increased")</f>
        <v>111</v>
      </c>
      <c r="AF126" s="15">
        <f>AG124</f>
        <v>4122</v>
      </c>
      <c r="AG126" t="s" s="44">
        <v>76</v>
      </c>
      <c r="AH126" s="15">
        <f>AH124</f>
        <v>4724</v>
      </c>
      <c r="AI126" t="s" s="44">
        <f>AL121</f>
        <v>372</v>
      </c>
      <c r="AJ126" t="s" s="44">
        <v>84</v>
      </c>
      <c r="AK126" t="s" s="44">
        <f>AH105</f>
        <v>74</v>
      </c>
      <c r="AL126" t="s" s="44">
        <f>AO112</f>
        <v>91</v>
      </c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112</v>
      </c>
      <c r="AE127" t="s" s="44">
        <f>IF(AH127&lt;AF127,"declined","increased")</f>
        <v>370</v>
      </c>
      <c r="AF127" s="15">
        <f>AG125</f>
        <v>16282</v>
      </c>
      <c r="AG127" t="s" s="44">
        <v>76</v>
      </c>
      <c r="AH127" s="15">
        <f>AH125</f>
        <v>16173</v>
      </c>
      <c r="AI127" t="s" s="44">
        <f>AI126</f>
        <v>372</v>
      </c>
      <c r="AJ127" t="s" s="44">
        <v>113</v>
      </c>
      <c r="AK127" t="s" s="44">
        <v>114</v>
      </c>
      <c r="AL127" t="s" s="44">
        <f>IF(AO127&lt;AM127,"down","up")</f>
        <v>108</v>
      </c>
      <c r="AM127" s="15">
        <f>AF126-AF127</f>
        <v>-12160</v>
      </c>
      <c r="AN127" t="s" s="44">
        <v>76</v>
      </c>
      <c r="AO127" s="15">
        <f>AH126-AH127</f>
        <v>-11449</v>
      </c>
      <c r="AP127" t="s" s="44">
        <f>AI127</f>
        <v>372</v>
      </c>
      <c r="AQ127" t="s" s="44">
        <v>115</v>
      </c>
      <c r="AR127" s="17"/>
      <c r="AS127" s="17"/>
      <c r="AT127" s="17"/>
      <c r="AU127" s="17"/>
    </row>
    <row r="128" ht="56.05" customHeight="1">
      <c r="AB128" s="36"/>
      <c r="AC128" s="34"/>
      <c r="AD128" t="s" s="44">
        <v>116</v>
      </c>
      <c r="AE128" s="15">
        <f>SUM(AD58:AG58)</f>
        <v>0</v>
      </c>
      <c r="AF128" t="s" s="44">
        <f>AI127</f>
        <v>372</v>
      </c>
      <c r="AG128" t="s" s="44">
        <v>117</v>
      </c>
      <c r="AH128" t="s" s="44">
        <f>IF(AI128&gt;0,"+","")</f>
      </c>
      <c r="AI128" s="15">
        <f>AD56+AE56+AF56+AG56+AD60+AE60+AF60+AG60</f>
        <v>-2182.287658813990</v>
      </c>
      <c r="AJ128" t="s" s="44">
        <f>AP127</f>
        <v>372</v>
      </c>
      <c r="AK128" t="s" s="44">
        <v>118</v>
      </c>
      <c r="AL128" t="s" s="44">
        <v>119</v>
      </c>
      <c r="AM128" s="15">
        <f>AG75</f>
        <v>-9266.712341186010</v>
      </c>
      <c r="AN128" t="s" s="44">
        <f>AI127</f>
        <v>372</v>
      </c>
      <c r="AO128" t="s" s="44">
        <v>120</v>
      </c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t="s" s="44">
        <v>17</v>
      </c>
      <c r="AE129" t="s" s="44">
        <f>AE133</f>
        <v>374</v>
      </c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56.05" customHeight="1">
      <c r="AB130" s="36"/>
      <c r="AC130" s="34"/>
      <c r="AD130" t="s" s="44">
        <f>AD102</f>
        <v>70</v>
      </c>
      <c r="AE130" t="s" s="44">
        <v>379</v>
      </c>
      <c r="AF130" t="s" s="44">
        <f>AL105</f>
        <v>372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5">
        <f>-L22</f>
        <v>145.619</v>
      </c>
      <c r="AE131" s="15">
        <f>-L23</f>
        <v>552.603</v>
      </c>
      <c r="AF131" s="15">
        <f>-L24</f>
        <v>34.7</v>
      </c>
      <c r="AG131" s="15">
        <f>-L25</f>
        <v>245</v>
      </c>
      <c r="AH131" s="15">
        <f>-L26</f>
        <v>571.4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-M22</f>
        <v>102.733</v>
      </c>
      <c r="AE132" s="15">
        <f>-M23</f>
        <v>-67.733</v>
      </c>
      <c r="AF132" s="15">
        <f>-M24</f>
        <v>0</v>
      </c>
      <c r="AG132" s="15">
        <f>-M25</f>
        <v>0</v>
      </c>
      <c r="AH132" s="15">
        <f>-M26</f>
        <v>342.3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44.05" customHeight="1">
      <c r="AB133" s="36"/>
      <c r="AC133" s="34"/>
      <c r="AD133" t="s" s="44">
        <f>AD94</f>
        <v>745</v>
      </c>
      <c r="AE133" t="s" s="44">
        <f>IF(AF133&gt;0,"paid","(raised)")</f>
        <v>374</v>
      </c>
      <c r="AF133" s="15">
        <f>SUM(AH131:AH132)</f>
        <v>913.7</v>
      </c>
      <c r="AG133" t="s" s="44">
        <f>AL105</f>
        <v>372</v>
      </c>
      <c r="AH133" t="s" s="44">
        <f>AG105</f>
        <v>73</v>
      </c>
      <c r="AI133" t="s" s="44">
        <f>AH105</f>
        <v>74</v>
      </c>
      <c r="AJ133" t="s" s="44">
        <f>AI105</f>
        <v>75</v>
      </c>
      <c r="AK133" s="15">
        <f>AH131</f>
        <v>571.4</v>
      </c>
      <c r="AL133" t="s" s="44">
        <f>AL105</f>
        <v>372</v>
      </c>
      <c r="AM133" t="s" s="44">
        <v>123</v>
      </c>
      <c r="AN133" s="15">
        <f>AH132</f>
        <v>342.3</v>
      </c>
      <c r="AO133" t="s" s="44">
        <f>AL105</f>
        <v>372</v>
      </c>
      <c r="AP133" t="s" s="44">
        <v>389</v>
      </c>
      <c r="AQ133" t="s" s="44">
        <v>390</v>
      </c>
      <c r="AR133" t="s" s="44">
        <f>IF(AS133&gt;0,"pay","raise")</f>
        <v>364</v>
      </c>
      <c r="AS133" s="15">
        <f>-SUM(AD76:AG76)</f>
        <v>2182.287658813990</v>
      </c>
      <c r="AT133" t="s" s="44">
        <f>AL105</f>
        <v>372</v>
      </c>
      <c r="AU133" t="s" s="44">
        <v>126</v>
      </c>
    </row>
    <row r="134" ht="56.05" customHeight="1">
      <c r="AB134" s="36"/>
      <c r="AC134" s="34"/>
      <c r="AD134" t="s" s="44">
        <v>375</v>
      </c>
      <c r="AE134" s="15">
        <f>AG80</f>
        <v>6355.53288192</v>
      </c>
      <c r="AF134" t="s" s="44">
        <f>AL105</f>
        <v>372</v>
      </c>
      <c r="AG134" t="s" s="44">
        <v>128</v>
      </c>
      <c r="AH134" t="s" s="44">
        <v>129</v>
      </c>
      <c r="AI134" s="43">
        <f>AG82</f>
        <v>0.171978772985045</v>
      </c>
      <c r="AJ134" t="s" s="44">
        <v>130</v>
      </c>
      <c r="AK134" t="s" s="44">
        <v>131</v>
      </c>
      <c r="AL134" t="s" s="44">
        <v>132</v>
      </c>
      <c r="AM134" s="15">
        <f>AG85</f>
        <v>14.7695163848611</v>
      </c>
      <c r="AN134" t="s" s="44">
        <v>133</v>
      </c>
      <c r="AO134" s="16">
        <f>-AE128/AE134</f>
        <v>0</v>
      </c>
      <c r="AP134" t="s" s="44">
        <v>134</v>
      </c>
      <c r="AQ134" s="17"/>
      <c r="AR134" s="17"/>
      <c r="AS134" s="17"/>
      <c r="AT134" s="17"/>
      <c r="AU134" s="17"/>
    </row>
    <row r="135" ht="56.05" customHeight="1">
      <c r="AB135" s="36"/>
      <c r="AC135" s="34"/>
      <c r="AD135" t="s" s="44">
        <v>135</v>
      </c>
      <c r="AE135" s="15">
        <f>AG84</f>
        <v>2182.287658813990</v>
      </c>
      <c r="AF135" t="s" s="44">
        <f>AF134</f>
        <v>372</v>
      </c>
      <c r="AG135" t="s" s="44">
        <v>136</v>
      </c>
      <c r="AH135" s="15">
        <f>AE134/AE135</f>
        <v>2.91232590545558</v>
      </c>
      <c r="AI135" t="s" s="44">
        <v>130</v>
      </c>
      <c r="AJ135" t="s" s="44">
        <v>137</v>
      </c>
      <c r="AK135" t="s" s="44">
        <v>138</v>
      </c>
      <c r="AL135" s="15">
        <f>AG86</f>
        <v>8</v>
      </c>
      <c r="AM135" t="s" s="44">
        <v>139</v>
      </c>
      <c r="AN135" t="s" s="44">
        <v>140</v>
      </c>
      <c r="AO135" t="s" s="44">
        <v>141</v>
      </c>
      <c r="AP135" s="16">
        <f>AJ94</f>
        <v>1.74694531440105</v>
      </c>
      <c r="AQ135" t="s" s="44">
        <f>IF(AP135&gt;0,"higher","lower")</f>
        <v>363</v>
      </c>
      <c r="AR135" t="s" s="44">
        <v>142</v>
      </c>
      <c r="AS135" s="15">
        <f>AH94</f>
        <v>1126.247578904430</v>
      </c>
      <c r="AT135" t="s" s="44">
        <v>143</v>
      </c>
      <c r="AU135" s="17"/>
    </row>
    <row r="136" ht="20.05" customHeight="1">
      <c r="AB136" s="36"/>
      <c r="AC136" s="34"/>
      <c r="AD136" s="17"/>
      <c r="AE136" s="17"/>
      <c r="AF136" s="17"/>
      <c r="AG136" s="17"/>
      <c r="AH136" s="15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28</v>
      </c>
      <c r="AC137" s="14">
        <f>AD104</f>
        <v>5167.8</v>
      </c>
      <c r="AD137" s="15">
        <f>AE104</f>
        <v>5533.6</v>
      </c>
      <c r="AE137" s="15">
        <f>AF104</f>
        <v>4041.1</v>
      </c>
      <c r="AF137" s="15">
        <f>AG104</f>
        <v>4031.7</v>
      </c>
      <c r="AG137" s="15">
        <f>AH104</f>
        <v>4262.4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144</v>
      </c>
      <c r="AC138" s="14">
        <f>SUM(AD117:AD118)</f>
        <v>755.55</v>
      </c>
      <c r="AD138" s="15">
        <f>SUM(AE117:AE118)</f>
        <v>715.75</v>
      </c>
      <c r="AE138" s="15">
        <f>SUM(AF117:AF118)</f>
        <v>1034.6</v>
      </c>
      <c r="AF138" s="15">
        <f>SUM(AG117:AG118)</f>
        <v>-393.3</v>
      </c>
      <c r="AG138" s="15">
        <f>SUM(AH117:AH118)</f>
        <v>1444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145</v>
      </c>
      <c r="AC139" s="14">
        <f>SUM(AD131:AD132)</f>
        <v>248.352</v>
      </c>
      <c r="AD139" s="15">
        <f>SUM(AE131:AE132)</f>
        <v>484.87</v>
      </c>
      <c r="AE139" s="15">
        <f>SUM(AF131:AF132)</f>
        <v>34.7</v>
      </c>
      <c r="AF139" s="15">
        <f>SUM(AG131:AG132)</f>
        <v>245</v>
      </c>
      <c r="AG139" s="15">
        <f>SUM(AH131:AH132)</f>
        <v>913.7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146</v>
      </c>
      <c r="AC140" s="14">
        <f>(AD124-AD125)</f>
        <v>-13849</v>
      </c>
      <c r="AD140" s="15">
        <f>(AE124-AE125)</f>
        <v>-12466.7</v>
      </c>
      <c r="AE140" s="15">
        <f>(AF124-AF125)</f>
        <v>-12078</v>
      </c>
      <c r="AF140" s="15">
        <f>(AG124-AG125)</f>
        <v>-12160</v>
      </c>
      <c r="AG140" s="15">
        <f>(AH124-AH125)</f>
        <v>-11449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5">
        <f>AS135</f>
        <v>1126.247578904430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</sheetData>
  <mergeCells count="2">
    <mergeCell ref="B2:AA2"/>
    <mergeCell ref="AB46:AU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2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82" customWidth="1"/>
    <col min="2" max="28" width="10.4844" style="382" customWidth="1"/>
    <col min="29" max="29" width="18.9766" style="383" customWidth="1"/>
    <col min="30" max="48" width="9" style="383" customWidth="1"/>
    <col min="49" max="16384" width="16.3516" style="383" customWidth="1"/>
  </cols>
  <sheetData>
    <row r="1" ht="11.65" customHeight="1"/>
    <row r="2" ht="27.65" customHeight="1">
      <c r="B2" t="s" s="2">
        <v>746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747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211</v>
      </c>
      <c r="AA3" t="s" s="3">
        <v>19</v>
      </c>
      <c r="AB3" t="s" s="3">
        <v>20</v>
      </c>
    </row>
    <row r="4" ht="20.25" customHeight="1">
      <c r="B4" s="6">
        <v>2017</v>
      </c>
      <c r="C4" s="7">
        <v>2158.7</v>
      </c>
      <c r="D4" s="8">
        <v>242</v>
      </c>
      <c r="E4" s="8">
        <v>-116.48</v>
      </c>
      <c r="F4" s="8">
        <v>181</v>
      </c>
      <c r="G4" s="8">
        <v>11695</v>
      </c>
      <c r="H4" s="8">
        <v>19639</v>
      </c>
      <c r="I4" s="8">
        <v>2283.5</v>
      </c>
      <c r="J4" s="8">
        <v>-288.8</v>
      </c>
      <c r="K4" s="8">
        <v>41</v>
      </c>
      <c r="L4" s="8">
        <v>-68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68</v>
      </c>
      <c r="W4" s="9"/>
      <c r="X4" s="8">
        <f>F4-G4</f>
        <v>-11514</v>
      </c>
      <c r="Y4" s="9"/>
      <c r="Z4" s="10"/>
      <c r="AA4" s="11"/>
      <c r="AB4" s="12">
        <v>13.3</v>
      </c>
    </row>
    <row r="5" ht="20.05" customHeight="1">
      <c r="B5" s="13"/>
      <c r="C5" s="14">
        <v>2129.3</v>
      </c>
      <c r="D5" s="15">
        <v>270.3</v>
      </c>
      <c r="E5" s="15">
        <v>-319.32</v>
      </c>
      <c r="F5" s="15">
        <v>324</v>
      </c>
      <c r="G5" s="15">
        <v>11953</v>
      </c>
      <c r="H5" s="15">
        <v>19557</v>
      </c>
      <c r="I5" s="15">
        <v>2347.9</v>
      </c>
      <c r="J5" s="15">
        <v>20.8</v>
      </c>
      <c r="K5" s="15">
        <v>-90.8</v>
      </c>
      <c r="L5" s="15">
        <v>-68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136</v>
      </c>
      <c r="W5" s="17"/>
      <c r="X5" s="15">
        <f>F5-G5</f>
        <v>-11629</v>
      </c>
      <c r="Y5" s="17"/>
      <c r="Z5" s="18"/>
      <c r="AA5" s="19"/>
      <c r="AB5" s="20">
        <v>13.327</v>
      </c>
    </row>
    <row r="6" ht="20.05" customHeight="1">
      <c r="B6" s="13"/>
      <c r="C6" s="14">
        <v>2592.3</v>
      </c>
      <c r="D6" s="15">
        <v>308.57</v>
      </c>
      <c r="E6" s="15">
        <v>-212.1</v>
      </c>
      <c r="F6" s="15">
        <v>363</v>
      </c>
      <c r="G6" s="15">
        <v>11979</v>
      </c>
      <c r="H6" s="15">
        <v>19371</v>
      </c>
      <c r="I6" s="15">
        <v>2692.3</v>
      </c>
      <c r="J6" s="15">
        <v>433.7</v>
      </c>
      <c r="K6" s="15">
        <v>-66.5</v>
      </c>
      <c r="L6" s="15">
        <v>-68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204</v>
      </c>
      <c r="W6" s="17"/>
      <c r="X6" s="15">
        <f>F6-G6</f>
        <v>-11616</v>
      </c>
      <c r="Y6" s="17"/>
      <c r="Z6" s="18"/>
      <c r="AA6" s="19"/>
      <c r="AB6" s="20">
        <v>13.305</v>
      </c>
    </row>
    <row r="7" ht="20.05" customHeight="1">
      <c r="B7" s="13"/>
      <c r="C7" s="14">
        <v>2501.7</v>
      </c>
      <c r="D7" s="15">
        <v>207.93</v>
      </c>
      <c r="E7" s="15">
        <v>-110.1</v>
      </c>
      <c r="F7" s="15">
        <v>548</v>
      </c>
      <c r="G7" s="15">
        <v>12429</v>
      </c>
      <c r="H7" s="15">
        <v>19626</v>
      </c>
      <c r="I7" s="15">
        <v>2919.1</v>
      </c>
      <c r="J7" s="15">
        <v>652.7</v>
      </c>
      <c r="K7" s="15">
        <v>-177</v>
      </c>
      <c r="L7" s="15">
        <v>-68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272</v>
      </c>
      <c r="W7" s="17"/>
      <c r="X7" s="15">
        <f>F7-G7</f>
        <v>-11881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2285.35</v>
      </c>
      <c r="D8" s="15">
        <v>238.7</v>
      </c>
      <c r="E8" s="15">
        <v>-332.37</v>
      </c>
      <c r="F8" s="15">
        <v>410</v>
      </c>
      <c r="G8" s="15">
        <v>12675</v>
      </c>
      <c r="H8" s="15">
        <v>19528</v>
      </c>
      <c r="I8" s="15">
        <v>2195.27</v>
      </c>
      <c r="J8" s="15">
        <v>-296.3</v>
      </c>
      <c r="K8" s="15">
        <v>-63</v>
      </c>
      <c r="L8" s="15">
        <v>-40.5</v>
      </c>
      <c r="M8" s="15">
        <v>0</v>
      </c>
      <c r="N8" s="15">
        <f>SUM(C5:C8)/4</f>
        <v>2377.1625</v>
      </c>
      <c r="O8" s="15"/>
      <c r="P8" s="16"/>
      <c r="Q8" s="16"/>
      <c r="R8" s="16"/>
      <c r="S8" s="17"/>
      <c r="T8" s="15">
        <f>SUM(J5:K8)/4</f>
        <v>103.4</v>
      </c>
      <c r="U8" s="25"/>
      <c r="V8" s="15">
        <f>-(L8+M8)+V7</f>
        <v>312.5</v>
      </c>
      <c r="W8" s="17"/>
      <c r="X8" s="15">
        <f>F8-G8</f>
        <v>-12265</v>
      </c>
      <c r="Y8" s="24"/>
      <c r="Z8" s="24">
        <v>800</v>
      </c>
      <c r="AA8" s="22"/>
      <c r="AB8" s="20">
        <v>13.761</v>
      </c>
    </row>
    <row r="9" ht="20.05" customHeight="1">
      <c r="B9" s="13"/>
      <c r="C9" s="14">
        <v>2326.05</v>
      </c>
      <c r="D9" s="15">
        <v>130</v>
      </c>
      <c r="E9" s="15">
        <v>-206.9</v>
      </c>
      <c r="F9" s="15">
        <v>251</v>
      </c>
      <c r="G9" s="15">
        <v>12308</v>
      </c>
      <c r="H9" s="15">
        <v>18949</v>
      </c>
      <c r="I9" s="15">
        <v>2621.23</v>
      </c>
      <c r="J9" s="15">
        <v>-246.2</v>
      </c>
      <c r="K9" s="15">
        <v>-110.4</v>
      </c>
      <c r="L9" s="15">
        <v>-40.5</v>
      </c>
      <c r="M9" s="15">
        <v>0</v>
      </c>
      <c r="N9" s="15">
        <f>SUM(C6:C9)/4</f>
        <v>2426.35</v>
      </c>
      <c r="O9" s="15"/>
      <c r="P9" s="16"/>
      <c r="Q9" s="16"/>
      <c r="R9" s="16"/>
      <c r="S9" s="17"/>
      <c r="T9" s="15">
        <f>SUM(J6:K9)/4</f>
        <v>31.75</v>
      </c>
      <c r="U9" s="25"/>
      <c r="V9" s="15">
        <f>-(L9+M9)+V8</f>
        <v>353</v>
      </c>
      <c r="W9" s="17"/>
      <c r="X9" s="15">
        <f>F13-G9</f>
        <v>-12184</v>
      </c>
      <c r="Y9" s="24"/>
      <c r="Z9" s="24">
        <v>565</v>
      </c>
      <c r="AA9" s="22"/>
      <c r="AB9" s="20">
        <v>14</v>
      </c>
    </row>
    <row r="10" ht="20.05" customHeight="1">
      <c r="B10" s="13"/>
      <c r="C10" s="14">
        <v>2958.2</v>
      </c>
      <c r="D10" s="15">
        <v>198.6</v>
      </c>
      <c r="E10" s="15">
        <v>-91.08</v>
      </c>
      <c r="F10" s="15">
        <v>325</v>
      </c>
      <c r="G10" s="15">
        <v>12415</v>
      </c>
      <c r="H10" s="15">
        <v>18947</v>
      </c>
      <c r="I10" s="15">
        <v>3118.7</v>
      </c>
      <c r="J10" s="15">
        <v>538.9</v>
      </c>
      <c r="K10" s="15">
        <v>-139.6</v>
      </c>
      <c r="L10" s="15">
        <v>-40.5</v>
      </c>
      <c r="M10" s="15">
        <v>0</v>
      </c>
      <c r="N10" s="15">
        <f>SUM(C7:C10)/4</f>
        <v>2517.825</v>
      </c>
      <c r="O10" s="15"/>
      <c r="P10" s="16"/>
      <c r="Q10" s="16"/>
      <c r="R10" s="16"/>
      <c r="S10" s="17"/>
      <c r="T10" s="15">
        <f>SUM(J7:K10)/4</f>
        <v>39.775</v>
      </c>
      <c r="U10" s="25"/>
      <c r="V10" s="15">
        <f>-(L10+M10)+V9</f>
        <v>393.5</v>
      </c>
      <c r="W10" s="17"/>
      <c r="X10" s="15">
        <f>F10-G10</f>
        <v>-12090</v>
      </c>
      <c r="Y10" s="24"/>
      <c r="Z10" s="18">
        <v>1055</v>
      </c>
      <c r="AA10" s="22"/>
      <c r="AB10" s="20">
        <v>14.902</v>
      </c>
    </row>
    <row r="11" ht="20.05" customHeight="1">
      <c r="B11" s="13"/>
      <c r="C11" s="14">
        <v>2808.1</v>
      </c>
      <c r="D11" s="15">
        <v>437.45</v>
      </c>
      <c r="E11" s="15">
        <v>-197.55</v>
      </c>
      <c r="F11" s="15">
        <v>337</v>
      </c>
      <c r="G11" s="15">
        <v>12251</v>
      </c>
      <c r="H11" s="15">
        <v>18667</v>
      </c>
      <c r="I11" s="15">
        <v>3698.7</v>
      </c>
      <c r="J11" s="15">
        <v>408.1</v>
      </c>
      <c r="K11" s="15">
        <v>-121.4</v>
      </c>
      <c r="L11" s="15">
        <v>-40.5</v>
      </c>
      <c r="M11" s="15">
        <v>0</v>
      </c>
      <c r="N11" s="15">
        <f>SUM(C8:C11)/4</f>
        <v>2594.425</v>
      </c>
      <c r="O11" s="15"/>
      <c r="P11" s="16"/>
      <c r="Q11" s="16"/>
      <c r="R11" s="16"/>
      <c r="S11" s="17"/>
      <c r="T11" s="15">
        <f>SUM(J8:K11)/4</f>
        <v>-7.475</v>
      </c>
      <c r="U11" s="25"/>
      <c r="V11" s="15">
        <f>-(L11+M11)+V10</f>
        <v>434</v>
      </c>
      <c r="W11" s="17"/>
      <c r="X11" s="15">
        <f>F11-G11</f>
        <v>-11914</v>
      </c>
      <c r="Y11" s="24"/>
      <c r="Z11" s="18">
        <v>1885</v>
      </c>
      <c r="AA11" s="22"/>
      <c r="AB11" s="20">
        <v>14.38</v>
      </c>
    </row>
    <row r="12" ht="20.05" customHeight="1">
      <c r="B12" s="21">
        <v>2019</v>
      </c>
      <c r="C12" s="14">
        <v>2348.6</v>
      </c>
      <c r="D12" s="15">
        <v>210.3</v>
      </c>
      <c r="E12" s="15">
        <v>-123</v>
      </c>
      <c r="F12" s="15">
        <v>192</v>
      </c>
      <c r="G12" s="15">
        <v>12574</v>
      </c>
      <c r="H12" s="15">
        <v>18866</v>
      </c>
      <c r="I12" s="15">
        <v>2381.5</v>
      </c>
      <c r="J12" s="15">
        <v>-1091</v>
      </c>
      <c r="K12" s="15">
        <v>-54.8</v>
      </c>
      <c r="L12" s="15">
        <v>94</v>
      </c>
      <c r="M12" s="15">
        <v>0</v>
      </c>
      <c r="N12" s="15">
        <f>SUM(C9:C12)/4</f>
        <v>2610.2375</v>
      </c>
      <c r="O12" s="23"/>
      <c r="P12" s="16"/>
      <c r="Q12" s="16">
        <f>(E12+D12)/C12</f>
        <v>0.0371710806437878</v>
      </c>
      <c r="R12" s="16">
        <f>AVERAGE(Q9:Q12)</f>
        <v>0.0371710806437878</v>
      </c>
      <c r="S12" s="17"/>
      <c r="T12" s="15">
        <f>SUM(J9:K12)/4</f>
        <v>-204.1</v>
      </c>
      <c r="U12" s="25"/>
      <c r="V12" s="15">
        <f>-(L12+M12)+V11</f>
        <v>340</v>
      </c>
      <c r="W12" s="17"/>
      <c r="X12" s="15">
        <f>F12-G12</f>
        <v>-12382</v>
      </c>
      <c r="Y12" s="24"/>
      <c r="Z12" s="18">
        <v>2060</v>
      </c>
      <c r="AA12" s="22"/>
      <c r="AB12" s="20">
        <v>14.24</v>
      </c>
    </row>
    <row r="13" ht="20.05" customHeight="1">
      <c r="B13" s="13"/>
      <c r="C13" s="14">
        <v>2169.51</v>
      </c>
      <c r="D13" s="15">
        <v>168.5</v>
      </c>
      <c r="E13" s="15">
        <v>-155.5</v>
      </c>
      <c r="F13" s="15">
        <v>124</v>
      </c>
      <c r="G13" s="15">
        <v>12902</v>
      </c>
      <c r="H13" s="15">
        <v>19037</v>
      </c>
      <c r="I13" s="15">
        <v>2287.48</v>
      </c>
      <c r="J13" s="15">
        <v>-529.8</v>
      </c>
      <c r="K13" s="15">
        <v>-111.2</v>
      </c>
      <c r="L13" s="15">
        <v>94</v>
      </c>
      <c r="M13" s="15">
        <v>0</v>
      </c>
      <c r="N13" s="15">
        <f>SUM(C10:C13)/4</f>
        <v>2571.1025</v>
      </c>
      <c r="O13" s="23"/>
      <c r="P13" s="16">
        <f>C13/C12-1</f>
        <v>-0.07625393851656311</v>
      </c>
      <c r="Q13" s="16">
        <f>(E13+D13)/C13</f>
        <v>0.00599213647321285</v>
      </c>
      <c r="R13" s="16">
        <f>AVERAGE(Q10:Q13)</f>
        <v>0.0215816085585003</v>
      </c>
      <c r="S13" s="17"/>
      <c r="T13" s="15">
        <f>SUM(J10:K13)/4</f>
        <v>-275.2</v>
      </c>
      <c r="U13" s="25"/>
      <c r="V13" s="15">
        <f>-(L13+M13)+V12</f>
        <v>246</v>
      </c>
      <c r="W13" s="17"/>
      <c r="X13" s="15">
        <f>F13-G13</f>
        <v>-12778</v>
      </c>
      <c r="Y13" s="24"/>
      <c r="Z13" s="18">
        <v>1570</v>
      </c>
      <c r="AA13" s="24"/>
      <c r="AB13" s="15">
        <v>14.127</v>
      </c>
    </row>
    <row r="14" ht="20.05" customHeight="1">
      <c r="B14" s="13"/>
      <c r="C14" s="14">
        <v>3220.54</v>
      </c>
      <c r="D14" s="15">
        <v>72</v>
      </c>
      <c r="E14" s="15">
        <v>477.02</v>
      </c>
      <c r="F14" s="15">
        <v>395</v>
      </c>
      <c r="G14" s="15">
        <v>12845</v>
      </c>
      <c r="H14" s="15">
        <v>19391</v>
      </c>
      <c r="I14" s="15">
        <v>3258.2</v>
      </c>
      <c r="J14" s="15">
        <v>640.1</v>
      </c>
      <c r="K14" s="15">
        <v>-93.06</v>
      </c>
      <c r="L14" s="15">
        <v>94</v>
      </c>
      <c r="M14" s="15">
        <v>0</v>
      </c>
      <c r="N14" s="15">
        <f>SUM(C11:C14)/4</f>
        <v>2636.6875</v>
      </c>
      <c r="O14" s="23"/>
      <c r="P14" s="16">
        <f>C14/C13-1</f>
        <v>0.484455015187761</v>
      </c>
      <c r="Q14" s="16">
        <f>(E14+D14)/C14</f>
        <v>0.170474516695958</v>
      </c>
      <c r="R14" s="16">
        <f>AVERAGE(Q11:Q14)</f>
        <v>0.0712125779376529</v>
      </c>
      <c r="S14" s="17"/>
      <c r="T14" s="15">
        <f>SUM(J11:K14)/4</f>
        <v>-238.265</v>
      </c>
      <c r="U14" s="25"/>
      <c r="V14" s="15">
        <f>-(L14+M14)+V13</f>
        <v>152</v>
      </c>
      <c r="W14" s="17"/>
      <c r="X14" s="15">
        <f>F14-G14</f>
        <v>-12450</v>
      </c>
      <c r="Y14" s="24"/>
      <c r="Z14" s="18">
        <v>1340</v>
      </c>
      <c r="AA14" s="24"/>
      <c r="AB14" s="15">
        <v>14.195</v>
      </c>
    </row>
    <row r="15" ht="20.05" customHeight="1">
      <c r="B15" s="13"/>
      <c r="C15" s="14">
        <v>3319.15</v>
      </c>
      <c r="D15" s="15">
        <v>127.57</v>
      </c>
      <c r="E15" s="15">
        <v>300.48</v>
      </c>
      <c r="F15" s="15">
        <v>387</v>
      </c>
      <c r="G15" s="15">
        <v>12585</v>
      </c>
      <c r="H15" s="15">
        <v>19568</v>
      </c>
      <c r="I15" s="15">
        <v>3718.72</v>
      </c>
      <c r="J15" s="15">
        <v>927.5</v>
      </c>
      <c r="K15" s="15">
        <v>-14</v>
      </c>
      <c r="L15" s="15">
        <v>94</v>
      </c>
      <c r="M15" s="15">
        <v>0</v>
      </c>
      <c r="N15" s="15">
        <f>SUM(C12:C15)/4</f>
        <v>2764.45</v>
      </c>
      <c r="O15" s="15"/>
      <c r="P15" s="16">
        <f>C15/C14-1</f>
        <v>0.0306190887242512</v>
      </c>
      <c r="Q15" s="16">
        <f>(E15+D15)/C15</f>
        <v>0.12896374071675</v>
      </c>
      <c r="R15" s="16">
        <f>AVERAGE(Q12:Q15)</f>
        <v>0.0856503686324272</v>
      </c>
      <c r="S15" s="17"/>
      <c r="T15" s="15">
        <f>SUM(J12:K15)/4</f>
        <v>-81.565</v>
      </c>
      <c r="U15" s="25"/>
      <c r="V15" s="15">
        <f>-(L15+M15)+V14</f>
        <v>58</v>
      </c>
      <c r="W15" s="17"/>
      <c r="X15" s="15">
        <f>F15-G15</f>
        <v>-12198</v>
      </c>
      <c r="Y15" s="24"/>
      <c r="Z15" s="18">
        <v>1180</v>
      </c>
      <c r="AA15" s="24"/>
      <c r="AB15" s="15">
        <v>13.882</v>
      </c>
    </row>
    <row r="16" ht="20.05" customHeight="1">
      <c r="B16" s="21">
        <v>2020</v>
      </c>
      <c r="C16" s="14">
        <v>2463.2</v>
      </c>
      <c r="D16" s="15">
        <v>98.53</v>
      </c>
      <c r="E16" s="15">
        <v>68.42</v>
      </c>
      <c r="F16" s="15">
        <v>274</v>
      </c>
      <c r="G16" s="15">
        <v>12417</v>
      </c>
      <c r="H16" s="15">
        <v>19476</v>
      </c>
      <c r="I16" s="15">
        <v>2707.5</v>
      </c>
      <c r="J16" s="15">
        <v>-77.5</v>
      </c>
      <c r="K16" s="15">
        <v>-81.28</v>
      </c>
      <c r="L16" s="15">
        <v>-87</v>
      </c>
      <c r="M16" s="15">
        <v>-7</v>
      </c>
      <c r="N16" s="15">
        <f>SUM(C13:C16)/4</f>
        <v>2793.1</v>
      </c>
      <c r="O16" s="15"/>
      <c r="P16" s="16">
        <f>C16/C15-1</f>
        <v>-0.257882289140292</v>
      </c>
      <c r="Q16" s="16">
        <f>(E16+D16)/C16</f>
        <v>0.0677776875608964</v>
      </c>
      <c r="R16" s="16">
        <f>AVERAGE(Q13:Q16)</f>
        <v>0.0933020203617043</v>
      </c>
      <c r="S16" s="17"/>
      <c r="T16" s="15">
        <f>SUM(J13:K16)/4</f>
        <v>165.19</v>
      </c>
      <c r="U16" s="25"/>
      <c r="V16" s="15">
        <f>-(L16+M16)+V15</f>
        <v>152</v>
      </c>
      <c r="W16" s="17"/>
      <c r="X16" s="15">
        <f>F16-G16</f>
        <v>-12143</v>
      </c>
      <c r="Y16" s="24"/>
      <c r="Z16" s="24">
        <v>660</v>
      </c>
      <c r="AA16" s="24"/>
      <c r="AB16" s="15">
        <v>16.31</v>
      </c>
    </row>
    <row r="17" ht="20.05" customHeight="1">
      <c r="B17" s="13"/>
      <c r="C17" s="14">
        <v>2055.12</v>
      </c>
      <c r="D17" s="15">
        <v>136.17</v>
      </c>
      <c r="E17" s="15">
        <v>13.66</v>
      </c>
      <c r="F17" s="15">
        <v>248</v>
      </c>
      <c r="G17" s="15">
        <v>12431</v>
      </c>
      <c r="H17" s="15">
        <v>19504</v>
      </c>
      <c r="I17" s="15">
        <v>2197.65</v>
      </c>
      <c r="J17" s="15">
        <v>127.2</v>
      </c>
      <c r="K17" s="15">
        <v>-52</v>
      </c>
      <c r="L17" s="15">
        <v>-87</v>
      </c>
      <c r="M17" s="15">
        <v>-7</v>
      </c>
      <c r="N17" s="15">
        <f>SUM(C14:C17)/4</f>
        <v>2764.5025</v>
      </c>
      <c r="O17" s="15"/>
      <c r="P17" s="16">
        <f>C17/C16-1</f>
        <v>-0.1656706722962</v>
      </c>
      <c r="Q17" s="16">
        <f>(E17+D17)/C17</f>
        <v>0.072905718400872</v>
      </c>
      <c r="R17" s="16">
        <f>AVERAGE(Q14:Q17)</f>
        <v>0.110030415843619</v>
      </c>
      <c r="S17" s="17"/>
      <c r="T17" s="25">
        <f>SUM(J14:K17)/4</f>
        <v>344.24</v>
      </c>
      <c r="U17" s="25"/>
      <c r="V17" s="15">
        <f>-(L17+M17)+V16</f>
        <v>246</v>
      </c>
      <c r="W17" s="17"/>
      <c r="X17" s="15">
        <f>F17-G17</f>
        <v>-12183</v>
      </c>
      <c r="Y17" s="24"/>
      <c r="Z17" s="18">
        <v>1080</v>
      </c>
      <c r="AA17" s="24"/>
      <c r="AB17" s="15">
        <v>14.255</v>
      </c>
    </row>
    <row r="18" ht="20.05" customHeight="1">
      <c r="B18" s="13"/>
      <c r="C18" s="14">
        <v>2817.05</v>
      </c>
      <c r="D18" s="15">
        <v>335.21</v>
      </c>
      <c r="E18" s="15">
        <v>356.42</v>
      </c>
      <c r="F18" s="15">
        <v>362</v>
      </c>
      <c r="G18" s="15">
        <v>12883</v>
      </c>
      <c r="H18" s="15">
        <v>20255</v>
      </c>
      <c r="I18" s="15">
        <v>2625.13</v>
      </c>
      <c r="J18" s="15">
        <v>449.8</v>
      </c>
      <c r="K18" s="15">
        <v>-34.07</v>
      </c>
      <c r="L18" s="15">
        <v>-87</v>
      </c>
      <c r="M18" s="15">
        <v>-7</v>
      </c>
      <c r="N18" s="15">
        <f>SUM(C15:C18)/4</f>
        <v>2663.63</v>
      </c>
      <c r="O18" s="15"/>
      <c r="P18" s="16">
        <f>C18/C17-1</f>
        <v>0.370747206975748</v>
      </c>
      <c r="Q18" s="16">
        <f>(E18+D18)/C18</f>
        <v>0.245515699046875</v>
      </c>
      <c r="R18" s="16">
        <f>AVERAGE(Q15:Q18)</f>
        <v>0.128790711431348</v>
      </c>
      <c r="S18" s="17"/>
      <c r="T18" s="25">
        <f>SUM(J15:K18)/4</f>
        <v>311.4125</v>
      </c>
      <c r="U18" s="25"/>
      <c r="V18" s="15">
        <f>-(L18+M18)+V17</f>
        <v>340</v>
      </c>
      <c r="W18" s="17"/>
      <c r="X18" s="15">
        <f>F18-G18</f>
        <v>-12521</v>
      </c>
      <c r="Y18" s="24"/>
      <c r="Z18" s="24">
        <v>970</v>
      </c>
      <c r="AA18" s="24"/>
      <c r="AB18" s="15">
        <v>14.79</v>
      </c>
    </row>
    <row r="19" ht="20.05" customHeight="1">
      <c r="B19" s="13"/>
      <c r="C19" s="14">
        <v>2772.63</v>
      </c>
      <c r="D19" s="15">
        <v>222.09</v>
      </c>
      <c r="E19" s="15">
        <v>212.5</v>
      </c>
      <c r="F19" s="15">
        <v>527</v>
      </c>
      <c r="G19" s="15">
        <v>13172</v>
      </c>
      <c r="H19" s="15">
        <v>20738</v>
      </c>
      <c r="I19" s="15">
        <v>2545.02</v>
      </c>
      <c r="J19" s="15">
        <v>338.5</v>
      </c>
      <c r="K19" s="15">
        <v>-177.35</v>
      </c>
      <c r="L19" s="15">
        <v>-87</v>
      </c>
      <c r="M19" s="15">
        <v>-7</v>
      </c>
      <c r="N19" s="15">
        <f>SUM(C16:C19)/4</f>
        <v>2527</v>
      </c>
      <c r="O19" s="15"/>
      <c r="P19" s="16">
        <f>C19/C18-1</f>
        <v>-0.0157682682238512</v>
      </c>
      <c r="Q19" s="16">
        <f>(E19+D19)/C19</f>
        <v>0.156742875897613</v>
      </c>
      <c r="R19" s="16">
        <f>AVERAGE(Q16:Q19)</f>
        <v>0.135735495226564</v>
      </c>
      <c r="S19" s="17"/>
      <c r="T19" s="25">
        <f>SUM(J16:K19)/4</f>
        <v>123.325</v>
      </c>
      <c r="U19" s="25"/>
      <c r="V19" s="15">
        <f>-(L19+M19)+V18</f>
        <v>434</v>
      </c>
      <c r="W19" s="17"/>
      <c r="X19" s="15">
        <f>F19-G19</f>
        <v>-12645</v>
      </c>
      <c r="Y19" s="24"/>
      <c r="Z19" s="18">
        <v>1440</v>
      </c>
      <c r="AA19" s="24"/>
      <c r="AB19" s="15">
        <v>14.1</v>
      </c>
    </row>
    <row r="20" ht="20.05" customHeight="1">
      <c r="B20" s="21">
        <v>2021</v>
      </c>
      <c r="C20" s="14">
        <v>2562.2</v>
      </c>
      <c r="D20" s="15">
        <v>212.1</v>
      </c>
      <c r="E20" s="15">
        <v>156.3</v>
      </c>
      <c r="F20" s="15">
        <v>463</v>
      </c>
      <c r="G20" s="15">
        <v>13579</v>
      </c>
      <c r="H20" s="15">
        <v>21106</v>
      </c>
      <c r="I20" s="15">
        <v>2119.2</v>
      </c>
      <c r="J20" s="15">
        <v>-8.1</v>
      </c>
      <c r="K20" s="15">
        <v>-55.6</v>
      </c>
      <c r="L20" s="15">
        <v>0</v>
      </c>
      <c r="M20" s="15">
        <v>0</v>
      </c>
      <c r="N20" s="15">
        <f>SUM(C17:C20)/4</f>
        <v>2551.75</v>
      </c>
      <c r="O20" s="15"/>
      <c r="P20" s="16">
        <f>C20/C19-1</f>
        <v>-0.07589544944691499</v>
      </c>
      <c r="Q20" s="16">
        <f>(E20+D20)/C20</f>
        <v>0.143782686753571</v>
      </c>
      <c r="R20" s="16">
        <f>AVERAGE(Q17:Q20)</f>
        <v>0.154736745024733</v>
      </c>
      <c r="S20" s="17"/>
      <c r="T20" s="25">
        <f>SUM(J17:K20)/4</f>
        <v>147.095</v>
      </c>
      <c r="U20" s="25"/>
      <c r="V20" s="15">
        <f>-(L20+M20)+V19</f>
        <v>434</v>
      </c>
      <c r="W20" s="17"/>
      <c r="X20" s="15">
        <f>F20-G20</f>
        <v>-13116</v>
      </c>
      <c r="Y20" s="15"/>
      <c r="Z20" s="18">
        <v>1710</v>
      </c>
      <c r="AA20" s="15"/>
      <c r="AB20" s="15">
        <v>14.606</v>
      </c>
    </row>
    <row r="21" ht="20.05" customHeight="1">
      <c r="B21" s="13"/>
      <c r="C21" s="14">
        <v>2501</v>
      </c>
      <c r="D21" s="15">
        <v>198.8</v>
      </c>
      <c r="E21" s="15">
        <v>93</v>
      </c>
      <c r="F21" s="15">
        <v>118</v>
      </c>
      <c r="G21" s="15">
        <v>13034</v>
      </c>
      <c r="H21" s="15">
        <v>20654</v>
      </c>
      <c r="I21" s="15">
        <v>2869</v>
      </c>
      <c r="J21" s="15">
        <v>307.4</v>
      </c>
      <c r="K21" s="15">
        <v>-59.1</v>
      </c>
      <c r="L21" s="15">
        <v>-400.1</v>
      </c>
      <c r="M21" s="15">
        <v>-194.7</v>
      </c>
      <c r="N21" s="15">
        <f>SUM(C18:C21)/4</f>
        <v>2663.22</v>
      </c>
      <c r="O21" s="15">
        <v>2575.6337</v>
      </c>
      <c r="P21" s="16">
        <f>C21/C20-1</f>
        <v>-0.0238857232066193</v>
      </c>
      <c r="Q21" s="16">
        <f>(E21+D21)/C21</f>
        <v>0.116673330667733</v>
      </c>
      <c r="R21" s="16">
        <f>AVERAGE(Q18:Q21)</f>
        <v>0.165678648091448</v>
      </c>
      <c r="S21" s="17"/>
      <c r="T21" s="25">
        <f>SUM(J18:K21)/4</f>
        <v>190.37</v>
      </c>
      <c r="U21" s="25"/>
      <c r="V21" s="15">
        <f>-(L21+M21)+V20</f>
        <v>1028.8</v>
      </c>
      <c r="W21" s="17"/>
      <c r="X21" s="15">
        <f>F21-G21</f>
        <v>-12916</v>
      </c>
      <c r="Y21" s="15"/>
      <c r="Z21" s="18">
        <v>1765</v>
      </c>
      <c r="AA21" s="15"/>
      <c r="AB21" s="15">
        <v>14.45</v>
      </c>
    </row>
    <row r="22" ht="20.05" customHeight="1">
      <c r="B22" s="13"/>
      <c r="C22" s="14">
        <v>3016.1</v>
      </c>
      <c r="D22" s="15">
        <v>213.6</v>
      </c>
      <c r="E22" s="15">
        <v>209.8</v>
      </c>
      <c r="F22" s="15">
        <v>244</v>
      </c>
      <c r="G22" s="15">
        <v>10101</v>
      </c>
      <c r="H22" s="15">
        <v>21039</v>
      </c>
      <c r="I22" s="15">
        <v>2463.9</v>
      </c>
      <c r="J22" s="15">
        <v>340.9</v>
      </c>
      <c r="K22" s="15">
        <v>-134.6</v>
      </c>
      <c r="L22" s="15">
        <v>-3199.9</v>
      </c>
      <c r="M22" s="15">
        <v>3119.9</v>
      </c>
      <c r="N22" s="15">
        <f>SUM(C19:C22)/4</f>
        <v>2712.9825</v>
      </c>
      <c r="O22" s="15">
        <v>2634.122466666670</v>
      </c>
      <c r="P22" s="16">
        <f>C22/C21-1</f>
        <v>0.205957616953219</v>
      </c>
      <c r="Q22" s="16">
        <f>(E22+D22)/C22</f>
        <v>0.140379960876629</v>
      </c>
      <c r="R22" s="16">
        <f>AVERAGE(Q19:Q22)</f>
        <v>0.139394713548887</v>
      </c>
      <c r="S22" s="17"/>
      <c r="T22" s="25">
        <f>SUM(J19:K22)/4</f>
        <v>138.0125</v>
      </c>
      <c r="U22" s="25"/>
      <c r="V22" s="15">
        <f>-(L22+M22)+V21</f>
        <v>1108.8</v>
      </c>
      <c r="W22" s="17"/>
      <c r="X22" s="15">
        <f>F22-G22</f>
        <v>-9857</v>
      </c>
      <c r="Y22" s="15"/>
      <c r="Z22" s="18">
        <v>1765</v>
      </c>
      <c r="AA22" s="15"/>
      <c r="AB22" s="15">
        <v>14.328</v>
      </c>
    </row>
    <row r="23" ht="20.05" customHeight="1">
      <c r="B23" s="13"/>
      <c r="C23" s="14">
        <v>3138.9</v>
      </c>
      <c r="D23" s="15">
        <v>232.4</v>
      </c>
      <c r="E23" s="15">
        <v>261.8</v>
      </c>
      <c r="F23" s="15">
        <v>291</v>
      </c>
      <c r="G23" s="15">
        <v>10310</v>
      </c>
      <c r="H23" s="15">
        <v>21492</v>
      </c>
      <c r="I23" s="15">
        <v>2771.5</v>
      </c>
      <c r="J23" s="15">
        <v>614.5</v>
      </c>
      <c r="K23" s="15">
        <v>-149.2</v>
      </c>
      <c r="L23" s="15">
        <v>-400</v>
      </c>
      <c r="M23" s="15">
        <v>-14.7</v>
      </c>
      <c r="N23" s="15">
        <f>SUM(C20:C23)/4</f>
        <v>2804.55</v>
      </c>
      <c r="O23" s="15">
        <v>2782.3986</v>
      </c>
      <c r="P23" s="16">
        <f>C23/C22-1</f>
        <v>0.0407148304101323</v>
      </c>
      <c r="Q23" s="16">
        <f>(E23+D23)/C23</f>
        <v>0.157443690464813</v>
      </c>
      <c r="R23" s="16">
        <f>AVERAGE(Q20:Q23)</f>
        <v>0.139569917190687</v>
      </c>
      <c r="S23" s="17"/>
      <c r="T23" s="25">
        <f>SUM(J20:K23)/4</f>
        <v>214.05</v>
      </c>
      <c r="U23" s="25"/>
      <c r="V23" s="15">
        <f>-(L23+M23)+V22</f>
        <v>1523.5</v>
      </c>
      <c r="W23" s="17"/>
      <c r="X23" s="15">
        <f>F23-G23</f>
        <v>-10019</v>
      </c>
      <c r="Y23" s="15"/>
      <c r="Z23" s="18">
        <v>1690</v>
      </c>
      <c r="AA23" s="15"/>
      <c r="AB23" s="15">
        <v>14.275</v>
      </c>
    </row>
    <row r="24" ht="20.05" customHeight="1">
      <c r="B24" s="21">
        <v>2022</v>
      </c>
      <c r="C24" s="14">
        <v>2904.7</v>
      </c>
      <c r="D24" s="15">
        <v>208.6</v>
      </c>
      <c r="E24" s="15">
        <v>177.8</v>
      </c>
      <c r="F24" s="15">
        <v>259</v>
      </c>
      <c r="G24" s="15">
        <v>10689</v>
      </c>
      <c r="H24" s="15">
        <v>22068</v>
      </c>
      <c r="I24" s="15">
        <v>2493.7</v>
      </c>
      <c r="J24" s="15">
        <v>78.09999999999999</v>
      </c>
      <c r="K24" s="15">
        <v>-109.5</v>
      </c>
      <c r="L24" s="15">
        <v>0</v>
      </c>
      <c r="M24" s="15">
        <v>0</v>
      </c>
      <c r="N24" s="15">
        <f>SUM(C21:C24)/4</f>
        <v>2890.175</v>
      </c>
      <c r="O24" s="15">
        <v>2754.426</v>
      </c>
      <c r="P24" s="16">
        <f>C24/C23-1</f>
        <v>-0.0746121252668132</v>
      </c>
      <c r="Q24" s="16">
        <f>(E24+D24)/C24</f>
        <v>0.133025785795435</v>
      </c>
      <c r="R24" s="16">
        <f>AVERAGE(Q21:Q24)</f>
        <v>0.136880691951153</v>
      </c>
      <c r="S24" s="35"/>
      <c r="T24" s="25">
        <f>SUM(J21:K24)/4</f>
        <v>222.125</v>
      </c>
      <c r="U24" s="15">
        <v>343.44915792</v>
      </c>
      <c r="V24" s="15">
        <f>-(L24+M24)+V23</f>
        <v>1523.5</v>
      </c>
      <c r="W24" s="15"/>
      <c r="X24" s="15">
        <f>F24-G24</f>
        <v>-10430</v>
      </c>
      <c r="Y24" s="15">
        <v>-8951.004585056</v>
      </c>
      <c r="Z24" s="18">
        <v>1735</v>
      </c>
      <c r="AA24" s="140">
        <v>2348.160456861150</v>
      </c>
      <c r="AB24" s="15">
        <v>14.327</v>
      </c>
    </row>
    <row r="25" ht="20.05" customHeight="1">
      <c r="B25" s="13"/>
      <c r="C25" s="14">
        <v>2677.1</v>
      </c>
      <c r="D25" s="15">
        <v>208.6</v>
      </c>
      <c r="E25" s="15">
        <v>83.2</v>
      </c>
      <c r="F25" s="15">
        <v>128</v>
      </c>
      <c r="G25" s="15">
        <v>10648</v>
      </c>
      <c r="H25" s="15">
        <v>21872</v>
      </c>
      <c r="I25" s="15">
        <v>2756.4</v>
      </c>
      <c r="J25" s="15">
        <v>275.1</v>
      </c>
      <c r="K25" s="15">
        <v>-190.3</v>
      </c>
      <c r="L25" s="15">
        <v>0</v>
      </c>
      <c r="M25" s="15">
        <v>-215.8</v>
      </c>
      <c r="N25" s="15">
        <f>SUM(C22:C25)/4</f>
        <v>2934.2</v>
      </c>
      <c r="O25" s="15">
        <v>2879.34025</v>
      </c>
      <c r="P25" s="16">
        <f>C25/C24-1</f>
        <v>-0.0783557682376838</v>
      </c>
      <c r="Q25" s="16">
        <f>(E25+D25)/C25</f>
        <v>0.108998543199731</v>
      </c>
      <c r="R25" s="16">
        <f>AVERAGE(Q22:Q25)</f>
        <v>0.134961995084152</v>
      </c>
      <c r="S25" s="35"/>
      <c r="T25" s="25">
        <f>SUM(J22:K25)/4</f>
        <v>181.25</v>
      </c>
      <c r="U25" s="15">
        <v>343.44915792</v>
      </c>
      <c r="V25" s="15">
        <f>-(L25+M25)+V24</f>
        <v>1739.3</v>
      </c>
      <c r="W25" s="15"/>
      <c r="X25" s="15">
        <f>F25-G25</f>
        <v>-10520</v>
      </c>
      <c r="Y25" s="15">
        <v>-8951.004585056</v>
      </c>
      <c r="Z25" s="15">
        <v>1570</v>
      </c>
      <c r="AA25" s="140">
        <v>2208.3890010956</v>
      </c>
      <c r="AB25" s="15">
        <v>14.66</v>
      </c>
    </row>
    <row r="26" ht="20.05" customHeight="1">
      <c r="B26" s="13"/>
      <c r="C26" s="14">
        <v>3508.8</v>
      </c>
      <c r="D26" s="15">
        <v>193.6</v>
      </c>
      <c r="E26" s="15">
        <v>333.1</v>
      </c>
      <c r="F26" s="15">
        <v>270</v>
      </c>
      <c r="G26" s="15">
        <v>10145</v>
      </c>
      <c r="H26" s="15">
        <v>21711</v>
      </c>
      <c r="I26" s="15">
        <v>3434.5</v>
      </c>
      <c r="J26" s="15">
        <v>1412.6</v>
      </c>
      <c r="K26" s="15">
        <v>-296.4</v>
      </c>
      <c r="L26" s="15">
        <v>-975</v>
      </c>
      <c r="M26" s="15">
        <v>0</v>
      </c>
      <c r="N26" s="15">
        <f>SUM(C23:C26)/4</f>
        <v>3057.375</v>
      </c>
      <c r="O26" s="15">
        <v>3082.264742436750</v>
      </c>
      <c r="P26" s="16">
        <f>C26/C25-1</f>
        <v>0.310671995816368</v>
      </c>
      <c r="Q26" s="16">
        <f>(E26+D26)/C26</f>
        <v>0.150108299133607</v>
      </c>
      <c r="R26" s="16">
        <f>AVERAGE(Q23:Q26)</f>
        <v>0.137394079648397</v>
      </c>
      <c r="S26" s="35">
        <f>S27</f>
        <v>0.150108299133607</v>
      </c>
      <c r="T26" s="25">
        <f>SUM(J23:K26)/4</f>
        <v>408.725</v>
      </c>
      <c r="U26" s="15">
        <v>222.138599016805</v>
      </c>
      <c r="V26" s="15">
        <f>-(L26+M26)+V25</f>
        <v>2714.3</v>
      </c>
      <c r="W26" s="15">
        <f>W27</f>
        <v>4160.546534894</v>
      </c>
      <c r="X26" s="15">
        <f>F26-G26</f>
        <v>-9875</v>
      </c>
      <c r="Y26" s="15">
        <v>-9455.645603932780</v>
      </c>
      <c r="Z26" s="15">
        <v>1480</v>
      </c>
      <c r="AA26" s="140">
        <v>2208.3890010956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3650.108867304</v>
      </c>
      <c r="P27" s="17"/>
      <c r="Q27" s="17"/>
      <c r="R27" s="17"/>
      <c r="S27" s="35">
        <f>AE53</f>
        <v>0.150108299133607</v>
      </c>
      <c r="T27" s="25"/>
      <c r="U27" s="15">
        <f>SUM(AE55:AH55)/4</f>
        <v>361.5616337235</v>
      </c>
      <c r="V27" s="17"/>
      <c r="W27" s="15">
        <f>-SUM(AE76:AH76)+V26</f>
        <v>4160.546534894</v>
      </c>
      <c r="X27" s="26"/>
      <c r="Y27" s="15">
        <f>AH75</f>
        <v>-8428.753465106</v>
      </c>
      <c r="Z27" s="15">
        <v>1395</v>
      </c>
      <c r="AA27" s="140">
        <v>2208.3890010956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17062.5025</v>
      </c>
      <c r="O28" s="15">
        <f>SUM(O21:O26)</f>
        <v>16708.1857591034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1924.185362285810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211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748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0.0496047331805008</v>
      </c>
      <c r="AF49" s="35"/>
      <c r="AG49" s="35"/>
      <c r="AH49" s="35">
        <f>AVERAGE(AE51:AH51)</f>
        <v>0.0175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0.0407148304101323</v>
      </c>
      <c r="AF50" s="35">
        <f>P24</f>
        <v>-0.0746121252668132</v>
      </c>
      <c r="AG50" s="35">
        <f>P25</f>
        <v>-0.0783557682376838</v>
      </c>
      <c r="AH50" s="35">
        <f>P26</f>
        <v>0.310671995816368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0.03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3508.8</v>
      </c>
      <c r="AE52" s="23">
        <f>C26*(1+AE51)</f>
        <v>3614.064</v>
      </c>
      <c r="AF52" s="23">
        <f>AE52*(1+AF51)</f>
        <v>3577.92336</v>
      </c>
      <c r="AG52" s="23">
        <f>AF52*(1+AG51)</f>
        <v>3649.4818272</v>
      </c>
      <c r="AH52" s="23">
        <f>AG52*(1+AH51)</f>
        <v>3758.966282016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0.150108299133607</v>
      </c>
      <c r="AF53" s="35">
        <f>AE53</f>
        <v>0.150108299133607</v>
      </c>
      <c r="AG53" s="35">
        <f>AF53</f>
        <v>0.150108299133607</v>
      </c>
      <c r="AH53" s="35">
        <f>AG53</f>
        <v>0.150108299133607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AVERAGE(K23:K26)</f>
        <v>-186.35</v>
      </c>
      <c r="AF54" s="15">
        <f>AE54</f>
        <v>-186.35</v>
      </c>
      <c r="AG54" s="15">
        <f>AF54</f>
        <v>-186.35</v>
      </c>
      <c r="AH54" s="15">
        <f>AG54</f>
        <v>-186.35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356.151</v>
      </c>
      <c r="AF55" s="15">
        <f>(AF52*AF53)+AF54</f>
        <v>350.72599</v>
      </c>
      <c r="AG55" s="15">
        <f>(AG52*AG53)+AG54</f>
        <v>361.4675098</v>
      </c>
      <c r="AH55" s="15">
        <f>(AH52*AH53)+AH54</f>
        <v>377.902035094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-507.25</v>
      </c>
      <c r="AF56" s="15">
        <f>-AE71/20</f>
        <v>-481.8875</v>
      </c>
      <c r="AG56" s="15">
        <f>-AF71/20</f>
        <v>-457.793125</v>
      </c>
      <c r="AH56" s="15">
        <f>-AG71/20</f>
        <v>-434.90346875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-151.099</v>
      </c>
      <c r="AF59" s="15">
        <f>AF55+AF56+AF58</f>
        <v>-131.16151</v>
      </c>
      <c r="AG59" s="15">
        <f>AG55+AG56+AG58</f>
        <v>-96.3256152</v>
      </c>
      <c r="AH59" s="15">
        <f>AH55+AH56+AH58</f>
        <v>-57.001433656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151.099</v>
      </c>
      <c r="AF60" s="15">
        <f>-MIN(AE72,AF59)</f>
        <v>131.16151</v>
      </c>
      <c r="AG60" s="15">
        <f>-MIN(AF72,AG59)</f>
        <v>96.3256152</v>
      </c>
      <c r="AH60" s="15">
        <f>-MIN(AG72,AH59)</f>
        <v>57.001433656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270</v>
      </c>
      <c r="AF61" s="15">
        <f>AE63</f>
        <v>270</v>
      </c>
      <c r="AG61" s="15">
        <f>AF63</f>
        <v>270</v>
      </c>
      <c r="AH61" s="15">
        <f>AG63</f>
        <v>270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270</v>
      </c>
      <c r="AF63" s="15">
        <f>AF61+AF62</f>
        <v>270</v>
      </c>
      <c r="AG63" s="15">
        <f>AG61+AG62</f>
        <v>270</v>
      </c>
      <c r="AH63" s="15">
        <f>AH61+AH62</f>
        <v>270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-203.6</v>
      </c>
      <c r="AF65" s="15">
        <f>AE65</f>
        <v>-203.6</v>
      </c>
      <c r="AG65" s="15">
        <f>AF65</f>
        <v>-203.6</v>
      </c>
      <c r="AH65" s="15">
        <f>AG65</f>
        <v>-203.6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338.901</v>
      </c>
      <c r="AF66" s="15">
        <f>(AF52*AF53)+AF65</f>
        <v>333.47599</v>
      </c>
      <c r="AG66" s="15">
        <f>(AG52*AG53)+AG65</f>
        <v>344.2175098</v>
      </c>
      <c r="AH66" s="15">
        <f>(AH52*AH53)+AH65</f>
        <v>360.652035094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21627.35</v>
      </c>
      <c r="AF68" s="15">
        <f>AE68-AF54</f>
        <v>21813.7</v>
      </c>
      <c r="AG68" s="15">
        <f>AF68-AG54</f>
        <v>22000.05</v>
      </c>
      <c r="AH68" s="15">
        <f>AG68-AH54</f>
        <v>22186.4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203.6</v>
      </c>
      <c r="AF69" s="15">
        <f>AE69-AF65</f>
        <v>407.2</v>
      </c>
      <c r="AG69" s="15">
        <f>AF69-AG65</f>
        <v>610.8</v>
      </c>
      <c r="AH69" s="15">
        <f>AG69-AH65</f>
        <v>814.4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21423.75</v>
      </c>
      <c r="AF70" s="15">
        <f>AF68-AF69</f>
        <v>21406.5</v>
      </c>
      <c r="AG70" s="15">
        <f>AG68-AG69</f>
        <v>21389.25</v>
      </c>
      <c r="AH70" s="15">
        <f>AH68-AH69</f>
        <v>21372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9637.75</v>
      </c>
      <c r="AF71" s="15">
        <f>AE71+AF56</f>
        <v>9155.862499999999</v>
      </c>
      <c r="AG71" s="15">
        <f>AF71+AG56</f>
        <v>8698.069374999999</v>
      </c>
      <c r="AH71" s="15">
        <f>AG71+AH56</f>
        <v>8263.16590625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151.099</v>
      </c>
      <c r="AF72" s="15">
        <f>AE72+AF60</f>
        <v>282.26051</v>
      </c>
      <c r="AG72" s="15">
        <f>AF72+AG60</f>
        <v>378.5861252</v>
      </c>
      <c r="AH72" s="15">
        <f>AG72+AH60</f>
        <v>435.587558856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11904.901</v>
      </c>
      <c r="AF73" s="15">
        <f>AE73+AF66+AF58</f>
        <v>12238.37699</v>
      </c>
      <c r="AG73" s="15">
        <f>AF73+AG66+AG58</f>
        <v>12582.5944998</v>
      </c>
      <c r="AH73" s="15">
        <f>AG73+AH66+AH58</f>
        <v>12943.246534894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-9518.849</v>
      </c>
      <c r="AF75" s="15">
        <f>AF63-AF71-AF72</f>
        <v>-9168.123009999999</v>
      </c>
      <c r="AG75" s="15">
        <f>AG63-AG71-AG72</f>
        <v>-8806.6555002</v>
      </c>
      <c r="AH75" s="15">
        <f>AH63-AH71-AH72</f>
        <v>-8428.753465106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-356.151</v>
      </c>
      <c r="AF76" s="15">
        <f>AF56+AF58+AF60</f>
        <v>-350.72599</v>
      </c>
      <c r="AG76" s="15">
        <f>AG56+AG58+AG60</f>
        <v>-361.4675098</v>
      </c>
      <c r="AH76" s="15">
        <f>AH56+AH58+AH60</f>
        <v>-377.902035094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749</v>
      </c>
      <c r="AD78" s="14"/>
      <c r="AE78" s="15"/>
      <c r="AF78" s="15"/>
      <c r="AG78" s="15"/>
      <c r="AH78" s="15">
        <v>1395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749</v>
      </c>
      <c r="AD79" s="14"/>
      <c r="AE79" s="15"/>
      <c r="AF79" s="15"/>
      <c r="AG79" s="15"/>
      <c r="AH79" s="15">
        <v>12582034698240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12582.03469824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9.019379711999999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0.581371162472969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1634.9</v>
      </c>
      <c r="AH84" s="15">
        <f>SUM(AE55:AH55)</f>
        <v>1446.246534894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14.777563495816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8.699785544628581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17354.958418728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1924.185362285810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0.379344345724595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0.163356652630881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-0.0207658132736742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749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1395</v>
      </c>
      <c r="AG94" t="s" s="44">
        <v>61</v>
      </c>
      <c r="AH94" s="15">
        <f>AH88</f>
        <v>1924.185362285810</v>
      </c>
      <c r="AI94" t="s" s="44">
        <f>IF(AJ94&gt;0,"+","")</f>
        <v>361</v>
      </c>
      <c r="AJ94" s="16">
        <f>AH94/AF94-1</f>
        <v>0.379344345724595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0.163356652630881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0.129939237906306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0.127602572914902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-0.784849210547904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0.310671995816368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0.205957616953219</v>
      </c>
      <c r="AF103" s="16">
        <f>P23</f>
        <v>0.0407148304101323</v>
      </c>
      <c r="AG103" s="16">
        <f>P24</f>
        <v>-0.0746121252668132</v>
      </c>
      <c r="AH103" s="16">
        <f>P25</f>
        <v>-0.0783557682376838</v>
      </c>
      <c r="AI103" s="16">
        <f>P26</f>
        <v>0.310671995816368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3016.1</v>
      </c>
      <c r="AF104" t="s" s="44">
        <v>72</v>
      </c>
      <c r="AG104" s="15">
        <f>C23</f>
        <v>3138.9</v>
      </c>
      <c r="AH104" t="s" s="44">
        <v>72</v>
      </c>
      <c r="AI104" s="15">
        <f>C24</f>
        <v>2904.7</v>
      </c>
      <c r="AJ104" t="s" s="44">
        <v>72</v>
      </c>
      <c r="AK104" s="15">
        <f>C25</f>
        <v>2677.1</v>
      </c>
      <c r="AL104" t="s" s="44">
        <v>72</v>
      </c>
      <c r="AM104" s="15">
        <f>C26</f>
        <v>3508.8</v>
      </c>
      <c r="AN104" t="s" s="48">
        <f>AC$47</f>
        <v>748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0.310671995816368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3508.8</v>
      </c>
      <c r="AM105" t="s" s="48">
        <f>AN104</f>
        <v>748</v>
      </c>
      <c r="AN105" t="s" s="44">
        <v>77</v>
      </c>
      <c r="AO105" t="s" s="44">
        <f>IF(AP105&gt;0,"+","")</f>
      </c>
      <c r="AP105" s="16">
        <f>AH91</f>
        <v>-0.0207658132736742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0.0496047331805008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0.0175</v>
      </c>
      <c r="AG107" t="s" s="44">
        <v>82</v>
      </c>
      <c r="AH107" t="s" s="44">
        <v>83</v>
      </c>
      <c r="AI107" s="23">
        <f>AH52</f>
        <v>3758.966282016</v>
      </c>
      <c r="AJ107" t="s" s="48">
        <f>AN104</f>
        <v>748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0.140379960876629</v>
      </c>
      <c r="AF110" s="16">
        <f>(D23+E23)/C23</f>
        <v>0.157443690464813</v>
      </c>
      <c r="AG110" s="16">
        <f>((E24+D24)/C24)</f>
        <v>0.133025785795435</v>
      </c>
      <c r="AH110" s="16">
        <f>(D25+E25)/C25</f>
        <v>0.108998543199731</v>
      </c>
      <c r="AI110" s="16">
        <f>(D26+E26)/C26</f>
        <v>0.150108299133607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209.8</v>
      </c>
      <c r="AF111" t="s" s="44">
        <v>72</v>
      </c>
      <c r="AG111" s="15">
        <f>E23</f>
        <v>261.8</v>
      </c>
      <c r="AH111" t="s" s="44">
        <v>72</v>
      </c>
      <c r="AI111" s="15">
        <f>E24</f>
        <v>177.8</v>
      </c>
      <c r="AJ111" t="s" s="44">
        <v>72</v>
      </c>
      <c r="AK111" s="15">
        <f>E25</f>
        <v>83.2</v>
      </c>
      <c r="AL111" t="s" s="44">
        <v>72</v>
      </c>
      <c r="AM111" s="15">
        <f>E26</f>
        <v>333.1</v>
      </c>
      <c r="AN111" t="s" s="48">
        <f>AN104</f>
        <v>748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0.108998543199731</v>
      </c>
      <c r="AG112" t="s" s="44">
        <v>76</v>
      </c>
      <c r="AH112" s="16">
        <f>AI110</f>
        <v>0.150108299133607</v>
      </c>
      <c r="AI112" t="s" s="44">
        <v>90</v>
      </c>
      <c r="AJ112" s="15">
        <f>AK111</f>
        <v>83.2</v>
      </c>
      <c r="AK112" t="s" s="44">
        <v>76</v>
      </c>
      <c r="AL112" s="15">
        <f>AM111</f>
        <v>333.1</v>
      </c>
      <c r="AM112" t="s" s="48">
        <f>AJ107</f>
        <v>748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0.137394079648397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0.150108299133607</v>
      </c>
      <c r="AG114" t="s" s="44">
        <v>94</v>
      </c>
      <c r="AH114" s="15">
        <f>AH66</f>
        <v>360.652035094</v>
      </c>
      <c r="AI114" t="s" s="48">
        <f>AM112</f>
        <v>748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84.8</v>
      </c>
      <c r="AG116" s="15">
        <f>ABS(AH120)</f>
        <v>1116.2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340.9</v>
      </c>
      <c r="AF118" t="s" s="44">
        <v>72</v>
      </c>
      <c r="AG118" s="15">
        <f>J23</f>
        <v>614.5</v>
      </c>
      <c r="AH118" t="s" s="44">
        <v>72</v>
      </c>
      <c r="AI118" s="15">
        <f>J24</f>
        <v>78.09999999999999</v>
      </c>
      <c r="AJ118" t="s" s="44">
        <v>72</v>
      </c>
      <c r="AK118" s="15">
        <f>J25</f>
        <v>275.1</v>
      </c>
      <c r="AL118" t="s" s="44">
        <v>72</v>
      </c>
      <c r="AM118" s="15">
        <f>J26</f>
        <v>1412.6</v>
      </c>
      <c r="AN118" t="s" s="48">
        <f>AN104</f>
        <v>748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-134.6</v>
      </c>
      <c r="AF119" t="s" s="44">
        <v>72</v>
      </c>
      <c r="AG119" s="15">
        <f>K23</f>
        <v>-149.2</v>
      </c>
      <c r="AH119" t="s" s="44">
        <v>72</v>
      </c>
      <c r="AI119" s="15">
        <f>K24</f>
        <v>-109.5</v>
      </c>
      <c r="AJ119" t="s" s="44">
        <v>72</v>
      </c>
      <c r="AK119" s="15">
        <f>K25</f>
        <v>-190.3</v>
      </c>
      <c r="AL119" t="s" s="44">
        <v>72</v>
      </c>
      <c r="AM119" s="15">
        <f>K26</f>
        <v>-296.4</v>
      </c>
      <c r="AN119" t="s" s="48">
        <f>AN118</f>
        <v>748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84.8</v>
      </c>
      <c r="AG120" t="s" s="44">
        <v>76</v>
      </c>
      <c r="AH120" s="15">
        <f>AM118+AM119</f>
        <v>1116.2</v>
      </c>
      <c r="AI120" t="s" s="48">
        <f>AI114</f>
        <v>748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-296.4</v>
      </c>
      <c r="AN120" t="s" s="48">
        <f>AN104</f>
        <v>748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408.725</v>
      </c>
      <c r="AG121" t="s" s="48">
        <f>AN104</f>
        <v>748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-186.35</v>
      </c>
      <c r="AG122" t="s" s="48">
        <f>AG121</f>
        <v>748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361.5616337235</v>
      </c>
      <c r="AM122" t="s" s="48">
        <f>AG122</f>
        <v>748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108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244</v>
      </c>
      <c r="AF125" t="s" s="44">
        <v>72</v>
      </c>
      <c r="AG125" s="15">
        <f>F23</f>
        <v>291</v>
      </c>
      <c r="AH125" t="s" s="44">
        <v>72</v>
      </c>
      <c r="AI125" s="15">
        <f>F24</f>
        <v>259</v>
      </c>
      <c r="AJ125" t="s" s="44">
        <v>72</v>
      </c>
      <c r="AK125" s="15">
        <f>F25</f>
        <v>128</v>
      </c>
      <c r="AL125" t="s" s="44">
        <v>72</v>
      </c>
      <c r="AM125" s="15">
        <f>F26</f>
        <v>270</v>
      </c>
      <c r="AN125" t="s" s="48">
        <f>AN104</f>
        <v>748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10101</v>
      </c>
      <c r="AF126" t="s" s="44">
        <v>72</v>
      </c>
      <c r="AG126" s="15">
        <f>G23</f>
        <v>10310</v>
      </c>
      <c r="AH126" t="s" s="44">
        <v>72</v>
      </c>
      <c r="AI126" s="15">
        <f>G24</f>
        <v>10689</v>
      </c>
      <c r="AJ126" t="s" s="44">
        <v>72</v>
      </c>
      <c r="AK126" s="15">
        <f>G25</f>
        <v>10648</v>
      </c>
      <c r="AL126" t="s" s="44">
        <v>72</v>
      </c>
      <c r="AM126" s="15">
        <f>G26</f>
        <v>10145</v>
      </c>
      <c r="AN126" t="s" s="48">
        <f>AN125</f>
        <v>748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128</v>
      </c>
      <c r="AH127" t="s" s="44">
        <v>76</v>
      </c>
      <c r="AI127" s="15">
        <f>AM125</f>
        <v>270</v>
      </c>
      <c r="AJ127" t="s" s="48">
        <f>AM122</f>
        <v>748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370</v>
      </c>
      <c r="AG128" s="15">
        <f>AK126</f>
        <v>10648</v>
      </c>
      <c r="AH128" t="s" s="44">
        <v>76</v>
      </c>
      <c r="AI128" s="15">
        <f>AM126</f>
        <v>10145</v>
      </c>
      <c r="AJ128" t="s" s="48">
        <f>AJ127</f>
        <v>748</v>
      </c>
      <c r="AK128" t="s" s="44">
        <v>113</v>
      </c>
      <c r="AL128" t="s" s="44">
        <v>114</v>
      </c>
      <c r="AM128" t="s" s="44">
        <f>IF(AP128&lt;AN128,"down","up")</f>
        <v>108</v>
      </c>
      <c r="AN128" s="15">
        <f>AG127-AG128</f>
        <v>-10520</v>
      </c>
      <c r="AO128" t="s" s="44">
        <v>76</v>
      </c>
      <c r="AP128" s="15">
        <f>AI127-AI128</f>
        <v>-9875</v>
      </c>
      <c r="AQ128" t="s" s="48">
        <f>AJ128</f>
        <v>748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748</v>
      </c>
      <c r="AH129" t="s" s="44">
        <v>117</v>
      </c>
      <c r="AI129" t="s" s="44">
        <f>IF(AJ129&gt;0,"+","")</f>
      </c>
      <c r="AJ129" s="15">
        <f>AE56+AF56+AG56+AH56+AE60+AF60+AG60+AH60</f>
        <v>-1446.246534894</v>
      </c>
      <c r="AK129" t="s" s="48">
        <f>AQ128</f>
        <v>748</v>
      </c>
      <c r="AL129" t="s" s="44">
        <v>118</v>
      </c>
      <c r="AM129" t="s" s="44">
        <v>119</v>
      </c>
      <c r="AN129" s="15">
        <f>AH75</f>
        <v>-8428.753465106</v>
      </c>
      <c r="AO129" t="s" s="48">
        <f>AJ128</f>
        <v>748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3199.9</v>
      </c>
      <c r="AF132" t="s" s="44">
        <v>72</v>
      </c>
      <c r="AG132" s="15">
        <f>-L23</f>
        <v>400</v>
      </c>
      <c r="AH132" t="s" s="44">
        <v>72</v>
      </c>
      <c r="AI132" s="15">
        <f>-L24</f>
        <v>0</v>
      </c>
      <c r="AJ132" t="s" s="44">
        <v>72</v>
      </c>
      <c r="AK132" s="15">
        <f>-L25</f>
        <v>0</v>
      </c>
      <c r="AL132" t="s" s="44">
        <v>72</v>
      </c>
      <c r="AM132" s="15">
        <f>-L26</f>
        <v>975</v>
      </c>
      <c r="AN132" t="s" s="48">
        <f>AN104</f>
        <v>748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-3119.9</v>
      </c>
      <c r="AF133" t="s" s="44">
        <v>72</v>
      </c>
      <c r="AG133" s="15">
        <f>-M23</f>
        <v>14.7</v>
      </c>
      <c r="AH133" t="s" s="44">
        <v>72</v>
      </c>
      <c r="AI133" s="15">
        <f>-M24</f>
        <v>0</v>
      </c>
      <c r="AJ133" t="s" s="44">
        <v>72</v>
      </c>
      <c r="AK133" s="15">
        <f>-M25</f>
        <v>215.8</v>
      </c>
      <c r="AL133" t="s" s="44">
        <v>72</v>
      </c>
      <c r="AM133" s="15">
        <f>-M26</f>
        <v>0</v>
      </c>
      <c r="AN133" t="s" s="48">
        <f>AN132</f>
        <v>748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749</v>
      </c>
      <c r="AF134" t="s" s="44">
        <f>IF(AG134&gt;0,"paid","(raised)")</f>
        <v>374</v>
      </c>
      <c r="AG134" s="15">
        <f>SUM(AM132:AM133)</f>
        <v>975</v>
      </c>
      <c r="AH134" t="s" s="48">
        <f>AN104</f>
        <v>748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975</v>
      </c>
      <c r="AM134" t="s" s="48">
        <f>AN104</f>
        <v>748</v>
      </c>
      <c r="AN134" t="s" s="44">
        <v>123</v>
      </c>
      <c r="AO134" s="15">
        <f>AM133</f>
        <v>0</v>
      </c>
      <c r="AP134" t="s" s="48">
        <f>AN104</f>
        <v>748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1446.246534894</v>
      </c>
      <c r="AU134" t="s" s="48">
        <f>AN104</f>
        <v>748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12582.03469824</v>
      </c>
      <c r="AG135" t="s" s="48">
        <f>AN104</f>
        <v>748</v>
      </c>
      <c r="AH135" t="s" s="44">
        <v>128</v>
      </c>
      <c r="AI135" t="s" s="44">
        <v>129</v>
      </c>
      <c r="AJ135" s="43">
        <f>AH82</f>
        <v>0.581371162472969</v>
      </c>
      <c r="AK135" t="s" s="44">
        <v>130</v>
      </c>
      <c r="AL135" t="s" s="44">
        <v>131</v>
      </c>
      <c r="AM135" t="s" s="44">
        <v>132</v>
      </c>
      <c r="AN135" s="15">
        <f>AH85</f>
        <v>14.777563495816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1446.246534894</v>
      </c>
      <c r="AG136" t="s" s="48">
        <f>AG135</f>
        <v>748</v>
      </c>
      <c r="AH136" t="s" s="44">
        <v>136</v>
      </c>
      <c r="AI136" s="15">
        <f>AF135/AF136</f>
        <v>8.699785544628581</v>
      </c>
      <c r="AJ136" t="s" s="44">
        <v>130</v>
      </c>
      <c r="AK136" t="s" s="44">
        <v>137</v>
      </c>
      <c r="AL136" t="s" s="44">
        <v>138</v>
      </c>
      <c r="AM136" s="15">
        <f>AH86</f>
        <v>12</v>
      </c>
      <c r="AN136" t="s" s="44">
        <v>139</v>
      </c>
      <c r="AO136" t="s" s="44">
        <v>140</v>
      </c>
      <c r="AP136" t="s" s="44">
        <v>141</v>
      </c>
      <c r="AQ136" s="16">
        <f>AJ94</f>
        <v>0.379344345724595</v>
      </c>
      <c r="AR136" t="s" s="44">
        <f>IF(AQ136&gt;0,"higher","lower")</f>
        <v>363</v>
      </c>
      <c r="AS136" t="s" s="44">
        <v>142</v>
      </c>
      <c r="AT136" s="15">
        <f>AH94</f>
        <v>1924.185362285810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749</v>
      </c>
      <c r="AF138" t="s" s="44">
        <f>AE146</f>
        <v>394</v>
      </c>
      <c r="AG138" t="s" s="44">
        <f>AF146</f>
        <v>395</v>
      </c>
      <c r="AH138" s="16">
        <f>AG146</f>
        <v>0.310671995816368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1395</v>
      </c>
      <c r="AG139" t="s" s="44">
        <f>AG94</f>
        <v>61</v>
      </c>
      <c r="AH139" s="15">
        <f>AH94</f>
        <v>1924.185362285810</v>
      </c>
      <c r="AI139" t="s" s="44">
        <f>AI94</f>
        <v>361</v>
      </c>
      <c r="AJ139" s="16">
        <f>AJ94</f>
        <v>0.379344345724595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0.163356652630881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0.129939237906306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  <v>361</v>
      </c>
      <c r="AH144" s="16">
        <f>AH99</f>
        <v>0.127602572914902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-0.784849210547904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0.310671995816368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0.205957616953219</v>
      </c>
      <c r="AF148" s="16">
        <f>AF103</f>
        <v>0.0407148304101323</v>
      </c>
      <c r="AG148" s="16">
        <f>AG103</f>
        <v>-0.0746121252668132</v>
      </c>
      <c r="AH148" s="16">
        <f>AH103</f>
        <v>-0.0783557682376838</v>
      </c>
      <c r="AI148" s="16">
        <f>AI103</f>
        <v>0.310671995816368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3016.1</v>
      </c>
      <c r="AF149" t="s" s="44">
        <f>AF104</f>
        <v>72</v>
      </c>
      <c r="AG149" s="15">
        <f>AG104</f>
        <v>3138.9</v>
      </c>
      <c r="AH149" t="s" s="44">
        <f>AH104</f>
        <v>72</v>
      </c>
      <c r="AI149" s="15">
        <f>AI104</f>
        <v>2904.7</v>
      </c>
      <c r="AJ149" t="s" s="44">
        <f>AJ104</f>
        <v>72</v>
      </c>
      <c r="AK149" s="15">
        <f>AK104</f>
        <v>2677.1</v>
      </c>
      <c r="AL149" t="s" s="44">
        <f>AL104</f>
        <v>72</v>
      </c>
      <c r="AM149" s="15">
        <f>AM104</f>
        <v>3508.8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0.310671995816368</v>
      </c>
      <c r="AH150" t="s" s="44">
        <v>408</v>
      </c>
      <c r="AI150" t="s" s="44">
        <v>409</v>
      </c>
      <c r="AJ150" t="s" s="44">
        <v>410</v>
      </c>
      <c r="AK150" s="15">
        <f>AL105</f>
        <v>3508.8</v>
      </c>
      <c r="AL150" t="s" s="44">
        <f>AN149</f>
        <v>407</v>
      </c>
      <c r="AM150" t="s" s="44">
        <v>411</v>
      </c>
      <c r="AN150" t="s" s="44">
        <f>AO105</f>
      </c>
      <c r="AO150" s="16">
        <f>AP105</f>
        <v>-0.0207658132736742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0.0496047331805008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0.0175</v>
      </c>
      <c r="AG152" t="s" s="44">
        <v>415</v>
      </c>
      <c r="AH152" t="s" s="44">
        <v>416</v>
      </c>
      <c r="AI152" s="23">
        <f>AI107</f>
        <v>3758.966282016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419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0.140379960876629</v>
      </c>
      <c r="AF155" s="16">
        <f>AF110</f>
        <v>0.157443690464813</v>
      </c>
      <c r="AG155" s="16">
        <f>AG110</f>
        <v>0.133025785795435</v>
      </c>
      <c r="AH155" s="16">
        <f>AH110</f>
        <v>0.108998543199731</v>
      </c>
      <c r="AI155" s="16">
        <f>AI110</f>
        <v>0.150108299133607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209.8</v>
      </c>
      <c r="AF156" t="s" s="44">
        <f>AF111</f>
        <v>72</v>
      </c>
      <c r="AG156" s="15">
        <f>AG111</f>
        <v>261.8</v>
      </c>
      <c r="AH156" t="s" s="44">
        <f>AH111</f>
        <v>72</v>
      </c>
      <c r="AI156" s="15">
        <f>AI111</f>
        <v>177.8</v>
      </c>
      <c r="AJ156" t="s" s="44">
        <f>AJ111</f>
        <v>72</v>
      </c>
      <c r="AK156" s="15">
        <f>AK111</f>
        <v>83.2</v>
      </c>
      <c r="AL156" t="s" s="44">
        <f>AL111</f>
        <v>72</v>
      </c>
      <c r="AM156" s="15">
        <f>AM111</f>
        <v>333.1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0.108998543199731</v>
      </c>
      <c r="AG157" t="s" s="85">
        <v>422</v>
      </c>
      <c r="AH157" s="16">
        <f>AH112</f>
        <v>0.150108299133607</v>
      </c>
      <c r="AI157" t="s" s="85">
        <v>423</v>
      </c>
      <c r="AJ157" s="15">
        <f>AJ112</f>
        <v>83.2</v>
      </c>
      <c r="AK157" t="s" s="44">
        <v>410</v>
      </c>
      <c r="AL157" s="15">
        <f>AL112</f>
        <v>333.1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0.137394079648397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0.150108299133607</v>
      </c>
      <c r="AG159" t="s" s="85">
        <v>427</v>
      </c>
      <c r="AH159" s="15">
        <f>AH114</f>
        <v>360.652035094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84.8</v>
      </c>
      <c r="AG161" s="15">
        <f>ABS(AH165)</f>
        <v>1116.2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340.9</v>
      </c>
      <c r="AF163" t="s" s="44">
        <f>AF118</f>
        <v>72</v>
      </c>
      <c r="AG163" s="15">
        <f>AG118</f>
        <v>614.5</v>
      </c>
      <c r="AH163" t="s" s="44">
        <f>AH118</f>
        <v>72</v>
      </c>
      <c r="AI163" s="15">
        <f>AI118</f>
        <v>78.09999999999999</v>
      </c>
      <c r="AJ163" t="s" s="44">
        <f>AJ118</f>
        <v>72</v>
      </c>
      <c r="AK163" s="15">
        <f>AK118</f>
        <v>275.1</v>
      </c>
      <c r="AL163" t="s" s="44">
        <f>AL118</f>
        <v>72</v>
      </c>
      <c r="AM163" s="15">
        <f>AM118</f>
        <v>1412.6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-134.6</v>
      </c>
      <c r="AF164" t="s" s="44">
        <f>AF119</f>
        <v>72</v>
      </c>
      <c r="AG164" s="15">
        <f>AG119</f>
        <v>-149.2</v>
      </c>
      <c r="AH164" t="s" s="44">
        <f>AH119</f>
        <v>72</v>
      </c>
      <c r="AI164" s="15">
        <f>AI119</f>
        <v>-109.5</v>
      </c>
      <c r="AJ164" t="s" s="44">
        <f>AJ119</f>
        <v>72</v>
      </c>
      <c r="AK164" s="15">
        <f>AK119</f>
        <v>-190.3</v>
      </c>
      <c r="AL164" t="s" s="44">
        <f>AL119</f>
        <v>72</v>
      </c>
      <c r="AM164" s="15">
        <f>AM119</f>
        <v>-296.4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84.8</v>
      </c>
      <c r="AG165" t="s" s="44">
        <v>410</v>
      </c>
      <c r="AH165" s="15">
        <f>AH120</f>
        <v>1116.2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-296.4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408.725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-186.35</v>
      </c>
      <c r="AG167" t="s" s="44">
        <f>AN149</f>
        <v>407</v>
      </c>
      <c r="AH167" t="s" s="85">
        <v>435</v>
      </c>
      <c r="AI167" s="15">
        <f>AL122</f>
        <v>361.5616337235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437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244</v>
      </c>
      <c r="AF170" t="s" s="44">
        <f>AF125</f>
        <v>72</v>
      </c>
      <c r="AG170" s="15">
        <f>AG125</f>
        <v>291</v>
      </c>
      <c r="AH170" t="s" s="44">
        <f>AH125</f>
        <v>72</v>
      </c>
      <c r="AI170" s="15">
        <f>AI125</f>
        <v>259</v>
      </c>
      <c r="AJ170" t="s" s="44">
        <f>AJ125</f>
        <v>72</v>
      </c>
      <c r="AK170" s="15">
        <f>AK125</f>
        <v>128</v>
      </c>
      <c r="AL170" t="s" s="44">
        <f>AL125</f>
        <v>72</v>
      </c>
      <c r="AM170" s="15">
        <f>AM125</f>
        <v>270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10101</v>
      </c>
      <c r="AF171" t="s" s="44">
        <f>AF126</f>
        <v>72</v>
      </c>
      <c r="AG171" s="15">
        <f>AG126</f>
        <v>10310</v>
      </c>
      <c r="AH171" t="s" s="44">
        <f>AH126</f>
        <v>72</v>
      </c>
      <c r="AI171" s="15">
        <f>AI126</f>
        <v>10689</v>
      </c>
      <c r="AJ171" t="s" s="44">
        <f>AJ126</f>
        <v>72</v>
      </c>
      <c r="AK171" s="15">
        <f>AK126</f>
        <v>10648</v>
      </c>
      <c r="AL171" t="s" s="44">
        <f>AL126</f>
        <v>72</v>
      </c>
      <c r="AM171" s="15">
        <f>AM126</f>
        <v>10145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440</v>
      </c>
      <c r="AG172" s="15">
        <f>AG127</f>
        <v>128</v>
      </c>
      <c r="AH172" t="s" s="44">
        <f>AG165</f>
        <v>410</v>
      </c>
      <c r="AI172" s="15">
        <f>AI127</f>
        <v>270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516</v>
      </c>
      <c r="AG173" s="15">
        <f>AG128</f>
        <v>10648</v>
      </c>
      <c r="AH173" t="s" s="44">
        <f>AG165</f>
        <v>410</v>
      </c>
      <c r="AI173" s="15">
        <f>AI128</f>
        <v>10145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440</v>
      </c>
      <c r="AN173" s="15">
        <f>AN128</f>
        <v>-10520</v>
      </c>
      <c r="AO173" t="s" s="44">
        <f>AH173</f>
        <v>410</v>
      </c>
      <c r="AP173" s="15">
        <f>AP128</f>
        <v>-9875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-1446.246534894</v>
      </c>
      <c r="AJ174" t="s" s="44">
        <f>AG174</f>
        <v>407</v>
      </c>
      <c r="AK174" t="s" s="85">
        <v>446</v>
      </c>
      <c r="AL174" s="15">
        <f>AN129</f>
        <v>-8428.753465106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44.05" customHeight="1">
      <c r="AC175" s="36"/>
      <c r="AD175" s="38"/>
      <c r="AE175" t="s" s="44">
        <v>448</v>
      </c>
      <c r="AF175" t="s" s="44">
        <f>IF(AF130="(raised)","(yang dihimpun)","(yang dibayarkan)")</f>
        <v>449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3199.9</v>
      </c>
      <c r="AF177" t="s" s="44">
        <f>AF132</f>
        <v>72</v>
      </c>
      <c r="AG177" s="15">
        <f>AG132</f>
        <v>400</v>
      </c>
      <c r="AH177" t="s" s="44">
        <f>AH132</f>
        <v>72</v>
      </c>
      <c r="AI177" s="15">
        <f>AI132</f>
        <v>0</v>
      </c>
      <c r="AJ177" t="s" s="44">
        <f>AJ132</f>
        <v>72</v>
      </c>
      <c r="AK177" s="15">
        <f>AK132</f>
        <v>0</v>
      </c>
      <c r="AL177" t="s" s="44">
        <f>AL132</f>
        <v>72</v>
      </c>
      <c r="AM177" s="15">
        <f>AM132</f>
        <v>975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-3119.9</v>
      </c>
      <c r="AF178" t="s" s="44">
        <f>AF133</f>
        <v>72</v>
      </c>
      <c r="AG178" s="15">
        <f>AG133</f>
        <v>14.7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215.8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749</v>
      </c>
      <c r="AF179" t="s" s="44">
        <f>IF(AF175="(yang dihimpun)","(menghimpun)","(membayarkan)")</f>
        <v>451</v>
      </c>
      <c r="AG179" s="15">
        <f>AG134</f>
        <v>975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975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1446.246534894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12582.03469824</v>
      </c>
      <c r="AG180" t="s" s="44">
        <f>AN149</f>
        <v>407</v>
      </c>
      <c r="AH180" t="s" s="85">
        <v>458</v>
      </c>
      <c r="AI180" s="40">
        <f>AJ135</f>
        <v>0.581371162472969</v>
      </c>
      <c r="AJ180" t="s" s="44">
        <v>459</v>
      </c>
      <c r="AK180" t="s" s="85">
        <v>460</v>
      </c>
      <c r="AL180" s="15">
        <f>AN135</f>
        <v>14.777563495816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1446.246534894</v>
      </c>
      <c r="AG181" t="s" s="44">
        <f>AN149</f>
        <v>407</v>
      </c>
      <c r="AH181" t="s" s="85">
        <v>463</v>
      </c>
      <c r="AI181" s="15">
        <f>AI136</f>
        <v>8.699785544628581</v>
      </c>
      <c r="AJ181" t="s" s="44">
        <v>464</v>
      </c>
      <c r="AK181" t="s" s="85">
        <v>465</v>
      </c>
      <c r="AL181" s="15">
        <f>AM136</f>
        <v>12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0.379344345724595</v>
      </c>
      <c r="AQ181" t="s" s="85">
        <v>468</v>
      </c>
      <c r="AR181" s="15">
        <f>AT136</f>
        <v>1924.185362285810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3016.1</v>
      </c>
      <c r="AE183" s="15">
        <f>AG104</f>
        <v>3138.9</v>
      </c>
      <c r="AF183" s="15">
        <f>AI104</f>
        <v>2904.7</v>
      </c>
      <c r="AG183" s="15">
        <f>AK104</f>
        <v>2677.1</v>
      </c>
      <c r="AH183" s="15">
        <f>AM104</f>
        <v>3508.8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206.3</v>
      </c>
      <c r="AE184" s="15">
        <f>SUM(AG118:AG119)</f>
        <v>465.3</v>
      </c>
      <c r="AF184" s="15">
        <f>SUM(AI118:AI119)</f>
        <v>-31.4</v>
      </c>
      <c r="AG184" s="15">
        <f>SUM(AK118:AK119)</f>
        <v>84.8</v>
      </c>
      <c r="AH184" s="15">
        <f>SUM(AM118:AM119)</f>
        <v>1116.2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80</v>
      </c>
      <c r="AE185" s="15">
        <f>SUM(AG132:AG133)</f>
        <v>414.7</v>
      </c>
      <c r="AF185" s="15">
        <f>SUM(AI132:AI133)</f>
        <v>0</v>
      </c>
      <c r="AG185" s="15">
        <f>SUM(AK132:AK133)</f>
        <v>215.8</v>
      </c>
      <c r="AH185" s="15">
        <f>SUM(AM132:AM133)</f>
        <v>975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-9857</v>
      </c>
      <c r="AE186" s="15">
        <f>(AG125-AG126)</f>
        <v>-10019</v>
      </c>
      <c r="AF186" s="15">
        <f>(AI125-AI126)</f>
        <v>-10430</v>
      </c>
      <c r="AG186" s="15">
        <f>(AK125-AK126)</f>
        <v>-10520</v>
      </c>
      <c r="AH186" s="15">
        <f>(AM125-AM126)</f>
        <v>-9875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1924.185362285810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84" customWidth="1"/>
    <col min="2" max="28" width="10.4844" style="384" customWidth="1"/>
    <col min="29" max="29" width="18.9766" style="385" customWidth="1"/>
    <col min="30" max="48" width="9" style="385" customWidth="1"/>
    <col min="49" max="16384" width="16.3516" style="385" customWidth="1"/>
  </cols>
  <sheetData>
    <row r="1" ht="11.65" customHeight="1"/>
    <row r="2" ht="27.65" customHeight="1">
      <c r="B2" t="s" s="2">
        <v>750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232</v>
      </c>
      <c r="AA3" t="s" s="3">
        <v>19</v>
      </c>
      <c r="AB3" t="s" s="3">
        <v>20</v>
      </c>
    </row>
    <row r="4" ht="20.25" customHeight="1">
      <c r="B4" s="6">
        <v>2017</v>
      </c>
      <c r="C4" s="7">
        <v>6399</v>
      </c>
      <c r="D4" s="8">
        <v>353</v>
      </c>
      <c r="E4" s="8">
        <v>751</v>
      </c>
      <c r="F4" s="8">
        <v>2874</v>
      </c>
      <c r="G4" s="8">
        <v>15651</v>
      </c>
      <c r="H4" s="8">
        <v>45096</v>
      </c>
      <c r="I4" s="8">
        <v>6361.8</v>
      </c>
      <c r="J4" s="8">
        <v>752</v>
      </c>
      <c r="K4" s="8">
        <v>-689</v>
      </c>
      <c r="L4" s="8">
        <v>862.6012500000001</v>
      </c>
      <c r="M4" s="8">
        <v>-456.0675</v>
      </c>
      <c r="N4" s="8"/>
      <c r="O4" s="8"/>
      <c r="P4" s="9"/>
      <c r="Q4" s="9"/>
      <c r="R4" s="9"/>
      <c r="S4" s="9"/>
      <c r="T4" s="9"/>
      <c r="U4" s="9"/>
      <c r="V4" s="8">
        <f>-(L4+M4)</f>
        <v>-406.53375</v>
      </c>
      <c r="W4" s="9"/>
      <c r="X4" s="8">
        <f>F4-G4</f>
        <v>-12777</v>
      </c>
      <c r="Y4" s="9"/>
      <c r="Z4" s="10"/>
      <c r="AA4" s="11"/>
      <c r="AB4" s="12">
        <v>13.3</v>
      </c>
    </row>
    <row r="5" ht="20.05" customHeight="1">
      <c r="B5" s="13"/>
      <c r="C5" s="14">
        <v>6315</v>
      </c>
      <c r="D5" s="15">
        <v>451</v>
      </c>
      <c r="E5" s="15">
        <v>354</v>
      </c>
      <c r="F5" s="15">
        <v>4619</v>
      </c>
      <c r="G5" s="15">
        <v>18910</v>
      </c>
      <c r="H5" s="15">
        <v>48648</v>
      </c>
      <c r="I5" s="15">
        <v>5890.7</v>
      </c>
      <c r="J5" s="15">
        <v>-344</v>
      </c>
      <c r="K5" s="15">
        <v>-952</v>
      </c>
      <c r="L5" s="15">
        <v>862.6012500000001</v>
      </c>
      <c r="M5" s="15">
        <v>-456.0675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-813.0675</v>
      </c>
      <c r="W5" s="17"/>
      <c r="X5" s="15">
        <f>F5-G5</f>
        <v>-14291</v>
      </c>
      <c r="Y5" s="17"/>
      <c r="Z5" s="18"/>
      <c r="AA5" s="19"/>
      <c r="AB5" s="20">
        <v>13.327</v>
      </c>
    </row>
    <row r="6" ht="20.05" customHeight="1">
      <c r="B6" s="13"/>
      <c r="C6" s="14">
        <v>7838</v>
      </c>
      <c r="D6" s="15">
        <v>595</v>
      </c>
      <c r="E6" s="15">
        <v>366</v>
      </c>
      <c r="F6" s="15">
        <v>2674</v>
      </c>
      <c r="G6" s="15">
        <v>17143</v>
      </c>
      <c r="H6" s="15">
        <v>47291</v>
      </c>
      <c r="I6" s="15">
        <v>7261.2</v>
      </c>
      <c r="J6" s="15">
        <v>950</v>
      </c>
      <c r="K6" s="15">
        <v>-772</v>
      </c>
      <c r="L6" s="15">
        <v>862.6012500000001</v>
      </c>
      <c r="M6" s="15">
        <v>-456.0675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-1219.60125</v>
      </c>
      <c r="W6" s="17"/>
      <c r="X6" s="15">
        <f>F6-G6</f>
        <v>-14469</v>
      </c>
      <c r="Y6" s="17"/>
      <c r="Z6" s="18"/>
      <c r="AA6" s="19"/>
      <c r="AB6" s="20">
        <v>13.305</v>
      </c>
    </row>
    <row r="7" ht="20.05" customHeight="1">
      <c r="B7" s="13"/>
      <c r="C7" s="14">
        <v>8262</v>
      </c>
      <c r="D7" s="15">
        <v>472</v>
      </c>
      <c r="E7" s="15">
        <v>179</v>
      </c>
      <c r="F7" s="15">
        <v>3638</v>
      </c>
      <c r="G7" s="15">
        <v>18525</v>
      </c>
      <c r="H7" s="15">
        <v>48964</v>
      </c>
      <c r="I7" s="15">
        <v>7244.3</v>
      </c>
      <c r="J7" s="15">
        <v>1402</v>
      </c>
      <c r="K7" s="15">
        <v>-1077</v>
      </c>
      <c r="L7" s="15">
        <v>862.6012500000001</v>
      </c>
      <c r="M7" s="15">
        <v>-456.0675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-1626.135</v>
      </c>
      <c r="W7" s="17"/>
      <c r="X7" s="15">
        <f>F7-G7</f>
        <v>-14887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6618</v>
      </c>
      <c r="D8" s="15">
        <v>471</v>
      </c>
      <c r="E8" s="15">
        <v>411</v>
      </c>
      <c r="F8" s="15">
        <v>4034</v>
      </c>
      <c r="G8" s="15">
        <v>18828</v>
      </c>
      <c r="H8" s="15">
        <v>49714</v>
      </c>
      <c r="I8" s="15">
        <v>6681.5</v>
      </c>
      <c r="J8" s="15">
        <v>856</v>
      </c>
      <c r="K8" s="15">
        <v>-563</v>
      </c>
      <c r="L8" s="15">
        <v>-222.55725</v>
      </c>
      <c r="M8" s="15">
        <v>-206.7775</v>
      </c>
      <c r="N8" s="15">
        <f>SUM(C5:C8)/4</f>
        <v>7258.25</v>
      </c>
      <c r="O8" s="15"/>
      <c r="P8" s="16"/>
      <c r="Q8" s="16"/>
      <c r="R8" s="16"/>
      <c r="S8" s="17"/>
      <c r="T8" s="15">
        <f>SUM(J5:K8)/4</f>
        <v>-125</v>
      </c>
      <c r="U8" s="25"/>
      <c r="V8" s="15">
        <f>-(L8+M8)+V7</f>
        <v>-1196.80025</v>
      </c>
      <c r="W8" s="17"/>
      <c r="X8" s="15">
        <f>F8-G8</f>
        <v>-14794</v>
      </c>
      <c r="Y8" s="24"/>
      <c r="Z8" s="15">
        <v>10350</v>
      </c>
      <c r="AA8" s="22"/>
      <c r="AB8" s="20">
        <v>13.761</v>
      </c>
    </row>
    <row r="9" ht="20.05" customHeight="1">
      <c r="B9" s="13"/>
      <c r="C9" s="14">
        <v>6690</v>
      </c>
      <c r="D9" s="15">
        <v>489</v>
      </c>
      <c r="E9" s="15">
        <v>554</v>
      </c>
      <c r="F9" s="15">
        <v>3105</v>
      </c>
      <c r="G9" s="15">
        <v>18540</v>
      </c>
      <c r="H9" s="15">
        <v>49169</v>
      </c>
      <c r="I9" s="15">
        <v>6740.2</v>
      </c>
      <c r="J9" s="15">
        <v>644</v>
      </c>
      <c r="K9" s="15">
        <v>-764</v>
      </c>
      <c r="L9" s="15">
        <v>2967</v>
      </c>
      <c r="M9" s="15">
        <v>-311.25</v>
      </c>
      <c r="N9" s="15">
        <f>SUM(C6:C9)/4</f>
        <v>7352</v>
      </c>
      <c r="O9" s="15"/>
      <c r="P9" s="16"/>
      <c r="Q9" s="16"/>
      <c r="R9" s="16"/>
      <c r="S9" s="17"/>
      <c r="T9" s="15">
        <f>SUM(J6:K9)/4</f>
        <v>169</v>
      </c>
      <c r="U9" s="25"/>
      <c r="V9" s="15">
        <f>-(L9+M9)+V8</f>
        <v>-3852.55025</v>
      </c>
      <c r="W9" s="17"/>
      <c r="X9" s="15">
        <f>F13-G9</f>
        <v>-15651</v>
      </c>
      <c r="Y9" s="24"/>
      <c r="Z9" s="15">
        <v>7125</v>
      </c>
      <c r="AA9" s="22"/>
      <c r="AB9" s="20">
        <v>14</v>
      </c>
    </row>
    <row r="10" ht="20.05" customHeight="1">
      <c r="B10" s="13"/>
      <c r="C10" s="14">
        <v>8147</v>
      </c>
      <c r="D10" s="15">
        <v>430</v>
      </c>
      <c r="E10" s="15">
        <v>1104</v>
      </c>
      <c r="F10" s="15">
        <v>4082</v>
      </c>
      <c r="G10" s="15">
        <v>19088</v>
      </c>
      <c r="H10" s="15">
        <v>50776</v>
      </c>
      <c r="I10" s="15">
        <v>7041.1</v>
      </c>
      <c r="J10" s="15">
        <v>850</v>
      </c>
      <c r="K10" s="15">
        <v>-235</v>
      </c>
      <c r="L10" s="15">
        <v>-1345.9</v>
      </c>
      <c r="M10" s="15">
        <v>-63.6</v>
      </c>
      <c r="N10" s="15">
        <f>SUM(C7:C10)/4</f>
        <v>7429.25</v>
      </c>
      <c r="O10" s="15"/>
      <c r="P10" s="16"/>
      <c r="Q10" s="16"/>
      <c r="R10" s="16"/>
      <c r="S10" s="17"/>
      <c r="T10" s="15">
        <f>SUM(J7:K10)/4</f>
        <v>278.25</v>
      </c>
      <c r="U10" s="25"/>
      <c r="V10" s="15">
        <f>-(L10+M10)+V9</f>
        <v>-2443.05025</v>
      </c>
      <c r="W10" s="17"/>
      <c r="X10" s="15">
        <f>F10-G10</f>
        <v>-15006</v>
      </c>
      <c r="Y10" s="24"/>
      <c r="Z10" s="15">
        <v>9925</v>
      </c>
      <c r="AA10" s="22"/>
      <c r="AB10" s="20">
        <v>14.902</v>
      </c>
    </row>
    <row r="11" ht="20.05" customHeight="1">
      <c r="B11" s="13"/>
      <c r="C11" s="14">
        <v>9233</v>
      </c>
      <c r="D11" s="15">
        <v>291</v>
      </c>
      <c r="E11" s="15">
        <v>1017</v>
      </c>
      <c r="F11" s="15">
        <v>5246</v>
      </c>
      <c r="G11" s="15">
        <v>18169</v>
      </c>
      <c r="H11" s="15">
        <v>50784</v>
      </c>
      <c r="I11" s="15">
        <v>9312</v>
      </c>
      <c r="J11" s="15">
        <v>2112</v>
      </c>
      <c r="K11" s="15">
        <v>-228</v>
      </c>
      <c r="L11" s="15">
        <v>-222.55725</v>
      </c>
      <c r="M11" s="15">
        <v>-206.7775</v>
      </c>
      <c r="N11" s="15">
        <f>SUM(C8:C11)/4</f>
        <v>7672</v>
      </c>
      <c r="O11" s="15"/>
      <c r="P11" s="16"/>
      <c r="Q11" s="16"/>
      <c r="R11" s="16"/>
      <c r="S11" s="17"/>
      <c r="T11" s="15">
        <f>SUM(J8:K11)/4</f>
        <v>668</v>
      </c>
      <c r="U11" s="25"/>
      <c r="V11" s="15">
        <f>-(L11+M11)+V10</f>
        <v>-2013.7155</v>
      </c>
      <c r="W11" s="17"/>
      <c r="X11" s="15">
        <f>F11-G11</f>
        <v>-12923</v>
      </c>
      <c r="Y11" s="24"/>
      <c r="Z11" s="15">
        <v>11500</v>
      </c>
      <c r="AA11" s="22"/>
      <c r="AB11" s="20">
        <v>14.38</v>
      </c>
    </row>
    <row r="12" ht="20.05" customHeight="1">
      <c r="B12" s="21">
        <v>2019</v>
      </c>
      <c r="C12" s="14">
        <v>8127</v>
      </c>
      <c r="D12" s="15">
        <v>499</v>
      </c>
      <c r="E12" s="15">
        <v>238</v>
      </c>
      <c r="F12" s="15">
        <v>6049</v>
      </c>
      <c r="G12" s="15">
        <v>43949</v>
      </c>
      <c r="H12" s="15">
        <v>77964</v>
      </c>
      <c r="I12" s="15">
        <v>7686.7</v>
      </c>
      <c r="J12" s="15">
        <v>379.5</v>
      </c>
      <c r="K12" s="15">
        <v>-13308</v>
      </c>
      <c r="L12" s="15">
        <v>2967</v>
      </c>
      <c r="M12" s="15">
        <v>-311.25</v>
      </c>
      <c r="N12" s="15">
        <f>SUM(C9:C12)/4</f>
        <v>8049.25</v>
      </c>
      <c r="O12" s="23"/>
      <c r="P12" s="16"/>
      <c r="Q12" s="16">
        <f>(E12+D12)/C12</f>
        <v>0.0906853697551372</v>
      </c>
      <c r="R12" s="16">
        <f>AVERAGE(Q9:Q12)</f>
        <v>0.0906853697551372</v>
      </c>
      <c r="S12" s="17"/>
      <c r="T12" s="15">
        <f>SUM(J9:K12)/4</f>
        <v>-2637.375</v>
      </c>
      <c r="U12" s="25"/>
      <c r="V12" s="15">
        <f>-(L12+M12)+V11</f>
        <v>-4669.4655</v>
      </c>
      <c r="W12" s="17"/>
      <c r="X12" s="15">
        <f>F12-G12</f>
        <v>-37900</v>
      </c>
      <c r="Y12" s="24"/>
      <c r="Z12" s="15">
        <v>13950</v>
      </c>
      <c r="AA12" s="22"/>
      <c r="AB12" s="20">
        <v>14.24</v>
      </c>
    </row>
    <row r="13" ht="20.05" customHeight="1">
      <c r="B13" s="13"/>
      <c r="C13" s="14">
        <v>8224</v>
      </c>
      <c r="D13" s="15">
        <v>693</v>
      </c>
      <c r="E13" s="15">
        <v>243</v>
      </c>
      <c r="F13" s="15">
        <v>2889</v>
      </c>
      <c r="G13" s="15">
        <v>45064</v>
      </c>
      <c r="H13" s="15">
        <v>76983</v>
      </c>
      <c r="I13" s="15">
        <v>8488.200000000001</v>
      </c>
      <c r="J13" s="15">
        <v>-678.5</v>
      </c>
      <c r="K13" s="15">
        <v>-3190</v>
      </c>
      <c r="L13" s="15">
        <v>2967</v>
      </c>
      <c r="M13" s="15">
        <v>-311.25</v>
      </c>
      <c r="N13" s="15">
        <f>SUM(C10:C13)/4</f>
        <v>8432.75</v>
      </c>
      <c r="O13" s="23"/>
      <c r="P13" s="16">
        <f>C13/C12-1</f>
        <v>0.0119355235634305</v>
      </c>
      <c r="Q13" s="16">
        <f>(E13+D13)/C13</f>
        <v>0.113813229571984</v>
      </c>
      <c r="R13" s="16">
        <f>AVERAGE(Q10:Q13)</f>
        <v>0.102249299663561</v>
      </c>
      <c r="S13" s="17"/>
      <c r="T13" s="15">
        <f>SUM(J10:K13)/4</f>
        <v>-3574.5</v>
      </c>
      <c r="U13" s="25"/>
      <c r="V13" s="15">
        <f>-(L13+M13)+V12</f>
        <v>-7325.2155</v>
      </c>
      <c r="W13" s="17"/>
      <c r="X13" s="15">
        <f>F13-G13</f>
        <v>-42175</v>
      </c>
      <c r="Y13" s="24"/>
      <c r="Z13" s="15">
        <v>11575</v>
      </c>
      <c r="AA13" s="24"/>
      <c r="AB13" s="15">
        <v>14.127</v>
      </c>
    </row>
    <row r="14" ht="20.05" customHeight="1">
      <c r="B14" s="13"/>
      <c r="C14" s="14">
        <v>11772</v>
      </c>
      <c r="D14" s="15">
        <v>779</v>
      </c>
      <c r="E14" s="15">
        <v>805</v>
      </c>
      <c r="F14" s="15">
        <v>3436</v>
      </c>
      <c r="G14" s="15">
        <v>47636</v>
      </c>
      <c r="H14" s="15">
        <v>80596</v>
      </c>
      <c r="I14" s="15">
        <v>11613.2</v>
      </c>
      <c r="J14" s="15">
        <v>1451.5</v>
      </c>
      <c r="K14" s="15">
        <v>-278</v>
      </c>
      <c r="L14" s="15">
        <v>2967</v>
      </c>
      <c r="M14" s="15">
        <v>-311.25</v>
      </c>
      <c r="N14" s="15">
        <f>SUM(C11:C14)/4</f>
        <v>9339</v>
      </c>
      <c r="O14" s="23"/>
      <c r="P14" s="16">
        <f>C14/C13-1</f>
        <v>0.431420233463035</v>
      </c>
      <c r="Q14" s="16">
        <f>(E14+D14)/C14</f>
        <v>0.134556574923547</v>
      </c>
      <c r="R14" s="16">
        <f>AVERAGE(Q11:Q14)</f>
        <v>0.113018391416889</v>
      </c>
      <c r="S14" s="17"/>
      <c r="T14" s="15">
        <f>SUM(J11:K14)/4</f>
        <v>-3434.875</v>
      </c>
      <c r="U14" s="25"/>
      <c r="V14" s="15">
        <f>-(L14+M14)+V13</f>
        <v>-9980.9655</v>
      </c>
      <c r="W14" s="17"/>
      <c r="X14" s="15">
        <f>F14-G14</f>
        <v>-44200</v>
      </c>
      <c r="Y14" s="24"/>
      <c r="Z14" s="15">
        <v>11550</v>
      </c>
      <c r="AA14" s="24"/>
      <c r="AB14" s="15">
        <v>14.195</v>
      </c>
    </row>
    <row r="15" ht="20.05" customHeight="1">
      <c r="B15" s="13"/>
      <c r="C15" s="14">
        <v>12245</v>
      </c>
      <c r="D15" s="15">
        <v>524</v>
      </c>
      <c r="E15" s="15">
        <v>1085</v>
      </c>
      <c r="F15" s="15">
        <v>3950</v>
      </c>
      <c r="G15" s="15">
        <v>45915</v>
      </c>
      <c r="H15" s="15">
        <v>79807</v>
      </c>
      <c r="I15" s="15">
        <v>12682.1</v>
      </c>
      <c r="J15" s="15">
        <v>4118.5</v>
      </c>
      <c r="K15" s="15">
        <v>-385</v>
      </c>
      <c r="L15" s="15">
        <v>2967</v>
      </c>
      <c r="M15" s="15">
        <v>-311.25</v>
      </c>
      <c r="N15" s="15">
        <f>SUM(C12:C15)/4</f>
        <v>10092</v>
      </c>
      <c r="O15" s="15">
        <v>10685.975</v>
      </c>
      <c r="P15" s="16">
        <f>C15/C14-1</f>
        <v>0.040180088345226</v>
      </c>
      <c r="Q15" s="16">
        <f>(E15+D15)/C15</f>
        <v>0.131400571661903</v>
      </c>
      <c r="R15" s="16">
        <f>AVERAGE(Q12:Q15)</f>
        <v>0.117613936478143</v>
      </c>
      <c r="S15" s="17"/>
      <c r="T15" s="15">
        <f>SUM(J12:K15)/4</f>
        <v>-2972.5</v>
      </c>
      <c r="U15" s="25"/>
      <c r="V15" s="15">
        <f>-(L15+M15)+V14</f>
        <v>-12636.7155</v>
      </c>
      <c r="W15" s="17"/>
      <c r="X15" s="15">
        <f>F15-G15</f>
        <v>-41965</v>
      </c>
      <c r="Y15" s="24"/>
      <c r="Z15" s="15">
        <v>12000</v>
      </c>
      <c r="AA15" s="24"/>
      <c r="AB15" s="15">
        <v>13.882</v>
      </c>
    </row>
    <row r="16" ht="20.05" customHeight="1">
      <c r="B16" s="21">
        <v>2020</v>
      </c>
      <c r="C16" s="14">
        <v>8580</v>
      </c>
      <c r="D16" s="15">
        <v>797</v>
      </c>
      <c r="E16" s="15">
        <v>425</v>
      </c>
      <c r="F16" s="15">
        <v>3235</v>
      </c>
      <c r="G16" s="15">
        <v>44564</v>
      </c>
      <c r="H16" s="15">
        <v>79284</v>
      </c>
      <c r="I16" s="15">
        <v>8955.799999999999</v>
      </c>
      <c r="J16" s="15">
        <v>1006.75</v>
      </c>
      <c r="K16" s="15">
        <v>-361</v>
      </c>
      <c r="L16" s="15">
        <v>-1345.9</v>
      </c>
      <c r="M16" s="15">
        <v>-63.6</v>
      </c>
      <c r="N16" s="15">
        <f>SUM(C13:C16)/4</f>
        <v>10205.25</v>
      </c>
      <c r="O16" s="15">
        <v>10374.7833333333</v>
      </c>
      <c r="P16" s="16">
        <f>C16/C15-1</f>
        <v>-0.299305839118007</v>
      </c>
      <c r="Q16" s="16">
        <f>(E16+D16)/C16</f>
        <v>0.142424242424242</v>
      </c>
      <c r="R16" s="16">
        <f>AVERAGE(Q13:Q16)</f>
        <v>0.130548654645419</v>
      </c>
      <c r="S16" s="17"/>
      <c r="T16" s="15">
        <f>SUM(J13:K16)/4</f>
        <v>421.0625</v>
      </c>
      <c r="U16" s="25"/>
      <c r="V16" s="15">
        <f>-(L16+M16)+V15</f>
        <v>-11227.2155</v>
      </c>
      <c r="W16" s="17"/>
      <c r="X16" s="15">
        <f>F16-G16</f>
        <v>-41329</v>
      </c>
      <c r="Y16" s="24"/>
      <c r="Z16" s="15">
        <v>7625</v>
      </c>
      <c r="AA16" s="24"/>
      <c r="AB16" s="15">
        <v>16.31</v>
      </c>
    </row>
    <row r="17" ht="20.05" customHeight="1">
      <c r="B17" s="13"/>
      <c r="C17" s="14">
        <v>7446</v>
      </c>
      <c r="D17" s="15">
        <v>558</v>
      </c>
      <c r="E17" s="15">
        <v>181</v>
      </c>
      <c r="F17" s="15">
        <v>3345</v>
      </c>
      <c r="G17" s="15">
        <v>43928</v>
      </c>
      <c r="H17" s="15">
        <v>78299</v>
      </c>
      <c r="I17" s="15">
        <v>8009.2</v>
      </c>
      <c r="J17" s="15">
        <v>1168.75</v>
      </c>
      <c r="K17" s="15">
        <v>-256</v>
      </c>
      <c r="L17" s="15">
        <v>-1345.9</v>
      </c>
      <c r="M17" s="15">
        <v>-63.6</v>
      </c>
      <c r="N17" s="15">
        <f>SUM(C14:C17)/4</f>
        <v>10010.75</v>
      </c>
      <c r="O17" s="15">
        <v>9857.647499999999</v>
      </c>
      <c r="P17" s="16">
        <f>C17/C16-1</f>
        <v>-0.132167832167832</v>
      </c>
      <c r="Q17" s="16">
        <f>(E17+D17)/C17</f>
        <v>0.09924791834542041</v>
      </c>
      <c r="R17" s="16">
        <f>AVERAGE(Q14:Q17)</f>
        <v>0.126907326838778</v>
      </c>
      <c r="S17" s="17"/>
      <c r="T17" s="25">
        <f>SUM(J14:K17)/4</f>
        <v>1616.375</v>
      </c>
      <c r="U17" s="25"/>
      <c r="V17" s="15">
        <f>-(L17+M17)+V16</f>
        <v>-9817.7155</v>
      </c>
      <c r="W17" s="17"/>
      <c r="X17" s="15">
        <f>F17-G17</f>
        <v>-40583</v>
      </c>
      <c r="Y17" s="24"/>
      <c r="Z17" s="15">
        <v>9625</v>
      </c>
      <c r="AA17" s="24"/>
      <c r="AB17" s="15">
        <v>14.255</v>
      </c>
    </row>
    <row r="18" ht="20.05" customHeight="1">
      <c r="B18" s="13"/>
      <c r="C18" s="14">
        <v>9599</v>
      </c>
      <c r="D18" s="15">
        <v>969.5</v>
      </c>
      <c r="E18" s="15">
        <v>935.1</v>
      </c>
      <c r="F18" s="15">
        <v>4483</v>
      </c>
      <c r="G18" s="15">
        <v>44903</v>
      </c>
      <c r="H18" s="15">
        <v>80217</v>
      </c>
      <c r="I18" s="15">
        <v>9562.700000000001</v>
      </c>
      <c r="J18" s="15">
        <v>2632.35</v>
      </c>
      <c r="K18" s="15">
        <v>-349</v>
      </c>
      <c r="L18" s="15">
        <v>-1345.9</v>
      </c>
      <c r="M18" s="15">
        <v>-63.6</v>
      </c>
      <c r="N18" s="15">
        <f>SUM(C15:C18)/4</f>
        <v>9467.5</v>
      </c>
      <c r="O18" s="15">
        <v>9525.805</v>
      </c>
      <c r="P18" s="16">
        <f>C18/C17-1</f>
        <v>0.289148536126779</v>
      </c>
      <c r="Q18" s="16">
        <f>(E18+D18)/C18</f>
        <v>0.198416501718929</v>
      </c>
      <c r="R18" s="16">
        <f>AVERAGE(Q15:Q18)</f>
        <v>0.142872308537624</v>
      </c>
      <c r="S18" s="17"/>
      <c r="T18" s="25">
        <f>SUM(J15:K18)/4</f>
        <v>1893.8375</v>
      </c>
      <c r="U18" s="25"/>
      <c r="V18" s="15">
        <f>-(L18+M18)+V17</f>
        <v>-8408.2155</v>
      </c>
      <c r="W18" s="17"/>
      <c r="X18" s="15">
        <f>F18-G18</f>
        <v>-40420</v>
      </c>
      <c r="Y18" s="24"/>
      <c r="Z18" s="15">
        <v>9175</v>
      </c>
      <c r="AA18" s="24"/>
      <c r="AB18" s="15">
        <v>14.79</v>
      </c>
    </row>
    <row r="19" ht="20.05" customHeight="1">
      <c r="B19" s="13"/>
      <c r="C19" s="14">
        <v>9546.700000000001</v>
      </c>
      <c r="D19" s="15">
        <v>1099.8</v>
      </c>
      <c r="E19" s="15">
        <v>1133.2</v>
      </c>
      <c r="F19" s="15">
        <v>2931</v>
      </c>
      <c r="G19" s="15">
        <v>42353</v>
      </c>
      <c r="H19" s="15">
        <v>78006</v>
      </c>
      <c r="I19" s="15">
        <v>9025.5</v>
      </c>
      <c r="J19" s="15">
        <v>2048.45</v>
      </c>
      <c r="K19" s="15">
        <v>-1285.2</v>
      </c>
      <c r="L19" s="15">
        <v>-1345.9</v>
      </c>
      <c r="M19" s="15">
        <v>-63.6</v>
      </c>
      <c r="N19" s="15">
        <f>SUM(C16:C19)/4</f>
        <v>8792.924999999999</v>
      </c>
      <c r="O19" s="15">
        <v>9068.815000000001</v>
      </c>
      <c r="P19" s="16">
        <f>C19/C18-1</f>
        <v>-0.00544848421710595</v>
      </c>
      <c r="Q19" s="16">
        <f>(E19+D19)/C19</f>
        <v>0.233902814585145</v>
      </c>
      <c r="R19" s="16">
        <f>AVERAGE(Q16:Q19)</f>
        <v>0.168497869268434</v>
      </c>
      <c r="S19" s="17"/>
      <c r="T19" s="25">
        <f>SUM(J16:K19)/4</f>
        <v>1151.275</v>
      </c>
      <c r="U19" s="25"/>
      <c r="V19" s="15">
        <f>-(L19+M19)+V18</f>
        <v>-6998.7155</v>
      </c>
      <c r="W19" s="17"/>
      <c r="X19" s="15">
        <f>F19-G19</f>
        <v>-39422</v>
      </c>
      <c r="Y19" s="24"/>
      <c r="Z19" s="15">
        <v>12425</v>
      </c>
      <c r="AA19" s="24"/>
      <c r="AB19" s="15">
        <v>14.1</v>
      </c>
    </row>
    <row r="20" ht="20.05" customHeight="1">
      <c r="B20" s="21">
        <v>2021</v>
      </c>
      <c r="C20" s="14">
        <v>8076.7</v>
      </c>
      <c r="D20" s="15">
        <v>811.9</v>
      </c>
      <c r="E20" s="15">
        <v>446.1</v>
      </c>
      <c r="F20" s="15">
        <v>3805</v>
      </c>
      <c r="G20" s="15">
        <v>41629</v>
      </c>
      <c r="H20" s="15">
        <v>78427</v>
      </c>
      <c r="I20" s="15">
        <v>8183</v>
      </c>
      <c r="J20" s="15">
        <v>1648.3</v>
      </c>
      <c r="K20" s="15">
        <v>-300.8</v>
      </c>
      <c r="L20" s="15">
        <v>-489</v>
      </c>
      <c r="M20" s="15">
        <v>0</v>
      </c>
      <c r="N20" s="15">
        <f>SUM(C17:C20)/4</f>
        <v>8667.1</v>
      </c>
      <c r="O20" s="15">
        <v>9017.389999999999</v>
      </c>
      <c r="P20" s="16">
        <f>C20/C19-1</f>
        <v>-0.153979909288026</v>
      </c>
      <c r="Q20" s="16">
        <f>(E20+D20)/C20</f>
        <v>0.15575668280362</v>
      </c>
      <c r="R20" s="16">
        <f>AVERAGE(Q17:Q20)</f>
        <v>0.171830979363279</v>
      </c>
      <c r="S20" s="17"/>
      <c r="T20" s="25">
        <f>SUM(J17:K20)/4</f>
        <v>1326.7125</v>
      </c>
      <c r="U20" s="25"/>
      <c r="V20" s="15">
        <f>-(L20+M20)+V19</f>
        <v>-6509.7155</v>
      </c>
      <c r="W20" s="17"/>
      <c r="X20" s="15">
        <f>F20-G20</f>
        <v>-37824</v>
      </c>
      <c r="Y20" s="15"/>
      <c r="Z20" s="15">
        <v>10235.334961</v>
      </c>
      <c r="AA20" s="15"/>
      <c r="AB20" s="15">
        <v>14.606</v>
      </c>
    </row>
    <row r="21" ht="20.05" customHeight="1">
      <c r="B21" s="13"/>
      <c r="C21" s="14">
        <v>8136.6</v>
      </c>
      <c r="D21" s="15">
        <v>732.4</v>
      </c>
      <c r="E21" s="15">
        <v>342.8</v>
      </c>
      <c r="F21" s="15">
        <v>2500</v>
      </c>
      <c r="G21" s="15">
        <v>37907</v>
      </c>
      <c r="H21" s="15">
        <v>75028</v>
      </c>
      <c r="I21" s="15">
        <v>8155.4</v>
      </c>
      <c r="J21" s="15">
        <v>454.7</v>
      </c>
      <c r="K21" s="15">
        <v>756.9</v>
      </c>
      <c r="L21" s="15">
        <v>-1381</v>
      </c>
      <c r="M21" s="15">
        <v>-1133</v>
      </c>
      <c r="N21" s="15">
        <f>SUM(C18:C21)/4</f>
        <v>8839.75</v>
      </c>
      <c r="O21" s="15">
        <v>8980.196749999999</v>
      </c>
      <c r="P21" s="16">
        <f>C21/C20-1</f>
        <v>0.0074163953099657</v>
      </c>
      <c r="Q21" s="16">
        <f>(E21+D21)/C21</f>
        <v>0.132143647223656</v>
      </c>
      <c r="R21" s="16">
        <f>AVERAGE(Q18:Q21)</f>
        <v>0.180054911582838</v>
      </c>
      <c r="S21" s="17"/>
      <c r="T21" s="25">
        <f>SUM(J18:K21)/4</f>
        <v>1401.425</v>
      </c>
      <c r="U21" s="25"/>
      <c r="V21" s="15">
        <f>-(L21+M21)+V20</f>
        <v>-3995.7155</v>
      </c>
      <c r="W21" s="17"/>
      <c r="X21" s="15">
        <f>F21-G21</f>
        <v>-35407</v>
      </c>
      <c r="Y21" s="15"/>
      <c r="Z21" s="15">
        <v>9325</v>
      </c>
      <c r="AA21" s="15"/>
      <c r="AB21" s="15">
        <v>14.45</v>
      </c>
    </row>
    <row r="22" ht="20.05" customHeight="1">
      <c r="B22" s="13"/>
      <c r="C22" s="14">
        <v>9117.200000000001</v>
      </c>
      <c r="D22" s="15">
        <v>849.5</v>
      </c>
      <c r="E22" s="15">
        <v>654.8</v>
      </c>
      <c r="F22" s="15">
        <v>3539</v>
      </c>
      <c r="G22" s="15">
        <v>35741</v>
      </c>
      <c r="H22" s="15">
        <v>76609</v>
      </c>
      <c r="I22" s="15">
        <v>8780.799999999999</v>
      </c>
      <c r="J22" s="15">
        <v>1737.9</v>
      </c>
      <c r="K22" s="15">
        <v>-426.4</v>
      </c>
      <c r="L22" s="15">
        <v>-3380</v>
      </c>
      <c r="M22" s="15">
        <v>3120</v>
      </c>
      <c r="N22" s="15">
        <f>SUM(C19:C22)/4</f>
        <v>8719.299999999999</v>
      </c>
      <c r="O22" s="15">
        <v>9105.634249999999</v>
      </c>
      <c r="P22" s="16">
        <f>C22/C21-1</f>
        <v>0.120517169333628</v>
      </c>
      <c r="Q22" s="16">
        <f>(E22+D22)/C22</f>
        <v>0.164995832053701</v>
      </c>
      <c r="R22" s="16">
        <f>AVERAGE(Q19:Q22)</f>
        <v>0.171699744166531</v>
      </c>
      <c r="S22" s="17"/>
      <c r="T22" s="25">
        <f>SUM(J19:K22)/4</f>
        <v>1158.4625</v>
      </c>
      <c r="U22" s="25"/>
      <c r="V22" s="15">
        <f>-(L22+M22)+V21</f>
        <v>-3735.7155</v>
      </c>
      <c r="W22" s="17"/>
      <c r="X22" s="15">
        <f>F22-G22</f>
        <v>-32202</v>
      </c>
      <c r="Y22" s="15"/>
      <c r="Z22" s="15">
        <v>8100</v>
      </c>
      <c r="AA22" s="15"/>
      <c r="AB22" s="15">
        <v>14.328</v>
      </c>
    </row>
    <row r="23" ht="20.05" customHeight="1">
      <c r="B23" s="13"/>
      <c r="C23" s="14">
        <v>9627.5</v>
      </c>
      <c r="D23" s="15">
        <v>859.2</v>
      </c>
      <c r="E23" s="15">
        <v>638.3</v>
      </c>
      <c r="F23" s="15">
        <v>2470</v>
      </c>
      <c r="G23" s="15">
        <v>34940</v>
      </c>
      <c r="H23" s="15">
        <v>76504</v>
      </c>
      <c r="I23" s="15">
        <v>9648.799999999999</v>
      </c>
      <c r="J23" s="15">
        <v>2307.1</v>
      </c>
      <c r="K23" s="15">
        <v>-1818.7</v>
      </c>
      <c r="L23" s="15">
        <v>-1539</v>
      </c>
      <c r="M23" s="15">
        <v>-15</v>
      </c>
      <c r="N23" s="15">
        <f>SUM(C20:C23)/4</f>
        <v>8739.5</v>
      </c>
      <c r="O23" s="15">
        <v>9183.09425</v>
      </c>
      <c r="P23" s="16">
        <f>C23/C22-1</f>
        <v>0.0559711314877375</v>
      </c>
      <c r="Q23" s="16">
        <f>(E23+D23)/C23</f>
        <v>0.155544014541677</v>
      </c>
      <c r="R23" s="16">
        <f>AVERAGE(Q20:Q23)</f>
        <v>0.152110044155664</v>
      </c>
      <c r="S23" s="17"/>
      <c r="T23" s="25">
        <f>SUM(J20:K23)/4</f>
        <v>1089.75</v>
      </c>
      <c r="U23" s="25"/>
      <c r="V23" s="15">
        <f>-(L23+M23)+V22</f>
        <v>-2181.7155</v>
      </c>
      <c r="W23" s="17"/>
      <c r="X23" s="15">
        <f>F23-G23</f>
        <v>-32470</v>
      </c>
      <c r="Y23" s="15"/>
      <c r="Z23" s="15">
        <v>7250</v>
      </c>
      <c r="AA23" s="15"/>
      <c r="AB23" s="15">
        <v>14.275</v>
      </c>
    </row>
    <row r="24" ht="20.05" customHeight="1">
      <c r="B24" s="21">
        <v>2022</v>
      </c>
      <c r="C24" s="14">
        <v>8137</v>
      </c>
      <c r="D24" s="15">
        <v>789</v>
      </c>
      <c r="E24" s="15">
        <v>523.5</v>
      </c>
      <c r="F24" s="15">
        <v>2545</v>
      </c>
      <c r="G24" s="15">
        <v>35396</v>
      </c>
      <c r="H24" s="15">
        <v>76514</v>
      </c>
      <c r="I24" s="15">
        <v>8298</v>
      </c>
      <c r="J24" s="15">
        <v>383.6</v>
      </c>
      <c r="K24" s="15">
        <v>-260.8</v>
      </c>
      <c r="L24" s="15">
        <v>-5</v>
      </c>
      <c r="M24" s="15">
        <v>-45</v>
      </c>
      <c r="N24" s="15">
        <f>SUM(C21:C24)/4</f>
        <v>8754.575000000001</v>
      </c>
      <c r="O24" s="15">
        <v>8962.606750000001</v>
      </c>
      <c r="P24" s="16">
        <f>C24/C23-1</f>
        <v>-0.154816930667359</v>
      </c>
      <c r="Q24" s="16">
        <f>(E24+D24)/C24</f>
        <v>0.16130023350129</v>
      </c>
      <c r="R24" s="16">
        <f>AVERAGE(Q21:Q24)</f>
        <v>0.153495931830081</v>
      </c>
      <c r="S24" s="35"/>
      <c r="T24" s="25">
        <f>SUM(J21:K24)/4</f>
        <v>783.575</v>
      </c>
      <c r="U24" s="15">
        <v>1221.876437499990</v>
      </c>
      <c r="V24" s="15">
        <f>-(L24+M24)+V23</f>
        <v>-2131.7155</v>
      </c>
      <c r="W24" s="15"/>
      <c r="X24" s="15">
        <f>F24-G24</f>
        <v>-32851</v>
      </c>
      <c r="Y24" s="15">
        <v>-28932.66318125</v>
      </c>
      <c r="Z24" s="15">
        <v>6650</v>
      </c>
      <c r="AA24" s="15"/>
      <c r="AB24" s="15">
        <v>14.327</v>
      </c>
    </row>
    <row r="25" ht="20.05" customHeight="1">
      <c r="B25" s="13"/>
      <c r="C25" s="14">
        <v>7739.2</v>
      </c>
      <c r="D25" s="15">
        <v>805.6</v>
      </c>
      <c r="E25" s="15">
        <v>344.7</v>
      </c>
      <c r="F25" s="15">
        <v>1990</v>
      </c>
      <c r="G25" s="15">
        <v>31640</v>
      </c>
      <c r="H25" s="15">
        <v>73410</v>
      </c>
      <c r="I25" s="15">
        <v>8764.200000000001</v>
      </c>
      <c r="J25" s="15">
        <v>636.8</v>
      </c>
      <c r="K25" s="15">
        <v>868.7</v>
      </c>
      <c r="L25" s="15">
        <v>-1043.1</v>
      </c>
      <c r="M25" s="15">
        <v>-1019.5</v>
      </c>
      <c r="N25" s="15">
        <f>SUM(C22:C25)/4</f>
        <v>8655.225</v>
      </c>
      <c r="O25" s="15">
        <v>8977.8325</v>
      </c>
      <c r="P25" s="16">
        <f>C25/C24-1</f>
        <v>-0.0488877964851911</v>
      </c>
      <c r="Q25" s="16">
        <f>(E25+D25)/C25</f>
        <v>0.148632933636552</v>
      </c>
      <c r="R25" s="16">
        <f>AVERAGE(Q22:Q25)</f>
        <v>0.157618253433305</v>
      </c>
      <c r="S25" s="35"/>
      <c r="T25" s="25">
        <f>SUM(J22:K25)/4</f>
        <v>857.05</v>
      </c>
      <c r="U25" s="15">
        <v>1208.0078125</v>
      </c>
      <c r="V25" s="15">
        <f>-(L25+M25)+V24</f>
        <v>-69.1155</v>
      </c>
      <c r="W25" s="15"/>
      <c r="X25" s="15">
        <f>F25-G25</f>
        <v>-29650</v>
      </c>
      <c r="Y25" s="15">
        <v>-28523.45796875</v>
      </c>
      <c r="Z25" s="15">
        <v>7125</v>
      </c>
      <c r="AA25" s="15">
        <v>11240.9779948259</v>
      </c>
      <c r="AB25" s="15">
        <v>14.66</v>
      </c>
    </row>
    <row r="26" ht="20.05" customHeight="1">
      <c r="B26" s="13"/>
      <c r="C26" s="14">
        <v>9404.799999999999</v>
      </c>
      <c r="D26" s="15">
        <v>749.4</v>
      </c>
      <c r="E26" s="15">
        <v>863.8</v>
      </c>
      <c r="F26" s="15">
        <v>2435</v>
      </c>
      <c r="G26" s="15">
        <v>31585</v>
      </c>
      <c r="H26" s="15">
        <v>74057</v>
      </c>
      <c r="I26" s="15">
        <v>8848.799999999999</v>
      </c>
      <c r="J26" s="15">
        <v>1899.6</v>
      </c>
      <c r="K26" s="15">
        <v>-411.9</v>
      </c>
      <c r="L26" s="15">
        <v>-1050.9</v>
      </c>
      <c r="M26" s="15">
        <v>0.5</v>
      </c>
      <c r="N26" s="15">
        <f>SUM(C23:C26)/4</f>
        <v>8727.125</v>
      </c>
      <c r="O26" s="15">
        <v>9008.950999999999</v>
      </c>
      <c r="P26" s="16">
        <f>C26/C25-1</f>
        <v>0.215216043001861</v>
      </c>
      <c r="Q26" s="16">
        <f>(E26+D26)/C26</f>
        <v>0.171529431779517</v>
      </c>
      <c r="R26" s="16">
        <f>AVERAGE(Q23:Q26)</f>
        <v>0.159251653364759</v>
      </c>
      <c r="S26" s="35">
        <f>S27</f>
        <v>0.171529431779517</v>
      </c>
      <c r="T26" s="25">
        <f>SUM(J23:K26)/4</f>
        <v>901.1</v>
      </c>
      <c r="U26" s="15">
        <v>1078.406436612750</v>
      </c>
      <c r="V26" s="15">
        <f>-(L26+M26)+V25</f>
        <v>981.2845</v>
      </c>
      <c r="W26" s="15">
        <f>W27</f>
        <v>5633.95337492</v>
      </c>
      <c r="X26" s="15">
        <f>F26-G26</f>
        <v>-29150</v>
      </c>
      <c r="Y26" s="15">
        <v>-25878.5419774843</v>
      </c>
      <c r="Z26" s="15">
        <v>7475</v>
      </c>
      <c r="AA26" s="15">
        <v>12321.0639393336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9182.48957272</v>
      </c>
      <c r="P27" s="17"/>
      <c r="Q27" s="17"/>
      <c r="R27" s="17"/>
      <c r="S27" s="35">
        <f>AE53</f>
        <v>0.171529431779517</v>
      </c>
      <c r="T27" s="25"/>
      <c r="U27" s="15">
        <f>SUM(AE55:AH55)/4</f>
        <v>1163.16721873</v>
      </c>
      <c r="V27" s="17"/>
      <c r="W27" s="15">
        <f>-SUM(AE76:AH76)+V26</f>
        <v>5633.95337492</v>
      </c>
      <c r="X27" s="26"/>
      <c r="Y27" s="15">
        <f>AH75</f>
        <v>-24497.33112508</v>
      </c>
      <c r="Z27" s="15">
        <v>7200</v>
      </c>
      <c r="AA27" s="15">
        <v>11740.527563037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SUM(N15:N26)</f>
        <v>109671</v>
      </c>
      <c r="O28" s="15">
        <f>SUM(O15:O26)</f>
        <v>112748.731333333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10336.9054776145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232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0.0168706118342621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0.0559711314877375</v>
      </c>
      <c r="AF50" s="35">
        <f>P24</f>
        <v>-0.154816930667359</v>
      </c>
      <c r="AG50" s="35">
        <f>P25</f>
        <v>-0.0488877964851911</v>
      </c>
      <c r="AH50" s="35">
        <f>P26</f>
        <v>0.215216043001861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489</v>
      </c>
      <c r="AD51" s="37"/>
      <c r="AE51" s="35">
        <v>0.06</v>
      </c>
      <c r="AF51" s="35">
        <v>-0.13</v>
      </c>
      <c r="AG51" s="35">
        <v>-0.03</v>
      </c>
      <c r="AH51" s="35">
        <v>0.15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9404.799999999999</v>
      </c>
      <c r="AE52" s="23">
        <f>C26*(1+AE51)</f>
        <v>9969.088</v>
      </c>
      <c r="AF52" s="23">
        <f>AE52*(1+AF51)</f>
        <v>8673.10656</v>
      </c>
      <c r="AG52" s="23">
        <f>AF52*(1+AG51)</f>
        <v>8412.913363199999</v>
      </c>
      <c r="AH52" s="23">
        <f>AG52*(1+AH51)</f>
        <v>9674.850367679999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0.171529431779517</v>
      </c>
      <c r="AF53" s="35">
        <f>AE53</f>
        <v>0.171529431779517</v>
      </c>
      <c r="AG53" s="35">
        <f>AF53</f>
        <v>0.171529431779517</v>
      </c>
      <c r="AH53" s="35">
        <f>AG53</f>
        <v>0.171529431779517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-411.9</v>
      </c>
      <c r="AF54" s="15">
        <f>AE54</f>
        <v>-411.9</v>
      </c>
      <c r="AG54" s="15">
        <f>AF54</f>
        <v>-411.9</v>
      </c>
      <c r="AH54" s="15">
        <f>AG54</f>
        <v>-411.9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1298.092</v>
      </c>
      <c r="AF55" s="15">
        <f>(AF52*AF53)+AF54</f>
        <v>1075.79304</v>
      </c>
      <c r="AG55" s="15">
        <f>(AG52*AG53)+AG54</f>
        <v>1031.1622488</v>
      </c>
      <c r="AH55" s="15">
        <f>(AH52*AH53)+AH54</f>
        <v>1247.62158612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-1579.25</v>
      </c>
      <c r="AF56" s="15">
        <f>-AE71/20</f>
        <v>-1500.2875</v>
      </c>
      <c r="AG56" s="15">
        <f>-AF71/20</f>
        <v>-1425.273125</v>
      </c>
      <c r="AH56" s="15">
        <f>-AG71/20</f>
        <v>-1354.00946875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-281.158</v>
      </c>
      <c r="AF59" s="15">
        <f>AF55+AF56+AF58</f>
        <v>-424.49446</v>
      </c>
      <c r="AG59" s="15">
        <f>AG55+AG56+AG58</f>
        <v>-394.1108762</v>
      </c>
      <c r="AH59" s="15">
        <f>AH55+AH56+AH58</f>
        <v>-106.38788263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281.158</v>
      </c>
      <c r="AF60" s="15">
        <f>-MIN(AE72,AF59)</f>
        <v>424.49446</v>
      </c>
      <c r="AG60" s="15">
        <f>-MIN(AF72,AG59)</f>
        <v>394.1108762</v>
      </c>
      <c r="AH60" s="15">
        <f>-MIN(AG72,AH59)</f>
        <v>106.38788263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2435</v>
      </c>
      <c r="AF61" s="15">
        <f>AE63</f>
        <v>2435</v>
      </c>
      <c r="AG61" s="15">
        <f>AF63</f>
        <v>2435</v>
      </c>
      <c r="AH61" s="15">
        <f>AG63</f>
        <v>2435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2435</v>
      </c>
      <c r="AF63" s="15">
        <f>AF61+AF62</f>
        <v>2435</v>
      </c>
      <c r="AG63" s="15">
        <f>AG61+AG62</f>
        <v>2435</v>
      </c>
      <c r="AH63" s="15">
        <f>AH61+AH62</f>
        <v>2435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-781.333333333333</v>
      </c>
      <c r="AF65" s="15">
        <f>AE65</f>
        <v>-781.333333333333</v>
      </c>
      <c r="AG65" s="15">
        <f>AF65</f>
        <v>-781.333333333333</v>
      </c>
      <c r="AH65" s="15">
        <f>AG65</f>
        <v>-781.333333333333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928.658666666669</v>
      </c>
      <c r="AF66" s="15">
        <f>(AF52*AF53)+AF65</f>
        <v>706.359706666668</v>
      </c>
      <c r="AG66" s="15">
        <f>(AG52*AG53)+AG65</f>
        <v>661.728915466668</v>
      </c>
      <c r="AH66" s="15">
        <f>(AH52*AH53)+AH65</f>
        <v>878.188252786669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72033.899999999994</v>
      </c>
      <c r="AF68" s="15">
        <f>AE68-AF54</f>
        <v>72445.8</v>
      </c>
      <c r="AG68" s="15">
        <f>AF68-AG54</f>
        <v>72857.7</v>
      </c>
      <c r="AH68" s="15">
        <f>AG68-AH54</f>
        <v>73269.600000000006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781.333333333333</v>
      </c>
      <c r="AF69" s="15">
        <f>AE69-AF65</f>
        <v>1562.666666666670</v>
      </c>
      <c r="AG69" s="15">
        <f>AF69-AG65</f>
        <v>2344</v>
      </c>
      <c r="AH69" s="15">
        <f>AG69-AH65</f>
        <v>3125.333333333330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71252.566666666695</v>
      </c>
      <c r="AF70" s="15">
        <f>AF68-AF69</f>
        <v>70883.1333333333</v>
      </c>
      <c r="AG70" s="15">
        <f>AG68-AG69</f>
        <v>70513.7</v>
      </c>
      <c r="AH70" s="15">
        <f>AH68-AH69</f>
        <v>70144.266666666706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30005.75</v>
      </c>
      <c r="AF71" s="15">
        <f>AE71+AF56</f>
        <v>28505.4625</v>
      </c>
      <c r="AG71" s="15">
        <f>AF71+AG56</f>
        <v>27080.189375</v>
      </c>
      <c r="AH71" s="15">
        <f>AG71+AH56</f>
        <v>25726.17990625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281.158</v>
      </c>
      <c r="AF72" s="15">
        <f>AE72+AF60</f>
        <v>705.65246</v>
      </c>
      <c r="AG72" s="15">
        <f>AF72+AG60</f>
        <v>1099.7633362</v>
      </c>
      <c r="AH72" s="15">
        <f>AG72+AH60</f>
        <v>1206.15121883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43400.6586666667</v>
      </c>
      <c r="AF73" s="15">
        <f>AE73+AF66+AF58</f>
        <v>44107.0183733334</v>
      </c>
      <c r="AG73" s="15">
        <f>AF73+AG66+AG58</f>
        <v>44768.7472888001</v>
      </c>
      <c r="AH73" s="15">
        <f>AG73+AH66+AH58</f>
        <v>45646.9355415868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1e-10</v>
      </c>
      <c r="AG74" s="15">
        <f>AG71+AG72+AG73-AG63-AG70</f>
        <v>1e-10</v>
      </c>
      <c r="AH74" s="15">
        <f>AH71+AH72+AH73-AH63-AH70</f>
        <v>1e-10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-27851.908</v>
      </c>
      <c r="AF75" s="15">
        <f>AF63-AF71-AF72</f>
        <v>-26776.11496</v>
      </c>
      <c r="AG75" s="15">
        <f>AG63-AG71-AG72</f>
        <v>-25744.9527112</v>
      </c>
      <c r="AH75" s="15">
        <f>AH63-AH71-AH72</f>
        <v>-24497.33112508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-1298.092</v>
      </c>
      <c r="AF76" s="15">
        <f>AF56+AF58+AF60</f>
        <v>-1075.79304</v>
      </c>
      <c r="AG76" s="15">
        <f>AG56+AG58+AG60</f>
        <v>-1031.1622488</v>
      </c>
      <c r="AH76" s="15">
        <f>AH56+AH58+AH60</f>
        <v>-1247.62158612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751</v>
      </c>
      <c r="AD78" s="14"/>
      <c r="AE78" s="15"/>
      <c r="AF78" s="15"/>
      <c r="AG78" s="15"/>
      <c r="AH78" s="15">
        <v>7200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751</v>
      </c>
      <c r="AD79" s="14"/>
      <c r="AE79" s="15"/>
      <c r="AF79" s="15"/>
      <c r="AG79" s="15"/>
      <c r="AH79" s="15">
        <v>48611089612800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48611.0896128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6.751540224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0.669765510804279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3604.4</v>
      </c>
      <c r="AH84" s="15">
        <f>SUM(AE55:AH55)</f>
        <v>4652.66887492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15.0761355584052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10.4480011192793</v>
      </c>
      <c r="AH86" s="15">
        <v>15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69790.033123800007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10336.9054776145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0.435681316335347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0.0315447725178783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0.0280633105682724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751</v>
      </c>
      <c r="AF94" t="s" s="44">
        <v>60</v>
      </c>
      <c r="AG94" s="15">
        <f>AH78</f>
        <v>7200</v>
      </c>
      <c r="AH94" t="s" s="44">
        <v>61</v>
      </c>
      <c r="AI94" s="15">
        <f>AH88</f>
        <v>10336.9054776145</v>
      </c>
      <c r="AJ94" t="s" s="44">
        <f>IF(AK94&gt;0,"+","")</f>
        <v>361</v>
      </c>
      <c r="AK94" s="16">
        <f>AI94/AG94-1</f>
        <v>0.435681316335347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0.0315447725178783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0.07414768993474501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0.0970354714854601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-0.599657408056214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0.215216043001861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0.120517169333628</v>
      </c>
      <c r="AF103" s="16">
        <f>P23</f>
        <v>0.0559711314877375</v>
      </c>
      <c r="AG103" s="16">
        <f>P24</f>
        <v>-0.154816930667359</v>
      </c>
      <c r="AH103" s="16">
        <f>P25</f>
        <v>-0.0488877964851911</v>
      </c>
      <c r="AI103" s="16">
        <f>P26</f>
        <v>0.215216043001861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9117.200000000001</v>
      </c>
      <c r="AF104" t="s" s="44">
        <v>72</v>
      </c>
      <c r="AG104" s="15">
        <f>C23</f>
        <v>9627.5</v>
      </c>
      <c r="AH104" t="s" s="44">
        <v>72</v>
      </c>
      <c r="AI104" s="15">
        <f>C24</f>
        <v>8137</v>
      </c>
      <c r="AJ104" t="s" s="44">
        <v>72</v>
      </c>
      <c r="AK104" s="15">
        <f>C25</f>
        <v>7739.2</v>
      </c>
      <c r="AL104" t="s" s="44">
        <v>72</v>
      </c>
      <c r="AM104" s="15">
        <f>C26</f>
        <v>9404.799999999999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0.215216043001861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9404.799999999999</v>
      </c>
      <c r="AM105" t="s" s="44">
        <v>372</v>
      </c>
      <c r="AN105" t="s" s="44">
        <v>373</v>
      </c>
      <c r="AO105" s="16">
        <f>AH91</f>
        <v>0.0280633105682724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0.0168706118342621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9674.850367679999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0.164995832053701</v>
      </c>
      <c r="AF110" s="16">
        <f>(D23+E23)/C23</f>
        <v>0.155544014541677</v>
      </c>
      <c r="AG110" s="16">
        <f>((E24+D24)/C24)</f>
        <v>0.16130023350129</v>
      </c>
      <c r="AH110" s="16">
        <f>(D25+E25)/C25</f>
        <v>0.148632933636552</v>
      </c>
      <c r="AI110" s="16">
        <f>(D26+E26)/C26</f>
        <v>0.171529431779517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654.8</v>
      </c>
      <c r="AF111" t="s" s="44">
        <v>72</v>
      </c>
      <c r="AG111" s="15">
        <f>E23</f>
        <v>638.3</v>
      </c>
      <c r="AH111" t="s" s="44">
        <v>72</v>
      </c>
      <c r="AI111" s="15">
        <f>E24</f>
        <v>523.5</v>
      </c>
      <c r="AJ111" t="s" s="44">
        <v>72</v>
      </c>
      <c r="AK111" s="15">
        <f>E25</f>
        <v>344.7</v>
      </c>
      <c r="AL111" t="s" s="44">
        <v>72</v>
      </c>
      <c r="AM111" s="15">
        <f>E26</f>
        <v>863.8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0.148632933636552</v>
      </c>
      <c r="AG112" t="s" s="44">
        <v>76</v>
      </c>
      <c r="AH112" s="16">
        <f>AI110</f>
        <v>0.171529431779517</v>
      </c>
      <c r="AI112" t="s" s="44">
        <v>90</v>
      </c>
      <c r="AJ112" s="15">
        <f>AK111</f>
        <v>344.7</v>
      </c>
      <c r="AK112" t="s" s="44">
        <v>76</v>
      </c>
      <c r="AL112" s="15">
        <f>AM111</f>
        <v>863.8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0.159251653364759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0.171529431779517</v>
      </c>
      <c r="AG114" t="s" s="44">
        <v>94</v>
      </c>
      <c r="AH114" s="15">
        <f>AH66</f>
        <v>878.188252786669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1737.9</v>
      </c>
      <c r="AF117" t="s" s="44">
        <v>72</v>
      </c>
      <c r="AG117" s="15">
        <f>J23</f>
        <v>2307.1</v>
      </c>
      <c r="AH117" t="s" s="44">
        <v>72</v>
      </c>
      <c r="AI117" s="15">
        <f>J24</f>
        <v>383.6</v>
      </c>
      <c r="AJ117" t="s" s="44">
        <v>72</v>
      </c>
      <c r="AK117" s="15">
        <f>J25</f>
        <v>636.8</v>
      </c>
      <c r="AL117" t="s" s="44">
        <v>72</v>
      </c>
      <c r="AM117" s="15">
        <f>J26</f>
        <v>1899.6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-426.4</v>
      </c>
      <c r="AF118" t="s" s="44">
        <v>72</v>
      </c>
      <c r="AG118" s="15">
        <f>K23</f>
        <v>-1818.7</v>
      </c>
      <c r="AH118" t="s" s="44">
        <v>72</v>
      </c>
      <c r="AI118" s="15">
        <f>K24</f>
        <v>-260.8</v>
      </c>
      <c r="AJ118" t="s" s="44">
        <v>72</v>
      </c>
      <c r="AK118" s="15">
        <f>K25</f>
        <v>868.7</v>
      </c>
      <c r="AL118" t="s" s="44">
        <v>72</v>
      </c>
      <c r="AM118" s="15">
        <f>K26</f>
        <v>-411.9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1505.5</v>
      </c>
      <c r="AG119" t="s" s="44">
        <v>76</v>
      </c>
      <c r="AH119" s="15">
        <f>AM117+AM118</f>
        <v>1487.7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-411.9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901.1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-411.9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1163.16721873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3539</v>
      </c>
      <c r="AF124" t="s" s="44">
        <v>72</v>
      </c>
      <c r="AG124" s="15">
        <f>F23</f>
        <v>2470</v>
      </c>
      <c r="AH124" t="s" s="44">
        <v>72</v>
      </c>
      <c r="AI124" s="15">
        <f>F24</f>
        <v>2545</v>
      </c>
      <c r="AJ124" t="s" s="44">
        <v>72</v>
      </c>
      <c r="AK124" s="15">
        <f>F25</f>
        <v>1990</v>
      </c>
      <c r="AL124" t="s" s="44">
        <v>72</v>
      </c>
      <c r="AM124" s="15">
        <f>F26</f>
        <v>2435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35741</v>
      </c>
      <c r="AF125" t="s" s="44">
        <v>72</v>
      </c>
      <c r="AG125" s="15">
        <f>G23</f>
        <v>34940</v>
      </c>
      <c r="AH125" t="s" s="44">
        <v>72</v>
      </c>
      <c r="AI125" s="15">
        <f>G24</f>
        <v>35396</v>
      </c>
      <c r="AJ125" t="s" s="44">
        <v>72</v>
      </c>
      <c r="AK125" s="15">
        <f>G25</f>
        <v>31640</v>
      </c>
      <c r="AL125" t="s" s="44">
        <v>72</v>
      </c>
      <c r="AM125" s="15">
        <f>G26</f>
        <v>31585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1990</v>
      </c>
      <c r="AH126" t="s" s="44">
        <v>76</v>
      </c>
      <c r="AI126" s="15">
        <f>AM124</f>
        <v>2435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31640</v>
      </c>
      <c r="AH127" t="s" s="44">
        <v>76</v>
      </c>
      <c r="AI127" s="15">
        <f>AM125</f>
        <v>31585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-29650</v>
      </c>
      <c r="AO127" t="s" s="44">
        <v>76</v>
      </c>
      <c r="AP127" s="15">
        <f>AI126-AI127</f>
        <v>-29150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-4652.66887492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-24497.33112508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3380</v>
      </c>
      <c r="AF131" t="s" s="44">
        <v>72</v>
      </c>
      <c r="AG131" s="15">
        <f>-L23</f>
        <v>1539</v>
      </c>
      <c r="AH131" t="s" s="44">
        <v>72</v>
      </c>
      <c r="AI131" s="15">
        <f>-L24</f>
        <v>5</v>
      </c>
      <c r="AJ131" t="s" s="44">
        <v>72</v>
      </c>
      <c r="AK131" s="15">
        <f>-L25</f>
        <v>1043.1</v>
      </c>
      <c r="AL131" t="s" s="44">
        <v>72</v>
      </c>
      <c r="AM131" s="15">
        <f>-L26</f>
        <v>1050.9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-3120</v>
      </c>
      <c r="AF132" t="s" s="44">
        <v>72</v>
      </c>
      <c r="AG132" s="15">
        <f>-M23</f>
        <v>15</v>
      </c>
      <c r="AH132" t="s" s="44">
        <v>72</v>
      </c>
      <c r="AI132" s="15">
        <f>-M24</f>
        <v>45</v>
      </c>
      <c r="AJ132" t="s" s="44">
        <v>72</v>
      </c>
      <c r="AK132" s="15">
        <f>-M25</f>
        <v>1019.5</v>
      </c>
      <c r="AL132" t="s" s="44">
        <v>72</v>
      </c>
      <c r="AM132" s="15">
        <f>-M26</f>
        <v>-0.5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751</v>
      </c>
      <c r="AF133" t="s" s="44">
        <f>IF(AG133&gt;0,"paid","(raised)")</f>
        <v>374</v>
      </c>
      <c r="AG133" s="15">
        <f>SUM(AM131:AM132)</f>
        <v>1050.4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1050.9</v>
      </c>
      <c r="AM133" t="s" s="44">
        <f>AM105</f>
        <v>372</v>
      </c>
      <c r="AN133" t="s" s="44">
        <v>123</v>
      </c>
      <c r="AO133" s="15">
        <f>AM132</f>
        <v>-0.5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4652.66887492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48611.0896128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0.669765510804279</v>
      </c>
      <c r="AK134" t="s" s="44">
        <v>130</v>
      </c>
      <c r="AL134" t="s" s="44">
        <v>131</v>
      </c>
      <c r="AM134" t="s" s="44">
        <v>132</v>
      </c>
      <c r="AN134" s="15">
        <f>AH85</f>
        <v>15.0761355584052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4652.66887492</v>
      </c>
      <c r="AG135" t="s" s="44">
        <f>AG134</f>
        <v>372</v>
      </c>
      <c r="AH135" t="s" s="44">
        <v>136</v>
      </c>
      <c r="AI135" s="15">
        <f>AF134/AF135</f>
        <v>10.4480011192793</v>
      </c>
      <c r="AJ135" t="s" s="44">
        <v>130</v>
      </c>
      <c r="AK135" t="s" s="44">
        <v>137</v>
      </c>
      <c r="AL135" t="s" s="44">
        <v>138</v>
      </c>
      <c r="AM135" s="15">
        <f>AH86</f>
        <v>15</v>
      </c>
      <c r="AN135" t="s" s="44">
        <v>139</v>
      </c>
      <c r="AO135" t="s" s="44">
        <v>140</v>
      </c>
      <c r="AP135" t="s" s="44">
        <v>141</v>
      </c>
      <c r="AQ135" s="16">
        <f>AK94</f>
        <v>0.435681316335347</v>
      </c>
      <c r="AR135" t="s" s="44">
        <f>IF(AQ135&gt;0,"higher","lower")</f>
        <v>363</v>
      </c>
      <c r="AS135" t="s" s="44">
        <v>142</v>
      </c>
      <c r="AT135" s="15">
        <f>AI94</f>
        <v>10336.9054776145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9117.200000000001</v>
      </c>
      <c r="AE137" s="15">
        <f>AG104</f>
        <v>9627.5</v>
      </c>
      <c r="AF137" s="15">
        <f>AI104</f>
        <v>8137</v>
      </c>
      <c r="AG137" s="15">
        <f>AK104</f>
        <v>7739.2</v>
      </c>
      <c r="AH137" s="15">
        <f>AM104</f>
        <v>9404.799999999999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1311.5</v>
      </c>
      <c r="AE138" s="15">
        <f>SUM(AG117:AG118)</f>
        <v>488.4</v>
      </c>
      <c r="AF138" s="15">
        <f>SUM(AI117:AI118)</f>
        <v>122.8</v>
      </c>
      <c r="AG138" s="15">
        <f>SUM(AK117:AK118)</f>
        <v>1505.5</v>
      </c>
      <c r="AH138" s="15">
        <f>SUM(AM117:AM118)</f>
        <v>1487.7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260</v>
      </c>
      <c r="AE139" s="15">
        <f>SUM(AG131:AG132)</f>
        <v>1554</v>
      </c>
      <c r="AF139" s="15">
        <f>SUM(AI131:AI132)</f>
        <v>50</v>
      </c>
      <c r="AG139" s="15">
        <f>SUM(AK131:AK132)</f>
        <v>2062.6</v>
      </c>
      <c r="AH139" s="15">
        <f>SUM(AM131:AM132)</f>
        <v>1050.4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-32202</v>
      </c>
      <c r="AE140" s="15">
        <f>(AG124-AG125)</f>
        <v>-32470</v>
      </c>
      <c r="AF140" s="15">
        <f>(AI124-AI125)</f>
        <v>-32851</v>
      </c>
      <c r="AG140" s="15">
        <f>(AK124-AK125)</f>
        <v>-29650</v>
      </c>
      <c r="AH140" s="15">
        <f>(AM124-AM125)</f>
        <v>-29150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10336.9054776145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86" customWidth="1"/>
    <col min="2" max="28" width="10.4844" style="386" customWidth="1"/>
    <col min="29" max="29" width="18.9766" style="387" customWidth="1"/>
    <col min="30" max="48" width="9" style="387" customWidth="1"/>
    <col min="49" max="16384" width="16.3516" style="387" customWidth="1"/>
  </cols>
  <sheetData>
    <row r="1" ht="11.65" customHeight="1"/>
    <row r="2" ht="27.65" customHeight="1">
      <c r="B2" t="s" s="2">
        <v>752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254</v>
      </c>
      <c r="AA3" t="s" s="3">
        <v>19</v>
      </c>
      <c r="AB3" t="s" s="3">
        <v>20</v>
      </c>
    </row>
    <row r="4" ht="20.25" customHeight="1">
      <c r="B4" s="6">
        <v>2017</v>
      </c>
      <c r="C4" s="7">
        <v>6648</v>
      </c>
      <c r="D4" s="8">
        <v>383</v>
      </c>
      <c r="E4" s="8">
        <v>491</v>
      </c>
      <c r="F4" s="8">
        <v>4338</v>
      </c>
      <c r="G4" s="8">
        <v>57991</v>
      </c>
      <c r="H4" s="8">
        <v>79106</v>
      </c>
      <c r="I4" s="8">
        <v>7366</v>
      </c>
      <c r="J4" s="8">
        <v>-1472</v>
      </c>
      <c r="K4" s="8">
        <v>-125</v>
      </c>
      <c r="L4" s="8">
        <v>465.25</v>
      </c>
      <c r="M4" s="8">
        <v>-13.25</v>
      </c>
      <c r="N4" s="8"/>
      <c r="O4" s="8"/>
      <c r="P4" s="9"/>
      <c r="Q4" s="9"/>
      <c r="R4" s="9"/>
      <c r="S4" s="9"/>
      <c r="T4" s="9"/>
      <c r="U4" s="9"/>
      <c r="V4" s="8">
        <f>-(L4+M4)</f>
        <v>-452</v>
      </c>
      <c r="W4" s="9"/>
      <c r="X4" s="8">
        <f>F4-G4</f>
        <v>-53653</v>
      </c>
      <c r="Y4" s="9"/>
      <c r="Z4" s="8">
        <v>8023.018555</v>
      </c>
      <c r="AA4" s="11"/>
      <c r="AB4" s="12">
        <v>13.3</v>
      </c>
    </row>
    <row r="5" ht="20.05" customHeight="1">
      <c r="B5" s="13"/>
      <c r="C5" s="14">
        <v>6547</v>
      </c>
      <c r="D5" s="15">
        <v>916</v>
      </c>
      <c r="E5" s="15">
        <v>334</v>
      </c>
      <c r="F5" s="15">
        <v>5572</v>
      </c>
      <c r="G5" s="15">
        <v>61284</v>
      </c>
      <c r="H5" s="15">
        <v>82758</v>
      </c>
      <c r="I5" s="15">
        <v>7366</v>
      </c>
      <c r="J5" s="15">
        <v>917</v>
      </c>
      <c r="K5" s="15">
        <v>-42</v>
      </c>
      <c r="L5" s="15">
        <v>465.25</v>
      </c>
      <c r="M5" s="15">
        <v>-13.25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-904</v>
      </c>
      <c r="W5" s="17"/>
      <c r="X5" s="15">
        <f>F5-G5</f>
        <v>-55712</v>
      </c>
      <c r="Y5" s="17"/>
      <c r="Z5" s="15">
        <v>9574.022461</v>
      </c>
      <c r="AA5" s="19"/>
      <c r="AB5" s="20">
        <v>13.327</v>
      </c>
    </row>
    <row r="6" ht="20.05" customHeight="1">
      <c r="B6" s="13"/>
      <c r="C6" s="14">
        <v>10163</v>
      </c>
      <c r="D6" s="15">
        <v>-675</v>
      </c>
      <c r="E6" s="15">
        <v>425</v>
      </c>
      <c r="F6" s="15">
        <v>4868</v>
      </c>
      <c r="G6" s="15">
        <v>64963</v>
      </c>
      <c r="H6" s="15">
        <v>86967</v>
      </c>
      <c r="I6" s="15">
        <v>7366</v>
      </c>
      <c r="J6" s="15">
        <v>-294</v>
      </c>
      <c r="K6" s="15">
        <v>-24</v>
      </c>
      <c r="L6" s="15">
        <v>465.25</v>
      </c>
      <c r="M6" s="15">
        <v>-13.25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-1356</v>
      </c>
      <c r="W6" s="17"/>
      <c r="X6" s="15">
        <f>F6-G6</f>
        <v>-60095</v>
      </c>
      <c r="Y6" s="17"/>
      <c r="Z6" s="15">
        <v>9973.982421999999</v>
      </c>
      <c r="AA6" s="19"/>
      <c r="AB6" s="20">
        <v>13.305</v>
      </c>
    </row>
    <row r="7" ht="20.05" customHeight="1">
      <c r="B7" s="13"/>
      <c r="C7" s="14">
        <v>9525</v>
      </c>
      <c r="D7" s="15">
        <v>216</v>
      </c>
      <c r="E7" s="15">
        <v>588</v>
      </c>
      <c r="F7" s="15">
        <v>4352</v>
      </c>
      <c r="G7" s="15">
        <v>66140</v>
      </c>
      <c r="H7" s="15">
        <v>89087</v>
      </c>
      <c r="I7" s="15">
        <v>7366</v>
      </c>
      <c r="J7" s="15">
        <v>-677</v>
      </c>
      <c r="K7" s="15">
        <v>898</v>
      </c>
      <c r="L7" s="15">
        <v>465.25</v>
      </c>
      <c r="M7" s="15">
        <v>-13.25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-1808</v>
      </c>
      <c r="W7" s="17"/>
      <c r="X7" s="15">
        <f>F7-G7</f>
        <v>-61788</v>
      </c>
      <c r="Y7" s="17"/>
      <c r="Z7" s="15">
        <v>9898.990234000001</v>
      </c>
      <c r="AA7" s="19"/>
      <c r="AB7" s="20">
        <v>13.557</v>
      </c>
    </row>
    <row r="8" ht="20.05" customHeight="1">
      <c r="B8" s="21">
        <v>2018</v>
      </c>
      <c r="C8" s="14">
        <v>9051</v>
      </c>
      <c r="D8" s="15">
        <v>239</v>
      </c>
      <c r="E8" s="15">
        <v>505</v>
      </c>
      <c r="F8" s="15">
        <v>4791</v>
      </c>
      <c r="G8" s="15">
        <v>70968</v>
      </c>
      <c r="H8" s="15">
        <v>94182</v>
      </c>
      <c r="I8" s="15">
        <v>8598.5</v>
      </c>
      <c r="J8" s="15">
        <v>-862.5</v>
      </c>
      <c r="K8" s="15">
        <v>-41</v>
      </c>
      <c r="L8" s="15">
        <v>195.75</v>
      </c>
      <c r="M8" s="15">
        <v>39.5</v>
      </c>
      <c r="N8" s="15">
        <f>SUM(C5:C8)/4</f>
        <v>8821.5</v>
      </c>
      <c r="O8" s="15"/>
      <c r="P8" s="16"/>
      <c r="Q8" s="16"/>
      <c r="R8" s="16"/>
      <c r="S8" s="17"/>
      <c r="T8" s="15">
        <f>SUM(J5:K8)/4</f>
        <v>-31.375</v>
      </c>
      <c r="U8" s="25"/>
      <c r="V8" s="15">
        <f>-(L8+M8)+V7</f>
        <v>-2043.25</v>
      </c>
      <c r="W8" s="17"/>
      <c r="X8" s="15">
        <f>F8-G8</f>
        <v>-66177</v>
      </c>
      <c r="Y8" s="24"/>
      <c r="Z8" s="15">
        <v>9799</v>
      </c>
      <c r="AA8" s="22"/>
      <c r="AB8" s="20">
        <v>13.761</v>
      </c>
    </row>
    <row r="9" ht="20.05" customHeight="1">
      <c r="B9" s="13"/>
      <c r="C9" s="14">
        <v>11502</v>
      </c>
      <c r="D9" s="15">
        <v>275</v>
      </c>
      <c r="E9" s="15">
        <v>233</v>
      </c>
      <c r="F9" s="15">
        <v>4159</v>
      </c>
      <c r="G9" s="15">
        <v>74348</v>
      </c>
      <c r="H9" s="15">
        <v>99470</v>
      </c>
      <c r="I9" s="15">
        <v>8598.5</v>
      </c>
      <c r="J9" s="15">
        <v>-83.5</v>
      </c>
      <c r="K9" s="15">
        <v>-65</v>
      </c>
      <c r="L9" s="15">
        <v>195.75</v>
      </c>
      <c r="M9" s="15">
        <v>39.5</v>
      </c>
      <c r="N9" s="15">
        <f>SUM(C6:C9)/4</f>
        <v>10060.25</v>
      </c>
      <c r="O9" s="15"/>
      <c r="P9" s="16"/>
      <c r="Q9" s="16"/>
      <c r="R9" s="16"/>
      <c r="S9" s="17"/>
      <c r="T9" s="15">
        <f>SUM(J6:K9)/4</f>
        <v>-287.25</v>
      </c>
      <c r="U9" s="25"/>
      <c r="V9" s="15">
        <f>-(L9+M9)+V8</f>
        <v>-2278.5</v>
      </c>
      <c r="W9" s="17"/>
      <c r="X9" s="15">
        <f>F13-G9</f>
        <v>-69303</v>
      </c>
      <c r="Y9" s="24"/>
      <c r="Z9" s="15">
        <v>9700</v>
      </c>
      <c r="AA9" s="22"/>
      <c r="AB9" s="20">
        <v>14</v>
      </c>
    </row>
    <row r="10" ht="20.05" customHeight="1">
      <c r="B10" s="13"/>
      <c r="C10" s="14">
        <v>8174</v>
      </c>
      <c r="D10" s="15">
        <v>391</v>
      </c>
      <c r="E10" s="15">
        <v>561</v>
      </c>
      <c r="F10" s="15">
        <v>3601</v>
      </c>
      <c r="G10" s="15">
        <v>76773</v>
      </c>
      <c r="H10" s="15">
        <v>102853</v>
      </c>
      <c r="I10" s="15">
        <v>8598.5</v>
      </c>
      <c r="J10" s="15">
        <v>-617.5</v>
      </c>
      <c r="K10" s="15">
        <v>-383</v>
      </c>
      <c r="L10" s="15">
        <v>195.75</v>
      </c>
      <c r="M10" s="15">
        <v>39.5</v>
      </c>
      <c r="N10" s="15">
        <f>SUM(C7:C10)/4</f>
        <v>9563</v>
      </c>
      <c r="O10" s="15"/>
      <c r="P10" s="16"/>
      <c r="Q10" s="16"/>
      <c r="R10" s="16"/>
      <c r="S10" s="17"/>
      <c r="T10" s="15">
        <f>SUM(J7:K10)/4</f>
        <v>-457.875</v>
      </c>
      <c r="U10" s="25"/>
      <c r="V10" s="15">
        <f>-(L10+M10)+V9</f>
        <v>-2513.75</v>
      </c>
      <c r="W10" s="17"/>
      <c r="X10" s="15">
        <f>F10-G10</f>
        <v>-73172</v>
      </c>
      <c r="Y10" s="24"/>
      <c r="Z10" s="15">
        <v>9900</v>
      </c>
      <c r="AA10" s="22"/>
      <c r="AB10" s="20">
        <v>14.902</v>
      </c>
    </row>
    <row r="11" ht="20.05" customHeight="1">
      <c r="B11" s="13"/>
      <c r="C11" s="14">
        <v>8650</v>
      </c>
      <c r="D11" s="15">
        <v>1758</v>
      </c>
      <c r="E11" s="15">
        <v>239</v>
      </c>
      <c r="F11" s="15">
        <v>3981</v>
      </c>
      <c r="G11" s="15">
        <v>75550</v>
      </c>
      <c r="H11" s="15">
        <v>100663</v>
      </c>
      <c r="I11" s="15">
        <v>8598.5</v>
      </c>
      <c r="J11" s="15">
        <v>278.5</v>
      </c>
      <c r="K11" s="15">
        <v>-148</v>
      </c>
      <c r="L11" s="15">
        <v>195.75</v>
      </c>
      <c r="M11" s="15">
        <v>39.5</v>
      </c>
      <c r="N11" s="15">
        <f>SUM(C8:C11)/4</f>
        <v>9344.25</v>
      </c>
      <c r="O11" s="15"/>
      <c r="P11" s="16"/>
      <c r="Q11" s="16"/>
      <c r="R11" s="16"/>
      <c r="S11" s="17"/>
      <c r="T11" s="15">
        <f>SUM(J8:K11)/4</f>
        <v>-480.5</v>
      </c>
      <c r="U11" s="25"/>
      <c r="V11" s="15">
        <f>-(L11+M11)+V10</f>
        <v>-2749</v>
      </c>
      <c r="W11" s="17"/>
      <c r="X11" s="15">
        <f>F11-G11</f>
        <v>-71569</v>
      </c>
      <c r="Y11" s="24"/>
      <c r="Z11" s="15">
        <v>8400</v>
      </c>
      <c r="AA11" s="22"/>
      <c r="AB11" s="20">
        <v>14.38</v>
      </c>
    </row>
    <row r="12" ht="20.05" customHeight="1">
      <c r="B12" s="21">
        <v>2019</v>
      </c>
      <c r="C12" s="14">
        <v>9252</v>
      </c>
      <c r="D12" s="15">
        <v>272</v>
      </c>
      <c r="E12" s="15">
        <v>548</v>
      </c>
      <c r="F12" s="15">
        <v>4244</v>
      </c>
      <c r="G12" s="15">
        <v>80803</v>
      </c>
      <c r="H12" s="15">
        <v>105788</v>
      </c>
      <c r="I12" s="15">
        <v>8112.25</v>
      </c>
      <c r="J12" s="15">
        <v>-308</v>
      </c>
      <c r="K12" s="15">
        <v>-182</v>
      </c>
      <c r="L12" s="15">
        <v>288.5</v>
      </c>
      <c r="M12" s="15">
        <v>-46</v>
      </c>
      <c r="N12" s="15">
        <f>SUM(C9:C12)/4</f>
        <v>9394.5</v>
      </c>
      <c r="O12" s="23"/>
      <c r="P12" s="16"/>
      <c r="Q12" s="16">
        <f>(E12+D12)/C12</f>
        <v>0.088629485516645</v>
      </c>
      <c r="R12" s="16">
        <f>AVERAGE(Q9:Q12)</f>
        <v>0.088629485516645</v>
      </c>
      <c r="S12" s="17"/>
      <c r="T12" s="15">
        <f>SUM(J9:K12)/4</f>
        <v>-377.125</v>
      </c>
      <c r="U12" s="25"/>
      <c r="V12" s="15">
        <f>-(L12+M12)+V11</f>
        <v>-2991.5</v>
      </c>
      <c r="W12" s="17"/>
      <c r="X12" s="15">
        <f>F12-G12</f>
        <v>-76559</v>
      </c>
      <c r="Y12" s="24"/>
      <c r="Z12" s="15">
        <v>9700</v>
      </c>
      <c r="AA12" s="22"/>
      <c r="AB12" s="20">
        <v>14.24</v>
      </c>
    </row>
    <row r="13" ht="20.05" customHeight="1">
      <c r="B13" s="13"/>
      <c r="C13" s="14">
        <v>8365</v>
      </c>
      <c r="D13" s="15">
        <v>898.5</v>
      </c>
      <c r="E13" s="15">
        <v>191</v>
      </c>
      <c r="F13" s="15">
        <v>5045</v>
      </c>
      <c r="G13" s="15">
        <v>83867</v>
      </c>
      <c r="H13" s="15">
        <v>109318</v>
      </c>
      <c r="I13" s="15">
        <v>8112.25</v>
      </c>
      <c r="J13" s="15">
        <v>1460</v>
      </c>
      <c r="K13" s="15">
        <v>-133</v>
      </c>
      <c r="L13" s="15">
        <v>288.5</v>
      </c>
      <c r="M13" s="15">
        <v>-46</v>
      </c>
      <c r="N13" s="15">
        <f>SUM(C10:C13)/4</f>
        <v>8610.25</v>
      </c>
      <c r="O13" s="23"/>
      <c r="P13" s="16">
        <f>C13/C12-1</f>
        <v>-0.09587116299178559</v>
      </c>
      <c r="Q13" s="16">
        <f>(E13+D13)/C13</f>
        <v>0.130245068738793</v>
      </c>
      <c r="R13" s="16">
        <f>AVERAGE(Q10:Q13)</f>
        <v>0.109437277127719</v>
      </c>
      <c r="S13" s="17"/>
      <c r="T13" s="15">
        <f>SUM(J10:K13)/4</f>
        <v>-8.25</v>
      </c>
      <c r="U13" s="25"/>
      <c r="V13" s="15">
        <f>-(L13+M13)+V12</f>
        <v>-3234</v>
      </c>
      <c r="W13" s="17"/>
      <c r="X13" s="15">
        <f>F13-G13</f>
        <v>-78822</v>
      </c>
      <c r="Y13" s="24"/>
      <c r="Z13" s="15">
        <v>10000</v>
      </c>
      <c r="AA13" s="24"/>
      <c r="AB13" s="15">
        <v>14.127</v>
      </c>
    </row>
    <row r="14" ht="20.05" customHeight="1">
      <c r="B14" s="13"/>
      <c r="C14" s="14">
        <v>12900</v>
      </c>
      <c r="D14" s="15">
        <v>2023</v>
      </c>
      <c r="E14" s="15">
        <v>5041</v>
      </c>
      <c r="F14" s="15">
        <v>5874</v>
      </c>
      <c r="G14" s="15">
        <v>76627</v>
      </c>
      <c r="H14" s="15">
        <v>99716</v>
      </c>
      <c r="I14" s="15">
        <v>8112.25</v>
      </c>
      <c r="J14" s="15">
        <v>-6446</v>
      </c>
      <c r="K14" s="15">
        <v>3670</v>
      </c>
      <c r="L14" s="15">
        <v>288.5</v>
      </c>
      <c r="M14" s="15">
        <v>-46</v>
      </c>
      <c r="N14" s="15">
        <f>SUM(C11:C14)/4</f>
        <v>9791.75</v>
      </c>
      <c r="O14" s="23"/>
      <c r="P14" s="16">
        <f>C14/C13-1</f>
        <v>0.542139868499701</v>
      </c>
      <c r="Q14" s="16">
        <f>(E14+D14)/C14</f>
        <v>0.547596899224806</v>
      </c>
      <c r="R14" s="16">
        <f>AVERAGE(Q11:Q14)</f>
        <v>0.255490484493415</v>
      </c>
      <c r="S14" s="17"/>
      <c r="T14" s="15">
        <f>SUM(J11:K14)/4</f>
        <v>-452.125</v>
      </c>
      <c r="U14" s="25"/>
      <c r="V14" s="15">
        <f>-(L14+M14)+V13</f>
        <v>-3476.5</v>
      </c>
      <c r="W14" s="17"/>
      <c r="X14" s="15">
        <f>F14-G14</f>
        <v>-70753</v>
      </c>
      <c r="Y14" s="24"/>
      <c r="Z14" s="15">
        <v>9625</v>
      </c>
      <c r="AA14" s="24"/>
      <c r="AB14" s="15">
        <v>14.195</v>
      </c>
    </row>
    <row r="15" ht="20.05" customHeight="1">
      <c r="B15" s="13"/>
      <c r="C15" s="14">
        <v>11402</v>
      </c>
      <c r="D15" s="15">
        <v>-472</v>
      </c>
      <c r="E15" s="15">
        <v>-709.45</v>
      </c>
      <c r="F15" s="15">
        <v>3564</v>
      </c>
      <c r="G15" s="15">
        <v>77461</v>
      </c>
      <c r="H15" s="15">
        <v>99625</v>
      </c>
      <c r="I15" s="15">
        <v>8112.25</v>
      </c>
      <c r="J15" s="15">
        <v>-1030</v>
      </c>
      <c r="K15" s="15">
        <v>-169</v>
      </c>
      <c r="L15" s="15">
        <v>288.5</v>
      </c>
      <c r="M15" s="15">
        <v>-46</v>
      </c>
      <c r="N15" s="15">
        <f>SUM(C12:C15)/4</f>
        <v>10479.75</v>
      </c>
      <c r="O15" s="15"/>
      <c r="P15" s="16">
        <f>C15/C14-1</f>
        <v>-0.116124031007752</v>
      </c>
      <c r="Q15" s="16">
        <f>(E15+D15)/C15</f>
        <v>-0.103617786353271</v>
      </c>
      <c r="R15" s="16">
        <f>AVERAGE(Q12:Q15)</f>
        <v>0.165713416781743</v>
      </c>
      <c r="S15" s="17"/>
      <c r="T15" s="15">
        <f>SUM(J12:K15)/4</f>
        <v>-784.5</v>
      </c>
      <c r="U15" s="25"/>
      <c r="V15" s="15">
        <f>-(L15+M15)+V14</f>
        <v>-3719</v>
      </c>
      <c r="W15" s="17"/>
      <c r="X15" s="15">
        <f>F15-G15</f>
        <v>-73897</v>
      </c>
      <c r="Y15" s="24"/>
      <c r="Z15" s="15">
        <v>15225</v>
      </c>
      <c r="AA15" s="24"/>
      <c r="AB15" s="15">
        <v>13.882</v>
      </c>
    </row>
    <row r="16" ht="20.05" customHeight="1">
      <c r="B16" s="21">
        <v>2020</v>
      </c>
      <c r="C16" s="14">
        <v>8083</v>
      </c>
      <c r="D16" s="15">
        <v>2885</v>
      </c>
      <c r="E16" s="15">
        <v>371</v>
      </c>
      <c r="F16" s="15">
        <v>3417</v>
      </c>
      <c r="G16" s="15">
        <v>78120</v>
      </c>
      <c r="H16" s="15">
        <v>98596</v>
      </c>
      <c r="I16" s="15">
        <v>9185.75</v>
      </c>
      <c r="J16" s="15">
        <v>2773.5</v>
      </c>
      <c r="K16" s="15">
        <v>-58</v>
      </c>
      <c r="L16" s="15">
        <v>157.25</v>
      </c>
      <c r="M16" s="15">
        <v>0</v>
      </c>
      <c r="N16" s="15">
        <f>SUM(C13:C16)/4</f>
        <v>10187.5</v>
      </c>
      <c r="O16" s="15"/>
      <c r="P16" s="16">
        <f>C16/C15-1</f>
        <v>-0.291089282582003</v>
      </c>
      <c r="Q16" s="16">
        <f>(E16+D16)/C16</f>
        <v>0.402820734875665</v>
      </c>
      <c r="R16" s="16">
        <f>AVERAGE(Q13:Q16)</f>
        <v>0.244261229121498</v>
      </c>
      <c r="S16" s="17"/>
      <c r="T16" s="15">
        <f>SUM(J13:K16)/4</f>
        <v>16.875</v>
      </c>
      <c r="U16" s="25"/>
      <c r="V16" s="15">
        <f>-(L16+M16)+V15</f>
        <v>-3876.25</v>
      </c>
      <c r="W16" s="17"/>
      <c r="X16" s="15">
        <f>F16-G16</f>
        <v>-74703</v>
      </c>
      <c r="Y16" s="24"/>
      <c r="Z16" s="15">
        <v>13500</v>
      </c>
      <c r="AA16" s="24"/>
      <c r="AB16" s="15">
        <v>16.31</v>
      </c>
    </row>
    <row r="17" ht="20.05" customHeight="1">
      <c r="B17" s="13"/>
      <c r="C17" s="14">
        <v>11001</v>
      </c>
      <c r="D17" s="15">
        <v>-1581</v>
      </c>
      <c r="E17" s="15">
        <v>240</v>
      </c>
      <c r="F17" s="15">
        <v>2716</v>
      </c>
      <c r="G17" s="15">
        <v>77336</v>
      </c>
      <c r="H17" s="15">
        <v>98711</v>
      </c>
      <c r="I17" s="15">
        <v>9185.75</v>
      </c>
      <c r="J17" s="15">
        <v>-3098.5</v>
      </c>
      <c r="K17" s="15">
        <v>-164</v>
      </c>
      <c r="L17" s="15">
        <v>157.25</v>
      </c>
      <c r="M17" s="15">
        <v>0</v>
      </c>
      <c r="N17" s="15">
        <f>SUM(C14:C17)/4</f>
        <v>10846.5</v>
      </c>
      <c r="O17" s="15"/>
      <c r="P17" s="16">
        <f>C17/C16-1</f>
        <v>0.361004577508351</v>
      </c>
      <c r="Q17" s="16">
        <f>(E17+D17)/C17</f>
        <v>-0.121898009271884</v>
      </c>
      <c r="R17" s="16">
        <f>AVERAGE(Q14:Q17)</f>
        <v>0.181225459618829</v>
      </c>
      <c r="S17" s="17"/>
      <c r="T17" s="25">
        <f>SUM(J14:K17)/4</f>
        <v>-1130.5</v>
      </c>
      <c r="U17" s="25"/>
      <c r="V17" s="15">
        <f>-(L17+M17)+V16</f>
        <v>-4033.5</v>
      </c>
      <c r="W17" s="17"/>
      <c r="X17" s="15">
        <f>F17-G17</f>
        <v>-74620</v>
      </c>
      <c r="Y17" s="24"/>
      <c r="Z17" s="15">
        <v>18300</v>
      </c>
      <c r="AA17" s="24"/>
      <c r="AB17" s="15">
        <v>14.255</v>
      </c>
    </row>
    <row r="18" ht="20.05" customHeight="1">
      <c r="B18" s="13"/>
      <c r="C18" s="14">
        <v>9205</v>
      </c>
      <c r="D18" s="15">
        <v>318</v>
      </c>
      <c r="E18" s="15">
        <v>599</v>
      </c>
      <c r="F18" s="15">
        <v>3193</v>
      </c>
      <c r="G18" s="15">
        <v>79160</v>
      </c>
      <c r="H18" s="15">
        <v>101760</v>
      </c>
      <c r="I18" s="15">
        <v>9185.75</v>
      </c>
      <c r="J18" s="15">
        <v>738.5</v>
      </c>
      <c r="K18" s="15">
        <v>-96</v>
      </c>
      <c r="L18" s="15">
        <v>157.25</v>
      </c>
      <c r="M18" s="15">
        <v>0</v>
      </c>
      <c r="N18" s="15">
        <f>SUM(C15:C18)/4</f>
        <v>9922.75</v>
      </c>
      <c r="O18" s="15"/>
      <c r="P18" s="16">
        <f>C18/C17-1</f>
        <v>-0.163257885646759</v>
      </c>
      <c r="Q18" s="16">
        <f>(E18+D18)/C18</f>
        <v>0.09961977186311791</v>
      </c>
      <c r="R18" s="16">
        <f>AVERAGE(Q15:Q18)</f>
        <v>0.069231177778407</v>
      </c>
      <c r="S18" s="17"/>
      <c r="T18" s="25">
        <f>SUM(J15:K18)/4</f>
        <v>-275.875</v>
      </c>
      <c r="U18" s="25"/>
      <c r="V18" s="15">
        <f>-(L18+M18)+V17</f>
        <v>-4190.75</v>
      </c>
      <c r="W18" s="17"/>
      <c r="X18" s="15">
        <f>F18-G18</f>
        <v>-75967</v>
      </c>
      <c r="Y18" s="24"/>
      <c r="Z18" s="15">
        <v>16800</v>
      </c>
      <c r="AA18" s="24"/>
      <c r="AB18" s="15">
        <v>14.79</v>
      </c>
    </row>
    <row r="19" ht="20.05" customHeight="1">
      <c r="B19" s="13"/>
      <c r="C19" s="14">
        <v>9970.35</v>
      </c>
      <c r="D19" s="15">
        <v>2746.2</v>
      </c>
      <c r="E19" s="15">
        <v>-650.2</v>
      </c>
      <c r="F19" s="15">
        <v>4935.9</v>
      </c>
      <c r="G19" s="15">
        <v>85533.98</v>
      </c>
      <c r="H19" s="15">
        <v>108456.22</v>
      </c>
      <c r="I19" s="15">
        <v>9185.75</v>
      </c>
      <c r="J19" s="15">
        <v>1554.5</v>
      </c>
      <c r="K19" s="15">
        <v>-287.88</v>
      </c>
      <c r="L19" s="15">
        <v>157.25</v>
      </c>
      <c r="M19" s="15">
        <v>0</v>
      </c>
      <c r="N19" s="15">
        <f>SUM(C16:C19)/4</f>
        <v>9564.8375</v>
      </c>
      <c r="O19" s="15"/>
      <c r="P19" s="16">
        <f>C19/C18-1</f>
        <v>0.0831450298750679</v>
      </c>
      <c r="Q19" s="16">
        <f>(E19+D19)/C19</f>
        <v>0.210223312120437</v>
      </c>
      <c r="R19" s="16">
        <f>AVERAGE(Q16:Q19)</f>
        <v>0.147691452396834</v>
      </c>
      <c r="S19" s="17"/>
      <c r="T19" s="25">
        <f>SUM(J16:K19)/4</f>
        <v>340.53</v>
      </c>
      <c r="U19" s="25"/>
      <c r="V19" s="15">
        <f>-(L19+M19)+V18</f>
        <v>-4348</v>
      </c>
      <c r="W19" s="17"/>
      <c r="X19" s="15">
        <f>F19-G19</f>
        <v>-80598.08</v>
      </c>
      <c r="Y19" s="24"/>
      <c r="Z19" s="15">
        <v>11400</v>
      </c>
      <c r="AA19" s="24"/>
      <c r="AB19" s="15">
        <v>14.1</v>
      </c>
    </row>
    <row r="20" ht="20.05" customHeight="1">
      <c r="B20" s="21">
        <v>2021</v>
      </c>
      <c r="C20" s="14">
        <v>10912.8</v>
      </c>
      <c r="D20" s="15">
        <v>301.6</v>
      </c>
      <c r="E20" s="15">
        <v>295.8</v>
      </c>
      <c r="F20" s="15">
        <v>7487.36</v>
      </c>
      <c r="G20" s="15">
        <v>97964.8</v>
      </c>
      <c r="H20" s="15">
        <v>121919.27</v>
      </c>
      <c r="I20" s="15">
        <v>9667.200000000001</v>
      </c>
      <c r="J20" s="15">
        <v>4878.35</v>
      </c>
      <c r="K20" s="15">
        <v>-98.90000000000001</v>
      </c>
      <c r="L20" s="15">
        <v>74.5</v>
      </c>
      <c r="M20" s="15">
        <v>10.5</v>
      </c>
      <c r="N20" s="15">
        <f>SUM(C17:C20)/4</f>
        <v>10272.2875</v>
      </c>
      <c r="O20" s="15">
        <v>10052.3356754055</v>
      </c>
      <c r="P20" s="16">
        <f>C20/C19-1</f>
        <v>0.0945252674178941</v>
      </c>
      <c r="Q20" s="16">
        <f>(E20+D20)/C20</f>
        <v>0.054743054028297</v>
      </c>
      <c r="R20" s="16">
        <f>AVERAGE(Q17:Q20)</f>
        <v>0.060672032184992</v>
      </c>
      <c r="S20" s="17"/>
      <c r="T20" s="25">
        <f>SUM(J17:K20)/4</f>
        <v>856.5175</v>
      </c>
      <c r="U20" s="25"/>
      <c r="V20" s="15">
        <f>-(L20+M20)+V19</f>
        <v>-4433</v>
      </c>
      <c r="W20" s="17"/>
      <c r="X20" s="15">
        <f>F20-G20</f>
        <v>-90477.44</v>
      </c>
      <c r="Y20" s="15"/>
      <c r="Z20" s="15">
        <v>14400</v>
      </c>
      <c r="AA20" s="15"/>
      <c r="AB20" s="15">
        <v>14.606</v>
      </c>
    </row>
    <row r="21" ht="20.05" customHeight="1">
      <c r="B21" s="13"/>
      <c r="C21" s="14">
        <v>8263.200000000001</v>
      </c>
      <c r="D21" s="15">
        <v>468.4</v>
      </c>
      <c r="E21" s="15">
        <v>332.9</v>
      </c>
      <c r="F21" s="15">
        <v>4039</v>
      </c>
      <c r="G21" s="15">
        <v>91449</v>
      </c>
      <c r="H21" s="15">
        <v>115524</v>
      </c>
      <c r="I21" s="15">
        <v>7665.9</v>
      </c>
      <c r="J21" s="15">
        <v>-1548.55</v>
      </c>
      <c r="K21" s="15">
        <v>-85.09999999999999</v>
      </c>
      <c r="L21" s="15">
        <v>172.4</v>
      </c>
      <c r="M21" s="15">
        <v>0</v>
      </c>
      <c r="N21" s="15">
        <f>SUM(C18:C21)/4</f>
        <v>9587.8375</v>
      </c>
      <c r="O21" s="15">
        <v>10354.6717442555</v>
      </c>
      <c r="P21" s="16">
        <f>C21/C20-1</f>
        <v>-0.242797448867385</v>
      </c>
      <c r="Q21" s="16">
        <f>(E21+D21)/C21</f>
        <v>0.0969721173395295</v>
      </c>
      <c r="R21" s="16">
        <f>AVERAGE(Q18:Q21)</f>
        <v>0.115389563837845</v>
      </c>
      <c r="S21" s="17"/>
      <c r="T21" s="25">
        <f>SUM(J18:K21)/4</f>
        <v>1263.73</v>
      </c>
      <c r="U21" s="25"/>
      <c r="V21" s="15">
        <f>-(L21+M21)+V20</f>
        <v>-4605.4</v>
      </c>
      <c r="W21" s="17"/>
      <c r="X21" s="15">
        <f>F21-G21</f>
        <v>-87410</v>
      </c>
      <c r="Y21" s="15"/>
      <c r="Z21" s="15">
        <v>12075</v>
      </c>
      <c r="AA21" s="15"/>
      <c r="AB21" s="15">
        <v>14.45</v>
      </c>
    </row>
    <row r="22" ht="20.05" customHeight="1">
      <c r="B22" s="13"/>
      <c r="C22" s="14">
        <v>8326.200000000001</v>
      </c>
      <c r="D22" s="15">
        <v>1309</v>
      </c>
      <c r="E22" s="15">
        <v>938.4</v>
      </c>
      <c r="F22" s="15">
        <v>4463</v>
      </c>
      <c r="G22" s="15">
        <v>91392</v>
      </c>
      <c r="H22" s="15">
        <v>115132</v>
      </c>
      <c r="I22" s="15">
        <v>6646.5</v>
      </c>
      <c r="J22" s="15">
        <v>949.65</v>
      </c>
      <c r="K22" s="15">
        <v>-12.1</v>
      </c>
      <c r="L22" s="15">
        <v>-130</v>
      </c>
      <c r="M22" s="15">
        <v>0</v>
      </c>
      <c r="N22" s="15">
        <f>SUM(C19:C22)/4</f>
        <v>9368.137500000001</v>
      </c>
      <c r="O22" s="15">
        <v>10244.9638081916</v>
      </c>
      <c r="P22" s="16">
        <f>C22/C21-1</f>
        <v>0.00762416497240778</v>
      </c>
      <c r="Q22" s="16">
        <f>(E22+D22)/C22</f>
        <v>0.269919050707406</v>
      </c>
      <c r="R22" s="16">
        <f>AVERAGE(Q19:Q22)</f>
        <v>0.157964383548917</v>
      </c>
      <c r="S22" s="17"/>
      <c r="T22" s="25">
        <f>SUM(J19:K22)/4</f>
        <v>1337.4925</v>
      </c>
      <c r="U22" s="25"/>
      <c r="V22" s="15">
        <f>-(L22+M22)+V21</f>
        <v>-4475.4</v>
      </c>
      <c r="W22" s="17"/>
      <c r="X22" s="15">
        <f>F22-G22</f>
        <v>-86929</v>
      </c>
      <c r="Y22" s="15"/>
      <c r="Z22" s="15">
        <v>10600</v>
      </c>
      <c r="AA22" s="15"/>
      <c r="AB22" s="15">
        <v>14.328</v>
      </c>
    </row>
    <row r="23" ht="20.05" customHeight="1">
      <c r="B23" s="13"/>
      <c r="C23" s="14">
        <v>11030.9</v>
      </c>
      <c r="D23" s="15">
        <v>487.7</v>
      </c>
      <c r="E23" s="15">
        <v>-575.3</v>
      </c>
      <c r="F23" s="15">
        <v>6413</v>
      </c>
      <c r="G23" s="15">
        <v>94728</v>
      </c>
      <c r="H23" s="15">
        <v>117510</v>
      </c>
      <c r="I23" s="15">
        <v>10288</v>
      </c>
      <c r="J23" s="15">
        <v>4843.95</v>
      </c>
      <c r="K23" s="15">
        <v>-126.5</v>
      </c>
      <c r="L23" s="15">
        <v>-688.4</v>
      </c>
      <c r="M23" s="15">
        <v>-31.5</v>
      </c>
      <c r="N23" s="15">
        <f>SUM(C20:C23)/4</f>
        <v>9633.275</v>
      </c>
      <c r="O23" s="15">
        <v>10235.4873276318</v>
      </c>
      <c r="P23" s="16">
        <f>C23/C22-1</f>
        <v>0.324842064807475</v>
      </c>
      <c r="Q23" s="16">
        <f>(E23+D23)/C23</f>
        <v>-0.00794132845008114</v>
      </c>
      <c r="R23" s="16">
        <f>AVERAGE(Q20:Q23)</f>
        <v>0.103423223406288</v>
      </c>
      <c r="S23" s="17"/>
      <c r="T23" s="25">
        <f>SUM(J20:K23)/4</f>
        <v>2200.2</v>
      </c>
      <c r="U23" s="25"/>
      <c r="V23" s="15">
        <f>-(L23+M23)+V22</f>
        <v>-3755.5</v>
      </c>
      <c r="W23" s="17"/>
      <c r="X23" s="15">
        <f>F23-G23</f>
        <v>-88315</v>
      </c>
      <c r="Y23" s="15"/>
      <c r="Z23" s="15">
        <v>11750</v>
      </c>
      <c r="AA23" s="15"/>
      <c r="AB23" s="15">
        <v>14.275</v>
      </c>
    </row>
    <row r="24" ht="20.05" customHeight="1">
      <c r="B24" s="21">
        <v>2022</v>
      </c>
      <c r="C24" s="14">
        <v>8447.700000000001</v>
      </c>
      <c r="D24" s="15">
        <v>259.5</v>
      </c>
      <c r="E24" s="15">
        <v>424.7</v>
      </c>
      <c r="F24" s="15">
        <v>4802</v>
      </c>
      <c r="G24" s="15">
        <v>92471</v>
      </c>
      <c r="H24" s="15">
        <v>115552</v>
      </c>
      <c r="I24" s="15">
        <v>7889.4</v>
      </c>
      <c r="J24" s="15">
        <v>-3634</v>
      </c>
      <c r="K24" s="15">
        <v>-122.5</v>
      </c>
      <c r="L24" s="15">
        <v>354.5</v>
      </c>
      <c r="M24" s="15">
        <v>2.4</v>
      </c>
      <c r="N24" s="15">
        <f>SUM(C21:C24)/4</f>
        <v>9017</v>
      </c>
      <c r="O24" s="15">
        <v>9881.4679704889</v>
      </c>
      <c r="P24" s="16">
        <f>C24/C23-1</f>
        <v>-0.234178534843032</v>
      </c>
      <c r="Q24" s="16">
        <f>(E24+D24)/C24</f>
        <v>0.0809924594860139</v>
      </c>
      <c r="R24" s="16">
        <f>AVERAGE(Q21:Q24)</f>
        <v>0.109985574770717</v>
      </c>
      <c r="S24" s="35"/>
      <c r="T24" s="25">
        <f>SUM(J21:K24)/4</f>
        <v>66.21250000000001</v>
      </c>
      <c r="U24" s="15"/>
      <c r="V24" s="15">
        <f>-(L24+M24)+V23</f>
        <v>-4112.4</v>
      </c>
      <c r="W24" s="15"/>
      <c r="X24" s="15">
        <f>F24-G24</f>
        <v>-87669</v>
      </c>
      <c r="Y24" s="15">
        <v>-3084.825444809690</v>
      </c>
      <c r="Z24" s="15">
        <v>12050</v>
      </c>
      <c r="AA24" s="15"/>
      <c r="AB24" s="15">
        <v>14.327</v>
      </c>
    </row>
    <row r="25" ht="20.05" customHeight="1">
      <c r="B25" s="13"/>
      <c r="C25" s="14">
        <v>7815.5</v>
      </c>
      <c r="D25" s="15">
        <v>270.9</v>
      </c>
      <c r="E25" s="15">
        <v>-132.3</v>
      </c>
      <c r="F25" s="15">
        <v>5176</v>
      </c>
      <c r="G25" s="15">
        <v>98991</v>
      </c>
      <c r="H25" s="15">
        <v>121937</v>
      </c>
      <c r="I25" s="15">
        <v>9581.200000000001</v>
      </c>
      <c r="J25" s="15">
        <v>5220.1</v>
      </c>
      <c r="K25" s="15">
        <v>-70.90000000000001</v>
      </c>
      <c r="L25" s="15">
        <v>-260.1</v>
      </c>
      <c r="M25" s="15">
        <v>2.6</v>
      </c>
      <c r="N25" s="15">
        <f>SUM(C22:C25)/4</f>
        <v>8905.075000000001</v>
      </c>
      <c r="O25" s="15">
        <v>9472.968000000001</v>
      </c>
      <c r="P25" s="16">
        <f>C25/C24-1</f>
        <v>-0.0748369378647442</v>
      </c>
      <c r="Q25" s="16">
        <f>(E25+D25)/C25</f>
        <v>0.0177339901477833</v>
      </c>
      <c r="R25" s="16">
        <f>AVERAGE(Q22:Q25)</f>
        <v>0.09017604297278051</v>
      </c>
      <c r="S25" s="35"/>
      <c r="T25" s="25">
        <f>SUM(J22:K25)/4</f>
        <v>1761.925</v>
      </c>
      <c r="U25" s="15">
        <v>2735.2386248</v>
      </c>
      <c r="V25" s="15">
        <f>-(L25+M25)+V24</f>
        <v>-3854.9</v>
      </c>
      <c r="W25" s="15"/>
      <c r="X25" s="15">
        <f>F25-G25</f>
        <v>-93815</v>
      </c>
      <c r="Y25" s="15">
        <v>-22951.2033055276</v>
      </c>
      <c r="Z25" s="15">
        <v>12100</v>
      </c>
      <c r="AA25" s="15"/>
      <c r="AB25" s="15">
        <v>14.66</v>
      </c>
    </row>
    <row r="26" ht="20.05" customHeight="1">
      <c r="B26" s="13"/>
      <c r="C26" s="14">
        <v>8860.200000000001</v>
      </c>
      <c r="D26" s="15">
        <v>355.2</v>
      </c>
      <c r="E26" s="15">
        <v>772.7</v>
      </c>
      <c r="F26" s="15">
        <v>7057</v>
      </c>
      <c r="G26" s="15">
        <v>101724</v>
      </c>
      <c r="H26" s="15">
        <v>125523</v>
      </c>
      <c r="I26" s="15">
        <v>7585.9</v>
      </c>
      <c r="J26" s="15">
        <v>-3594.3</v>
      </c>
      <c r="K26" s="15">
        <v>274.7</v>
      </c>
      <c r="L26" s="15">
        <v>1835.1</v>
      </c>
      <c r="M26" s="15">
        <v>-370.3</v>
      </c>
      <c r="N26" s="15">
        <f>SUM(C23:C26)/4</f>
        <v>9038.575000000001</v>
      </c>
      <c r="O26" s="15">
        <v>8967.42175</v>
      </c>
      <c r="P26" s="16">
        <f>C26/C25-1</f>
        <v>0.133670270616083</v>
      </c>
      <c r="Q26" s="16">
        <f>(E26+D26)/C26</f>
        <v>0.127299609489628</v>
      </c>
      <c r="R26" s="16">
        <f>AVERAGE(Q23:Q26)</f>
        <v>0.054521182668336</v>
      </c>
      <c r="S26" s="35">
        <f>S27</f>
        <v>0.08952650595453041</v>
      </c>
      <c r="T26" s="25">
        <f>SUM(J23:K26)/4</f>
        <v>697.6375</v>
      </c>
      <c r="U26" s="15">
        <v>862.130987076058</v>
      </c>
      <c r="V26" s="15">
        <f>-(L26+M26)+V25</f>
        <v>-5319.7</v>
      </c>
      <c r="W26" s="15">
        <f>W27</f>
        <v>-4169.725569761470</v>
      </c>
      <c r="X26" s="15">
        <f>F26-G26</f>
        <v>-94667</v>
      </c>
      <c r="Y26" s="15">
        <v>-17782.2436850826</v>
      </c>
      <c r="Z26" s="15">
        <v>12300</v>
      </c>
      <c r="AA26" s="15">
        <v>11914.5060558693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9492.668764124999</v>
      </c>
      <c r="P27" s="17"/>
      <c r="Q27" s="17"/>
      <c r="R27" s="17"/>
      <c r="S27" s="35">
        <f>AE53</f>
        <v>0.08952650595453041</v>
      </c>
      <c r="T27" s="25"/>
      <c r="U27" s="15">
        <f>SUM(AE55:AH55)/4</f>
        <v>838.545466635822</v>
      </c>
      <c r="V27" s="17"/>
      <c r="W27" s="15">
        <f>-SUM(AE76:AH76)+V26</f>
        <v>-4169.725569761470</v>
      </c>
      <c r="X27" s="26"/>
      <c r="Y27" s="15">
        <f>AH75</f>
        <v>-92422.1090667282</v>
      </c>
      <c r="Z27" s="15">
        <v>12550</v>
      </c>
      <c r="AA27" s="15">
        <v>8009.513536881530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65822.1875</v>
      </c>
      <c r="O28" s="15">
        <f>SUM(O20:O26)</f>
        <v>69209.316275973295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10535.0532210803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>
        <f>AVERAGE(Z26:Z27)</f>
        <v>12425</v>
      </c>
      <c r="AA42" s="15">
        <f>AVERAGE(AA26:AA27)</f>
        <v>9962.009796375420</v>
      </c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254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0.0373742156789455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0.324842064807475</v>
      </c>
      <c r="AF50" s="35">
        <f>P24</f>
        <v>-0.234178534843032</v>
      </c>
      <c r="AG50" s="35">
        <f>P25</f>
        <v>-0.0748369378647442</v>
      </c>
      <c r="AH50" s="35">
        <f>P26</f>
        <v>0.133670270616083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-0.1</v>
      </c>
      <c r="AG51" s="35">
        <v>-0.01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8860.200000000001</v>
      </c>
      <c r="AE52" s="23">
        <f>C26*(1+AE51)</f>
        <v>10189.23</v>
      </c>
      <c r="AF52" s="23">
        <f>AE52*(1+AF51)</f>
        <v>9170.307000000001</v>
      </c>
      <c r="AG52" s="23">
        <f>AF52*(1+AG51)</f>
        <v>9078.603929999999</v>
      </c>
      <c r="AH52" s="23">
        <f>AG52*(1+AH51)</f>
        <v>9532.534126500001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AVERAGE(R23:R26)</f>
        <v>0.08952650595453041</v>
      </c>
      <c r="AF53" s="35">
        <f>AE53</f>
        <v>0.08952650595453041</v>
      </c>
      <c r="AG53" s="35">
        <f>AF53</f>
        <v>0.08952650595453041</v>
      </c>
      <c r="AH53" s="35">
        <f>AG53</f>
        <v>0.08952650595453041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AVERAGE(K23:K26)</f>
        <v>-11.3</v>
      </c>
      <c r="AF54" s="15">
        <f>AE54</f>
        <v>-11.3</v>
      </c>
      <c r="AG54" s="15">
        <f>AF54</f>
        <v>-11.3</v>
      </c>
      <c r="AH54" s="15">
        <f>AG54</f>
        <v>-11.3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900.9061602670801</v>
      </c>
      <c r="AF55" s="15">
        <f>(AF52*AF53)+AF54</f>
        <v>809.685544240372</v>
      </c>
      <c r="AG55" s="15">
        <f>(AG52*AG53)+AG54</f>
        <v>801.475688797968</v>
      </c>
      <c r="AH55" s="15">
        <f>(AH52*AH53)+AH54</f>
        <v>842.114473237866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-G26/10000</f>
        <v>-10.1724</v>
      </c>
      <c r="AF56" s="15">
        <f>-AE71/10000</f>
        <v>-10.17138276</v>
      </c>
      <c r="AG56" s="15">
        <f>-AF71/10000</f>
        <v>-10.170365621724</v>
      </c>
      <c r="AH56" s="15">
        <f>-AG71/10000</f>
        <v>-10.1693485851618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-308.503080133540</v>
      </c>
      <c r="AF58" s="15">
        <f>IF(AF66&gt;0,AF66*$AE$57,0)</f>
        <v>-262.892772120186</v>
      </c>
      <c r="AG58" s="15">
        <f>IF(AG66&gt;0,AG66*$AE$57,0)</f>
        <v>-258.787844398984</v>
      </c>
      <c r="AH58" s="15">
        <f>IF(AH66&gt;0,AH66*$AE$57,0)</f>
        <v>-279.107236618933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582.230680133540</v>
      </c>
      <c r="AF59" s="15">
        <f>AF55+AF56+AF58</f>
        <v>536.621389360186</v>
      </c>
      <c r="AG59" s="15">
        <f>AG55+AG56+AG58</f>
        <v>532.517478777260</v>
      </c>
      <c r="AH59" s="15">
        <f>AH55+AH56+AH58</f>
        <v>552.837888033771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7057</v>
      </c>
      <c r="AF61" s="15">
        <f>AE63</f>
        <v>7639.230680133540</v>
      </c>
      <c r="AG61" s="15">
        <f>AF63</f>
        <v>8175.852069493730</v>
      </c>
      <c r="AH61" s="15">
        <f>AG63</f>
        <v>8708.369548270990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582.230680133540</v>
      </c>
      <c r="AF62" s="15">
        <f>AF55+AF56+AF58+AF60</f>
        <v>536.621389360186</v>
      </c>
      <c r="AG62" s="15">
        <f>AG55+AG56+AG58+AG60</f>
        <v>532.517478777260</v>
      </c>
      <c r="AH62" s="15">
        <f>AH55+AH56+AH58+AH60</f>
        <v>552.837888033771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7639.230680133540</v>
      </c>
      <c r="AF63" s="15">
        <f>AF61+AF62</f>
        <v>8175.852069493730</v>
      </c>
      <c r="AG63" s="15">
        <f>AG61+AG62</f>
        <v>8708.369548270990</v>
      </c>
      <c r="AH63" s="15">
        <f>AH61+AH62</f>
        <v>9261.207436304760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-295.2</v>
      </c>
      <c r="AF65" s="15">
        <f>AE65</f>
        <v>-295.2</v>
      </c>
      <c r="AG65" s="15">
        <f>AF65</f>
        <v>-295.2</v>
      </c>
      <c r="AH65" s="15">
        <f>AG65</f>
        <v>-295.2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617.006160267080</v>
      </c>
      <c r="AF66" s="15">
        <f>(AF52*AF53)+AF65</f>
        <v>525.785544240372</v>
      </c>
      <c r="AG66" s="15">
        <f>(AG52*AG53)+AG65</f>
        <v>517.575688797968</v>
      </c>
      <c r="AH66" s="15">
        <f>(AH52*AH53)+AH65</f>
        <v>558.2144732378659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118477.3</v>
      </c>
      <c r="AF68" s="15">
        <f>AE68-AF54</f>
        <v>118488.6</v>
      </c>
      <c r="AG68" s="15">
        <f>AF68-AG54</f>
        <v>118499.9</v>
      </c>
      <c r="AH68" s="15">
        <f>AG68-AH54</f>
        <v>118511.2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295.2</v>
      </c>
      <c r="AF69" s="15">
        <f>AE69-AF65</f>
        <v>590.4</v>
      </c>
      <c r="AG69" s="15">
        <f>AF69-AG65</f>
        <v>885.6</v>
      </c>
      <c r="AH69" s="15">
        <f>AG69-AH65</f>
        <v>1180.8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118182.1</v>
      </c>
      <c r="AF70" s="15">
        <f>AF68-AF69</f>
        <v>117898.2</v>
      </c>
      <c r="AG70" s="15">
        <f>AG68-AG69</f>
        <v>117614.3</v>
      </c>
      <c r="AH70" s="15">
        <f>AH68-AH69</f>
        <v>117330.4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101713.8276</v>
      </c>
      <c r="AF71" s="15">
        <f>AE71+AF56</f>
        <v>101703.65621724</v>
      </c>
      <c r="AG71" s="15">
        <f>AF71+AG56</f>
        <v>101693.485851618</v>
      </c>
      <c r="AH71" s="15">
        <f>AG71+AH56</f>
        <v>101683.316503033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24107.5030801335</v>
      </c>
      <c r="AF73" s="15">
        <f>AE73+AF66+AF58</f>
        <v>24370.3958522537</v>
      </c>
      <c r="AG73" s="15">
        <f>AF73+AG66+AG58</f>
        <v>24629.1836966527</v>
      </c>
      <c r="AH73" s="15">
        <f>AG73+AH66+AH58</f>
        <v>24908.2909332716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-4e-11</v>
      </c>
      <c r="AF74" s="15">
        <f>AF71+AF72+AF73-AF63-AF70</f>
        <v>-3e-11</v>
      </c>
      <c r="AG74" s="15">
        <f>AG71+AG72+AG73-AG63-AG70</f>
        <v>-2.9e-10</v>
      </c>
      <c r="AH74" s="15">
        <f>AH71+AH72+AH73-AH63-AH70</f>
        <v>-1.6e-10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-94074.5969198665</v>
      </c>
      <c r="AF75" s="15">
        <f>AF63-AF71-AF72</f>
        <v>-93527.8041477463</v>
      </c>
      <c r="AG75" s="15">
        <f>AG63-AG71-AG72</f>
        <v>-92985.116303346993</v>
      </c>
      <c r="AH75" s="15">
        <f>AH63-AH71-AH72</f>
        <v>-92422.1090667282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-318.675480133540</v>
      </c>
      <c r="AF76" s="15">
        <f>AF56+AF58+AF60</f>
        <v>-273.064154880186</v>
      </c>
      <c r="AG76" s="15">
        <f>AG56+AG58+AG60</f>
        <v>-268.958210020708</v>
      </c>
      <c r="AH76" s="15">
        <f>AH56+AH58+AH60</f>
        <v>-289.276585204095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753</v>
      </c>
      <c r="AD78" s="14"/>
      <c r="AE78" s="15"/>
      <c r="AF78" s="15"/>
      <c r="AG78" s="15"/>
      <c r="AH78" s="15">
        <v>12550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753</v>
      </c>
      <c r="AD79" s="14"/>
      <c r="AE79" s="15"/>
      <c r="AF79" s="15"/>
      <c r="AG79" s="15"/>
      <c r="AH79" s="15">
        <v>79914133401600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79914.1334016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6.367660032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0.631275129686691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0.0138810356322957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2790.55</v>
      </c>
      <c r="AH84" s="15">
        <f>SUM(AE55:AH55)</f>
        <v>3354.181866543290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34.9803334071795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23.825223730029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67083.637330865793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10535.0532210803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-0.160553528200773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754</v>
      </c>
      <c r="AD90" s="38"/>
      <c r="AE90" s="23"/>
      <c r="AF90" s="23"/>
      <c r="AG90" s="23"/>
      <c r="AH90" s="16">
        <f>AA42/Z42-1</f>
        <v>-0.198228587816868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56</v>
      </c>
      <c r="AD91" s="38"/>
      <c r="AE91" s="23"/>
      <c r="AF91" s="23"/>
      <c r="AG91" s="23"/>
      <c r="AH91" s="16">
        <f>C26/C22-1</f>
        <v>0.06413489947394969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57</v>
      </c>
      <c r="AD92" s="38"/>
      <c r="AE92" s="23"/>
      <c r="AF92" s="23"/>
      <c r="AG92" s="23"/>
      <c r="AH92" s="16">
        <f>O28/N28-1</f>
        <v>0.0514587695216495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32.05" customHeight="1">
      <c r="AC94" s="36"/>
      <c r="AD94" s="38"/>
      <c r="AE94" t="s" s="44">
        <f>$AC78</f>
        <v>753</v>
      </c>
      <c r="AF94" t="s" s="44">
        <f>AF135</f>
        <v>121</v>
      </c>
      <c r="AG94" s="23">
        <f>AG135</f>
        <v>-1464.8</v>
      </c>
      <c r="AH94" t="s" s="44">
        <f>AH135</f>
        <v>372</v>
      </c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45"/>
      <c r="AE95" t="s" s="44">
        <v>60</v>
      </c>
      <c r="AF95" s="15">
        <f>AH78</f>
        <v>12550</v>
      </c>
      <c r="AG95" t="s" s="44">
        <v>61</v>
      </c>
      <c r="AH95" s="15">
        <f>AH88</f>
        <v>10535.0532210803</v>
      </c>
      <c r="AI95" t="s" s="44">
        <f>IF(AJ95&gt;0,"+","")</f>
      </c>
      <c r="AJ95" s="16">
        <f>AH95/AF95-1</f>
        <v>-0.160553528200773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20.05" customHeight="1">
      <c r="AC96" s="36"/>
      <c r="AD96" s="46"/>
      <c r="AE96" s="47">
        <f>TODAY()</f>
        <v>44942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64</v>
      </c>
      <c r="AG98" t="s" s="44">
        <f>IF(AH98&gt;0,"+","")</f>
        <v>361</v>
      </c>
      <c r="AH98" s="16">
        <f>AM105/AE105-1</f>
        <v>0.06413489947394969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65</v>
      </c>
      <c r="AG99" t="s" s="44">
        <f>IF(AH99&gt;0,"+","")</f>
        <v>361</v>
      </c>
      <c r="AH99" s="16">
        <f>(AG119+AG120+AI119+AI120+AK119+AK120+AM119+AM120)/AF136</f>
        <v>0.0349193550779859</v>
      </c>
      <c r="AI99" t="s" s="44"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68.05" customHeight="1">
      <c r="AC100" s="36"/>
      <c r="AD100" s="34"/>
      <c r="AE100" t="s" s="44">
        <v>63</v>
      </c>
      <c r="AF100" t="s" s="44">
        <v>67</v>
      </c>
      <c r="AG100" t="s" s="44">
        <f>IF(AH100&gt;0,"+","")</f>
      </c>
      <c r="AH100" s="16">
        <f>(AG133+AG134+AI133+AI134+AK133+AK134+AM133+AM134)/AF136</f>
        <v>-0.0105650898540945</v>
      </c>
      <c r="AI100" t="s" s="44">
        <f>AI99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68</v>
      </c>
      <c r="AF101" t="s" s="44">
        <v>369</v>
      </c>
      <c r="AG101" s="16">
        <f>AP129/AF136</f>
        <v>-1.18460897929358</v>
      </c>
      <c r="AH101" t="s" s="44">
        <f>AI100</f>
        <v>66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t="s" s="44">
        <v>28</v>
      </c>
      <c r="AF102" t="s" s="44">
        <f>AF106</f>
        <v>362</v>
      </c>
      <c r="AG102" s="16">
        <f>AG106</f>
        <v>0.133670270616083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68.05" customHeight="1">
      <c r="AC103" s="36"/>
      <c r="AD103" s="34"/>
      <c r="AE103" t="s" s="44">
        <v>70</v>
      </c>
      <c r="AF103" t="s" s="44">
        <v>393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6">
        <f>P22</f>
        <v>0.00762416497240778</v>
      </c>
      <c r="AF104" s="16">
        <f>P23</f>
        <v>0.324842064807475</v>
      </c>
      <c r="AG104" s="16">
        <f>P24</f>
        <v>-0.234178534843032</v>
      </c>
      <c r="AH104" s="16">
        <f>P25</f>
        <v>-0.0748369378647442</v>
      </c>
      <c r="AI104" s="16">
        <f>P26</f>
        <v>0.133670270616083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32.05" customHeight="1">
      <c r="AC105" s="36"/>
      <c r="AD105" s="34"/>
      <c r="AE105" s="15">
        <f>C22</f>
        <v>8326.200000000001</v>
      </c>
      <c r="AF105" t="s" s="44">
        <v>72</v>
      </c>
      <c r="AG105" s="15">
        <f>C23</f>
        <v>11030.9</v>
      </c>
      <c r="AH105" t="s" s="44">
        <v>72</v>
      </c>
      <c r="AI105" s="15">
        <f>C24</f>
        <v>8447.700000000001</v>
      </c>
      <c r="AJ105" t="s" s="44">
        <v>72</v>
      </c>
      <c r="AK105" s="15">
        <f>C25</f>
        <v>7815.5</v>
      </c>
      <c r="AL105" t="s" s="44">
        <v>72</v>
      </c>
      <c r="AM105" s="15">
        <f>C26</f>
        <v>8860.200000000001</v>
      </c>
      <c r="AN105" t="s" s="44">
        <v>372</v>
      </c>
      <c r="AO105" s="17"/>
      <c r="AP105" s="17"/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2</v>
      </c>
      <c r="AF106" t="s" s="44">
        <f>IF(AG106&lt;0,"declined","grew")</f>
        <v>362</v>
      </c>
      <c r="AG106" s="16">
        <f>AM105/AK105-1</f>
        <v>0.133670270616083</v>
      </c>
      <c r="AH106" t="s" s="44">
        <v>73</v>
      </c>
      <c r="AI106" t="s" s="44">
        <v>74</v>
      </c>
      <c r="AJ106" t="s" s="44">
        <v>75</v>
      </c>
      <c r="AK106" t="s" s="44">
        <v>76</v>
      </c>
      <c r="AL106" s="15">
        <f>AM105</f>
        <v>8860.200000000001</v>
      </c>
      <c r="AM106" t="s" s="44">
        <f>AN105</f>
        <v>372</v>
      </c>
      <c r="AN106" t="s" s="44">
        <v>77</v>
      </c>
      <c r="AO106" t="s" s="44">
        <f>IF(AP106&gt;0,"+","")</f>
        <v>361</v>
      </c>
      <c r="AP106" s="16">
        <f>AH92</f>
        <v>0.0514587695216495</v>
      </c>
      <c r="AQ106" t="s" s="44">
        <v>78</v>
      </c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79</v>
      </c>
      <c r="AF107" s="16">
        <f>AVERAGE(AF104:AI104)</f>
        <v>0.0373742156789455</v>
      </c>
      <c r="AG107" t="s" s="44">
        <v>80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81</v>
      </c>
      <c r="AF108" s="35">
        <f>AH49</f>
        <v>0.0225</v>
      </c>
      <c r="AG108" t="s" s="44">
        <v>82</v>
      </c>
      <c r="AH108" t="s" s="44">
        <v>83</v>
      </c>
      <c r="AI108" s="23">
        <f>AH52</f>
        <v>9532.534126500001</v>
      </c>
      <c r="AJ108" t="s" s="44">
        <f>AN105</f>
        <v>372</v>
      </c>
      <c r="AK108" t="s" s="44">
        <v>84</v>
      </c>
      <c r="AL108" t="s" s="44">
        <f>AI106</f>
        <v>74</v>
      </c>
      <c r="AM108" t="s" s="44">
        <f>AJ106</f>
        <v>75</v>
      </c>
      <c r="AN108" t="s" s="44">
        <v>85</v>
      </c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t="s" s="44">
        <v>14</v>
      </c>
      <c r="AF109" t="s" s="44">
        <f>IF(AH113&lt;AF113,"down","up")</f>
        <v>108</v>
      </c>
      <c r="AG109" t="s" s="44">
        <v>86</v>
      </c>
      <c r="AH109" t="s" s="44">
        <f>IF(AL113&gt;AJ113,"up","down")</f>
        <v>108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44.05" customHeight="1">
      <c r="AC110" s="36"/>
      <c r="AD110" s="34"/>
      <c r="AE110" t="s" s="44">
        <f>AE103</f>
        <v>70</v>
      </c>
      <c r="AF110" t="s" s="44">
        <v>88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6">
        <f>(D22+E22)/C22</f>
        <v>0.269919050707406</v>
      </c>
      <c r="AF111" s="16">
        <f>(D23+E23)/C23</f>
        <v>-0.00794132845008114</v>
      </c>
      <c r="AG111" s="16">
        <f>((E24+D24)/C24)</f>
        <v>0.0809924594860139</v>
      </c>
      <c r="AH111" s="16">
        <f>(D25+E25)/C25</f>
        <v>0.0177339901477833</v>
      </c>
      <c r="AI111" s="16">
        <f>(D26+E26)/C26</f>
        <v>0.127299609489628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32.05" customHeight="1">
      <c r="AC112" s="36"/>
      <c r="AD112" s="34"/>
      <c r="AE112" s="15">
        <f>E22</f>
        <v>938.4</v>
      </c>
      <c r="AF112" t="s" s="44">
        <v>72</v>
      </c>
      <c r="AG112" s="15">
        <f>E23</f>
        <v>-575.3</v>
      </c>
      <c r="AH112" t="s" s="44">
        <v>72</v>
      </c>
      <c r="AI112" s="15">
        <f>E24</f>
        <v>424.7</v>
      </c>
      <c r="AJ112" t="s" s="44">
        <v>72</v>
      </c>
      <c r="AK112" s="15">
        <f>E25</f>
        <v>-132.3</v>
      </c>
      <c r="AL112" t="s" s="44">
        <v>72</v>
      </c>
      <c r="AM112" s="15">
        <f>E26</f>
        <v>772.7</v>
      </c>
      <c r="AN112" t="s" s="44">
        <f>AN105</f>
        <v>372</v>
      </c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89</v>
      </c>
      <c r="AF113" s="16">
        <f>AH111</f>
        <v>0.0177339901477833</v>
      </c>
      <c r="AG113" t="s" s="44">
        <v>76</v>
      </c>
      <c r="AH113" s="16">
        <f>AI111</f>
        <v>0.127299609489628</v>
      </c>
      <c r="AI113" t="s" s="44">
        <v>90</v>
      </c>
      <c r="AJ113" s="15">
        <f>AK112</f>
        <v>-132.3</v>
      </c>
      <c r="AK113" t="s" s="44">
        <v>76</v>
      </c>
      <c r="AL113" s="15">
        <f>AM112</f>
        <v>772.7</v>
      </c>
      <c r="AM113" t="s" s="44">
        <f>AJ108</f>
        <v>372</v>
      </c>
      <c r="AN113" t="s" s="44">
        <v>73</v>
      </c>
      <c r="AO113" t="s" s="44">
        <f>AL108</f>
        <v>74</v>
      </c>
      <c r="AP113" t="s" s="44">
        <v>91</v>
      </c>
      <c r="AQ113" s="17"/>
      <c r="AR113" s="17"/>
      <c r="AS113" s="17"/>
      <c r="AT113" s="17"/>
      <c r="AU113" s="17"/>
      <c r="AV113" s="17"/>
    </row>
    <row r="114" ht="68.05" customHeight="1">
      <c r="AC114" s="36"/>
      <c r="AD114" s="34"/>
      <c r="AE114" t="s" s="44">
        <v>92</v>
      </c>
      <c r="AF114" s="16">
        <f>AVERAGE(AF111:AI111)</f>
        <v>0.054521182668336</v>
      </c>
      <c r="AG114" t="s" s="44">
        <v>78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44.05" customHeight="1">
      <c r="AC115" s="36"/>
      <c r="AD115" s="34"/>
      <c r="AE115" t="s" s="44">
        <v>93</v>
      </c>
      <c r="AF115" s="35">
        <f>AE53</f>
        <v>0.08952650595453041</v>
      </c>
      <c r="AG115" t="s" s="44">
        <v>94</v>
      </c>
      <c r="AH115" s="15">
        <f>AH66</f>
        <v>558.2144732378659</v>
      </c>
      <c r="AI115" t="s" s="44">
        <f>AM113</f>
        <v>372</v>
      </c>
      <c r="AJ115" t="s" s="44">
        <v>95</v>
      </c>
      <c r="AK115" t="s" s="44">
        <f>AO113</f>
        <v>74</v>
      </c>
      <c r="AL115" t="s" s="44">
        <f>AJ106</f>
        <v>75</v>
      </c>
      <c r="AM115" t="s" s="44">
        <f>AN108</f>
        <v>85</v>
      </c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t="s" s="44">
        <v>15</v>
      </c>
      <c r="AF116" t="s" s="44">
        <f>IF(AH121&lt;0,"negative","positive")</f>
        <v>485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7"/>
      <c r="AF117" s="15">
        <f>ABS(AF121)</f>
        <v>5149.2</v>
      </c>
      <c r="AG117" s="15">
        <f>ABS(AH121)</f>
        <v>3319.6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AE110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949.65</v>
      </c>
      <c r="AF119" t="s" s="44">
        <v>72</v>
      </c>
      <c r="AG119" s="15">
        <f>J23</f>
        <v>4843.95</v>
      </c>
      <c r="AH119" t="s" s="44">
        <v>72</v>
      </c>
      <c r="AI119" s="15">
        <f>J24</f>
        <v>-3634</v>
      </c>
      <c r="AJ119" t="s" s="44">
        <v>72</v>
      </c>
      <c r="AK119" s="15">
        <f>J25</f>
        <v>5220.1</v>
      </c>
      <c r="AL119" t="s" s="44">
        <v>72</v>
      </c>
      <c r="AM119" s="15">
        <f>J26</f>
        <v>-3594.3</v>
      </c>
      <c r="AN119" t="s" s="44">
        <f>AN105</f>
        <v>372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-12.1</v>
      </c>
      <c r="AF120" t="s" s="44">
        <v>72</v>
      </c>
      <c r="AG120" s="15">
        <f>K23</f>
        <v>-126.5</v>
      </c>
      <c r="AH120" t="s" s="44">
        <v>72</v>
      </c>
      <c r="AI120" s="15">
        <f>K24</f>
        <v>-122.5</v>
      </c>
      <c r="AJ120" t="s" s="44">
        <v>72</v>
      </c>
      <c r="AK120" s="15">
        <f>K25</f>
        <v>-70.90000000000001</v>
      </c>
      <c r="AL120" t="s" s="44">
        <v>72</v>
      </c>
      <c r="AM120" s="15">
        <f>K26</f>
        <v>274.7</v>
      </c>
      <c r="AN120" t="s" s="44">
        <f>AN119</f>
        <v>372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5149.2</v>
      </c>
      <c r="AG121" t="s" s="44">
        <v>76</v>
      </c>
      <c r="AH121" s="15">
        <f>AM119+AM120</f>
        <v>-3319.6</v>
      </c>
      <c r="AI121" t="s" s="44">
        <f>AI115</f>
        <v>372</v>
      </c>
      <c r="AJ121" t="s" s="44">
        <v>84</v>
      </c>
      <c r="AK121" t="s" s="44">
        <f>AK115</f>
        <v>74</v>
      </c>
      <c r="AL121" t="s" s="44">
        <v>98</v>
      </c>
      <c r="AM121" s="15">
        <f>AM120</f>
        <v>274.7</v>
      </c>
      <c r="AN121" t="s" s="44">
        <f>AN105</f>
        <v>372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697.6375</v>
      </c>
      <c r="AG122" t="s" s="44">
        <f>AN105</f>
        <v>372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-11.3</v>
      </c>
      <c r="AG123" t="s" s="44">
        <f>AG122</f>
        <v>372</v>
      </c>
      <c r="AH123" t="s" s="44">
        <v>102</v>
      </c>
      <c r="AI123" t="s" s="44">
        <v>103</v>
      </c>
      <c r="AJ123" t="s" s="44">
        <f>IF(AI108&gt;AL106,"higher","lower")</f>
        <v>363</v>
      </c>
      <c r="AK123" t="s" s="44">
        <v>105</v>
      </c>
      <c r="AL123" s="15">
        <f>SUM(AE55:AH55)/4</f>
        <v>838.545466635822</v>
      </c>
      <c r="AM123" t="s" s="44">
        <f>AG123</f>
        <v>372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87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AE103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4463</v>
      </c>
      <c r="AF126" t="s" s="44">
        <v>72</v>
      </c>
      <c r="AG126" s="15">
        <f>F23</f>
        <v>6413</v>
      </c>
      <c r="AH126" t="s" s="44">
        <v>72</v>
      </c>
      <c r="AI126" s="15">
        <f>F24</f>
        <v>4802</v>
      </c>
      <c r="AJ126" t="s" s="44">
        <v>72</v>
      </c>
      <c r="AK126" s="15">
        <f>F25</f>
        <v>5176</v>
      </c>
      <c r="AL126" t="s" s="44">
        <v>72</v>
      </c>
      <c r="AM126" s="15">
        <f>F26</f>
        <v>7057</v>
      </c>
      <c r="AN126" t="s" s="44">
        <f>AN105</f>
        <v>372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91392</v>
      </c>
      <c r="AF127" t="s" s="44">
        <v>72</v>
      </c>
      <c r="AG127" s="15">
        <f>G23</f>
        <v>94728</v>
      </c>
      <c r="AH127" t="s" s="44">
        <v>72</v>
      </c>
      <c r="AI127" s="15">
        <f>G24</f>
        <v>92471</v>
      </c>
      <c r="AJ127" t="s" s="44">
        <v>72</v>
      </c>
      <c r="AK127" s="15">
        <f>G25</f>
        <v>98991</v>
      </c>
      <c r="AL127" t="s" s="44">
        <v>72</v>
      </c>
      <c r="AM127" s="15">
        <f>G26</f>
        <v>101724</v>
      </c>
      <c r="AN127" t="s" s="44">
        <f>AN126</f>
        <v>372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5176</v>
      </c>
      <c r="AH128" t="s" s="44">
        <v>76</v>
      </c>
      <c r="AI128" s="15">
        <f>AM126</f>
        <v>7057</v>
      </c>
      <c r="AJ128" t="s" s="44">
        <f>AM123</f>
        <v>372</v>
      </c>
      <c r="AK128" t="s" s="44">
        <v>84</v>
      </c>
      <c r="AL128" t="s" s="44">
        <f>AI106</f>
        <v>74</v>
      </c>
      <c r="AM128" t="s" s="44">
        <f>AP113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98991</v>
      </c>
      <c r="AH129" t="s" s="44">
        <v>76</v>
      </c>
      <c r="AI129" s="15">
        <f>AM127</f>
        <v>101724</v>
      </c>
      <c r="AJ129" t="s" s="44">
        <f>AJ128</f>
        <v>372</v>
      </c>
      <c r="AK129" t="s" s="44">
        <v>113</v>
      </c>
      <c r="AL129" t="s" s="44">
        <v>114</v>
      </c>
      <c r="AM129" t="s" s="44">
        <f>IF(AP129&lt;AN129,"down","up")</f>
        <v>87</v>
      </c>
      <c r="AN129" s="15">
        <f>AG128-AG129</f>
        <v>-93815</v>
      </c>
      <c r="AO129" t="s" s="44">
        <v>76</v>
      </c>
      <c r="AP129" s="15">
        <f>AI128-AI129</f>
        <v>-94667</v>
      </c>
      <c r="AQ129" t="s" s="44">
        <f>AJ129</f>
        <v>372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-1109.290933271640</v>
      </c>
      <c r="AG130" t="s" s="44">
        <f>AJ129</f>
        <v>372</v>
      </c>
      <c r="AH130" t="s" s="44">
        <v>117</v>
      </c>
      <c r="AI130" t="s" s="44">
        <f>IF(AJ130&gt;0,"+","")</f>
      </c>
      <c r="AJ130" s="15">
        <f>AE56+AF56+AG56+AH56+AE60+AF60+AG60+AH60</f>
        <v>-40.6834969668858</v>
      </c>
      <c r="AK130" t="s" s="44">
        <f>AQ129</f>
        <v>372</v>
      </c>
      <c r="AL130" t="s" s="44">
        <v>118</v>
      </c>
      <c r="AM130" t="s" s="44">
        <v>119</v>
      </c>
      <c r="AN130" s="15">
        <f>AH75</f>
        <v>-92422.1090667282</v>
      </c>
      <c r="AO130" t="s" s="44">
        <f>AJ129</f>
        <v>372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AE103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130</v>
      </c>
      <c r="AF133" t="s" s="44">
        <v>72</v>
      </c>
      <c r="AG133" s="15">
        <f>-L23</f>
        <v>688.4</v>
      </c>
      <c r="AH133" t="s" s="44">
        <v>72</v>
      </c>
      <c r="AI133" s="15">
        <f>-L24</f>
        <v>-354.5</v>
      </c>
      <c r="AJ133" t="s" s="44">
        <v>72</v>
      </c>
      <c r="AK133" s="15">
        <f>-L25</f>
        <v>260.1</v>
      </c>
      <c r="AL133" t="s" s="44">
        <v>72</v>
      </c>
      <c r="AM133" s="15">
        <f>-L26</f>
        <v>-1835.1</v>
      </c>
      <c r="AN133" t="s" s="44">
        <f>AN105</f>
        <v>372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0</v>
      </c>
      <c r="AF134" t="s" s="44">
        <v>72</v>
      </c>
      <c r="AG134" s="15">
        <f>-M23</f>
        <v>31.5</v>
      </c>
      <c r="AH134" t="s" s="44">
        <v>72</v>
      </c>
      <c r="AI134" s="15">
        <f>-M24</f>
        <v>-2.4</v>
      </c>
      <c r="AJ134" t="s" s="44">
        <v>72</v>
      </c>
      <c r="AK134" s="15">
        <f>-M25</f>
        <v>-2.6</v>
      </c>
      <c r="AL134" t="s" s="44">
        <v>72</v>
      </c>
      <c r="AM134" s="15">
        <f>-M26</f>
        <v>370.3</v>
      </c>
      <c r="AN134" t="s" s="44">
        <f>AN133</f>
        <v>372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AE94</f>
        <v>753</v>
      </c>
      <c r="AF135" t="s" s="44">
        <f>IF(AG135&gt;0,"paid","(raised)")</f>
        <v>121</v>
      </c>
      <c r="AG135" s="15">
        <f>SUM(AM133:AM134)</f>
        <v>-1464.8</v>
      </c>
      <c r="AH135" t="s" s="44">
        <f>AN105</f>
        <v>372</v>
      </c>
      <c r="AI135" t="s" s="44">
        <f>AH106</f>
        <v>73</v>
      </c>
      <c r="AJ135" t="s" s="44">
        <f>AI106</f>
        <v>74</v>
      </c>
      <c r="AK135" t="s" s="44">
        <f>AJ106</f>
        <v>75</v>
      </c>
      <c r="AL135" s="15">
        <f>AM133</f>
        <v>-1835.1</v>
      </c>
      <c r="AM135" t="s" s="44">
        <f>AN105</f>
        <v>372</v>
      </c>
      <c r="AN135" t="s" s="44">
        <v>123</v>
      </c>
      <c r="AO135" s="15">
        <f>AM134</f>
        <v>370.3</v>
      </c>
      <c r="AP135" t="s" s="44">
        <f>AN105</f>
        <v>372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1149.974430238530</v>
      </c>
      <c r="AU135" t="s" s="44">
        <f>AN105</f>
        <v>372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79914.1334016</v>
      </c>
      <c r="AG136" t="s" s="44">
        <f>AN105</f>
        <v>372</v>
      </c>
      <c r="AH136" t="s" s="44">
        <v>128</v>
      </c>
      <c r="AI136" t="s" s="44">
        <v>129</v>
      </c>
      <c r="AJ136" s="43">
        <f>AH82</f>
        <v>0.631275129686691</v>
      </c>
      <c r="AK136" t="s" s="44">
        <v>130</v>
      </c>
      <c r="AL136" t="s" s="44">
        <v>131</v>
      </c>
      <c r="AM136" t="s" s="44">
        <v>132</v>
      </c>
      <c r="AN136" s="15">
        <f>AH85</f>
        <v>34.9803334071795</v>
      </c>
      <c r="AO136" t="s" s="44">
        <v>133</v>
      </c>
      <c r="AP136" s="16">
        <f>-AF130/AF136</f>
        <v>0.0138810356322957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3354.181866543290</v>
      </c>
      <c r="AG137" t="s" s="44">
        <f>AG136</f>
        <v>372</v>
      </c>
      <c r="AH137" t="s" s="44">
        <v>136</v>
      </c>
      <c r="AI137" s="15">
        <f>AF136/AF137</f>
        <v>23.825223730029</v>
      </c>
      <c r="AJ137" t="s" s="44">
        <v>130</v>
      </c>
      <c r="AK137" t="s" s="44">
        <v>137</v>
      </c>
      <c r="AL137" t="s" s="44">
        <v>138</v>
      </c>
      <c r="AM137" s="15">
        <f>AH86</f>
        <v>20</v>
      </c>
      <c r="AN137" t="s" s="44">
        <v>139</v>
      </c>
      <c r="AO137" t="s" s="44">
        <v>140</v>
      </c>
      <c r="AP137" t="s" s="44">
        <v>141</v>
      </c>
      <c r="AQ137" s="16">
        <f>AJ95</f>
        <v>-0.160553528200773</v>
      </c>
      <c r="AR137" t="s" s="44">
        <f>IF(AQ137&gt;0,"higher","lower")</f>
        <v>104</v>
      </c>
      <c r="AS137" t="s" s="44">
        <v>142</v>
      </c>
      <c r="AT137" s="15">
        <f>AH95</f>
        <v>10535.0532210803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32.05" customHeight="1">
      <c r="AC139" s="36"/>
      <c r="AD139" s="38"/>
      <c r="AE139" t="s" s="44">
        <f>AE94</f>
        <v>753</v>
      </c>
      <c r="AF139" t="s" s="44">
        <f>AF180</f>
        <v>526</v>
      </c>
      <c r="AG139" s="15">
        <f>AG180</f>
        <v>-1464.8</v>
      </c>
      <c r="AH139" t="s" s="44">
        <f>AH180</f>
        <v>407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32.05" customHeight="1">
      <c r="AC140" s="36"/>
      <c r="AD140" s="38"/>
      <c r="AE140" t="s" s="44">
        <v>396</v>
      </c>
      <c r="AF140" s="15">
        <f>AF95</f>
        <v>12550</v>
      </c>
      <c r="AG140" t="s" s="44">
        <f>AG95</f>
        <v>61</v>
      </c>
      <c r="AH140" s="15">
        <f>AH95</f>
        <v>10535.0532210803</v>
      </c>
      <c r="AI140" t="s" s="44">
        <f>AI95</f>
      </c>
      <c r="AJ140" s="16">
        <f>AJ95</f>
        <v>-0.160553528200773</v>
      </c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8"/>
      <c r="AE141" s="47">
        <f>AE96</f>
        <v>44942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8"/>
      <c r="AE142" t="s" s="44">
        <v>397</v>
      </c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398</v>
      </c>
      <c r="AF143" t="s" s="44">
        <v>399</v>
      </c>
      <c r="AG143" t="s" s="44">
        <f>AG98</f>
        <v>361</v>
      </c>
      <c r="AH143" s="16">
        <f>AH98</f>
        <v>0.06413489947394969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400</v>
      </c>
      <c r="AF144" t="s" s="44">
        <f>AF143</f>
        <v>399</v>
      </c>
      <c r="AG144" t="s" s="44">
        <f>IF(AH144&gt;0,"+","")</f>
        <v>361</v>
      </c>
      <c r="AH144" s="16">
        <f>AH99</f>
        <v>0.0349193550779859</v>
      </c>
      <c r="AI144" t="s" s="44"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44.05" customHeight="1">
      <c r="AC145" s="36"/>
      <c r="AD145" s="34"/>
      <c r="AE145" t="s" s="44">
        <v>402</v>
      </c>
      <c r="AF145" t="s" s="44">
        <f>AF144</f>
        <v>399</v>
      </c>
      <c r="AG145" t="s" s="44">
        <f>IF(AH145&gt;0,"+","")</f>
      </c>
      <c r="AH145" s="16">
        <f>AH100</f>
        <v>-0.0105650898540945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68.05" customHeight="1">
      <c r="AC146" s="36"/>
      <c r="AD146" s="38"/>
      <c r="AE146" t="s" s="44">
        <v>403</v>
      </c>
      <c r="AF146" t="s" s="44">
        <v>404</v>
      </c>
      <c r="AG146" t="s" s="44">
        <f>IF(AH146&gt;0,"+","")</f>
      </c>
      <c r="AH146" s="16">
        <f>AG101</f>
        <v>-1.18460897929358</v>
      </c>
      <c r="AI146" t="s" s="44">
        <f>AI145</f>
        <v>401</v>
      </c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8"/>
      <c r="AE147" t="s" s="44">
        <v>394</v>
      </c>
      <c r="AF147" t="s" s="44">
        <f>AF151</f>
        <v>395</v>
      </c>
      <c r="AG147" s="16">
        <f>AG102</f>
        <v>0.133670270616083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80.05" customHeight="1">
      <c r="AC148" s="36"/>
      <c r="AD148" s="34"/>
      <c r="AE148" t="s" s="44">
        <v>405</v>
      </c>
      <c r="AF148" t="s" s="44">
        <v>406</v>
      </c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8"/>
      <c r="AE149" s="16">
        <f>AE104</f>
        <v>0.00762416497240778</v>
      </c>
      <c r="AF149" s="16">
        <f>AF104</f>
        <v>0.324842064807475</v>
      </c>
      <c r="AG149" s="16">
        <f>AG104</f>
        <v>-0.234178534843032</v>
      </c>
      <c r="AH149" s="16">
        <f>AH104</f>
        <v>-0.0748369378647442</v>
      </c>
      <c r="AI149" s="16">
        <f>AI104</f>
        <v>0.133670270616083</v>
      </c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32.05" customHeight="1">
      <c r="AC150" s="36"/>
      <c r="AD150" s="38"/>
      <c r="AE150" s="15">
        <f>AE105</f>
        <v>8326.200000000001</v>
      </c>
      <c r="AF150" t="s" s="44">
        <f>AF105</f>
        <v>72</v>
      </c>
      <c r="AG150" s="15">
        <f>AG105</f>
        <v>11030.9</v>
      </c>
      <c r="AH150" t="s" s="44">
        <f>AH105</f>
        <v>72</v>
      </c>
      <c r="AI150" s="15">
        <f>AI105</f>
        <v>8447.700000000001</v>
      </c>
      <c r="AJ150" t="s" s="44">
        <f>AJ105</f>
        <v>72</v>
      </c>
      <c r="AK150" s="15">
        <f>AK105</f>
        <v>7815.5</v>
      </c>
      <c r="AL150" t="s" s="44">
        <f>AL105</f>
        <v>72</v>
      </c>
      <c r="AM150" s="15">
        <f>AM105</f>
        <v>8860.200000000001</v>
      </c>
      <c r="AN150" t="s" s="44">
        <v>407</v>
      </c>
      <c r="AO150" s="17"/>
      <c r="AP150" s="17"/>
      <c r="AQ150" s="17"/>
      <c r="AR150" s="17"/>
      <c r="AS150" s="17"/>
      <c r="AT150" s="17"/>
      <c r="AU150" s="17"/>
      <c r="AV150" s="17"/>
    </row>
    <row r="151" ht="104.05" customHeight="1">
      <c r="AC151" s="36"/>
      <c r="AD151" s="38"/>
      <c r="AE151" t="s" s="44">
        <v>394</v>
      </c>
      <c r="AF151" t="s" s="44">
        <f>IF(AG151&lt;0,"turun","tumbuh")</f>
        <v>395</v>
      </c>
      <c r="AG151" s="16">
        <f>AG106</f>
        <v>0.133670270616083</v>
      </c>
      <c r="AH151" t="s" s="44">
        <v>408</v>
      </c>
      <c r="AI151" t="s" s="44">
        <v>409</v>
      </c>
      <c r="AJ151" t="s" s="44">
        <v>410</v>
      </c>
      <c r="AK151" s="15">
        <f>AL106</f>
        <v>8860.200000000001</v>
      </c>
      <c r="AL151" t="s" s="44">
        <f>AN150</f>
        <v>407</v>
      </c>
      <c r="AM151" t="s" s="44">
        <v>411</v>
      </c>
      <c r="AN151" t="s" s="44">
        <f>AO106</f>
        <v>361</v>
      </c>
      <c r="AO151" s="16">
        <f>AP106</f>
        <v>0.0514587695216495</v>
      </c>
      <c r="AP151" s="17"/>
      <c r="AQ151" s="44"/>
      <c r="AR151" s="17"/>
      <c r="AS151" s="17"/>
      <c r="AT151" s="17"/>
      <c r="AU151" s="17"/>
      <c r="AV151" s="17"/>
    </row>
    <row r="152" ht="92.05" customHeight="1">
      <c r="AC152" s="36"/>
      <c r="AD152" s="38"/>
      <c r="AE152" t="s" s="44">
        <v>412</v>
      </c>
      <c r="AF152" s="16">
        <f>AF107</f>
        <v>0.0373742156789455</v>
      </c>
      <c r="AG152" t="s" s="44">
        <v>413</v>
      </c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80.05" customHeight="1">
      <c r="AC153" s="36"/>
      <c r="AD153" s="38"/>
      <c r="AE153" t="s" s="44">
        <v>414</v>
      </c>
      <c r="AF153" s="35">
        <f>AF108</f>
        <v>0.0225</v>
      </c>
      <c r="AG153" t="s" s="44">
        <v>415</v>
      </c>
      <c r="AH153" t="s" s="44">
        <v>416</v>
      </c>
      <c r="AI153" s="23">
        <f>AI108</f>
        <v>9532.534126500001</v>
      </c>
      <c r="AJ153" t="s" s="44">
        <f>AN150</f>
        <v>407</v>
      </c>
      <c r="AK153" t="s" s="44">
        <f>AH151</f>
        <v>408</v>
      </c>
      <c r="AL153" t="s" s="44">
        <f>AI151</f>
        <v>409</v>
      </c>
      <c r="AM153" t="s" s="44">
        <f>AN108</f>
        <v>85</v>
      </c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32.05" customHeight="1">
      <c r="AC154" s="36"/>
      <c r="AD154" s="38"/>
      <c r="AE154" t="s" s="44">
        <v>417</v>
      </c>
      <c r="AF154" t="s" s="44">
        <f>IF(AI156&lt;AH156,"turun","tumbuh")</f>
        <v>395</v>
      </c>
      <c r="AG154" t="s" s="44">
        <v>418</v>
      </c>
      <c r="AH154" t="s" s="44">
        <f>IF(AK157&lt;AI157,"turun","tumbuh")</f>
        <v>419</v>
      </c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44.05" customHeight="1">
      <c r="AC155" s="36"/>
      <c r="AD155" s="38"/>
      <c r="AE155" t="s" s="44">
        <v>420</v>
      </c>
      <c r="AF155" t="s" s="44">
        <f>AF148</f>
        <v>406</v>
      </c>
      <c r="AG155" s="44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20.05" customHeight="1">
      <c r="AC156" s="36"/>
      <c r="AD156" s="38"/>
      <c r="AE156" s="16">
        <f>AE111</f>
        <v>0.269919050707406</v>
      </c>
      <c r="AF156" s="16">
        <f>AF111</f>
        <v>-0.00794132845008114</v>
      </c>
      <c r="AG156" s="16">
        <f>AG111</f>
        <v>0.0809924594860139</v>
      </c>
      <c r="AH156" s="16">
        <f>AH111</f>
        <v>0.0177339901477833</v>
      </c>
      <c r="AI156" s="16">
        <f>AI111</f>
        <v>0.127299609489628</v>
      </c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</row>
    <row r="157" ht="32.05" customHeight="1">
      <c r="AC157" s="36"/>
      <c r="AD157" s="38"/>
      <c r="AE157" s="15">
        <f>AE112</f>
        <v>938.4</v>
      </c>
      <c r="AF157" t="s" s="44">
        <f>AF112</f>
        <v>72</v>
      </c>
      <c r="AG157" s="15">
        <f>AG112</f>
        <v>-575.3</v>
      </c>
      <c r="AH157" t="s" s="44">
        <f>AH112</f>
        <v>72</v>
      </c>
      <c r="AI157" s="15">
        <f>AI112</f>
        <v>424.7</v>
      </c>
      <c r="AJ157" t="s" s="44">
        <f>AJ112</f>
        <v>72</v>
      </c>
      <c r="AK157" s="15">
        <f>AK112</f>
        <v>-132.3</v>
      </c>
      <c r="AL157" t="s" s="44">
        <f>AL112</f>
        <v>72</v>
      </c>
      <c r="AM157" s="15">
        <f>AM112</f>
        <v>772.7</v>
      </c>
      <c r="AN157" t="s" s="44">
        <f>AN150</f>
        <v>407</v>
      </c>
      <c r="AO157" s="17"/>
      <c r="AP157" s="17"/>
      <c r="AQ157" s="17"/>
      <c r="AR157" s="17"/>
      <c r="AS157" s="17"/>
      <c r="AT157" s="17"/>
      <c r="AU157" s="17"/>
      <c r="AV157" s="17"/>
    </row>
    <row r="158" ht="92" customHeight="1">
      <c r="AC158" s="36"/>
      <c r="AD158" s="38"/>
      <c r="AE158" t="s" s="85">
        <v>421</v>
      </c>
      <c r="AF158" s="16">
        <f>AF113</f>
        <v>0.0177339901477833</v>
      </c>
      <c r="AG158" t="s" s="85">
        <v>422</v>
      </c>
      <c r="AH158" s="16">
        <f>AH113</f>
        <v>0.127299609489628</v>
      </c>
      <c r="AI158" t="s" s="85">
        <v>423</v>
      </c>
      <c r="AJ158" s="15">
        <f>AJ113</f>
        <v>-132.3</v>
      </c>
      <c r="AK158" t="s" s="44">
        <v>410</v>
      </c>
      <c r="AL158" s="15">
        <f>AL113</f>
        <v>772.7</v>
      </c>
      <c r="AM158" t="s" s="44">
        <f>AN150</f>
        <v>407</v>
      </c>
      <c r="AN158" t="s" s="44">
        <f>AH151</f>
        <v>408</v>
      </c>
      <c r="AO158" t="s" s="44">
        <f>AI151</f>
        <v>409</v>
      </c>
      <c r="AP158" t="s" s="44">
        <v>413</v>
      </c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424</v>
      </c>
      <c r="AF159" s="16">
        <f>AF114</f>
        <v>0.054521182668336</v>
      </c>
      <c r="AG159" t="s" s="44">
        <v>425</v>
      </c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68" customHeight="1">
      <c r="AC160" s="36"/>
      <c r="AD160" s="38"/>
      <c r="AE160" t="s" s="85">
        <v>426</v>
      </c>
      <c r="AF160" s="35">
        <f>AF115</f>
        <v>0.08952650595453041</v>
      </c>
      <c r="AG160" t="s" s="85">
        <v>427</v>
      </c>
      <c r="AH160" s="15">
        <f>AH115</f>
        <v>558.2144732378659</v>
      </c>
      <c r="AI160" t="s" s="44">
        <f>AN150</f>
        <v>407</v>
      </c>
      <c r="AJ160" t="s" s="44">
        <f>AK153</f>
        <v>408</v>
      </c>
      <c r="AK160" t="s" s="44">
        <f>AL153</f>
        <v>409</v>
      </c>
      <c r="AL160" t="s" s="44">
        <f>AM153</f>
        <v>85</v>
      </c>
      <c r="AM160" s="44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20.05" customHeight="1">
      <c r="AC161" s="36"/>
      <c r="AD161" s="38"/>
      <c r="AE161" t="s" s="44">
        <v>428</v>
      </c>
      <c r="AF161" t="s" s="44">
        <f>IF(AH166&lt;0,"negatif","positif")</f>
        <v>524</v>
      </c>
      <c r="AG161" s="44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8.35" customHeight="1" hidden="1">
      <c r="AC162" s="36"/>
      <c r="AD162" s="38"/>
      <c r="AE162" s="17"/>
      <c r="AF162" s="15">
        <f>ABS(AF166)</f>
        <v>5149.2</v>
      </c>
      <c r="AG162" s="15">
        <f>ABS(AH166)</f>
        <v>3319.6</v>
      </c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68.05" customHeight="1">
      <c r="AC163" s="36"/>
      <c r="AD163" s="38"/>
      <c r="AE163" t="s" s="44">
        <v>430</v>
      </c>
      <c r="AF163" t="s" s="44">
        <f>AF148</f>
        <v>406</v>
      </c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949.65</v>
      </c>
      <c r="AF164" t="s" s="44">
        <f>AF119</f>
        <v>72</v>
      </c>
      <c r="AG164" s="15">
        <f>AG119</f>
        <v>4843.95</v>
      </c>
      <c r="AH164" t="s" s="44">
        <f>AH119</f>
        <v>72</v>
      </c>
      <c r="AI164" s="15">
        <f>AI119</f>
        <v>-3634</v>
      </c>
      <c r="AJ164" t="s" s="44">
        <f>AJ119</f>
        <v>72</v>
      </c>
      <c r="AK164" s="15">
        <f>AK119</f>
        <v>5220.1</v>
      </c>
      <c r="AL164" t="s" s="44">
        <f>AL119</f>
        <v>72</v>
      </c>
      <c r="AM164" s="15">
        <f>AM119</f>
        <v>-3594.3</v>
      </c>
      <c r="AN164" t="s" s="44">
        <f>AI160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32.05" customHeight="1">
      <c r="AC165" s="36"/>
      <c r="AD165" s="38"/>
      <c r="AE165" s="15">
        <f>AE120</f>
        <v>-12.1</v>
      </c>
      <c r="AF165" t="s" s="44">
        <f>AF120</f>
        <v>72</v>
      </c>
      <c r="AG165" s="15">
        <f>AG120</f>
        <v>-126.5</v>
      </c>
      <c r="AH165" t="s" s="44">
        <f>AH120</f>
        <v>72</v>
      </c>
      <c r="AI165" s="15">
        <f>AI120</f>
        <v>-122.5</v>
      </c>
      <c r="AJ165" t="s" s="44">
        <f>AJ120</f>
        <v>72</v>
      </c>
      <c r="AK165" s="15">
        <f>AK120</f>
        <v>-70.90000000000001</v>
      </c>
      <c r="AL165" t="s" s="44">
        <f>AL120</f>
        <v>72</v>
      </c>
      <c r="AM165" s="15">
        <f>AM120</f>
        <v>274.7</v>
      </c>
      <c r="AN165" t="s" s="44">
        <f>AN150</f>
        <v>407</v>
      </c>
      <c r="AO165" s="17"/>
      <c r="AP165" s="17"/>
      <c r="AQ165" s="17"/>
      <c r="AR165" s="17"/>
      <c r="AS165" s="17"/>
      <c r="AT165" s="17"/>
      <c r="AU165" s="17"/>
      <c r="AV165" s="17"/>
    </row>
    <row r="166" ht="80.05" customHeight="1">
      <c r="AC166" s="36"/>
      <c r="AD166" s="38"/>
      <c r="AE166" t="s" s="44">
        <v>431</v>
      </c>
      <c r="AF166" s="15">
        <f>AF121</f>
        <v>5149.2</v>
      </c>
      <c r="AG166" t="s" s="44">
        <v>410</v>
      </c>
      <c r="AH166" s="15">
        <f>AH121</f>
        <v>-3319.6</v>
      </c>
      <c r="AI166" t="s" s="44">
        <f>AN150</f>
        <v>407</v>
      </c>
      <c r="AJ166" t="s" s="44">
        <f>AH151</f>
        <v>408</v>
      </c>
      <c r="AK166" t="s" s="44">
        <f>AI151</f>
        <v>409</v>
      </c>
      <c r="AL166" t="s" s="44">
        <v>432</v>
      </c>
      <c r="AM166" s="15">
        <f>AM120</f>
        <v>274.7</v>
      </c>
      <c r="AN166" t="s" s="44">
        <f>AN150</f>
        <v>407</v>
      </c>
      <c r="AO166" s="17"/>
      <c r="AP166" s="17"/>
      <c r="AQ166" s="44"/>
      <c r="AR166" s="17"/>
      <c r="AS166" s="17"/>
      <c r="AT166" s="17"/>
      <c r="AU166" s="17"/>
      <c r="AV166" s="17"/>
    </row>
    <row r="167" ht="68" customHeight="1">
      <c r="AC167" s="36"/>
      <c r="AD167" s="38"/>
      <c r="AE167" t="s" s="85">
        <v>433</v>
      </c>
      <c r="AF167" s="15">
        <f>AF122</f>
        <v>697.6375</v>
      </c>
      <c r="AG167" t="s" s="44">
        <f>AN150</f>
        <v>407</v>
      </c>
      <c r="AH167" t="s" s="44">
        <v>425</v>
      </c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140" customHeight="1">
      <c r="AC168" s="36"/>
      <c r="AD168" s="38"/>
      <c r="AE168" t="s" s="85">
        <v>434</v>
      </c>
      <c r="AF168" s="15">
        <f>AF123</f>
        <v>-11.3</v>
      </c>
      <c r="AG168" t="s" s="44">
        <f>AN150</f>
        <v>407</v>
      </c>
      <c r="AH168" t="s" s="85">
        <v>435</v>
      </c>
      <c r="AI168" s="15">
        <f>AL123</f>
        <v>838.545466635822</v>
      </c>
      <c r="AJ168" t="s" s="44">
        <f>AN150</f>
        <v>407</v>
      </c>
      <c r="AK168" t="s" s="44">
        <v>115</v>
      </c>
      <c r="AL168" s="44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436</v>
      </c>
      <c r="AF169" t="s" s="44">
        <f>IF(AF124="down","turun","naik")</f>
        <v>419</v>
      </c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t="s" s="44">
        <v>438</v>
      </c>
      <c r="AF170" t="s" s="44">
        <v>406</v>
      </c>
      <c r="AG170" s="44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4463</v>
      </c>
      <c r="AF171" t="s" s="44">
        <f>AF126</f>
        <v>72</v>
      </c>
      <c r="AG171" s="15">
        <f>AG126</f>
        <v>6413</v>
      </c>
      <c r="AH171" t="s" s="44">
        <f>AH126</f>
        <v>72</v>
      </c>
      <c r="AI171" s="15">
        <f>AI126</f>
        <v>4802</v>
      </c>
      <c r="AJ171" t="s" s="44">
        <f>AJ126</f>
        <v>72</v>
      </c>
      <c r="AK171" s="15">
        <f>AK126</f>
        <v>5176</v>
      </c>
      <c r="AL171" t="s" s="44">
        <f>AL126</f>
        <v>72</v>
      </c>
      <c r="AM171" s="15">
        <f>AM126</f>
        <v>7057</v>
      </c>
      <c r="AN171" t="s" s="44">
        <f>AG168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s="15">
        <f>AE127</f>
        <v>91392</v>
      </c>
      <c r="AF172" t="s" s="44">
        <f>AF127</f>
        <v>72</v>
      </c>
      <c r="AG172" s="15">
        <f>AG127</f>
        <v>94728</v>
      </c>
      <c r="AH172" t="s" s="44">
        <f>AH127</f>
        <v>72</v>
      </c>
      <c r="AI172" s="15">
        <f>AI127</f>
        <v>92471</v>
      </c>
      <c r="AJ172" t="s" s="44">
        <f>AJ127</f>
        <v>72</v>
      </c>
      <c r="AK172" s="15">
        <f>AK127</f>
        <v>98991</v>
      </c>
      <c r="AL172" t="s" s="44">
        <f>AL127</f>
        <v>72</v>
      </c>
      <c r="AM172" s="15">
        <f>AM127</f>
        <v>101724</v>
      </c>
      <c r="AN172" t="s" s="44">
        <f>AG168</f>
        <v>407</v>
      </c>
      <c r="AO172" t="s" s="44">
        <v>115</v>
      </c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439</v>
      </c>
      <c r="AF173" t="s" s="44">
        <f>IF(AG173&gt;AI173,"turun dari","naik dari")</f>
        <v>440</v>
      </c>
      <c r="AG173" s="15">
        <f>AG128</f>
        <v>5176</v>
      </c>
      <c r="AH173" t="s" s="44">
        <f>AG166</f>
        <v>410</v>
      </c>
      <c r="AI173" s="15">
        <f>AI128</f>
        <v>7057</v>
      </c>
      <c r="AJ173" t="s" s="44">
        <f>AN150</f>
        <v>407</v>
      </c>
      <c r="AK173" t="s" s="44">
        <f>AJ166</f>
        <v>408</v>
      </c>
      <c r="AL173" t="s" s="44">
        <f>AK166</f>
        <v>409</v>
      </c>
      <c r="AM173" t="s" s="44">
        <v>413</v>
      </c>
      <c r="AN173" s="17"/>
      <c r="AO173" s="17"/>
      <c r="AP173" s="17"/>
      <c r="AQ173" s="17"/>
      <c r="AR173" s="17"/>
      <c r="AS173" s="17"/>
      <c r="AT173" s="17"/>
      <c r="AU173" s="17"/>
      <c r="AV173" s="17"/>
    </row>
    <row r="174" ht="32.05" customHeight="1">
      <c r="AC174" s="36"/>
      <c r="AD174" s="38"/>
      <c r="AE174" t="s" s="44">
        <v>441</v>
      </c>
      <c r="AF174" t="s" s="44">
        <f>IF(AF129="increased","naik dari","turun dari")</f>
        <v>440</v>
      </c>
      <c r="AG174" s="15">
        <f>AG129</f>
        <v>98991</v>
      </c>
      <c r="AH174" t="s" s="44">
        <f>AG166</f>
        <v>410</v>
      </c>
      <c r="AI174" s="15">
        <f>AI129</f>
        <v>101724</v>
      </c>
      <c r="AJ174" t="s" s="44">
        <f>AJ173</f>
        <v>407</v>
      </c>
      <c r="AK174" t="s" s="44">
        <v>442</v>
      </c>
      <c r="AL174" t="s" s="44">
        <v>443</v>
      </c>
      <c r="AM174" t="s" s="44">
        <f>IF(AM129="down","turun dari","naik dari")</f>
        <v>516</v>
      </c>
      <c r="AN174" s="15">
        <f>AN129</f>
        <v>-93815</v>
      </c>
      <c r="AO174" t="s" s="44">
        <f>AH174</f>
        <v>410</v>
      </c>
      <c r="AP174" s="15">
        <f>AP129</f>
        <v>-94667</v>
      </c>
      <c r="AQ174" t="s" s="44">
        <f>AJ174</f>
        <v>407</v>
      </c>
      <c r="AR174" t="s" s="44">
        <v>413</v>
      </c>
      <c r="AS174" s="17"/>
      <c r="AT174" s="17"/>
      <c r="AU174" s="17"/>
      <c r="AV174" s="17"/>
    </row>
    <row r="175" ht="116" customHeight="1">
      <c r="AC175" s="36"/>
      <c r="AD175" s="38"/>
      <c r="AE175" t="s" s="85">
        <v>444</v>
      </c>
      <c r="AF175" s="15">
        <f>AF130</f>
        <v>-1109.290933271640</v>
      </c>
      <c r="AG175" t="s" s="44">
        <f>AN150</f>
        <v>407</v>
      </c>
      <c r="AH175" t="s" s="85">
        <v>445</v>
      </c>
      <c r="AI175" s="15">
        <f>AJ130</f>
        <v>-40.6834969668858</v>
      </c>
      <c r="AJ175" t="s" s="44">
        <f>AG175</f>
        <v>407</v>
      </c>
      <c r="AK175" t="s" s="85">
        <v>446</v>
      </c>
      <c r="AL175" s="15">
        <f>AN130</f>
        <v>-92422.1090667282</v>
      </c>
      <c r="AM175" t="s" s="44">
        <f>AJ175</f>
        <v>407</v>
      </c>
      <c r="AN175" t="s" s="85">
        <v>447</v>
      </c>
      <c r="AO175" s="17"/>
      <c r="AP175" s="17"/>
      <c r="AQ175" s="17"/>
      <c r="AR175" s="17"/>
      <c r="AS175" s="17"/>
      <c r="AT175" s="17"/>
      <c r="AU175" s="17"/>
      <c r="AV175" s="17"/>
    </row>
    <row r="176" ht="32.05" customHeight="1">
      <c r="AC176" s="36"/>
      <c r="AD176" s="38"/>
      <c r="AE176" t="s" s="44">
        <v>448</v>
      </c>
      <c r="AF176" t="s" s="44">
        <f>IF(AF131="(raised)","(yang dihimpun)","(yang dibayarkan)")</f>
        <v>525</v>
      </c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128.05" customHeight="1">
      <c r="AC177" s="36"/>
      <c r="AD177" s="38"/>
      <c r="AE177" t="s" s="44">
        <v>450</v>
      </c>
      <c r="AF177" t="s" s="44">
        <f>AF163</f>
        <v>406</v>
      </c>
      <c r="AG177" s="44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130</v>
      </c>
      <c r="AF178" t="s" s="44">
        <f>AF133</f>
        <v>72</v>
      </c>
      <c r="AG178" s="15">
        <f>AG133</f>
        <v>688.4</v>
      </c>
      <c r="AH178" t="s" s="44">
        <f>AH133</f>
        <v>72</v>
      </c>
      <c r="AI178" s="15">
        <f>AI133</f>
        <v>-354.5</v>
      </c>
      <c r="AJ178" t="s" s="44">
        <f>AJ133</f>
        <v>72</v>
      </c>
      <c r="AK178" s="15">
        <f>AK133</f>
        <v>260.1</v>
      </c>
      <c r="AL178" t="s" s="44">
        <f>AL133</f>
        <v>72</v>
      </c>
      <c r="AM178" s="15">
        <f>AM133</f>
        <v>-1835.1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32.05" customHeight="1">
      <c r="AC179" s="36"/>
      <c r="AD179" s="38"/>
      <c r="AE179" s="15">
        <f>AE134</f>
        <v>0</v>
      </c>
      <c r="AF179" t="s" s="44">
        <f>AF134</f>
        <v>72</v>
      </c>
      <c r="AG179" s="15">
        <f>AG134</f>
        <v>31.5</v>
      </c>
      <c r="AH179" t="s" s="44">
        <f>AH134</f>
        <v>72</v>
      </c>
      <c r="AI179" s="15">
        <f>AI134</f>
        <v>-2.4</v>
      </c>
      <c r="AJ179" t="s" s="44">
        <f>AJ134</f>
        <v>72</v>
      </c>
      <c r="AK179" s="15">
        <f>AK134</f>
        <v>-2.6</v>
      </c>
      <c r="AL179" t="s" s="44">
        <f>AL134</f>
        <v>72</v>
      </c>
      <c r="AM179" s="15">
        <f>AM134</f>
        <v>370.3</v>
      </c>
      <c r="AN179" t="s" s="44">
        <f>AN172</f>
        <v>407</v>
      </c>
      <c r="AO179" s="17"/>
      <c r="AP179" s="17"/>
      <c r="AQ179" s="17"/>
      <c r="AR179" s="17"/>
      <c r="AS179" s="17"/>
      <c r="AT179" s="17"/>
      <c r="AU179" s="17"/>
      <c r="AV179" s="17"/>
    </row>
    <row r="180" ht="68.05" customHeight="1">
      <c r="AC180" s="36"/>
      <c r="AD180" s="38"/>
      <c r="AE180" t="s" s="44">
        <f>AE135</f>
        <v>753</v>
      </c>
      <c r="AF180" t="s" s="44">
        <f>IF(AF176="(yang dihimpun)","(menghimpun)","membayarkan")</f>
        <v>526</v>
      </c>
      <c r="AG180" s="15">
        <f>AG135</f>
        <v>-1464.8</v>
      </c>
      <c r="AH180" t="s" s="44">
        <f>AN178</f>
        <v>407</v>
      </c>
      <c r="AI180" t="s" s="44">
        <f>AK173</f>
        <v>408</v>
      </c>
      <c r="AJ180" t="s" s="44">
        <f>AL173</f>
        <v>409</v>
      </c>
      <c r="AK180" t="s" s="44">
        <v>452</v>
      </c>
      <c r="AL180" t="s" s="44">
        <v>453</v>
      </c>
      <c r="AM180" s="15">
        <f>AL135</f>
        <v>-1835.1</v>
      </c>
      <c r="AN180" t="s" s="44">
        <f>AN179</f>
        <v>407</v>
      </c>
      <c r="AO180" t="s" s="44">
        <v>454</v>
      </c>
      <c r="AP180" s="15">
        <f>AO135</f>
        <v>370.3</v>
      </c>
      <c r="AQ180" t="s" s="44">
        <f>AN179</f>
        <v>407</v>
      </c>
      <c r="AR180" t="s" s="44">
        <v>455</v>
      </c>
      <c r="AS180" t="s" s="44">
        <f>IF(AS135="pay","membayar pengembalian sebesar","menghimpun kapital sebesar")</f>
        <v>456</v>
      </c>
      <c r="AT180" s="15">
        <f>AT135</f>
        <v>1149.974430238530</v>
      </c>
      <c r="AU180" t="s" s="44">
        <f>AN179</f>
        <v>407</v>
      </c>
      <c r="AV180" t="s" s="85">
        <f>AN175</f>
        <v>447</v>
      </c>
    </row>
    <row r="181" ht="104" customHeight="1">
      <c r="AC181" s="36"/>
      <c r="AD181" s="34"/>
      <c r="AE181" t="s" s="85">
        <v>457</v>
      </c>
      <c r="AF181" s="15">
        <f>AF136</f>
        <v>79914.1334016</v>
      </c>
      <c r="AG181" t="s" s="44">
        <f>AN150</f>
        <v>407</v>
      </c>
      <c r="AH181" t="s" s="85">
        <v>458</v>
      </c>
      <c r="AI181" s="40">
        <f>AJ136</f>
        <v>0.631275129686691</v>
      </c>
      <c r="AJ181" t="s" s="44">
        <v>459</v>
      </c>
      <c r="AK181" t="s" s="85">
        <v>460</v>
      </c>
      <c r="AL181" s="15">
        <f>AN136</f>
        <v>34.9803334071795</v>
      </c>
      <c r="AM181" t="s" s="85">
        <v>461</v>
      </c>
      <c r="AN181" s="16">
        <f>AP136</f>
        <v>0.0138810356322957</v>
      </c>
      <c r="AO181" t="s" s="44">
        <v>115</v>
      </c>
      <c r="AP181" s="17"/>
      <c r="AQ181" s="17"/>
      <c r="AR181" s="17"/>
      <c r="AS181" s="17"/>
      <c r="AT181" s="17"/>
      <c r="AU181" s="17"/>
      <c r="AV181" s="17"/>
    </row>
    <row r="182" ht="92" customHeight="1">
      <c r="AC182" s="36"/>
      <c r="AD182" s="34"/>
      <c r="AE182" t="s" s="85">
        <v>462</v>
      </c>
      <c r="AF182" s="15">
        <f>AF137</f>
        <v>3354.181866543290</v>
      </c>
      <c r="AG182" t="s" s="44">
        <f>AN150</f>
        <v>407</v>
      </c>
      <c r="AH182" t="s" s="85">
        <v>463</v>
      </c>
      <c r="AI182" s="15">
        <f>AI137</f>
        <v>23.825223730029</v>
      </c>
      <c r="AJ182" t="s" s="44">
        <v>464</v>
      </c>
      <c r="AK182" t="s" s="85">
        <v>465</v>
      </c>
      <c r="AL182" s="15">
        <f>AM137</f>
        <v>20</v>
      </c>
      <c r="AM182" t="s" s="44">
        <v>466</v>
      </c>
      <c r="AN182" t="s" s="85">
        <v>467</v>
      </c>
      <c r="AO182" t="s" s="44">
        <f>IF(AP182&gt;0,"+","")</f>
      </c>
      <c r="AP182" s="16">
        <f>AQ137</f>
        <v>-0.160553528200773</v>
      </c>
      <c r="AQ182" t="s" s="85">
        <v>468</v>
      </c>
      <c r="AR182" s="15">
        <f>AT137</f>
        <v>10535.0532210803</v>
      </c>
      <c r="AS182" t="s" s="44">
        <v>143</v>
      </c>
      <c r="AT182" s="17"/>
      <c r="AU182" s="17"/>
      <c r="AV182" s="17"/>
    </row>
    <row r="183" ht="20.05" customHeight="1">
      <c r="AC183" s="36"/>
      <c r="AD183" s="34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28</v>
      </c>
      <c r="AD184" s="14">
        <f>AE105</f>
        <v>8326.200000000001</v>
      </c>
      <c r="AE184" s="15">
        <f>AG105</f>
        <v>11030.9</v>
      </c>
      <c r="AF184" s="15">
        <f>AI105</f>
        <v>8447.700000000001</v>
      </c>
      <c r="AG184" s="15">
        <f>AK105</f>
        <v>7815.5</v>
      </c>
      <c r="AH184" s="15">
        <f>AM105</f>
        <v>8860.200000000001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144</v>
      </c>
      <c r="AD185" s="14">
        <f>SUM(AE119:AE120)</f>
        <v>937.55</v>
      </c>
      <c r="AE185" s="15">
        <f>SUM(AG119:AG120)</f>
        <v>4717.45</v>
      </c>
      <c r="AF185" s="15">
        <f>SUM(AI119:AI120)</f>
        <v>-3756.5</v>
      </c>
      <c r="AG185" s="15">
        <f>SUM(AK119:AK120)</f>
        <v>5149.2</v>
      </c>
      <c r="AH185" s="15">
        <f>SUM(AM119:AM120)</f>
        <v>-3319.6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145</v>
      </c>
      <c r="AD186" s="14">
        <f>SUM(AE133:AE134)</f>
        <v>130</v>
      </c>
      <c r="AE186" s="15">
        <f>SUM(AG133:AG134)</f>
        <v>719.9</v>
      </c>
      <c r="AF186" s="15">
        <f>SUM(AI133:AI134)</f>
        <v>-356.9</v>
      </c>
      <c r="AG186" s="15">
        <f>SUM(AK133:AK134)</f>
        <v>257.5</v>
      </c>
      <c r="AH186" s="15">
        <f>SUM(AM133:AM134)</f>
        <v>-1464.8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t="s" s="33">
        <v>146</v>
      </c>
      <c r="AD187" s="14">
        <f>(AE126-AE127)</f>
        <v>-86929</v>
      </c>
      <c r="AE187" s="15">
        <f>(AG126-AG127)</f>
        <v>-88315</v>
      </c>
      <c r="AF187" s="15">
        <f>(AI126-AI127)</f>
        <v>-87669</v>
      </c>
      <c r="AG187" s="15">
        <f>(AK126-AK127)</f>
        <v>-93815</v>
      </c>
      <c r="AH187" s="15">
        <f>(AM126-AM127)</f>
        <v>-94667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5">
        <f>AT137</f>
        <v>10535.0532210803</v>
      </c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  <row r="195" ht="20.05" customHeight="1">
      <c r="AC195" s="36"/>
      <c r="AD195" s="34"/>
      <c r="AE195" s="17"/>
      <c r="AF195" s="17"/>
      <c r="AG195" s="17"/>
      <c r="AH195" s="17"/>
      <c r="AI195" s="15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88" customWidth="1"/>
    <col min="2" max="28" width="10.4844" style="388" customWidth="1"/>
    <col min="29" max="29" width="18.9766" style="389" customWidth="1"/>
    <col min="30" max="48" width="9" style="389" customWidth="1"/>
    <col min="49" max="16384" width="16.3516" style="389" customWidth="1"/>
  </cols>
  <sheetData>
    <row r="1" ht="11.65" customHeight="1"/>
    <row r="2" ht="27.65" customHeight="1">
      <c r="B2" t="s" s="2">
        <v>755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178</v>
      </c>
      <c r="AA3" t="s" s="3">
        <v>19</v>
      </c>
      <c r="AB3" t="s" s="3">
        <v>20</v>
      </c>
    </row>
    <row r="4" ht="20.25" customHeight="1">
      <c r="B4" s="6">
        <v>2017</v>
      </c>
      <c r="C4" s="7">
        <v>1230</v>
      </c>
      <c r="D4" s="8">
        <v>76</v>
      </c>
      <c r="E4" s="8">
        <v>106</v>
      </c>
      <c r="F4" s="8">
        <v>2107</v>
      </c>
      <c r="G4" s="8">
        <v>12733</v>
      </c>
      <c r="H4" s="8">
        <v>21004</v>
      </c>
      <c r="I4" s="8">
        <v>1273</v>
      </c>
      <c r="J4" s="8">
        <v>88.40000000000001</v>
      </c>
      <c r="K4" s="8">
        <v>-111</v>
      </c>
      <c r="L4" s="8">
        <v>144.75</v>
      </c>
      <c r="M4" s="8">
        <v>-18</v>
      </c>
      <c r="N4" s="8"/>
      <c r="O4" s="8"/>
      <c r="P4" s="9"/>
      <c r="Q4" s="9"/>
      <c r="R4" s="9"/>
      <c r="S4" s="9"/>
      <c r="T4" s="9"/>
      <c r="U4" s="9"/>
      <c r="V4" s="8">
        <f>-(L4+M4)</f>
        <v>-126.75</v>
      </c>
      <c r="W4" s="9"/>
      <c r="X4" s="8">
        <f>F4-G4</f>
        <v>-10626</v>
      </c>
      <c r="Y4" s="9"/>
      <c r="Z4" s="10"/>
      <c r="AA4" s="11"/>
      <c r="AB4" s="12">
        <v>13.3</v>
      </c>
    </row>
    <row r="5" ht="20.05" customHeight="1">
      <c r="B5" s="13"/>
      <c r="C5" s="14">
        <v>1470</v>
      </c>
      <c r="D5" s="15">
        <v>76</v>
      </c>
      <c r="E5" s="15">
        <v>28</v>
      </c>
      <c r="F5" s="15">
        <v>2112</v>
      </c>
      <c r="G5" s="15">
        <v>12991</v>
      </c>
      <c r="H5" s="15">
        <v>21205</v>
      </c>
      <c r="I5" s="15">
        <v>1374</v>
      </c>
      <c r="J5" s="15">
        <v>-11.4</v>
      </c>
      <c r="K5" s="15">
        <v>-304</v>
      </c>
      <c r="L5" s="15">
        <v>144.75</v>
      </c>
      <c r="M5" s="15">
        <v>-18</v>
      </c>
      <c r="N5" s="15"/>
      <c r="O5" s="15"/>
      <c r="P5" s="16"/>
      <c r="Q5" s="17"/>
      <c r="R5" s="17"/>
      <c r="S5" s="17"/>
      <c r="T5" s="17"/>
      <c r="U5" s="17"/>
      <c r="V5" s="15">
        <f>-(L5+M5)+V4</f>
        <v>-253.5</v>
      </c>
      <c r="W5" s="17"/>
      <c r="X5" s="15">
        <f>F5-G5</f>
        <v>-10879</v>
      </c>
      <c r="Y5" s="17"/>
      <c r="Z5" s="18"/>
      <c r="AA5" s="19"/>
      <c r="AB5" s="20">
        <v>13.327</v>
      </c>
    </row>
    <row r="6" ht="20.05" customHeight="1">
      <c r="B6" s="13"/>
      <c r="C6" s="14">
        <v>1295</v>
      </c>
      <c r="D6" s="15">
        <v>77</v>
      </c>
      <c r="E6" s="15">
        <v>105</v>
      </c>
      <c r="F6" s="15">
        <v>1676</v>
      </c>
      <c r="G6" s="15">
        <v>12730</v>
      </c>
      <c r="H6" s="15">
        <v>20987</v>
      </c>
      <c r="I6" s="15">
        <v>1418</v>
      </c>
      <c r="J6" s="15">
        <v>27</v>
      </c>
      <c r="K6" s="15">
        <v>-61</v>
      </c>
      <c r="L6" s="15">
        <v>144.75</v>
      </c>
      <c r="M6" s="15">
        <v>-18</v>
      </c>
      <c r="N6" s="15"/>
      <c r="O6" s="15"/>
      <c r="P6" s="16"/>
      <c r="Q6" s="17"/>
      <c r="R6" s="17"/>
      <c r="S6" s="17"/>
      <c r="T6" s="17"/>
      <c r="U6" s="17"/>
      <c r="V6" s="15">
        <f>-(L6+M6)+V5</f>
        <v>-380.25</v>
      </c>
      <c r="W6" s="17"/>
      <c r="X6" s="15">
        <f>F6-G6</f>
        <v>-11054</v>
      </c>
      <c r="Y6" s="17"/>
      <c r="Z6" s="18"/>
      <c r="AA6" s="19"/>
      <c r="AB6" s="20">
        <v>13.305</v>
      </c>
    </row>
    <row r="7" ht="20.05" customHeight="1">
      <c r="B7" s="13"/>
      <c r="C7" s="14">
        <v>1646</v>
      </c>
      <c r="D7" s="15">
        <v>106</v>
      </c>
      <c r="E7" s="15">
        <v>293</v>
      </c>
      <c r="F7" s="15">
        <v>1482</v>
      </c>
      <c r="G7" s="15">
        <v>13309</v>
      </c>
      <c r="H7" s="15">
        <v>21663</v>
      </c>
      <c r="I7" s="15">
        <v>1659</v>
      </c>
      <c r="J7" s="15">
        <v>-483</v>
      </c>
      <c r="K7" s="15">
        <v>33</v>
      </c>
      <c r="L7" s="15">
        <v>144.75</v>
      </c>
      <c r="M7" s="15">
        <v>-18</v>
      </c>
      <c r="N7" s="15"/>
      <c r="O7" s="15"/>
      <c r="P7" s="16"/>
      <c r="Q7" s="17"/>
      <c r="R7" s="17"/>
      <c r="S7" s="17"/>
      <c r="T7" s="17"/>
      <c r="U7" s="17"/>
      <c r="V7" s="15">
        <f>-(L7+M7)+V6</f>
        <v>-507</v>
      </c>
      <c r="W7" s="17"/>
      <c r="X7" s="15">
        <f>F7-G7</f>
        <v>-11827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1197</v>
      </c>
      <c r="D8" s="15">
        <v>24</v>
      </c>
      <c r="E8" s="15">
        <v>85</v>
      </c>
      <c r="F8" s="15">
        <v>1390</v>
      </c>
      <c r="G8" s="15">
        <v>13384</v>
      </c>
      <c r="H8" s="15">
        <v>21737</v>
      </c>
      <c r="I8" s="15">
        <v>1398</v>
      </c>
      <c r="J8" s="15">
        <v>148</v>
      </c>
      <c r="K8" s="15">
        <v>-142</v>
      </c>
      <c r="L8" s="15">
        <v>127.25</v>
      </c>
      <c r="M8" s="15">
        <v>21.25</v>
      </c>
      <c r="N8" s="15">
        <f>SUM(C5:C8)/4</f>
        <v>1402</v>
      </c>
      <c r="O8" s="15"/>
      <c r="P8" s="16"/>
      <c r="Q8" s="16"/>
      <c r="R8" s="16"/>
      <c r="S8" s="17"/>
      <c r="T8" s="15">
        <f>SUM(J5:K8)/4</f>
        <v>-198.35</v>
      </c>
      <c r="U8" s="25"/>
      <c r="V8" s="15">
        <f>-(L8+M8)+V7</f>
        <v>-655.5</v>
      </c>
      <c r="W8" s="17"/>
      <c r="X8" s="15">
        <f>F8-G8</f>
        <v>-11994</v>
      </c>
      <c r="Y8" s="24"/>
      <c r="Z8" s="15">
        <v>905</v>
      </c>
      <c r="AA8" s="22"/>
      <c r="AB8" s="20">
        <v>13.761</v>
      </c>
    </row>
    <row r="9" ht="20.05" customHeight="1">
      <c r="B9" s="13"/>
      <c r="C9" s="14">
        <v>1466</v>
      </c>
      <c r="D9" s="15">
        <v>129</v>
      </c>
      <c r="E9" s="15">
        <v>116</v>
      </c>
      <c r="F9" s="15">
        <v>1560</v>
      </c>
      <c r="G9" s="15">
        <v>14622</v>
      </c>
      <c r="H9" s="15">
        <v>23034</v>
      </c>
      <c r="I9" s="15">
        <v>1562</v>
      </c>
      <c r="J9" s="15">
        <v>36</v>
      </c>
      <c r="K9" s="15">
        <v>-158</v>
      </c>
      <c r="L9" s="15">
        <v>127.25</v>
      </c>
      <c r="M9" s="15">
        <v>21.25</v>
      </c>
      <c r="N9" s="15">
        <f>SUM(C6:C9)/4</f>
        <v>1401</v>
      </c>
      <c r="O9" s="15"/>
      <c r="P9" s="16"/>
      <c r="Q9" s="16"/>
      <c r="R9" s="16"/>
      <c r="S9" s="17"/>
      <c r="T9" s="15">
        <f>SUM(J6:K9)/4</f>
        <v>-150</v>
      </c>
      <c r="U9" s="25"/>
      <c r="V9" s="15">
        <f>-(L9+M9)+V8</f>
        <v>-804</v>
      </c>
      <c r="W9" s="17"/>
      <c r="X9" s="15">
        <f>F13-G9</f>
        <v>-13105</v>
      </c>
      <c r="Y9" s="24"/>
      <c r="Z9" s="15">
        <v>905</v>
      </c>
      <c r="AA9" s="22"/>
      <c r="AB9" s="20">
        <v>14</v>
      </c>
    </row>
    <row r="10" ht="20.05" customHeight="1">
      <c r="B10" s="13"/>
      <c r="C10" s="14">
        <v>1360</v>
      </c>
      <c r="D10" s="15">
        <v>76</v>
      </c>
      <c r="E10" s="15">
        <v>191</v>
      </c>
      <c r="F10" s="15">
        <v>1537</v>
      </c>
      <c r="G10" s="15">
        <v>14211</v>
      </c>
      <c r="H10" s="15">
        <v>22908</v>
      </c>
      <c r="I10" s="15">
        <v>1728</v>
      </c>
      <c r="J10" s="15">
        <v>287</v>
      </c>
      <c r="K10" s="15">
        <v>-429</v>
      </c>
      <c r="L10" s="15">
        <v>127.25</v>
      </c>
      <c r="M10" s="15">
        <v>21.25</v>
      </c>
      <c r="N10" s="15">
        <f>SUM(C7:C10)/4</f>
        <v>1417.25</v>
      </c>
      <c r="O10" s="15"/>
      <c r="P10" s="16"/>
      <c r="Q10" s="16"/>
      <c r="R10" s="16"/>
      <c r="S10" s="17"/>
      <c r="T10" s="15">
        <f>SUM(J7:K10)/4</f>
        <v>-177</v>
      </c>
      <c r="U10" s="25"/>
      <c r="V10" s="15">
        <f>-(L10+M10)+V9</f>
        <v>-952.5</v>
      </c>
      <c r="W10" s="17"/>
      <c r="X10" s="15">
        <f>F10-G10</f>
        <v>-12674</v>
      </c>
      <c r="Y10" s="24"/>
      <c r="Z10" s="15">
        <v>655</v>
      </c>
      <c r="AA10" s="22"/>
      <c r="AB10" s="20">
        <v>14.902</v>
      </c>
    </row>
    <row r="11" ht="20.05" customHeight="1">
      <c r="B11" s="13"/>
      <c r="C11" s="14">
        <v>1638</v>
      </c>
      <c r="D11" s="15">
        <v>73</v>
      </c>
      <c r="E11" s="15">
        <v>299</v>
      </c>
      <c r="F11" s="15">
        <v>1534</v>
      </c>
      <c r="G11" s="15">
        <v>14238</v>
      </c>
      <c r="H11" s="15">
        <v>23299</v>
      </c>
      <c r="I11" s="15">
        <v>1585</v>
      </c>
      <c r="J11" s="15">
        <v>-590</v>
      </c>
      <c r="K11" s="15">
        <v>388</v>
      </c>
      <c r="L11" s="15">
        <v>127.25</v>
      </c>
      <c r="M11" s="15">
        <v>21.25</v>
      </c>
      <c r="N11" s="15">
        <f>SUM(C8:C11)/4</f>
        <v>1415.25</v>
      </c>
      <c r="O11" s="15"/>
      <c r="P11" s="16"/>
      <c r="Q11" s="16"/>
      <c r="R11" s="16"/>
      <c r="S11" s="17"/>
      <c r="T11" s="15">
        <f>SUM(J8:K11)/4</f>
        <v>-115</v>
      </c>
      <c r="U11" s="25"/>
      <c r="V11" s="15">
        <f>-(L11+M11)+V10</f>
        <v>-1101</v>
      </c>
      <c r="W11" s="17"/>
      <c r="X11" s="15">
        <f>F11-G11</f>
        <v>-12704</v>
      </c>
      <c r="Y11" s="24"/>
      <c r="Z11" s="15">
        <v>805</v>
      </c>
      <c r="AA11" s="22"/>
      <c r="AB11" s="20">
        <v>14.38</v>
      </c>
    </row>
    <row r="12" ht="20.05" customHeight="1">
      <c r="B12" s="21">
        <v>2019</v>
      </c>
      <c r="C12" s="14">
        <v>1061</v>
      </c>
      <c r="D12" s="15">
        <v>73</v>
      </c>
      <c r="E12" s="15">
        <v>103</v>
      </c>
      <c r="F12" s="15">
        <v>1505</v>
      </c>
      <c r="G12" s="15">
        <v>14760</v>
      </c>
      <c r="H12" s="15">
        <v>23917</v>
      </c>
      <c r="I12" s="15">
        <v>1530.41</v>
      </c>
      <c r="J12" s="15">
        <v>264.9</v>
      </c>
      <c r="K12" s="15">
        <v>-81</v>
      </c>
      <c r="L12" s="15">
        <v>115.25</v>
      </c>
      <c r="M12" s="15">
        <v>4.75</v>
      </c>
      <c r="N12" s="15">
        <f>SUM(C9:C12)/4</f>
        <v>1381.25</v>
      </c>
      <c r="O12" s="15"/>
      <c r="P12" s="16"/>
      <c r="Q12" s="16">
        <f>(E12+D12)/C12</f>
        <v>0.165881244109331</v>
      </c>
      <c r="R12" s="16">
        <f>AVERAGE(Q9:Q12)</f>
        <v>0.165881244109331</v>
      </c>
      <c r="S12" s="17"/>
      <c r="T12" s="15">
        <f>SUM(J9:K12)/4</f>
        <v>-70.52500000000001</v>
      </c>
      <c r="U12" s="25"/>
      <c r="V12" s="15">
        <f>-(L12+M12)+V11</f>
        <v>-1221</v>
      </c>
      <c r="W12" s="17"/>
      <c r="X12" s="15">
        <f>F12-G12</f>
        <v>-13255</v>
      </c>
      <c r="Y12" s="24"/>
      <c r="Z12" s="15">
        <v>940</v>
      </c>
      <c r="AA12" s="22"/>
      <c r="AB12" s="20">
        <v>14.24</v>
      </c>
    </row>
    <row r="13" ht="20.05" customHeight="1">
      <c r="B13" s="13"/>
      <c r="C13" s="14">
        <v>1617</v>
      </c>
      <c r="D13" s="15">
        <v>68</v>
      </c>
      <c r="E13" s="15">
        <v>113</v>
      </c>
      <c r="F13" s="15">
        <v>1517</v>
      </c>
      <c r="G13" s="15">
        <v>14746</v>
      </c>
      <c r="H13" s="15">
        <v>23947</v>
      </c>
      <c r="I13" s="15">
        <v>1505.59</v>
      </c>
      <c r="J13" s="15">
        <v>176.1</v>
      </c>
      <c r="K13" s="15">
        <v>-163</v>
      </c>
      <c r="L13" s="15">
        <v>115.25</v>
      </c>
      <c r="M13" s="15">
        <v>4.75</v>
      </c>
      <c r="N13" s="15">
        <f>SUM(C10:C13)/4</f>
        <v>1419</v>
      </c>
      <c r="O13" s="15"/>
      <c r="P13" s="16">
        <f>C13/C12-1</f>
        <v>0.524033930254477</v>
      </c>
      <c r="Q13" s="16">
        <f>(E13+D13)/C13</f>
        <v>0.111935683364255</v>
      </c>
      <c r="R13" s="16">
        <f>AVERAGE(Q10:Q13)</f>
        <v>0.138908463736793</v>
      </c>
      <c r="S13" s="17"/>
      <c r="T13" s="15">
        <f>SUM(J10:K13)/4</f>
        <v>-36.75</v>
      </c>
      <c r="U13" s="25"/>
      <c r="V13" s="15">
        <f>-(L13+M13)+V12</f>
        <v>-1341</v>
      </c>
      <c r="W13" s="17"/>
      <c r="X13" s="15">
        <f>F13-G13</f>
        <v>-13229</v>
      </c>
      <c r="Y13" s="24"/>
      <c r="Z13" s="350">
        <v>1220</v>
      </c>
      <c r="AA13" s="24"/>
      <c r="AB13" s="15">
        <v>14.127</v>
      </c>
    </row>
    <row r="14" ht="20.05" customHeight="1">
      <c r="B14" s="13"/>
      <c r="C14" s="14">
        <v>1733</v>
      </c>
      <c r="D14" s="15">
        <v>68</v>
      </c>
      <c r="E14" s="15">
        <v>200</v>
      </c>
      <c r="F14" s="15">
        <v>1597</v>
      </c>
      <c r="G14" s="15">
        <v>14639</v>
      </c>
      <c r="H14" s="15">
        <v>23880</v>
      </c>
      <c r="I14" s="15">
        <v>1563</v>
      </c>
      <c r="J14" s="15">
        <v>183</v>
      </c>
      <c r="K14" s="15">
        <v>-70</v>
      </c>
      <c r="L14" s="15">
        <v>115.25</v>
      </c>
      <c r="M14" s="15">
        <v>4.75</v>
      </c>
      <c r="N14" s="15">
        <f>SUM(C11:C14)/4</f>
        <v>1512.25</v>
      </c>
      <c r="O14" s="15"/>
      <c r="P14" s="16">
        <f>C14/C13-1</f>
        <v>0.0717377860235003</v>
      </c>
      <c r="Q14" s="16">
        <f>(E14+D14)/C14</f>
        <v>0.15464512406232</v>
      </c>
      <c r="R14" s="16">
        <f>AVERAGE(Q11:Q14)</f>
        <v>0.144154017178635</v>
      </c>
      <c r="S14" s="17"/>
      <c r="T14" s="15">
        <f>SUM(J11:K14)/4</f>
        <v>27</v>
      </c>
      <c r="U14" s="25"/>
      <c r="V14" s="15">
        <f>-(L14+M14)+V13</f>
        <v>-1461</v>
      </c>
      <c r="W14" s="17"/>
      <c r="X14" s="15">
        <f>F14-G14</f>
        <v>-13042</v>
      </c>
      <c r="Y14" s="24"/>
      <c r="Z14" s="350">
        <v>1155</v>
      </c>
      <c r="AA14" s="24"/>
      <c r="AB14" s="15">
        <v>14.195</v>
      </c>
    </row>
    <row r="15" ht="20.05" customHeight="1">
      <c r="B15" s="13"/>
      <c r="C15" s="14">
        <v>1531</v>
      </c>
      <c r="D15" s="15">
        <v>69</v>
      </c>
      <c r="E15" s="15">
        <v>197</v>
      </c>
      <c r="F15" s="15">
        <v>1664</v>
      </c>
      <c r="G15" s="15">
        <v>14990</v>
      </c>
      <c r="H15" s="15">
        <v>24442</v>
      </c>
      <c r="I15" s="15">
        <v>1308</v>
      </c>
      <c r="J15" s="15">
        <v>-119</v>
      </c>
      <c r="K15" s="15">
        <v>-267</v>
      </c>
      <c r="L15" s="15">
        <v>115.25</v>
      </c>
      <c r="M15" s="15">
        <v>4.75</v>
      </c>
      <c r="N15" s="15">
        <f>SUM(C12:C15)/4</f>
        <v>1485.5</v>
      </c>
      <c r="O15" s="15"/>
      <c r="P15" s="16">
        <f>C15/C14-1</f>
        <v>-0.116560877091748</v>
      </c>
      <c r="Q15" s="16">
        <f>(E15+D15)/C15</f>
        <v>0.173742651861528</v>
      </c>
      <c r="R15" s="16">
        <f>AVERAGE(Q12:Q15)</f>
        <v>0.151551175849359</v>
      </c>
      <c r="S15" s="17"/>
      <c r="T15" s="15">
        <f>SUM(J12:K15)/4</f>
        <v>-19</v>
      </c>
      <c r="U15" s="25"/>
      <c r="V15" s="15">
        <f>-(L15+M15)+V14</f>
        <v>-1581</v>
      </c>
      <c r="W15" s="17"/>
      <c r="X15" s="15">
        <f>F15-G15</f>
        <v>-13326</v>
      </c>
      <c r="Y15" s="24"/>
      <c r="Z15" s="350">
        <v>1005</v>
      </c>
      <c r="AA15" s="24"/>
      <c r="AB15" s="15">
        <v>13.882</v>
      </c>
    </row>
    <row r="16" ht="20.05" customHeight="1">
      <c r="B16" s="21">
        <v>2020</v>
      </c>
      <c r="C16" s="14">
        <v>1039.4</v>
      </c>
      <c r="D16" s="15">
        <v>68</v>
      </c>
      <c r="E16" s="15">
        <v>31.86</v>
      </c>
      <c r="F16" s="15">
        <v>2556</v>
      </c>
      <c r="G16" s="15">
        <v>16438</v>
      </c>
      <c r="H16" s="15">
        <v>25769</v>
      </c>
      <c r="I16" s="15">
        <v>1216.82</v>
      </c>
      <c r="J16" s="15">
        <v>48.65</v>
      </c>
      <c r="K16" s="15">
        <v>-109.7</v>
      </c>
      <c r="L16" s="15">
        <v>91.5</v>
      </c>
      <c r="M16" s="15">
        <v>4.75</v>
      </c>
      <c r="N16" s="15">
        <f>SUM(C13:C16)/4</f>
        <v>1480.1</v>
      </c>
      <c r="O16" s="15">
        <v>1366.25</v>
      </c>
      <c r="P16" s="16">
        <f>C16/C15-1</f>
        <v>-0.321097322011757</v>
      </c>
      <c r="Q16" s="16">
        <f>(E16+D16)/C16</f>
        <v>0.09607465845680201</v>
      </c>
      <c r="R16" s="16">
        <f>AVERAGE(Q13:Q16)</f>
        <v>0.134099529436226</v>
      </c>
      <c r="S16" s="17"/>
      <c r="T16" s="15">
        <f>SUM(J13:K16)/4</f>
        <v>-80.2375</v>
      </c>
      <c r="U16" s="25"/>
      <c r="V16" s="15">
        <f>-(L16+M16)+V15</f>
        <v>-1677.25</v>
      </c>
      <c r="W16" s="17"/>
      <c r="X16" s="15">
        <f>F16-G16</f>
        <v>-13882</v>
      </c>
      <c r="Y16" s="24"/>
      <c r="Z16" s="350">
        <v>400</v>
      </c>
      <c r="AA16" s="24"/>
      <c r="AB16" s="15">
        <v>16.31</v>
      </c>
    </row>
    <row r="17" ht="20.05" customHeight="1">
      <c r="B17" s="13"/>
      <c r="C17" s="14">
        <v>1142.6</v>
      </c>
      <c r="D17" s="15">
        <v>73</v>
      </c>
      <c r="E17" s="15">
        <v>6.14</v>
      </c>
      <c r="F17" s="15">
        <v>2580</v>
      </c>
      <c r="G17" s="15">
        <v>16408</v>
      </c>
      <c r="H17" s="15">
        <v>25752</v>
      </c>
      <c r="I17" s="15">
        <v>758.1799999999999</v>
      </c>
      <c r="J17" s="15">
        <v>-355.65</v>
      </c>
      <c r="K17" s="15">
        <v>-113.3</v>
      </c>
      <c r="L17" s="15">
        <v>91.5</v>
      </c>
      <c r="M17" s="15">
        <v>4.75</v>
      </c>
      <c r="N17" s="15">
        <f>SUM(C14:C17)/4</f>
        <v>1361.5</v>
      </c>
      <c r="O17" s="15">
        <v>1261.183333333330</v>
      </c>
      <c r="P17" s="16">
        <f>C17/C16-1</f>
        <v>0.0992880507985376</v>
      </c>
      <c r="Q17" s="16">
        <f>(E17+D17)/C17</f>
        <v>0.0692630841939436</v>
      </c>
      <c r="R17" s="16">
        <f>AVERAGE(Q14:Q17)</f>
        <v>0.123431379643648</v>
      </c>
      <c r="S17" s="17"/>
      <c r="T17" s="25">
        <f>SUM(J14:K17)/4</f>
        <v>-200.75</v>
      </c>
      <c r="U17" s="25"/>
      <c r="V17" s="15">
        <f>-(L17+M17)+V16</f>
        <v>-1773.5</v>
      </c>
      <c r="W17" s="17"/>
      <c r="X17" s="15">
        <f>F17-G17</f>
        <v>-13828</v>
      </c>
      <c r="Y17" s="24"/>
      <c r="Z17" s="350">
        <v>585</v>
      </c>
      <c r="AA17" s="24"/>
      <c r="AB17" s="15">
        <v>14.255</v>
      </c>
    </row>
    <row r="18" ht="20.05" customHeight="1">
      <c r="B18" s="13"/>
      <c r="C18" s="14">
        <v>1078.198</v>
      </c>
      <c r="D18" s="15">
        <v>66.09999999999999</v>
      </c>
      <c r="E18" s="15">
        <v>-8.6</v>
      </c>
      <c r="F18" s="15">
        <v>1784</v>
      </c>
      <c r="G18" s="15">
        <v>15638</v>
      </c>
      <c r="H18" s="15">
        <v>24927</v>
      </c>
      <c r="I18" s="15">
        <v>934.0599999999999</v>
      </c>
      <c r="J18" s="15">
        <v>51.713</v>
      </c>
      <c r="K18" s="15">
        <v>-177</v>
      </c>
      <c r="L18" s="15">
        <v>91.5</v>
      </c>
      <c r="M18" s="15">
        <v>4.75</v>
      </c>
      <c r="N18" s="15">
        <f>SUM(C15:C18)/4</f>
        <v>1197.7995</v>
      </c>
      <c r="O18" s="15">
        <v>1314.15</v>
      </c>
      <c r="P18" s="16">
        <f>C18/C17-1</f>
        <v>-0.0563644319971994</v>
      </c>
      <c r="Q18" s="16">
        <f>(E18+D18)/C18</f>
        <v>0.0533297223701027</v>
      </c>
      <c r="R18" s="16">
        <f>AVERAGE(Q15:Q18)</f>
        <v>0.09810252922059411</v>
      </c>
      <c r="S18" s="17"/>
      <c r="T18" s="25">
        <f>SUM(J15:K18)/4</f>
        <v>-260.32175</v>
      </c>
      <c r="U18" s="25"/>
      <c r="V18" s="15">
        <f>-(L18+M18)+V17</f>
        <v>-1869.75</v>
      </c>
      <c r="W18" s="17"/>
      <c r="X18" s="15">
        <f>F18-G18</f>
        <v>-13854</v>
      </c>
      <c r="Y18" s="24"/>
      <c r="Z18" s="350">
        <v>555</v>
      </c>
      <c r="AA18" s="24"/>
      <c r="AB18" s="15">
        <v>14.79</v>
      </c>
    </row>
    <row r="19" ht="20.05" customHeight="1">
      <c r="B19" s="13"/>
      <c r="C19" s="14">
        <v>1769.802</v>
      </c>
      <c r="D19" s="15">
        <v>68.8</v>
      </c>
      <c r="E19" s="15">
        <v>216.5</v>
      </c>
      <c r="F19" s="15">
        <v>1656</v>
      </c>
      <c r="G19" s="15">
        <v>15837</v>
      </c>
      <c r="H19" s="15">
        <v>24923</v>
      </c>
      <c r="I19" s="15">
        <v>1919.94</v>
      </c>
      <c r="J19" s="15">
        <v>232.387</v>
      </c>
      <c r="K19" s="15">
        <v>-79.40000000000001</v>
      </c>
      <c r="L19" s="15">
        <v>91.5</v>
      </c>
      <c r="M19" s="15">
        <v>4.75</v>
      </c>
      <c r="N19" s="15">
        <f>SUM(C16:C19)/4</f>
        <v>1257.5</v>
      </c>
      <c r="O19" s="15">
        <v>1147.815935</v>
      </c>
      <c r="P19" s="16">
        <f>C19/C18-1</f>
        <v>0.641444335827</v>
      </c>
      <c r="Q19" s="16">
        <f>(E19+D19)/C19</f>
        <v>0.161204473720789</v>
      </c>
      <c r="R19" s="16">
        <f>AVERAGE(Q16:Q19)</f>
        <v>0.0949679846854093</v>
      </c>
      <c r="S19" s="17"/>
      <c r="T19" s="25">
        <f>SUM(J16:K19)/4</f>
        <v>-125.575</v>
      </c>
      <c r="U19" s="25"/>
      <c r="V19" s="15">
        <f>-(L19+M19)+V18</f>
        <v>-1966</v>
      </c>
      <c r="W19" s="17"/>
      <c r="X19" s="15">
        <f>F19-G19</f>
        <v>-14181</v>
      </c>
      <c r="Y19" s="24"/>
      <c r="Z19" s="350">
        <v>805</v>
      </c>
      <c r="AA19" s="24"/>
      <c r="AB19" s="15">
        <v>14.1</v>
      </c>
    </row>
    <row r="20" ht="20.05" customHeight="1">
      <c r="B20" s="21">
        <v>2021</v>
      </c>
      <c r="C20" s="14">
        <v>1070.6</v>
      </c>
      <c r="D20" s="15">
        <v>69</v>
      </c>
      <c r="E20" s="15">
        <v>36.8</v>
      </c>
      <c r="F20" s="15">
        <v>1916</v>
      </c>
      <c r="G20" s="15">
        <v>16488</v>
      </c>
      <c r="H20" s="15">
        <v>25565</v>
      </c>
      <c r="I20" s="15">
        <v>1373.5</v>
      </c>
      <c r="J20" s="15">
        <v>412.8</v>
      </c>
      <c r="K20" s="15">
        <v>-89.2</v>
      </c>
      <c r="L20" s="15">
        <v>-23.89</v>
      </c>
      <c r="M20" s="15">
        <v>-41.65</v>
      </c>
      <c r="N20" s="15">
        <f>SUM(C17:C20)/4</f>
        <v>1265.3</v>
      </c>
      <c r="O20" s="15">
        <v>1289.576335</v>
      </c>
      <c r="P20" s="16">
        <f>C20/C19-1</f>
        <v>-0.395073573201974</v>
      </c>
      <c r="Q20" s="16">
        <f>(E20+D20)/C20</f>
        <v>0.0988230898561554</v>
      </c>
      <c r="R20" s="16">
        <f>AVERAGE(Q17:Q20)</f>
        <v>0.0956550925352477</v>
      </c>
      <c r="S20" s="17"/>
      <c r="T20" s="25">
        <f>SUM(J17:K20)/4</f>
        <v>-29.4125</v>
      </c>
      <c r="U20" s="25"/>
      <c r="V20" s="15">
        <f>-(L20+M20)+V19</f>
        <v>-1900.46</v>
      </c>
      <c r="W20" s="17"/>
      <c r="X20" s="15">
        <f>F20-G20</f>
        <v>-14572</v>
      </c>
      <c r="Y20" s="15"/>
      <c r="Z20" s="15">
        <v>940</v>
      </c>
      <c r="AA20" s="15"/>
      <c r="AB20" s="15">
        <v>14.606</v>
      </c>
    </row>
    <row r="21" ht="20.05" customHeight="1">
      <c r="B21" s="13"/>
      <c r="C21" s="14">
        <v>1388</v>
      </c>
      <c r="D21" s="15">
        <v>69</v>
      </c>
      <c r="E21" s="15">
        <v>119</v>
      </c>
      <c r="F21" s="15">
        <v>2842</v>
      </c>
      <c r="G21" s="15">
        <v>17400</v>
      </c>
      <c r="H21" s="15">
        <v>26533</v>
      </c>
      <c r="I21" s="15">
        <v>1699.7</v>
      </c>
      <c r="J21" s="15">
        <v>609.1</v>
      </c>
      <c r="K21" s="15">
        <v>-133.3</v>
      </c>
      <c r="L21" s="15">
        <v>-1046.787</v>
      </c>
      <c r="M21" s="15">
        <v>1498.9</v>
      </c>
      <c r="N21" s="15">
        <f>SUM(C18:C21)/4</f>
        <v>1326.65</v>
      </c>
      <c r="O21" s="15">
        <v>1455.053835</v>
      </c>
      <c r="P21" s="16">
        <f>C21/C20-1</f>
        <v>0.296469269568466</v>
      </c>
      <c r="Q21" s="16">
        <f>(E21+D21)/C21</f>
        <v>0.135446685878963</v>
      </c>
      <c r="R21" s="16">
        <f>AVERAGE(Q18:Q21)</f>
        <v>0.112200992956503</v>
      </c>
      <c r="S21" s="17"/>
      <c r="T21" s="25">
        <f>SUM(J18:K21)/4</f>
        <v>206.775</v>
      </c>
      <c r="U21" s="25"/>
      <c r="V21" s="15">
        <f>-(L21+M21)+V20</f>
        <v>-2352.573</v>
      </c>
      <c r="W21" s="17"/>
      <c r="X21" s="15">
        <f>F21-G21</f>
        <v>-14558</v>
      </c>
      <c r="Y21" s="15"/>
      <c r="Z21" s="15">
        <v>850</v>
      </c>
      <c r="AA21" s="15"/>
      <c r="AB21" s="15">
        <v>14.45</v>
      </c>
    </row>
    <row r="22" ht="20.05" customHeight="1">
      <c r="B22" s="13"/>
      <c r="C22" s="14">
        <v>1331.2</v>
      </c>
      <c r="D22" s="15">
        <v>69</v>
      </c>
      <c r="E22" s="15">
        <v>78.5</v>
      </c>
      <c r="F22" s="15">
        <v>2086</v>
      </c>
      <c r="G22" s="15">
        <v>14800</v>
      </c>
      <c r="H22" s="15">
        <v>25446</v>
      </c>
      <c r="I22" s="15">
        <v>1365.3</v>
      </c>
      <c r="J22" s="15">
        <v>384.9</v>
      </c>
      <c r="K22" s="15">
        <v>-110.7</v>
      </c>
      <c r="L22" s="15">
        <v>-963.883</v>
      </c>
      <c r="M22" s="15">
        <v>-66.54000000000001</v>
      </c>
      <c r="N22" s="15">
        <f>SUM(C19:C22)/4</f>
        <v>1389.9005</v>
      </c>
      <c r="O22" s="15">
        <v>1426.851335</v>
      </c>
      <c r="P22" s="16">
        <f>C22/C21-1</f>
        <v>-0.0409221902017291</v>
      </c>
      <c r="Q22" s="16">
        <f>(E22+D22)/C22</f>
        <v>0.110802283653846</v>
      </c>
      <c r="R22" s="16">
        <f>AVERAGE(Q19:Q22)</f>
        <v>0.126569133277438</v>
      </c>
      <c r="S22" s="17"/>
      <c r="T22" s="25">
        <f>SUM(J19:K22)/4</f>
        <v>306.64675</v>
      </c>
      <c r="U22" s="25"/>
      <c r="V22" s="15">
        <f>-(L22+M22)+V21</f>
        <v>-1322.15</v>
      </c>
      <c r="W22" s="17"/>
      <c r="X22" s="15">
        <f>F22-G22</f>
        <v>-12714</v>
      </c>
      <c r="Y22" s="15"/>
      <c r="Z22" s="15">
        <v>845</v>
      </c>
      <c r="AA22" s="15"/>
      <c r="AB22" s="15">
        <v>14.328</v>
      </c>
    </row>
    <row r="23" ht="20.05" customHeight="1">
      <c r="B23" s="13"/>
      <c r="C23" s="14">
        <v>1778.2</v>
      </c>
      <c r="D23" s="15">
        <v>69</v>
      </c>
      <c r="E23" s="15">
        <v>315.7</v>
      </c>
      <c r="F23" s="15">
        <v>2774</v>
      </c>
      <c r="G23" s="15">
        <v>14920</v>
      </c>
      <c r="H23" s="15">
        <v>26050</v>
      </c>
      <c r="I23" s="15">
        <v>2173.5</v>
      </c>
      <c r="J23" s="15">
        <v>1036.2</v>
      </c>
      <c r="K23" s="15">
        <v>-162.8</v>
      </c>
      <c r="L23" s="15">
        <v>-385.44</v>
      </c>
      <c r="M23" s="15">
        <v>283.29</v>
      </c>
      <c r="N23" s="15">
        <f>SUM(C20:C23)/4</f>
        <v>1392</v>
      </c>
      <c r="O23" s="15">
        <v>1488.3404</v>
      </c>
      <c r="P23" s="16">
        <f>C23/C22-1</f>
        <v>0.335787259615385</v>
      </c>
      <c r="Q23" s="16">
        <f>(E23+D23)/C23</f>
        <v>0.216342368687437</v>
      </c>
      <c r="R23" s="16">
        <f>AVERAGE(Q20:Q23)</f>
        <v>0.1403536070191</v>
      </c>
      <c r="S23" s="17"/>
      <c r="T23" s="25">
        <f>SUM(J20:K23)/4</f>
        <v>486.75</v>
      </c>
      <c r="U23" s="25"/>
      <c r="V23" s="15">
        <f>-(L23+M23)+V22</f>
        <v>-1220</v>
      </c>
      <c r="W23" s="17"/>
      <c r="X23" s="15">
        <f>F23-G23</f>
        <v>-12146</v>
      </c>
      <c r="Y23" s="15"/>
      <c r="Z23" s="15">
        <v>835</v>
      </c>
      <c r="AA23" s="15"/>
      <c r="AB23" s="15">
        <v>14.275</v>
      </c>
    </row>
    <row r="24" ht="20.05" customHeight="1">
      <c r="B24" s="21">
        <v>2022</v>
      </c>
      <c r="C24" s="14">
        <v>1470</v>
      </c>
      <c r="D24" s="15">
        <v>61</v>
      </c>
      <c r="E24" s="15">
        <v>236</v>
      </c>
      <c r="F24" s="15">
        <v>3569.5</v>
      </c>
      <c r="G24" s="15">
        <v>15810</v>
      </c>
      <c r="H24" s="15">
        <v>27224</v>
      </c>
      <c r="I24" s="15">
        <v>2402</v>
      </c>
      <c r="J24" s="15">
        <v>1410.6</v>
      </c>
      <c r="K24" s="15">
        <v>-89.2</v>
      </c>
      <c r="L24" s="15">
        <v>-482</v>
      </c>
      <c r="M24" s="15">
        <v>9</v>
      </c>
      <c r="N24" s="15">
        <f>SUM(C21:C24)/4</f>
        <v>1491.85</v>
      </c>
      <c r="O24" s="15">
        <v>1490.02</v>
      </c>
      <c r="P24" s="16">
        <f>C24/C23-1</f>
        <v>-0.173321336182657</v>
      </c>
      <c r="Q24" s="16">
        <f>(E24+D24)/C24</f>
        <v>0.202040816326531</v>
      </c>
      <c r="R24" s="16">
        <f>AVERAGE(Q21:Q24)</f>
        <v>0.166158038636694</v>
      </c>
      <c r="S24" s="35"/>
      <c r="T24" s="25">
        <f>SUM(J21:K24)/4</f>
        <v>736.2</v>
      </c>
      <c r="U24" s="15">
        <v>296.28475</v>
      </c>
      <c r="V24" s="15">
        <f>-(L24+M24)+V23</f>
        <v>-747</v>
      </c>
      <c r="W24" s="15"/>
      <c r="X24" s="15">
        <f>F24-G24</f>
        <v>-12240.5</v>
      </c>
      <c r="Y24" s="15">
        <v>-11338.023105</v>
      </c>
      <c r="Z24" s="26">
        <v>770</v>
      </c>
      <c r="AA24" s="17"/>
      <c r="AB24" s="15">
        <v>14.327</v>
      </c>
    </row>
    <row r="25" ht="20.05" customHeight="1">
      <c r="B25" s="13"/>
      <c r="C25" s="14">
        <v>1259</v>
      </c>
      <c r="D25" s="15">
        <v>61</v>
      </c>
      <c r="E25" s="15">
        <v>72</v>
      </c>
      <c r="F25" s="15">
        <v>3247</v>
      </c>
      <c r="G25" s="15">
        <v>15907</v>
      </c>
      <c r="H25" s="15">
        <v>27237</v>
      </c>
      <c r="I25" s="15">
        <v>1645</v>
      </c>
      <c r="J25" s="15">
        <v>336.4</v>
      </c>
      <c r="K25" s="15">
        <v>-178.8</v>
      </c>
      <c r="L25" s="15">
        <v>-362</v>
      </c>
      <c r="M25" s="15">
        <v>-170</v>
      </c>
      <c r="N25" s="15">
        <f>SUM(C22:C25)/4</f>
        <v>1459.6</v>
      </c>
      <c r="O25" s="15">
        <v>1484.405</v>
      </c>
      <c r="P25" s="16">
        <f>C25/C24-1</f>
        <v>-0.143537414965986</v>
      </c>
      <c r="Q25" s="16">
        <f>(E25+D25)/C25</f>
        <v>0.105639396346307</v>
      </c>
      <c r="R25" s="16">
        <f>AVERAGE(Q22:Q25)</f>
        <v>0.15870621625353</v>
      </c>
      <c r="S25" s="35"/>
      <c r="T25" s="25">
        <f>SUM(J22:K25)/4</f>
        <v>656.65</v>
      </c>
      <c r="U25" s="15">
        <v>238.4189</v>
      </c>
      <c r="V25" s="15">
        <f>-(L25+M25)+V24</f>
        <v>-215</v>
      </c>
      <c r="W25" s="15"/>
      <c r="X25" s="15">
        <f>F25-G25</f>
        <v>-12660</v>
      </c>
      <c r="Y25" s="15">
        <v>-11338.98689</v>
      </c>
      <c r="Z25" s="26">
        <v>570</v>
      </c>
      <c r="AA25" s="15">
        <v>942</v>
      </c>
      <c r="AB25" s="15">
        <v>14.66</v>
      </c>
    </row>
    <row r="26" ht="20.05" customHeight="1">
      <c r="B26" s="13"/>
      <c r="C26" s="14">
        <v>1482.8</v>
      </c>
      <c r="D26" s="15">
        <v>60</v>
      </c>
      <c r="E26" s="15">
        <v>114.5</v>
      </c>
      <c r="F26" s="15">
        <v>3038</v>
      </c>
      <c r="G26" s="15">
        <v>16174</v>
      </c>
      <c r="H26" s="15">
        <v>27519</v>
      </c>
      <c r="I26" s="15">
        <v>1716.3</v>
      </c>
      <c r="J26" s="15">
        <v>352</v>
      </c>
      <c r="K26" s="15">
        <v>-200.5</v>
      </c>
      <c r="L26" s="15">
        <v>-423.2</v>
      </c>
      <c r="M26" s="15">
        <v>62.1</v>
      </c>
      <c r="N26" s="15">
        <f>SUM(C23:C26)/4</f>
        <v>1497.5</v>
      </c>
      <c r="O26" s="15">
        <v>1452.8</v>
      </c>
      <c r="P26" s="16">
        <f>C26/C25-1</f>
        <v>0.177760127084988</v>
      </c>
      <c r="Q26" s="16">
        <f>(E26+D26)/C26</f>
        <v>0.117682762341516</v>
      </c>
      <c r="R26" s="16">
        <f>AVERAGE(Q23:Q26)</f>
        <v>0.160426335925448</v>
      </c>
      <c r="S26" s="35">
        <f>S27</f>
        <v>0.160426335925448</v>
      </c>
      <c r="T26" s="25">
        <f>SUM(J23:K26)/4</f>
        <v>625.975</v>
      </c>
      <c r="U26" s="15">
        <v>163.058768244198</v>
      </c>
      <c r="V26" s="15">
        <f>-(L26+M26)+V25</f>
        <v>146.1</v>
      </c>
      <c r="W26" s="15">
        <f>W27</f>
        <v>639.915552311160</v>
      </c>
      <c r="X26" s="15">
        <f>F26-G26</f>
        <v>-13136</v>
      </c>
      <c r="Y26" s="15">
        <v>-12084.2684343209</v>
      </c>
      <c r="Z26" s="26">
        <v>595</v>
      </c>
      <c r="AA26" s="15">
        <v>1168.809573554450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1582.91583868</v>
      </c>
      <c r="P27" s="17"/>
      <c r="Q27" s="17"/>
      <c r="R27" s="17"/>
      <c r="S27" s="35">
        <f>AE53</f>
        <v>0.160426335925448</v>
      </c>
      <c r="T27" s="25"/>
      <c r="U27" s="15">
        <f>SUM(AE55:AH55)/4</f>
        <v>123.453888077790</v>
      </c>
      <c r="V27" s="17"/>
      <c r="W27" s="15">
        <f>-SUM(AE76:AH76)+V26</f>
        <v>639.915552311160</v>
      </c>
      <c r="X27" s="26"/>
      <c r="Y27" s="15">
        <f>AH75</f>
        <v>-12642.1844476888</v>
      </c>
      <c r="Z27" s="15">
        <v>570</v>
      </c>
      <c r="AA27" s="15">
        <v>1168.809573554450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15119.7</v>
      </c>
      <c r="O28" s="15">
        <f>SUM(O16:O26)</f>
        <v>15176.4461733333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777.7282211221529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178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0.0491721588879325</v>
      </c>
      <c r="AF49" s="35"/>
      <c r="AG49" s="35"/>
      <c r="AH49" s="35">
        <f>AVERAGE(AE51:AH51)</f>
        <v>0.035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0.335787259615385</v>
      </c>
      <c r="AF50" s="35">
        <f>P24</f>
        <v>-0.173321336182657</v>
      </c>
      <c r="AG50" s="35">
        <f>P25</f>
        <v>-0.143537414965986</v>
      </c>
      <c r="AH50" s="35">
        <f>P26</f>
        <v>0.177760127084988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-0.07000000000000001</v>
      </c>
      <c r="AG51" s="35">
        <v>-0.01</v>
      </c>
      <c r="AH51" s="35">
        <v>0.12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1482.8</v>
      </c>
      <c r="AE52" s="23">
        <f>C26*(1+AE51)</f>
        <v>1631.08</v>
      </c>
      <c r="AF52" s="23">
        <f>AE52*(1+AF51)</f>
        <v>1516.9044</v>
      </c>
      <c r="AG52" s="23">
        <f>AF52*(1+AG51)</f>
        <v>1501.735356</v>
      </c>
      <c r="AH52" s="23">
        <f>AG52*(1+AH51)</f>
        <v>1681.94359872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0.160426335925448</v>
      </c>
      <c r="AF53" s="35">
        <f>AE53</f>
        <v>0.160426335925448</v>
      </c>
      <c r="AG53" s="35">
        <f>AF53</f>
        <v>0.160426335925448</v>
      </c>
      <c r="AH53" s="35">
        <f>AG53</f>
        <v>0.160426335925448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AVERAGE(K19:K26)</f>
        <v>-130.4875</v>
      </c>
      <c r="AF54" s="15">
        <f>AE54</f>
        <v>-130.4875</v>
      </c>
      <c r="AG54" s="15">
        <f>AF54</f>
        <v>-130.4875</v>
      </c>
      <c r="AH54" s="15">
        <f>AG54</f>
        <v>-130.4875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131.180688001280</v>
      </c>
      <c r="AF55" s="15">
        <f>(AF52*AF53)+AF54</f>
        <v>112.863914841190</v>
      </c>
      <c r="AG55" s="15">
        <f>(AG52*AG53)+AG54</f>
        <v>110.430400692778</v>
      </c>
      <c r="AH55" s="15">
        <f>(AH52*AH53)+AH54</f>
        <v>139.340548775912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-808.7</v>
      </c>
      <c r="AF56" s="15">
        <f>-AE71/20</f>
        <v>-768.265</v>
      </c>
      <c r="AG56" s="15">
        <f>-AF71/20</f>
        <v>-729.85175</v>
      </c>
      <c r="AH56" s="15">
        <f>-AG71/20</f>
        <v>-693.3591625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-677.519311998720</v>
      </c>
      <c r="AF59" s="15">
        <f>AF55+AF56+AF58</f>
        <v>-655.401085158810</v>
      </c>
      <c r="AG59" s="15">
        <f>AG55+AG56+AG58</f>
        <v>-619.421349307222</v>
      </c>
      <c r="AH59" s="15">
        <f>AH55+AH56+AH58</f>
        <v>-554.018613724088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677.519311998720</v>
      </c>
      <c r="AF60" s="15">
        <f>-MIN(AE72,AF59)</f>
        <v>655.401085158810</v>
      </c>
      <c r="AG60" s="15">
        <f>-MIN(AF72,AG59)</f>
        <v>619.421349307222</v>
      </c>
      <c r="AH60" s="15">
        <f>-MIN(AG72,AH59)</f>
        <v>554.018613724088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3038</v>
      </c>
      <c r="AF61" s="15">
        <f>AE63</f>
        <v>3038</v>
      </c>
      <c r="AG61" s="15">
        <f>AF63</f>
        <v>3038</v>
      </c>
      <c r="AH61" s="15">
        <f>AG63</f>
        <v>3038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3038</v>
      </c>
      <c r="AF63" s="15">
        <f>AF61+AF62</f>
        <v>3038</v>
      </c>
      <c r="AG63" s="15">
        <f>AG61+AG62</f>
        <v>3038</v>
      </c>
      <c r="AH63" s="15">
        <f>AH61+AH62</f>
        <v>3038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-60.6666666666667</v>
      </c>
      <c r="AF65" s="15">
        <f>AE65</f>
        <v>-60.6666666666667</v>
      </c>
      <c r="AG65" s="15">
        <f>AF65</f>
        <v>-60.6666666666667</v>
      </c>
      <c r="AH65" s="15">
        <f>AG65</f>
        <v>-60.6666666666667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201.001521334613</v>
      </c>
      <c r="AF66" s="15">
        <f>(AF52*AF53)+AF65</f>
        <v>182.684748174523</v>
      </c>
      <c r="AG66" s="15">
        <f>(AG52*AG53)+AG65</f>
        <v>180.251234026112</v>
      </c>
      <c r="AH66" s="15">
        <f>(AH52*AH53)+AH65</f>
        <v>209.161382109245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24611.4875</v>
      </c>
      <c r="AF68" s="15">
        <f>AE68-AF54</f>
        <v>24741.975</v>
      </c>
      <c r="AG68" s="15">
        <f>AF68-AG54</f>
        <v>24872.4625</v>
      </c>
      <c r="AH68" s="15">
        <f>AG68-AH54</f>
        <v>25002.95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60.6666666666667</v>
      </c>
      <c r="AF69" s="15">
        <f>AE69-AF65</f>
        <v>121.333333333333</v>
      </c>
      <c r="AG69" s="15">
        <f>AF69-AG65</f>
        <v>182</v>
      </c>
      <c r="AH69" s="15">
        <f>AG69-AH65</f>
        <v>242.666666666667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24550.8208333333</v>
      </c>
      <c r="AF70" s="15">
        <f>AF68-AF69</f>
        <v>24620.6416666667</v>
      </c>
      <c r="AG70" s="15">
        <f>AG68-AG69</f>
        <v>24690.4625</v>
      </c>
      <c r="AH70" s="15">
        <f>AH68-AH69</f>
        <v>24760.2833333333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15365.3</v>
      </c>
      <c r="AF71" s="15">
        <f>AE71+AF56</f>
        <v>14597.035</v>
      </c>
      <c r="AG71" s="15">
        <f>AF71+AG56</f>
        <v>13867.18325</v>
      </c>
      <c r="AH71" s="15">
        <f>AG71+AH56</f>
        <v>13173.8240875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677.519311998720</v>
      </c>
      <c r="AF72" s="15">
        <f>AE72+AF60</f>
        <v>1332.920397157530</v>
      </c>
      <c r="AG72" s="15">
        <f>AF72+AG60</f>
        <v>1952.341746464750</v>
      </c>
      <c r="AH72" s="15">
        <f>AG72+AH60</f>
        <v>2506.360360188840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11546.0015213346</v>
      </c>
      <c r="AF73" s="15">
        <f>AE73+AF66+AF58</f>
        <v>11728.6862695091</v>
      </c>
      <c r="AG73" s="15">
        <f>AF73+AG66+AG58</f>
        <v>11908.9375035352</v>
      </c>
      <c r="AH73" s="15">
        <f>AG73+AH66+AH58</f>
        <v>12118.0988856444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2e-11</v>
      </c>
      <c r="AF74" s="15">
        <f>AF71+AF72+AF73-AF63-AF70</f>
        <v>-7e-11</v>
      </c>
      <c r="AG74" s="15">
        <f>AG71+AG72+AG73-AG63-AG70</f>
        <v>-5e-11</v>
      </c>
      <c r="AH74" s="15">
        <f>AH71+AH72+AH73-AH63-AH70</f>
        <v>-6e-11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-13004.8193119987</v>
      </c>
      <c r="AF75" s="15">
        <f>AF63-AF71-AF72</f>
        <v>-12891.9553971575</v>
      </c>
      <c r="AG75" s="15">
        <f>AG63-AG71-AG72</f>
        <v>-12781.5249964648</v>
      </c>
      <c r="AH75" s="15">
        <f>AH63-AH71-AH72</f>
        <v>-12642.1844476888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-131.180688001280</v>
      </c>
      <c r="AF76" s="15">
        <f>AF56+AF58+AF60</f>
        <v>-112.863914841190</v>
      </c>
      <c r="AG76" s="15">
        <f>AG56+AG58+AG60</f>
        <v>-110.430400692778</v>
      </c>
      <c r="AH76" s="15">
        <f>AH56+AH58+AH60</f>
        <v>-139.340548775912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756</v>
      </c>
      <c r="AD78" s="14"/>
      <c r="AE78" s="15"/>
      <c r="AF78" s="15"/>
      <c r="AG78" s="15"/>
      <c r="AH78" s="15">
        <v>570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756</v>
      </c>
      <c r="AD79" s="14"/>
      <c r="AE79" s="15"/>
      <c r="AF79" s="15"/>
      <c r="AG79" s="15"/>
      <c r="AH79" s="15">
        <v>9409902182400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9409.902182399999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16.50860032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0.338506592999448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2503.9</v>
      </c>
      <c r="AH84" s="15">
        <f>SUM(AE55:AH55)</f>
        <v>493.815552311160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50.1407523871008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19.0554998487992</v>
      </c>
      <c r="AH86" s="15">
        <v>26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12839.2043600902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777.7282211221529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0.3644354756529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0.113882211538462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0.00375312825871545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756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570</v>
      </c>
      <c r="AG94" t="s" s="44">
        <v>61</v>
      </c>
      <c r="AH94" s="15">
        <f>AH88</f>
        <v>777.7282211221529</v>
      </c>
      <c r="AI94" t="s" s="44">
        <f>IF(AJ94&gt;0,"+","")</f>
        <v>361</v>
      </c>
      <c r="AJ94" s="16">
        <f>AH94/AF94-1</f>
        <v>0.3644354756529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0.113882211538462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0.266092032782574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0.156032440246422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-1.39597625409637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0.177760127084988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-0.0409221902017291</v>
      </c>
      <c r="AF103" s="16">
        <f>P23</f>
        <v>0.335787259615385</v>
      </c>
      <c r="AG103" s="16">
        <f>P24</f>
        <v>-0.173321336182657</v>
      </c>
      <c r="AH103" s="16">
        <f>P25</f>
        <v>-0.143537414965986</v>
      </c>
      <c r="AI103" s="16">
        <f>P26</f>
        <v>0.177760127084988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1331.2</v>
      </c>
      <c r="AF104" t="s" s="44">
        <v>72</v>
      </c>
      <c r="AG104" s="15">
        <f>C23</f>
        <v>1778.2</v>
      </c>
      <c r="AH104" t="s" s="44">
        <v>72</v>
      </c>
      <c r="AI104" s="15">
        <f>C24</f>
        <v>1470</v>
      </c>
      <c r="AJ104" t="s" s="44">
        <v>72</v>
      </c>
      <c r="AK104" s="15">
        <f>C25</f>
        <v>1259</v>
      </c>
      <c r="AL104" t="s" s="44">
        <v>72</v>
      </c>
      <c r="AM104" s="15">
        <f>C26</f>
        <v>1482.8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0.177760127084988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1482.8</v>
      </c>
      <c r="AM105" t="s" s="48">
        <f>AN104</f>
        <v>22</v>
      </c>
      <c r="AN105" t="s" s="44">
        <v>77</v>
      </c>
      <c r="AO105" t="s" s="44">
        <f>IF(AP105&gt;0,"+","")</f>
        <v>361</v>
      </c>
      <c r="AP105" s="16">
        <f>AH91</f>
        <v>0.00375312825871545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0.0491721588879325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0.035</v>
      </c>
      <c r="AG107" t="s" s="44">
        <v>82</v>
      </c>
      <c r="AH107" t="s" s="44">
        <v>83</v>
      </c>
      <c r="AI107" s="23">
        <f>AH52</f>
        <v>1681.94359872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0.110802283653846</v>
      </c>
      <c r="AF110" s="16">
        <f>(D23+E23)/C23</f>
        <v>0.216342368687437</v>
      </c>
      <c r="AG110" s="16">
        <f>((E24+D24)/C24)</f>
        <v>0.202040816326531</v>
      </c>
      <c r="AH110" s="16">
        <f>(D25+E25)/C25</f>
        <v>0.105639396346307</v>
      </c>
      <c r="AI110" s="16">
        <f>(D26+E26)/C26</f>
        <v>0.117682762341516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78.5</v>
      </c>
      <c r="AF111" t="s" s="44">
        <v>72</v>
      </c>
      <c r="AG111" s="15">
        <f>E23</f>
        <v>315.7</v>
      </c>
      <c r="AH111" t="s" s="44">
        <v>72</v>
      </c>
      <c r="AI111" s="15">
        <f>E24</f>
        <v>236</v>
      </c>
      <c r="AJ111" t="s" s="44">
        <v>72</v>
      </c>
      <c r="AK111" s="15">
        <f>E25</f>
        <v>72</v>
      </c>
      <c r="AL111" t="s" s="44">
        <v>72</v>
      </c>
      <c r="AM111" s="15">
        <f>E26</f>
        <v>114.5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0.105639396346307</v>
      </c>
      <c r="AG112" t="s" s="44">
        <v>76</v>
      </c>
      <c r="AH112" s="16">
        <f>AI110</f>
        <v>0.117682762341516</v>
      </c>
      <c r="AI112" t="s" s="44">
        <v>90</v>
      </c>
      <c r="AJ112" s="15">
        <f>AK111</f>
        <v>72</v>
      </c>
      <c r="AK112" t="s" s="44">
        <v>76</v>
      </c>
      <c r="AL112" s="15">
        <f>AM111</f>
        <v>114.5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0.160426335925448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0.160426335925448</v>
      </c>
      <c r="AG114" t="s" s="44">
        <v>94</v>
      </c>
      <c r="AH114" s="15">
        <f>AH66</f>
        <v>209.161382109245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157.6</v>
      </c>
      <c r="AG116" s="15">
        <f>ABS(AH120)</f>
        <v>151.5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384.9</v>
      </c>
      <c r="AF118" t="s" s="44">
        <v>72</v>
      </c>
      <c r="AG118" s="15">
        <f>J23</f>
        <v>1036.2</v>
      </c>
      <c r="AH118" t="s" s="44">
        <v>72</v>
      </c>
      <c r="AI118" s="15">
        <f>J24</f>
        <v>1410.6</v>
      </c>
      <c r="AJ118" t="s" s="44">
        <v>72</v>
      </c>
      <c r="AK118" s="15">
        <f>J25</f>
        <v>336.4</v>
      </c>
      <c r="AL118" t="s" s="44">
        <v>72</v>
      </c>
      <c r="AM118" s="15">
        <f>J26</f>
        <v>352</v>
      </c>
      <c r="AN118" t="s" s="48">
        <f>AN104</f>
        <v>22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-110.7</v>
      </c>
      <c r="AF119" t="s" s="44">
        <v>72</v>
      </c>
      <c r="AG119" s="15">
        <f>K23</f>
        <v>-162.8</v>
      </c>
      <c r="AH119" t="s" s="44">
        <v>72</v>
      </c>
      <c r="AI119" s="15">
        <f>K24</f>
        <v>-89.2</v>
      </c>
      <c r="AJ119" t="s" s="44">
        <v>72</v>
      </c>
      <c r="AK119" s="15">
        <f>K25</f>
        <v>-178.8</v>
      </c>
      <c r="AL119" t="s" s="44">
        <v>72</v>
      </c>
      <c r="AM119" s="15">
        <f>K26</f>
        <v>-200.5</v>
      </c>
      <c r="AN119" t="s" s="48">
        <f>AN118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157.6</v>
      </c>
      <c r="AG120" t="s" s="44">
        <v>76</v>
      </c>
      <c r="AH120" s="15">
        <f>AM118+AM119</f>
        <v>151.5</v>
      </c>
      <c r="AI120" t="s" s="48">
        <f>AI114</f>
        <v>22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-200.5</v>
      </c>
      <c r="AN120" t="s" s="48">
        <f>AN104</f>
        <v>22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625.975</v>
      </c>
      <c r="AG121" t="s" s="48">
        <f>AN104</f>
        <v>22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-130.4875</v>
      </c>
      <c r="AG122" t="s" s="48">
        <f>AG121</f>
        <v>22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123.453888077790</v>
      </c>
      <c r="AM122" t="s" s="48">
        <f>AG122</f>
        <v>22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2086</v>
      </c>
      <c r="AF125" t="s" s="44">
        <v>72</v>
      </c>
      <c r="AG125" s="15">
        <f>F23</f>
        <v>2774</v>
      </c>
      <c r="AH125" t="s" s="44">
        <v>72</v>
      </c>
      <c r="AI125" s="15">
        <f>F24</f>
        <v>3569.5</v>
      </c>
      <c r="AJ125" t="s" s="44">
        <v>72</v>
      </c>
      <c r="AK125" s="15">
        <f>F25</f>
        <v>3247</v>
      </c>
      <c r="AL125" t="s" s="44">
        <v>72</v>
      </c>
      <c r="AM125" s="15">
        <f>F26</f>
        <v>3038</v>
      </c>
      <c r="AN125" t="s" s="48">
        <f>AN104</f>
        <v>22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14800</v>
      </c>
      <c r="AF126" t="s" s="44">
        <v>72</v>
      </c>
      <c r="AG126" s="15">
        <f>G23</f>
        <v>14920</v>
      </c>
      <c r="AH126" t="s" s="44">
        <v>72</v>
      </c>
      <c r="AI126" s="15">
        <f>G24</f>
        <v>15810</v>
      </c>
      <c r="AJ126" t="s" s="44">
        <v>72</v>
      </c>
      <c r="AK126" s="15">
        <f>G25</f>
        <v>15907</v>
      </c>
      <c r="AL126" t="s" s="44">
        <v>72</v>
      </c>
      <c r="AM126" s="15">
        <f>G26</f>
        <v>16174</v>
      </c>
      <c r="AN126" t="s" s="48">
        <f>AN125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3247</v>
      </c>
      <c r="AH127" t="s" s="44">
        <v>76</v>
      </c>
      <c r="AI127" s="15">
        <f>AM125</f>
        <v>3038</v>
      </c>
      <c r="AJ127" t="s" s="48">
        <f>AM122</f>
        <v>22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15907</v>
      </c>
      <c r="AH128" t="s" s="44">
        <v>76</v>
      </c>
      <c r="AI128" s="15">
        <f>AM126</f>
        <v>16174</v>
      </c>
      <c r="AJ128" t="s" s="48">
        <f>AJ127</f>
        <v>22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-12660</v>
      </c>
      <c r="AO128" t="s" s="44">
        <v>76</v>
      </c>
      <c r="AP128" s="15">
        <f>AI127-AI128</f>
        <v>-13136</v>
      </c>
      <c r="AQ128" t="s" s="48">
        <f>AJ128</f>
        <v>22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22</v>
      </c>
      <c r="AH129" t="s" s="44">
        <v>117</v>
      </c>
      <c r="AI129" t="s" s="44">
        <f>IF(AJ129&gt;0,"+","")</f>
      </c>
      <c r="AJ129" s="15">
        <f>AE56+AF56+AG56+AH56+AE60+AF60+AG60+AH60</f>
        <v>-493.815552311160</v>
      </c>
      <c r="AK129" t="s" s="48">
        <f>AQ128</f>
        <v>22</v>
      </c>
      <c r="AL129" t="s" s="44">
        <v>118</v>
      </c>
      <c r="AM129" t="s" s="44">
        <v>119</v>
      </c>
      <c r="AN129" s="15">
        <f>AH75</f>
        <v>-12642.1844476888</v>
      </c>
      <c r="AO129" t="s" s="48">
        <f>AJ128</f>
        <v>22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963.883</v>
      </c>
      <c r="AF132" t="s" s="44">
        <v>72</v>
      </c>
      <c r="AG132" s="15">
        <f>-L23</f>
        <v>385.44</v>
      </c>
      <c r="AH132" t="s" s="44">
        <v>72</v>
      </c>
      <c r="AI132" s="15">
        <f>-L24</f>
        <v>482</v>
      </c>
      <c r="AJ132" t="s" s="44">
        <v>72</v>
      </c>
      <c r="AK132" s="15">
        <f>-L25</f>
        <v>362</v>
      </c>
      <c r="AL132" t="s" s="44">
        <v>72</v>
      </c>
      <c r="AM132" s="15">
        <f>-L26</f>
        <v>423.2</v>
      </c>
      <c r="AN132" t="s" s="48">
        <f>AN104</f>
        <v>22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66.54000000000001</v>
      </c>
      <c r="AF133" t="s" s="44">
        <v>72</v>
      </c>
      <c r="AG133" s="15">
        <f>-M23</f>
        <v>-283.29</v>
      </c>
      <c r="AH133" t="s" s="44">
        <v>72</v>
      </c>
      <c r="AI133" s="15">
        <f>-M24</f>
        <v>-9</v>
      </c>
      <c r="AJ133" t="s" s="44">
        <v>72</v>
      </c>
      <c r="AK133" s="15">
        <f>-M25</f>
        <v>170</v>
      </c>
      <c r="AL133" t="s" s="44">
        <v>72</v>
      </c>
      <c r="AM133" s="15">
        <f>-M26</f>
        <v>-62.1</v>
      </c>
      <c r="AN133" t="s" s="48">
        <f>AN132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756</v>
      </c>
      <c r="AF134" t="s" s="44">
        <f>IF(AG134&gt;0,"paid","(raised)")</f>
        <v>374</v>
      </c>
      <c r="AG134" s="15">
        <f>SUM(AM132:AM133)</f>
        <v>361.1</v>
      </c>
      <c r="AH134" t="s" s="48">
        <f>AN104</f>
        <v>22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423.2</v>
      </c>
      <c r="AM134" t="s" s="48">
        <f>AN104</f>
        <v>22</v>
      </c>
      <c r="AN134" t="s" s="44">
        <v>123</v>
      </c>
      <c r="AO134" s="15">
        <f>AM133</f>
        <v>-62.1</v>
      </c>
      <c r="AP134" t="s" s="48">
        <f>AN104</f>
        <v>22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493.815552311160</v>
      </c>
      <c r="AU134" t="s" s="48">
        <f>AN104</f>
        <v>22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9409.902182399999</v>
      </c>
      <c r="AG135" t="s" s="48">
        <f>AN104</f>
        <v>22</v>
      </c>
      <c r="AH135" t="s" s="44">
        <v>128</v>
      </c>
      <c r="AI135" t="s" s="44">
        <v>129</v>
      </c>
      <c r="AJ135" s="43">
        <f>AH82</f>
        <v>0.338506592999448</v>
      </c>
      <c r="AK135" t="s" s="44">
        <v>130</v>
      </c>
      <c r="AL135" t="s" s="44">
        <v>131</v>
      </c>
      <c r="AM135" t="s" s="44">
        <v>132</v>
      </c>
      <c r="AN135" s="15">
        <f>AH85</f>
        <v>50.1407523871008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493.815552311160</v>
      </c>
      <c r="AG136" t="s" s="48">
        <f>AG135</f>
        <v>22</v>
      </c>
      <c r="AH136" t="s" s="44">
        <v>136</v>
      </c>
      <c r="AI136" s="15">
        <f>AF135/AF136</f>
        <v>19.0554998487992</v>
      </c>
      <c r="AJ136" t="s" s="44">
        <v>130</v>
      </c>
      <c r="AK136" t="s" s="44">
        <v>137</v>
      </c>
      <c r="AL136" t="s" s="44">
        <v>138</v>
      </c>
      <c r="AM136" s="15">
        <f>AH86</f>
        <v>26</v>
      </c>
      <c r="AN136" t="s" s="44">
        <v>139</v>
      </c>
      <c r="AO136" t="s" s="44">
        <v>140</v>
      </c>
      <c r="AP136" t="s" s="44">
        <v>141</v>
      </c>
      <c r="AQ136" s="16">
        <f>AJ94</f>
        <v>0.3644354756529</v>
      </c>
      <c r="AR136" t="s" s="44">
        <f>IF(AQ136&gt;0,"higher","lower")</f>
        <v>363</v>
      </c>
      <c r="AS136" t="s" s="44">
        <v>142</v>
      </c>
      <c r="AT136" s="15">
        <f>AH94</f>
        <v>777.7282211221529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4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28</v>
      </c>
      <c r="AD139" s="14">
        <f>AE104</f>
        <v>1331.2</v>
      </c>
      <c r="AE139" s="15">
        <f>AG104</f>
        <v>1778.2</v>
      </c>
      <c r="AF139" s="15">
        <f>AI104</f>
        <v>1470</v>
      </c>
      <c r="AG139" s="15">
        <f>AK104</f>
        <v>1259</v>
      </c>
      <c r="AH139" s="15">
        <f>AM104</f>
        <v>1482.8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144</v>
      </c>
      <c r="AD140" s="14">
        <f>SUM(AE118:AE119)</f>
        <v>274.2</v>
      </c>
      <c r="AE140" s="15">
        <f>SUM(AG118:AG119)</f>
        <v>873.4</v>
      </c>
      <c r="AF140" s="15">
        <f>SUM(AI118:AI119)</f>
        <v>1321.4</v>
      </c>
      <c r="AG140" s="15">
        <f>SUM(AK118:AK119)</f>
        <v>157.6</v>
      </c>
      <c r="AH140" s="15">
        <f>SUM(AM118:AM119)</f>
        <v>151.5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145</v>
      </c>
      <c r="AD141" s="14">
        <f>SUM(AE132:AE133)</f>
        <v>1030.423</v>
      </c>
      <c r="AE141" s="15">
        <f>SUM(AG132:AG133)</f>
        <v>102.15</v>
      </c>
      <c r="AF141" s="15">
        <f>SUM(AI132:AI133)</f>
        <v>473</v>
      </c>
      <c r="AG141" s="15">
        <f>SUM(AK132:AK133)</f>
        <v>532</v>
      </c>
      <c r="AH141" s="15">
        <f>SUM(AM132:AM133)</f>
        <v>361.1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146</v>
      </c>
      <c r="AD142" s="14">
        <f>(AE125-AE126)</f>
        <v>-12714</v>
      </c>
      <c r="AE142" s="15">
        <f>(AG125-AG126)</f>
        <v>-12146</v>
      </c>
      <c r="AF142" s="15">
        <f>(AI125-AI126)</f>
        <v>-12240.5</v>
      </c>
      <c r="AG142" s="15">
        <f>(AK125-AK126)</f>
        <v>-12660</v>
      </c>
      <c r="AH142" s="15">
        <f>(AM125-AM126)</f>
        <v>-13136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5">
        <f>AT136</f>
        <v>777.7282211221529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90" customWidth="1"/>
    <col min="2" max="26" width="10.4844" style="390" customWidth="1"/>
    <col min="27" max="27" width="18.9766" style="392" customWidth="1"/>
    <col min="28" max="46" width="9" style="392" customWidth="1"/>
    <col min="47" max="16384" width="16.3516" style="392" customWidth="1"/>
  </cols>
  <sheetData>
    <row r="1" ht="11.65" customHeight="1"/>
    <row r="2" ht="27.65" customHeight="1">
      <c r="B2" t="s" s="2">
        <v>757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758</v>
      </c>
      <c r="W3" t="s" s="3">
        <v>18</v>
      </c>
      <c r="X3" t="s" s="3">
        <v>227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1498.5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>
        <v>1049.8</v>
      </c>
      <c r="J5" s="15">
        <v>28.8</v>
      </c>
      <c r="K5" s="15">
        <v>-263.5</v>
      </c>
      <c r="L5" s="15">
        <v>120.925</v>
      </c>
      <c r="M5" s="15">
        <v>-27.25</v>
      </c>
      <c r="N5" s="15"/>
      <c r="O5" s="15"/>
      <c r="P5" s="16"/>
      <c r="Q5" s="17"/>
      <c r="R5" s="17"/>
      <c r="S5" s="17"/>
      <c r="T5" s="15">
        <f>J5+K5+T4</f>
        <v>-234.7</v>
      </c>
      <c r="U5" s="15">
        <f>-(L5+M5)+U4</f>
        <v>-93.675</v>
      </c>
      <c r="V5" s="15">
        <f>V4</f>
        <v>1498.5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>
        <v>509.2</v>
      </c>
      <c r="D6" s="15">
        <v>3.1</v>
      </c>
      <c r="E6" s="15">
        <v>48.6</v>
      </c>
      <c r="F6" s="15"/>
      <c r="G6" s="15"/>
      <c r="H6" s="15"/>
      <c r="I6" s="15">
        <v>505.2</v>
      </c>
      <c r="J6" s="15">
        <v>55.1</v>
      </c>
      <c r="K6" s="15">
        <v>-112.5</v>
      </c>
      <c r="L6" s="15">
        <v>120.925</v>
      </c>
      <c r="M6" s="15">
        <v>-27.25</v>
      </c>
      <c r="N6" s="15"/>
      <c r="O6" s="15"/>
      <c r="P6" s="16"/>
      <c r="Q6" s="17"/>
      <c r="R6" s="17"/>
      <c r="S6" s="17"/>
      <c r="T6" s="15">
        <f>J6+K6+T5</f>
        <v>-292.1</v>
      </c>
      <c r="U6" s="15">
        <f>-(L6+M6)+U5</f>
        <v>-187.35</v>
      </c>
      <c r="V6" s="15">
        <f>V5</f>
        <v>1498.5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>
        <v>589.5</v>
      </c>
      <c r="D7" s="15">
        <v>-3.5</v>
      </c>
      <c r="E7" s="15">
        <v>83.2</v>
      </c>
      <c r="F7" s="15"/>
      <c r="G7" s="15"/>
      <c r="H7" s="15"/>
      <c r="I7" s="15">
        <v>554.6</v>
      </c>
      <c r="J7" s="15">
        <v>24.2</v>
      </c>
      <c r="K7" s="15">
        <v>-83.59999999999999</v>
      </c>
      <c r="L7" s="15">
        <v>120.925</v>
      </c>
      <c r="M7" s="15">
        <v>-27.25</v>
      </c>
      <c r="N7" s="15"/>
      <c r="O7" s="15"/>
      <c r="P7" s="16"/>
      <c r="Q7" s="17"/>
      <c r="R7" s="17"/>
      <c r="S7" s="17"/>
      <c r="T7" s="15">
        <f>J7+K7+T6</f>
        <v>-351.5</v>
      </c>
      <c r="U7" s="15">
        <f>-(L7+M7)+U6</f>
        <v>-281.025</v>
      </c>
      <c r="V7" s="15">
        <f>V6</f>
        <v>1498.5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v>616.3</v>
      </c>
      <c r="D8" s="15">
        <v>1.5</v>
      </c>
      <c r="E8" s="15">
        <v>52.5</v>
      </c>
      <c r="F8" s="15"/>
      <c r="G8" s="15"/>
      <c r="H8" s="15"/>
      <c r="I8" s="15">
        <v>539.4</v>
      </c>
      <c r="J8" s="15">
        <v>-16.9</v>
      </c>
      <c r="K8" s="15">
        <v>-88.3</v>
      </c>
      <c r="L8" s="15">
        <v>-63.75</v>
      </c>
      <c r="M8" s="15">
        <v>158.5</v>
      </c>
      <c r="N8" s="15">
        <f>SUM(C5:C8)/4</f>
        <v>428.75</v>
      </c>
      <c r="O8" s="15"/>
      <c r="P8" s="16"/>
      <c r="Q8" s="16"/>
      <c r="R8" s="16"/>
      <c r="S8" s="15">
        <f>SUM(J5:K8)/4</f>
        <v>-114.175</v>
      </c>
      <c r="T8" s="15">
        <f>J8+K8+T7</f>
        <v>-456.7</v>
      </c>
      <c r="U8" s="15">
        <f>-(L8+M8)+U7</f>
        <v>-375.775</v>
      </c>
      <c r="V8" s="15">
        <f>V7</f>
        <v>1498.5</v>
      </c>
      <c r="W8" s="15">
        <f>F8-G8</f>
        <v>0</v>
      </c>
      <c r="X8" s="17"/>
      <c r="Y8" s="22"/>
      <c r="Z8" s="20">
        <v>13.761</v>
      </c>
    </row>
    <row r="9" ht="20.05" customHeight="1">
      <c r="B9" s="13"/>
      <c r="C9" s="14">
        <v>467.8</v>
      </c>
      <c r="D9" s="15">
        <v>1.6</v>
      </c>
      <c r="E9" s="15">
        <v>30.3</v>
      </c>
      <c r="F9" s="15">
        <v>295</v>
      </c>
      <c r="G9" s="15">
        <v>936</v>
      </c>
      <c r="H9" s="15">
        <v>2464</v>
      </c>
      <c r="I9" s="15">
        <v>533.9</v>
      </c>
      <c r="J9" s="15">
        <v>-67.7</v>
      </c>
      <c r="K9" s="15">
        <v>-87.2</v>
      </c>
      <c r="L9" s="15">
        <v>-63.75</v>
      </c>
      <c r="M9" s="15">
        <v>158.5</v>
      </c>
      <c r="N9" s="15">
        <f>SUM(C6:C9)/4</f>
        <v>545.7</v>
      </c>
      <c r="O9" s="15"/>
      <c r="P9" s="16"/>
      <c r="Q9" s="16"/>
      <c r="R9" s="16"/>
      <c r="S9" s="15">
        <f>SUM(J6:K9)/4</f>
        <v>-94.22499999999999</v>
      </c>
      <c r="T9" s="15">
        <f>J9+K9+T8</f>
        <v>-611.6</v>
      </c>
      <c r="U9" s="15">
        <f>-(L9+M9)+U8</f>
        <v>-470.525</v>
      </c>
      <c r="V9" s="15">
        <f>V8</f>
        <v>1498.5</v>
      </c>
      <c r="W9" s="15">
        <f>F13-G9</f>
        <v>-835</v>
      </c>
      <c r="X9" s="15">
        <v>872.749939</v>
      </c>
      <c r="Y9" s="22"/>
      <c r="Z9" s="20">
        <v>14</v>
      </c>
    </row>
    <row r="10" ht="20.05" customHeight="1">
      <c r="B10" s="13"/>
      <c r="C10" s="14">
        <v>556.7</v>
      </c>
      <c r="D10" s="15">
        <v>1.8</v>
      </c>
      <c r="E10" s="15">
        <v>42.9</v>
      </c>
      <c r="F10" s="15">
        <v>290</v>
      </c>
      <c r="G10" s="15">
        <v>1126</v>
      </c>
      <c r="H10" s="15">
        <v>2687</v>
      </c>
      <c r="I10" s="15">
        <v>487.9</v>
      </c>
      <c r="J10" s="15">
        <v>-35.4</v>
      </c>
      <c r="K10" s="15">
        <v>-68.90000000000001</v>
      </c>
      <c r="L10" s="15">
        <v>-63.75</v>
      </c>
      <c r="M10" s="15">
        <v>158.5</v>
      </c>
      <c r="N10" s="15">
        <f>SUM(C7:C10)/4</f>
        <v>557.575</v>
      </c>
      <c r="O10" s="15"/>
      <c r="P10" s="16"/>
      <c r="Q10" s="16"/>
      <c r="R10" s="16"/>
      <c r="S10" s="15">
        <f>SUM(J7:K10)/4</f>
        <v>-105.95</v>
      </c>
      <c r="T10" s="15">
        <f>J10+K10+T9</f>
        <v>-715.9</v>
      </c>
      <c r="U10" s="15">
        <f>-(L10+M10)+U9</f>
        <v>-565.275</v>
      </c>
      <c r="V10" s="15">
        <f>V9</f>
        <v>1498.5</v>
      </c>
      <c r="W10" s="15">
        <f>F10-G10</f>
        <v>-836</v>
      </c>
      <c r="X10" s="15">
        <v>749.887024</v>
      </c>
      <c r="Y10" s="22"/>
      <c r="Z10" s="20">
        <v>14.902</v>
      </c>
    </row>
    <row r="11" ht="20.05" customHeight="1">
      <c r="B11" s="13"/>
      <c r="C11" s="14">
        <v>627.3</v>
      </c>
      <c r="D11" s="15">
        <v>25.9</v>
      </c>
      <c r="E11" s="15">
        <v>78.3</v>
      </c>
      <c r="F11" s="15">
        <v>93</v>
      </c>
      <c r="G11" s="15">
        <v>903</v>
      </c>
      <c r="H11" s="15">
        <v>2480</v>
      </c>
      <c r="I11" s="15">
        <v>581.3</v>
      </c>
      <c r="J11" s="15">
        <v>100.2</v>
      </c>
      <c r="K11" s="15">
        <v>-144.8</v>
      </c>
      <c r="L11" s="15">
        <v>-63.75</v>
      </c>
      <c r="M11" s="15">
        <v>158.5</v>
      </c>
      <c r="N11" s="15">
        <f>SUM(C8:C11)/4</f>
        <v>567.025</v>
      </c>
      <c r="O11" s="15"/>
      <c r="P11" s="16"/>
      <c r="Q11" s="16"/>
      <c r="R11" s="16"/>
      <c r="S11" s="15">
        <f>SUM(J8:K11)/4</f>
        <v>-102.25</v>
      </c>
      <c r="T11" s="15">
        <f>J11+K11+T10</f>
        <v>-760.5</v>
      </c>
      <c r="U11" s="15">
        <f>-(L11+M11)+U10</f>
        <v>-660.025</v>
      </c>
      <c r="V11" s="15">
        <f>V10</f>
        <v>1498.5</v>
      </c>
      <c r="W11" s="15">
        <f>F11-G11</f>
        <v>-810</v>
      </c>
      <c r="X11" s="15">
        <v>692.5205079999999</v>
      </c>
      <c r="Y11" s="22"/>
      <c r="Z11" s="20">
        <v>14.38</v>
      </c>
    </row>
    <row r="12" ht="20.05" customHeight="1">
      <c r="B12" s="21">
        <v>2019</v>
      </c>
      <c r="C12" s="14">
        <v>578.9</v>
      </c>
      <c r="D12" s="15">
        <v>13.1</v>
      </c>
      <c r="E12" s="15">
        <v>65.90000000000001</v>
      </c>
      <c r="F12" s="15">
        <v>181</v>
      </c>
      <c r="G12" s="15">
        <v>994</v>
      </c>
      <c r="H12" s="15">
        <v>2636</v>
      </c>
      <c r="I12" s="15">
        <v>601.4</v>
      </c>
      <c r="J12" s="15">
        <v>145.9</v>
      </c>
      <c r="K12" s="15">
        <v>-65.2</v>
      </c>
      <c r="L12" s="15">
        <v>53.3125</v>
      </c>
      <c r="M12" s="15">
        <v>-25.65</v>
      </c>
      <c r="N12" s="15">
        <f>SUM(C9:C12)/4</f>
        <v>557.675</v>
      </c>
      <c r="O12" s="23"/>
      <c r="P12" s="16"/>
      <c r="Q12" s="16">
        <f>(E12+D12)/C12</f>
        <v>0.136465710830886</v>
      </c>
      <c r="R12" s="16">
        <f>AVERAGE(Q9:Q12)</f>
        <v>0.136465710830886</v>
      </c>
      <c r="S12" s="15">
        <f>SUM(J9:K12)/4</f>
        <v>-55.775</v>
      </c>
      <c r="T12" s="15">
        <f>J12+K12+T11</f>
        <v>-679.8</v>
      </c>
      <c r="U12" s="15">
        <f>-(L12+M12)+U11</f>
        <v>-687.6875</v>
      </c>
      <c r="V12" s="15">
        <f>V11</f>
        <v>1498.5</v>
      </c>
      <c r="W12" s="15">
        <f>F12-G12</f>
        <v>-813</v>
      </c>
      <c r="X12" s="15">
        <v>813.711609</v>
      </c>
      <c r="Y12" s="22"/>
      <c r="Z12" s="20">
        <v>14.24</v>
      </c>
    </row>
    <row r="13" ht="20.05" customHeight="1">
      <c r="B13" s="13"/>
      <c r="C13" s="14">
        <v>460.6</v>
      </c>
      <c r="D13" s="15">
        <v>10.8</v>
      </c>
      <c r="E13" s="15">
        <v>42.7</v>
      </c>
      <c r="F13" s="15">
        <v>101</v>
      </c>
      <c r="G13" s="15">
        <v>1028</v>
      </c>
      <c r="H13" s="15">
        <v>2665</v>
      </c>
      <c r="I13" s="15">
        <v>495.3</v>
      </c>
      <c r="J13" s="15">
        <v>-14.1</v>
      </c>
      <c r="K13" s="15">
        <v>-105.4</v>
      </c>
      <c r="L13" s="15">
        <v>53.3125</v>
      </c>
      <c r="M13" s="15">
        <v>-25.65</v>
      </c>
      <c r="N13" s="15">
        <f>SUM(C10:C13)/4</f>
        <v>555.875</v>
      </c>
      <c r="O13" s="23"/>
      <c r="P13" s="16">
        <f>C13/C12-1</f>
        <v>-0.204353083434099</v>
      </c>
      <c r="Q13" s="16">
        <f>(E13+D13)/C13</f>
        <v>0.11615284411637</v>
      </c>
      <c r="R13" s="16">
        <f>AVERAGE(Q10:Q13)</f>
        <v>0.126309277473628</v>
      </c>
      <c r="S13" s="15">
        <f>SUM(J10:K13)/4</f>
        <v>-46.925</v>
      </c>
      <c r="T13" s="15">
        <f>J13+K13+T12</f>
        <v>-799.3</v>
      </c>
      <c r="U13" s="15">
        <f>-(L13+M13)+U12</f>
        <v>-715.35</v>
      </c>
      <c r="V13" s="15">
        <f>V12</f>
        <v>1498.5</v>
      </c>
      <c r="W13" s="15">
        <f>F13-G13</f>
        <v>-927</v>
      </c>
      <c r="X13" s="15">
        <v>938.47937</v>
      </c>
      <c r="Y13" s="24"/>
      <c r="Z13" s="15">
        <v>14.127</v>
      </c>
    </row>
    <row r="14" ht="20.05" customHeight="1">
      <c r="B14" s="13"/>
      <c r="C14" s="14">
        <v>570.4</v>
      </c>
      <c r="D14" s="15">
        <v>13.2</v>
      </c>
      <c r="E14" s="15">
        <v>52.2</v>
      </c>
      <c r="F14" s="15">
        <v>153</v>
      </c>
      <c r="G14" s="15">
        <v>1131</v>
      </c>
      <c r="H14" s="15">
        <v>2820</v>
      </c>
      <c r="I14" s="15">
        <v>563.9</v>
      </c>
      <c r="J14" s="15">
        <v>96.7</v>
      </c>
      <c r="K14" s="15">
        <v>-97.59999999999999</v>
      </c>
      <c r="L14" s="15">
        <v>53.3125</v>
      </c>
      <c r="M14" s="15">
        <v>-25.65</v>
      </c>
      <c r="N14" s="15">
        <f>SUM(C11:C14)/4</f>
        <v>559.3</v>
      </c>
      <c r="O14" s="23"/>
      <c r="P14" s="16">
        <f>C14/C13-1</f>
        <v>0.238384715588363</v>
      </c>
      <c r="Q14" s="16">
        <f>(E14+D14)/C14</f>
        <v>0.114656381486676</v>
      </c>
      <c r="R14" s="16">
        <f>AVERAGE(Q11:Q14)</f>
        <v>0.122424978811311</v>
      </c>
      <c r="S14" s="15">
        <f>SUM(J11:K14)/4</f>
        <v>-21.075</v>
      </c>
      <c r="T14" s="15">
        <f>J14+K14+T13</f>
        <v>-800.2</v>
      </c>
      <c r="U14" s="15">
        <f>-(L14+M14)+U13</f>
        <v>-743.0125</v>
      </c>
      <c r="V14" s="15">
        <f>V13</f>
        <v>1498.5</v>
      </c>
      <c r="W14" s="15">
        <f>F14-G14</f>
        <v>-978</v>
      </c>
      <c r="X14" s="15">
        <v>859.1712649999999</v>
      </c>
      <c r="Y14" s="24"/>
      <c r="Z14" s="15">
        <v>14.195</v>
      </c>
    </row>
    <row r="15" ht="20.05" customHeight="1">
      <c r="B15" s="13"/>
      <c r="C15" s="14">
        <v>656.3</v>
      </c>
      <c r="D15" s="15">
        <v>15.3</v>
      </c>
      <c r="E15" s="15">
        <v>59.8</v>
      </c>
      <c r="F15" s="15">
        <v>149</v>
      </c>
      <c r="G15" s="15">
        <v>1245</v>
      </c>
      <c r="H15" s="15">
        <v>2936</v>
      </c>
      <c r="I15" s="15">
        <v>593.6</v>
      </c>
      <c r="J15" s="15">
        <v>130.3</v>
      </c>
      <c r="K15" s="15">
        <v>-138.3</v>
      </c>
      <c r="L15" s="15">
        <v>53.3125</v>
      </c>
      <c r="M15" s="15">
        <v>-25.65</v>
      </c>
      <c r="N15" s="15">
        <f>SUM(C12:C15)/4</f>
        <v>566.55</v>
      </c>
      <c r="O15" s="15"/>
      <c r="P15" s="16">
        <f>C15/C14-1</f>
        <v>0.150596072931276</v>
      </c>
      <c r="Q15" s="16">
        <f>(E15+D15)/C15</f>
        <v>0.114429376809386</v>
      </c>
      <c r="R15" s="16">
        <f>AVERAGE(Q12:Q15)</f>
        <v>0.12042607831083</v>
      </c>
      <c r="S15" s="15">
        <f>SUM(J12:K15)/4</f>
        <v>-11.925</v>
      </c>
      <c r="T15" s="15">
        <f>J15+K15+T14</f>
        <v>-808.2</v>
      </c>
      <c r="U15" s="15">
        <f>-(L15+M15)+U14</f>
        <v>-770.675</v>
      </c>
      <c r="V15" s="15">
        <f>V14</f>
        <v>1498.5</v>
      </c>
      <c r="W15" s="15">
        <f>F15-G15</f>
        <v>-1096</v>
      </c>
      <c r="X15" s="15">
        <v>764.625671</v>
      </c>
      <c r="Y15" s="24"/>
      <c r="Z15" s="15">
        <v>13.882</v>
      </c>
    </row>
    <row r="16" ht="20.05" customHeight="1">
      <c r="B16" s="21">
        <v>2020</v>
      </c>
      <c r="C16" s="14">
        <v>542</v>
      </c>
      <c r="D16" s="15">
        <v>13.6</v>
      </c>
      <c r="E16" s="15">
        <v>44.3</v>
      </c>
      <c r="F16" s="15">
        <v>202</v>
      </c>
      <c r="G16" s="15">
        <v>1414</v>
      </c>
      <c r="H16" s="15">
        <v>3150</v>
      </c>
      <c r="I16" s="15">
        <v>567.5</v>
      </c>
      <c r="J16" s="15">
        <v>59.6</v>
      </c>
      <c r="K16" s="15">
        <v>-61</v>
      </c>
      <c r="L16" s="15">
        <v>55.3</v>
      </c>
      <c r="M16" s="15">
        <v>0</v>
      </c>
      <c r="N16" s="15">
        <f>SUM(C13:C16)/4</f>
        <v>557.325</v>
      </c>
      <c r="O16" s="15"/>
      <c r="P16" s="16">
        <f>C16/C15-1</f>
        <v>-0.174158159378333</v>
      </c>
      <c r="Q16" s="16">
        <f>(E16+D16)/C16</f>
        <v>0.106826568265683</v>
      </c>
      <c r="R16" s="16">
        <f>AVERAGE(Q13:Q16)</f>
        <v>0.113016292669529</v>
      </c>
      <c r="S16" s="15">
        <f>SUM(J13:K16)/4</f>
        <v>-32.45</v>
      </c>
      <c r="T16" s="15">
        <f>J16+K16+T15</f>
        <v>-809.6</v>
      </c>
      <c r="U16" s="15">
        <f>-(L16+M16)+U15</f>
        <v>-825.975</v>
      </c>
      <c r="V16" s="15">
        <f>V15</f>
        <v>1498.5</v>
      </c>
      <c r="W16" s="15">
        <f>F16-G16</f>
        <v>-1212</v>
      </c>
      <c r="X16" s="15">
        <v>458.775421</v>
      </c>
      <c r="Y16" s="24"/>
      <c r="Z16" s="15">
        <v>16.31</v>
      </c>
    </row>
    <row r="17" ht="20.05" customHeight="1">
      <c r="B17" s="13"/>
      <c r="C17" s="14">
        <v>313.8</v>
      </c>
      <c r="D17" s="15">
        <v>20.9</v>
      </c>
      <c r="E17" s="15">
        <v>-8</v>
      </c>
      <c r="F17" s="15">
        <v>76</v>
      </c>
      <c r="G17" s="15">
        <v>1108</v>
      </c>
      <c r="H17" s="15">
        <v>2889</v>
      </c>
      <c r="I17" s="15">
        <v>458.6</v>
      </c>
      <c r="J17" s="15">
        <v>-88.14</v>
      </c>
      <c r="K17" s="15">
        <v>-38.8</v>
      </c>
      <c r="L17" s="15">
        <v>0.2</v>
      </c>
      <c r="M17" s="15">
        <v>0</v>
      </c>
      <c r="N17" s="15">
        <f>SUM(C14:C17)/4</f>
        <v>520.625</v>
      </c>
      <c r="O17" s="15"/>
      <c r="P17" s="16">
        <f>C17/C16-1</f>
        <v>-0.421033210332103</v>
      </c>
      <c r="Q17" s="16">
        <f>(E17+D17)/C17</f>
        <v>0.0411089866156788</v>
      </c>
      <c r="R17" s="16">
        <f>AVERAGE(Q14:Q17)</f>
        <v>0.094255328294356</v>
      </c>
      <c r="S17" s="25">
        <f>SUM(J14:K17)/4</f>
        <v>-34.31</v>
      </c>
      <c r="T17" s="15">
        <f>J17+K17+T16</f>
        <v>-936.54</v>
      </c>
      <c r="U17" s="15">
        <f>-(L17+M17)+U16</f>
        <v>-826.175</v>
      </c>
      <c r="V17" s="15">
        <f>V16</f>
        <v>1498.5</v>
      </c>
      <c r="W17" s="15">
        <f>F17-G17</f>
        <v>-1032</v>
      </c>
      <c r="X17" s="15">
        <v>437.833649</v>
      </c>
      <c r="Y17" s="24"/>
      <c r="Z17" s="15">
        <v>14.255</v>
      </c>
    </row>
    <row r="18" ht="20.05" customHeight="1">
      <c r="B18" s="13"/>
      <c r="C18" s="14">
        <v>491.6</v>
      </c>
      <c r="D18" s="15">
        <v>11.4</v>
      </c>
      <c r="E18" s="15">
        <v>34.1</v>
      </c>
      <c r="F18" s="15">
        <v>161</v>
      </c>
      <c r="G18" s="15">
        <v>1100</v>
      </c>
      <c r="H18" s="15">
        <v>3062</v>
      </c>
      <c r="I18" s="15">
        <v>444.4</v>
      </c>
      <c r="J18" s="15">
        <v>352.54</v>
      </c>
      <c r="K18" s="15">
        <v>-212</v>
      </c>
      <c r="L18" s="15">
        <v>-1.3</v>
      </c>
      <c r="M18" s="15">
        <v>-54</v>
      </c>
      <c r="N18" s="15">
        <f>SUM(C15:C18)/4</f>
        <v>500.925</v>
      </c>
      <c r="O18" s="15"/>
      <c r="P18" s="16">
        <f>C18/C17-1</f>
        <v>0.566602931803697</v>
      </c>
      <c r="Q18" s="16">
        <f>(E18+D18)/C18</f>
        <v>0.0925549227013832</v>
      </c>
      <c r="R18" s="16">
        <f>AVERAGE(Q15:Q18)</f>
        <v>0.0887299635980328</v>
      </c>
      <c r="S18" s="25">
        <f>SUM(J15:K18)/4</f>
        <v>1.05</v>
      </c>
      <c r="T18" s="15">
        <f>J18+K18+T17</f>
        <v>-796</v>
      </c>
      <c r="U18" s="15">
        <f>-(L18+M18)+U17</f>
        <v>-770.875</v>
      </c>
      <c r="V18" s="15">
        <f>V17</f>
        <v>1498.5</v>
      </c>
      <c r="W18" s="15">
        <f>F18-G18</f>
        <v>-939</v>
      </c>
      <c r="X18" s="15">
        <v>374.216827</v>
      </c>
      <c r="Y18" s="24"/>
      <c r="Z18" s="15">
        <v>14.79</v>
      </c>
    </row>
    <row r="19" ht="20.05" customHeight="1">
      <c r="B19" s="13"/>
      <c r="C19" s="14">
        <v>563.6</v>
      </c>
      <c r="D19" s="15">
        <v>33.5</v>
      </c>
      <c r="E19" s="15">
        <v>34.9</v>
      </c>
      <c r="F19" s="15">
        <v>218</v>
      </c>
      <c r="G19" s="15">
        <v>1095</v>
      </c>
      <c r="H19" s="15">
        <v>3036</v>
      </c>
      <c r="I19" s="15">
        <v>526.1</v>
      </c>
      <c r="J19" s="15">
        <v>-58.9</v>
      </c>
      <c r="K19" s="15">
        <v>172.9</v>
      </c>
      <c r="L19" s="15">
        <v>-3.3</v>
      </c>
      <c r="M19" s="15">
        <v>-54</v>
      </c>
      <c r="N19" s="15">
        <f>SUM(C16:C19)/4</f>
        <v>477.75</v>
      </c>
      <c r="O19" s="15"/>
      <c r="P19" s="16">
        <f>C19/C18-1</f>
        <v>0.146460537021969</v>
      </c>
      <c r="Q19" s="16">
        <f>(E19+D19)/C19</f>
        <v>0.121362668559262</v>
      </c>
      <c r="R19" s="16">
        <f>AVERAGE(Q16:Q19)</f>
        <v>0.0904632865355018</v>
      </c>
      <c r="S19" s="25">
        <f>SUM(J16:K19)/4</f>
        <v>31.55</v>
      </c>
      <c r="T19" s="15">
        <f>J19+K19+T18</f>
        <v>-682</v>
      </c>
      <c r="U19" s="15">
        <f>-(L19+M19)+U18</f>
        <v>-713.575</v>
      </c>
      <c r="V19" s="15">
        <f>V18</f>
        <v>1498.5</v>
      </c>
      <c r="W19" s="15">
        <f>F19-G19</f>
        <v>-877</v>
      </c>
      <c r="X19" s="15">
        <v>459.782623</v>
      </c>
      <c r="Y19" s="24"/>
      <c r="Z19" s="15">
        <v>14.1</v>
      </c>
    </row>
    <row r="20" ht="20.05" customHeight="1">
      <c r="B20" s="21">
        <v>2021</v>
      </c>
      <c r="C20" s="14">
        <v>556.5</v>
      </c>
      <c r="D20" s="15">
        <v>17.7</v>
      </c>
      <c r="E20" s="15">
        <v>53.6</v>
      </c>
      <c r="F20" s="15">
        <v>367</v>
      </c>
      <c r="G20" s="15">
        <v>1120</v>
      </c>
      <c r="H20" s="15">
        <v>3115</v>
      </c>
      <c r="I20" s="15">
        <v>554.8</v>
      </c>
      <c r="J20" s="15">
        <v>158.4</v>
      </c>
      <c r="K20" s="15">
        <v>-8.9</v>
      </c>
      <c r="L20" s="15">
        <v>-0.2</v>
      </c>
      <c r="M20" s="15">
        <v>0</v>
      </c>
      <c r="N20" s="15">
        <f>SUM(C17:C20)/4</f>
        <v>481.375</v>
      </c>
      <c r="O20" s="15"/>
      <c r="P20" s="16">
        <f>C20/C19-1</f>
        <v>-0.012597586941093</v>
      </c>
      <c r="Q20" s="16">
        <f>(E20+D20)/C20</f>
        <v>0.128122192273136</v>
      </c>
      <c r="R20" s="16">
        <f>AVERAGE(Q17:Q20)</f>
        <v>0.09578719253736501</v>
      </c>
      <c r="S20" s="25">
        <f>SUM(J17:K20)/4</f>
        <v>69.27500000000001</v>
      </c>
      <c r="T20" s="15">
        <f>J20+K20+T19</f>
        <v>-532.5</v>
      </c>
      <c r="U20" s="15">
        <f>-(L20+M20)+U19</f>
        <v>-713.375</v>
      </c>
      <c r="V20" s="15">
        <f>V19</f>
        <v>1498.5</v>
      </c>
      <c r="W20" s="15">
        <f>F20-G20</f>
        <v>-753</v>
      </c>
      <c r="X20" s="15">
        <v>474</v>
      </c>
      <c r="Y20" s="17"/>
      <c r="Z20" s="15">
        <v>14.606</v>
      </c>
    </row>
    <row r="21" ht="20.05" customHeight="1">
      <c r="B21" s="13"/>
      <c r="C21" s="14">
        <v>474.9</v>
      </c>
      <c r="D21" s="15">
        <v>21.9</v>
      </c>
      <c r="E21" s="15">
        <v>44.7</v>
      </c>
      <c r="F21" s="15">
        <v>349</v>
      </c>
      <c r="G21" s="15">
        <v>1070</v>
      </c>
      <c r="H21" s="15">
        <v>3063</v>
      </c>
      <c r="I21" s="15">
        <v>519.5</v>
      </c>
      <c r="J21" s="15">
        <v>-3.4</v>
      </c>
      <c r="K21" s="15">
        <v>-14.8</v>
      </c>
      <c r="L21" s="15">
        <v>-0.2</v>
      </c>
      <c r="M21" s="15">
        <v>0</v>
      </c>
      <c r="N21" s="15">
        <f>SUM(C18:C21)/4</f>
        <v>521.65</v>
      </c>
      <c r="O21" s="15"/>
      <c r="P21" s="16">
        <f>C21/C20-1</f>
        <v>-0.146630727762803</v>
      </c>
      <c r="Q21" s="16">
        <f>(E21+D21)/C21</f>
        <v>0.140240050536955</v>
      </c>
      <c r="R21" s="16">
        <f>AVERAGE(Q18:Q21)</f>
        <v>0.120569958517684</v>
      </c>
      <c r="S21" s="25">
        <f>SUM(J18:K21)/4</f>
        <v>96.45999999999999</v>
      </c>
      <c r="T21" s="15">
        <f>J21+K21+T20</f>
        <v>-550.7</v>
      </c>
      <c r="U21" s="15">
        <f>-(L21+M21)+U20</f>
        <v>-713.175</v>
      </c>
      <c r="V21" s="15">
        <f>V20</f>
        <v>1498.5</v>
      </c>
      <c r="W21" s="15">
        <f>F21-G21</f>
        <v>-721</v>
      </c>
      <c r="X21" s="15">
        <v>458</v>
      </c>
      <c r="Y21" s="15">
        <v>916.0650828086621</v>
      </c>
      <c r="Z21" s="15">
        <v>14.45</v>
      </c>
    </row>
    <row r="22" ht="20.05" customHeight="1">
      <c r="B22" s="13"/>
      <c r="C22" s="14">
        <v>551.5</v>
      </c>
      <c r="D22" s="15">
        <v>30.6</v>
      </c>
      <c r="E22" s="15">
        <v>45.2</v>
      </c>
      <c r="F22" s="15">
        <v>331</v>
      </c>
      <c r="G22" s="15">
        <v>1096</v>
      </c>
      <c r="H22" s="15">
        <v>3133</v>
      </c>
      <c r="I22" s="15">
        <v>462.4</v>
      </c>
      <c r="J22" s="15">
        <v>41</v>
      </c>
      <c r="K22" s="15">
        <v>11.3</v>
      </c>
      <c r="L22" s="15">
        <v>-22.75</v>
      </c>
      <c r="M22" s="15">
        <v>-47</v>
      </c>
      <c r="N22" s="15">
        <f>SUM(C19:C22)/4</f>
        <v>536.625</v>
      </c>
      <c r="O22" s="15">
        <v>581.4435</v>
      </c>
      <c r="P22" s="16">
        <f>C22/C21-1</f>
        <v>0.161297115182144</v>
      </c>
      <c r="Q22" s="16">
        <f>(E22+D22)/C22</f>
        <v>0.137443336355394</v>
      </c>
      <c r="R22" s="16">
        <f>AVERAGE(Q19:Q22)</f>
        <v>0.131792061931187</v>
      </c>
      <c r="S22" s="25">
        <f>SUM(J19:K22)/4</f>
        <v>74.40000000000001</v>
      </c>
      <c r="T22" s="15">
        <f>J22+K22+T21</f>
        <v>-498.4</v>
      </c>
      <c r="U22" s="15">
        <f>-(L22+M22)+U21</f>
        <v>-643.425</v>
      </c>
      <c r="V22" s="15">
        <f>V21</f>
        <v>1498.5</v>
      </c>
      <c r="W22" s="15">
        <f>F22-G22</f>
        <v>-765</v>
      </c>
      <c r="X22" s="15">
        <v>525</v>
      </c>
      <c r="Y22" s="391">
        <v>675</v>
      </c>
      <c r="Z22" s="15">
        <v>14.328</v>
      </c>
    </row>
    <row r="23" ht="20.05" customHeight="1">
      <c r="B23" s="13"/>
      <c r="C23" s="14">
        <v>655.6</v>
      </c>
      <c r="D23" s="15">
        <v>23.1</v>
      </c>
      <c r="E23" s="15">
        <v>80.3</v>
      </c>
      <c r="F23" s="15">
        <v>423</v>
      </c>
      <c r="G23" s="15">
        <v>1090</v>
      </c>
      <c r="H23" s="15">
        <v>3143</v>
      </c>
      <c r="I23" s="15">
        <v>688</v>
      </c>
      <c r="J23" s="15">
        <v>193.7</v>
      </c>
      <c r="K23" s="15">
        <v>-42.9</v>
      </c>
      <c r="L23" s="15">
        <v>-11.85</v>
      </c>
      <c r="M23" s="15">
        <v>-47.5</v>
      </c>
      <c r="N23" s="15">
        <f>SUM(C20:C23)/4</f>
        <v>559.625</v>
      </c>
      <c r="O23" s="15">
        <v>599.037333333333</v>
      </c>
      <c r="P23" s="16">
        <f>C23/C22-1</f>
        <v>0.188757932910245</v>
      </c>
      <c r="Q23" s="16">
        <f>(E23+D23)/C23</f>
        <v>0.157718120805369</v>
      </c>
      <c r="R23" s="16">
        <f>AVERAGE(Q20:Q23)</f>
        <v>0.140880924992714</v>
      </c>
      <c r="S23" s="25">
        <f>SUM(J20:K23)/4</f>
        <v>83.59999999999999</v>
      </c>
      <c r="T23" s="15">
        <f>J23+K23+T22</f>
        <v>-347.6</v>
      </c>
      <c r="U23" s="15">
        <f>-(L23+M23)+U22</f>
        <v>-584.075</v>
      </c>
      <c r="V23" s="15">
        <f>V22</f>
        <v>1498.5</v>
      </c>
      <c r="W23" s="15">
        <f>F23-G23</f>
        <v>-667</v>
      </c>
      <c r="X23" s="15">
        <v>640</v>
      </c>
      <c r="Y23" s="391">
        <v>991.1564828195289</v>
      </c>
      <c r="Z23" s="15">
        <v>14.275</v>
      </c>
    </row>
    <row r="24" ht="20.05" customHeight="1">
      <c r="B24" s="21">
        <v>2022</v>
      </c>
      <c r="C24" s="14">
        <v>671.6</v>
      </c>
      <c r="D24" s="15">
        <v>25</v>
      </c>
      <c r="E24" s="15">
        <v>58.6</v>
      </c>
      <c r="F24" s="15">
        <v>413</v>
      </c>
      <c r="G24" s="15">
        <v>1163</v>
      </c>
      <c r="H24" s="15">
        <v>3275</v>
      </c>
      <c r="I24" s="15">
        <v>607.9</v>
      </c>
      <c r="J24" s="15">
        <v>67.7</v>
      </c>
      <c r="K24" s="15">
        <v>-65.5</v>
      </c>
      <c r="L24" s="15">
        <v>-12.2</v>
      </c>
      <c r="M24" s="15">
        <v>0</v>
      </c>
      <c r="N24" s="15">
        <f>SUM(C21:C24)/4</f>
        <v>588.4</v>
      </c>
      <c r="O24" s="15">
        <v>609.9</v>
      </c>
      <c r="P24" s="16">
        <f>C24/C23-1</f>
        <v>0.024405125076266</v>
      </c>
      <c r="Q24" s="16">
        <f>(E24+D24)/C24</f>
        <v>0.12447885646218</v>
      </c>
      <c r="R24" s="16">
        <f>AVERAGE(Q21:Q24)</f>
        <v>0.139970091039975</v>
      </c>
      <c r="S24" s="25">
        <f>SUM(J21:K24)/4</f>
        <v>46.775</v>
      </c>
      <c r="T24" s="15">
        <f>J24+K24+T23</f>
        <v>-345.4</v>
      </c>
      <c r="U24" s="15">
        <f>-(L24+M24)+U23</f>
        <v>-571.875</v>
      </c>
      <c r="V24" s="15">
        <f>V23</f>
        <v>1498.5</v>
      </c>
      <c r="W24" s="15">
        <f>F24-G24</f>
        <v>-750</v>
      </c>
      <c r="X24" s="15">
        <v>555</v>
      </c>
      <c r="Y24" s="15">
        <v>843.8138227207889</v>
      </c>
      <c r="Z24" s="15">
        <v>14.327</v>
      </c>
    </row>
    <row r="25" ht="20.05" customHeight="1">
      <c r="B25" s="13"/>
      <c r="C25" s="14">
        <v>519.6</v>
      </c>
      <c r="D25" s="15">
        <v>22.4</v>
      </c>
      <c r="E25" s="15">
        <v>35.8</v>
      </c>
      <c r="F25" s="15">
        <v>381</v>
      </c>
      <c r="G25" s="15">
        <v>1163</v>
      </c>
      <c r="H25" s="15">
        <v>3218</v>
      </c>
      <c r="I25" s="15">
        <v>598.6</v>
      </c>
      <c r="J25" s="15">
        <v>-13</v>
      </c>
      <c r="K25" s="15">
        <v>-6.1</v>
      </c>
      <c r="L25" s="15">
        <v>-12.6</v>
      </c>
      <c r="M25" s="15">
        <v>0</v>
      </c>
      <c r="N25" s="15">
        <f>SUM(C22:C25)/4</f>
        <v>599.575</v>
      </c>
      <c r="O25" s="15">
        <v>621.357</v>
      </c>
      <c r="P25" s="16">
        <f>C25/C24-1</f>
        <v>-0.2263251935676</v>
      </c>
      <c r="Q25" s="16">
        <f>(E25+D25)/C25</f>
        <v>0.112009237875289</v>
      </c>
      <c r="R25" s="16">
        <f>AVERAGE(Q22:Q25)</f>
        <v>0.132912387874558</v>
      </c>
      <c r="S25" s="25">
        <f>SUM(J22:K25)/4</f>
        <v>46.55</v>
      </c>
      <c r="T25" s="15">
        <f>J25+K25+T24</f>
        <v>-364.5</v>
      </c>
      <c r="U25" s="15">
        <f>-(L25+M25)+U24</f>
        <v>-559.275</v>
      </c>
      <c r="V25" s="15">
        <f>V24</f>
        <v>1498.5</v>
      </c>
      <c r="W25" s="15">
        <f>F25-G25</f>
        <v>-782</v>
      </c>
      <c r="X25" s="15">
        <v>570</v>
      </c>
      <c r="Y25" s="391">
        <v>1025.944033970790</v>
      </c>
      <c r="Z25" s="15">
        <v>14.66</v>
      </c>
    </row>
    <row r="26" ht="20.05" customHeight="1">
      <c r="B26" s="13"/>
      <c r="C26" s="14">
        <v>629</v>
      </c>
      <c r="D26" s="15">
        <v>24.2</v>
      </c>
      <c r="E26" s="15">
        <v>55.1</v>
      </c>
      <c r="F26" s="15">
        <v>277</v>
      </c>
      <c r="G26" s="15">
        <v>1087</v>
      </c>
      <c r="H26" s="15">
        <v>3197</v>
      </c>
      <c r="I26" s="15">
        <v>594.7</v>
      </c>
      <c r="J26" s="15">
        <v>48.1</v>
      </c>
      <c r="K26" s="15">
        <v>-46.2</v>
      </c>
      <c r="L26" s="15">
        <v>-13.6</v>
      </c>
      <c r="M26" s="15">
        <v>-92</v>
      </c>
      <c r="N26" s="15">
        <f>SUM(C23:C26)/4</f>
        <v>618.95</v>
      </c>
      <c r="O26" s="15">
        <v>631.20525</v>
      </c>
      <c r="P26" s="16">
        <f>C26/C25-1</f>
        <v>0.210546574287914</v>
      </c>
      <c r="Q26" s="16">
        <f>(E26+D26)/C26</f>
        <v>0.126073131955485</v>
      </c>
      <c r="R26" s="16">
        <f>AVERAGE(Q23:Q26)</f>
        <v>0.130069836774581</v>
      </c>
      <c r="S26" s="25">
        <f>SUM(J23:K26)/4</f>
        <v>33.95</v>
      </c>
      <c r="T26" s="15">
        <f>J26+K26+T25</f>
        <v>-362.6</v>
      </c>
      <c r="U26" s="15">
        <f>-(L26+M26)+U25</f>
        <v>-453.675</v>
      </c>
      <c r="V26" s="15">
        <f>V25</f>
        <v>1498.5</v>
      </c>
      <c r="W26" s="15">
        <f>F26-G26</f>
        <v>-810</v>
      </c>
      <c r="X26" s="15">
        <v>555</v>
      </c>
      <c r="Y26" s="15">
        <v>1027.356348689880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685.3938756</v>
      </c>
      <c r="P27" s="17"/>
      <c r="Q27" s="17"/>
      <c r="R27" s="17"/>
      <c r="S27" s="25"/>
      <c r="T27" s="17"/>
      <c r="U27" s="17"/>
      <c r="V27" s="17"/>
      <c r="W27" s="26"/>
      <c r="X27" s="15">
        <v>555</v>
      </c>
      <c r="Y27" s="15">
        <v>1027.356348689880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2903.175</v>
      </c>
      <c r="O28" s="15">
        <f>SUM(O22:O26)</f>
        <v>3042.943083333330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AF88</f>
        <v>763.539013788259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227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0.0493461096767063</v>
      </c>
      <c r="AD49" s="35"/>
      <c r="AE49" s="35"/>
      <c r="AF49" s="35">
        <f>AVERAGE(AC51:AF51)</f>
        <v>0.025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0.188757932910245</v>
      </c>
      <c r="AD50" s="35">
        <f>P24</f>
        <v>0.024405125076266</v>
      </c>
      <c r="AE50" s="35">
        <f>P25</f>
        <v>-0.2263251935676</v>
      </c>
      <c r="AF50" s="35">
        <f>P26</f>
        <v>0.210546574287914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0.12</v>
      </c>
      <c r="AD51" s="35">
        <v>0.01</v>
      </c>
      <c r="AE51" s="35">
        <v>-0.1</v>
      </c>
      <c r="AF51" s="35">
        <v>0.07000000000000001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629</v>
      </c>
      <c r="AC52" s="23">
        <f>C26*(1+AC51)</f>
        <v>704.48</v>
      </c>
      <c r="AD52" s="23">
        <f>AC52*(1+AD51)</f>
        <v>711.5248</v>
      </c>
      <c r="AE52" s="23">
        <f>AD52*(1+AE51)</f>
        <v>640.3723199999999</v>
      </c>
      <c r="AF52" s="23">
        <f>AE52*(1+AF51)</f>
        <v>685.1983824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0.130069836774581</v>
      </c>
      <c r="AD53" s="35">
        <f>AC53</f>
        <v>0.130069836774581</v>
      </c>
      <c r="AE53" s="35">
        <f>AD53</f>
        <v>0.130069836774581</v>
      </c>
      <c r="AF53" s="35">
        <f>AE53</f>
        <v>0.130069836774581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-46.2</v>
      </c>
      <c r="AD54" s="15">
        <f>AC54</f>
        <v>-46.2</v>
      </c>
      <c r="AE54" s="15">
        <f>AD54</f>
        <v>-46.2</v>
      </c>
      <c r="AF54" s="15">
        <f>AE54</f>
        <v>-46.2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45.4315986109568</v>
      </c>
      <c r="AD55" s="15">
        <f>(AD52*AD53)+AD54</f>
        <v>46.3479145970664</v>
      </c>
      <c r="AE55" s="15">
        <f>(AE52*AE53)+AE54</f>
        <v>37.0931231373598</v>
      </c>
      <c r="AF55" s="15">
        <f>(AF52*AF53)+AF54</f>
        <v>42.9236417569749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-54.35</v>
      </c>
      <c r="AD56" s="15">
        <f>-AC71/20</f>
        <v>-51.6325</v>
      </c>
      <c r="AE56" s="15">
        <f>-AD71/20</f>
        <v>-49.050875</v>
      </c>
      <c r="AF56" s="15">
        <f>-AE71/20</f>
        <v>-46.59833125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-8.918401389043201</v>
      </c>
      <c r="AD59" s="15">
        <f>AD55+AD56+AD58</f>
        <v>-5.2845854029336</v>
      </c>
      <c r="AE59" s="15">
        <f>AE55+AE56+AE58</f>
        <v>-11.9577518626402</v>
      </c>
      <c r="AF59" s="15">
        <f>AF55+AF56+AF58</f>
        <v>-3.6746894930251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8.918401389043201</v>
      </c>
      <c r="AD60" s="15">
        <f>-MIN(AC72,AD59)</f>
        <v>5.2845854029336</v>
      </c>
      <c r="AE60" s="15">
        <f>-MIN(AD72,AE59)</f>
        <v>11.9577518626402</v>
      </c>
      <c r="AF60" s="15">
        <f>-MIN(AE72,AF59)</f>
        <v>3.6746894930251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277</v>
      </c>
      <c r="AD61" s="15">
        <f>AC63</f>
        <v>277</v>
      </c>
      <c r="AE61" s="15">
        <f>AD63</f>
        <v>277</v>
      </c>
      <c r="AF61" s="15">
        <f>AE63</f>
        <v>277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277</v>
      </c>
      <c r="AD63" s="15">
        <f>AD61+AD62</f>
        <v>277</v>
      </c>
      <c r="AE63" s="15">
        <f>AE61+AE62</f>
        <v>277</v>
      </c>
      <c r="AF63" s="15">
        <f>AF61+AF62</f>
        <v>277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-23.8666666666667</v>
      </c>
      <c r="AD65" s="15">
        <f>AC65</f>
        <v>-23.8666666666667</v>
      </c>
      <c r="AE65" s="15">
        <f>AD65</f>
        <v>-23.8666666666667</v>
      </c>
      <c r="AF65" s="15">
        <f>AE65</f>
        <v>-23.8666666666667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67.7649319442901</v>
      </c>
      <c r="AD66" s="15">
        <f>(AD52*AD53)+AD65</f>
        <v>68.68124793039971</v>
      </c>
      <c r="AE66" s="15">
        <f>(AE52*AE53)+AE65</f>
        <v>59.4264564706931</v>
      </c>
      <c r="AF66" s="15">
        <f>(AF52*AF53)+AF65</f>
        <v>65.2569750903082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2966.2</v>
      </c>
      <c r="AD68" s="15">
        <f>AC68-AD54</f>
        <v>3012.4</v>
      </c>
      <c r="AE68" s="15">
        <f>AD68-AE54</f>
        <v>3058.6</v>
      </c>
      <c r="AF68" s="15">
        <f>AE68-AF54</f>
        <v>3104.8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23.8666666666667</v>
      </c>
      <c r="AD69" s="15">
        <f>AC69-AD65</f>
        <v>47.7333333333334</v>
      </c>
      <c r="AE69" s="15">
        <f>AD69-AE65</f>
        <v>71.60000000000009</v>
      </c>
      <c r="AF69" s="15">
        <f>AE69-AF65</f>
        <v>95.4666666666668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2942.333333333330</v>
      </c>
      <c r="AD70" s="15">
        <f>AD68-AD69</f>
        <v>2964.666666666670</v>
      </c>
      <c r="AE70" s="15">
        <f>AE68-AE69</f>
        <v>2987</v>
      </c>
      <c r="AF70" s="15">
        <f>AF68-AF69</f>
        <v>3009.333333333330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1032.65</v>
      </c>
      <c r="AD71" s="15">
        <f>AC71+AD56</f>
        <v>981.0175</v>
      </c>
      <c r="AE71" s="15">
        <f>AD71+AE56</f>
        <v>931.966625</v>
      </c>
      <c r="AF71" s="15">
        <f>AE71+AF56</f>
        <v>885.36829375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8.918401389043201</v>
      </c>
      <c r="AD72" s="15">
        <f>AC72+AD60</f>
        <v>14.2029867919768</v>
      </c>
      <c r="AE72" s="15">
        <f>AD72+AE60</f>
        <v>26.160738654617</v>
      </c>
      <c r="AF72" s="15">
        <f>AE72+AF60</f>
        <v>29.8354281476421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2177.764931944290</v>
      </c>
      <c r="AD73" s="15">
        <f>AC73+AD66+AD58</f>
        <v>2246.446179874690</v>
      </c>
      <c r="AE73" s="15">
        <f>AD73+AE66+AE58</f>
        <v>2305.872636345380</v>
      </c>
      <c r="AF73" s="15">
        <f>AE73+AF66+AF58</f>
        <v>2371.129611435690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3.2e-12</v>
      </c>
      <c r="AD74" s="15">
        <f>AD71+AD72+AD73-AD63-AD70</f>
        <v>-3.2e-12</v>
      </c>
      <c r="AE74" s="15">
        <f>AE71+AE72+AE73-AE63-AE70</f>
        <v>-3e-12</v>
      </c>
      <c r="AF74" s="15">
        <f>AF71+AF72+AF73-AF63-AF70</f>
        <v>2.1e-12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-764.5684013890429</v>
      </c>
      <c r="AD75" s="15">
        <f>AD63-AD71-AD72</f>
        <v>-718.220486791977</v>
      </c>
      <c r="AE75" s="15">
        <f>AE63-AE71-AE72</f>
        <v>-681.1273636546171</v>
      </c>
      <c r="AF75" s="15">
        <f>AF63-AF71-AF72</f>
        <v>-638.203721897642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-45.4315986109568</v>
      </c>
      <c r="AD76" s="15">
        <f>AD56+AD58+AD60</f>
        <v>-46.3479145970664</v>
      </c>
      <c r="AE76" s="15">
        <f>AE56+AE58+AE60</f>
        <v>-37.0931231373598</v>
      </c>
      <c r="AF76" s="15">
        <f>AF56+AF58+AF60</f>
        <v>-42.9236417569749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759</v>
      </c>
      <c r="AB78" s="14"/>
      <c r="AC78" s="15"/>
      <c r="AD78" s="15"/>
      <c r="AE78" s="15"/>
      <c r="AF78" s="15">
        <v>555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759</v>
      </c>
      <c r="AB79" s="14"/>
      <c r="AC79" s="15"/>
      <c r="AD79" s="15"/>
      <c r="AE79" s="15"/>
      <c r="AF79" s="15">
        <v>1498500000000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1498.5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2.7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0.455979308246273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135.8</v>
      </c>
      <c r="AF84" s="15">
        <f>SUM(AC55:AF55)</f>
        <v>171.796278102358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17.5168715328067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8.722540537852501</v>
      </c>
      <c r="AF86" s="15">
        <v>12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2061.5553372283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763.539013788259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0.375745970789656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0.14052583862194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0.0481431823205043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759</v>
      </c>
      <c r="AD93" t="s" s="44">
        <f>AC115</f>
        <v>15</v>
      </c>
      <c r="AE93" t="s" s="44">
        <f>AD115</f>
        <v>58</v>
      </c>
      <c r="AF93" t="s" s="44">
        <f>AE115</f>
        <v>59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555</v>
      </c>
      <c r="AE94" t="s" s="44">
        <v>61</v>
      </c>
      <c r="AF94" s="15">
        <f>AF88</f>
        <v>763.539013788259</v>
      </c>
      <c r="AG94" t="s" s="44">
        <f>IF(AH94&gt;0,"+","")</f>
        <v>361</v>
      </c>
      <c r="AH94" s="16">
        <f>AF94/AD94-1</f>
        <v>0.375745970789656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  <v>361</v>
      </c>
      <c r="AF97" s="16">
        <f>AK104/AC104-1</f>
        <v>0.14052583862194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  <v>361</v>
      </c>
      <c r="AF98" s="16">
        <f>(AE119+AE120+AG119+AG120+AI119+AI120+AK119+AK120)/AD136</f>
        <v>0.090623957290624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  <v>361</v>
      </c>
      <c r="AF99" s="16">
        <f>(AE133+AE134+AG133+AG134+AI133+AI134+AK133+AK134)/AD136</f>
        <v>0.126626626626627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-0.540540540540541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362</v>
      </c>
      <c r="AE101" s="16">
        <f>AE105</f>
        <v>0.210546574287914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393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0.161297115182144</v>
      </c>
      <c r="AD103" s="16">
        <f>P23</f>
        <v>0.188757932910245</v>
      </c>
      <c r="AE103" s="16">
        <f>P24</f>
        <v>0.024405125076266</v>
      </c>
      <c r="AF103" s="16">
        <f>P25</f>
        <v>-0.2263251935676</v>
      </c>
      <c r="AG103" s="16">
        <f>P26</f>
        <v>0.210546574287914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551.5</v>
      </c>
      <c r="AD104" t="s" s="44">
        <v>72</v>
      </c>
      <c r="AE104" s="15">
        <f>C23</f>
        <v>655.6</v>
      </c>
      <c r="AF104" t="s" s="44">
        <v>72</v>
      </c>
      <c r="AG104" s="15">
        <f>C24</f>
        <v>671.6</v>
      </c>
      <c r="AH104" t="s" s="44">
        <v>72</v>
      </c>
      <c r="AI104" s="15">
        <f>C25</f>
        <v>519.6</v>
      </c>
      <c r="AJ104" t="s" s="44">
        <v>72</v>
      </c>
      <c r="AK104" s="15">
        <f>C26</f>
        <v>629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362</v>
      </c>
      <c r="AE105" s="16">
        <f>AK104/AI104-1</f>
        <v>0.210546574287914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629</v>
      </c>
      <c r="AK105" t="s" s="48">
        <f>AL104</f>
        <v>22</v>
      </c>
      <c r="AL105" t="s" s="44">
        <v>77</v>
      </c>
      <c r="AM105" t="s" s="44">
        <f>IF(AN105&gt;0,"+","")</f>
        <v>361</v>
      </c>
      <c r="AN105" s="16">
        <f>AF91</f>
        <v>0.0481431823205043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0.0493461096767063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0.025</v>
      </c>
      <c r="AE107" t="s" s="44">
        <v>82</v>
      </c>
      <c r="AF107" t="s" s="44">
        <v>83</v>
      </c>
      <c r="AG107" s="23">
        <f>AF52</f>
        <v>685.1983824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108</v>
      </c>
      <c r="AE108" t="s" s="44">
        <v>86</v>
      </c>
      <c r="AF108" t="s" s="44">
        <f>IF(AJ112&gt;AH112,"up","down")</f>
        <v>108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0.137443336355394</v>
      </c>
      <c r="AD110" s="16">
        <f>(D23+E23)/C23</f>
        <v>0.157718120805369</v>
      </c>
      <c r="AE110" s="16">
        <f>((E24+D24)/C24)</f>
        <v>0.12447885646218</v>
      </c>
      <c r="AF110" s="16">
        <f>(D25+E25)/C25</f>
        <v>0.112009237875289</v>
      </c>
      <c r="AG110" s="16">
        <f>(D26+E26)/C26</f>
        <v>0.126073131955485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45.2</v>
      </c>
      <c r="AD111" t="s" s="44">
        <v>72</v>
      </c>
      <c r="AE111" s="15">
        <f>E23</f>
        <v>80.3</v>
      </c>
      <c r="AF111" t="s" s="44">
        <v>72</v>
      </c>
      <c r="AG111" s="15">
        <f>E24</f>
        <v>58.6</v>
      </c>
      <c r="AH111" t="s" s="44">
        <v>72</v>
      </c>
      <c r="AI111" s="15">
        <f>E25</f>
        <v>35.8</v>
      </c>
      <c r="AJ111" t="s" s="44">
        <v>72</v>
      </c>
      <c r="AK111" s="15">
        <f>E26</f>
        <v>55.1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0.112009237875289</v>
      </c>
      <c r="AE112" t="s" s="44">
        <v>76</v>
      </c>
      <c r="AF112" s="16">
        <f>AG110</f>
        <v>0.126073131955485</v>
      </c>
      <c r="AG112" t="s" s="44">
        <v>90</v>
      </c>
      <c r="AH112" s="15">
        <f>AI111</f>
        <v>35.8</v>
      </c>
      <c r="AI112" t="s" s="44">
        <v>76</v>
      </c>
      <c r="AJ112" s="15">
        <f>AK111</f>
        <v>55.1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0.130069836774581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0.130069836774581</v>
      </c>
      <c r="AE114" t="s" s="44">
        <v>94</v>
      </c>
      <c r="AF114" s="15">
        <f>AF66</f>
        <v>65.2569750903082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58</v>
      </c>
      <c r="AE115" t="s" s="44">
        <f>IF(AF121&lt;0,"negative","positive")</f>
        <v>59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19.1</v>
      </c>
      <c r="AE116" s="15">
        <f>ABS(AF121)</f>
        <v>1.9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19.1</v>
      </c>
      <c r="AD117" s="15">
        <f>ABS(AF121)</f>
        <v>1.9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41</v>
      </c>
      <c r="AD119" t="s" s="44">
        <v>72</v>
      </c>
      <c r="AE119" s="15">
        <f>J23</f>
        <v>193.7</v>
      </c>
      <c r="AF119" t="s" s="44">
        <v>72</v>
      </c>
      <c r="AG119" s="15">
        <f>J24</f>
        <v>67.7</v>
      </c>
      <c r="AH119" t="s" s="44">
        <v>72</v>
      </c>
      <c r="AI119" s="15">
        <f>J25</f>
        <v>-13</v>
      </c>
      <c r="AJ119" t="s" s="44">
        <v>72</v>
      </c>
      <c r="AK119" s="15">
        <f>J26</f>
        <v>48.1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11.3</v>
      </c>
      <c r="AD120" t="s" s="44">
        <v>72</v>
      </c>
      <c r="AE120" s="15">
        <f>K23</f>
        <v>-42.9</v>
      </c>
      <c r="AF120" t="s" s="44">
        <v>72</v>
      </c>
      <c r="AG120" s="15">
        <f>K24</f>
        <v>-65.5</v>
      </c>
      <c r="AH120" t="s" s="44">
        <v>72</v>
      </c>
      <c r="AI120" s="15">
        <f>K25</f>
        <v>-6.1</v>
      </c>
      <c r="AJ120" t="s" s="44">
        <v>72</v>
      </c>
      <c r="AK120" s="15">
        <f>K26</f>
        <v>-46.2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-19.1</v>
      </c>
      <c r="AE121" t="s" s="44">
        <v>76</v>
      </c>
      <c r="AF121" s="15">
        <f>AK119+AK120</f>
        <v>1.9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-46.2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33.95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-46.2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42.9490695255895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87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331</v>
      </c>
      <c r="AD126" t="s" s="44">
        <v>72</v>
      </c>
      <c r="AE126" s="15">
        <f>F23</f>
        <v>423</v>
      </c>
      <c r="AF126" t="s" s="44">
        <v>72</v>
      </c>
      <c r="AG126" s="15">
        <f>F24</f>
        <v>413</v>
      </c>
      <c r="AH126" t="s" s="44">
        <v>72</v>
      </c>
      <c r="AI126" s="15">
        <f>F25</f>
        <v>381</v>
      </c>
      <c r="AJ126" t="s" s="44">
        <v>72</v>
      </c>
      <c r="AK126" s="15">
        <f>F26</f>
        <v>277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1096</v>
      </c>
      <c r="AD127" t="s" s="44">
        <v>72</v>
      </c>
      <c r="AE127" s="15">
        <f>G23</f>
        <v>1090</v>
      </c>
      <c r="AF127" t="s" s="44">
        <v>72</v>
      </c>
      <c r="AG127" s="15">
        <f>G24</f>
        <v>1163</v>
      </c>
      <c r="AH127" t="s" s="44">
        <v>72</v>
      </c>
      <c r="AI127" s="15">
        <f>G25</f>
        <v>1163</v>
      </c>
      <c r="AJ127" t="s" s="44">
        <v>72</v>
      </c>
      <c r="AK127" s="15">
        <f>G26</f>
        <v>1087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370</v>
      </c>
      <c r="AE128" s="15">
        <f>AI126</f>
        <v>381</v>
      </c>
      <c r="AF128" t="s" s="44">
        <v>76</v>
      </c>
      <c r="AG128" s="15">
        <f>AK126</f>
        <v>277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370</v>
      </c>
      <c r="AE129" s="15">
        <f>AI127</f>
        <v>1163</v>
      </c>
      <c r="AF129" t="s" s="44">
        <v>76</v>
      </c>
      <c r="AG129" s="15">
        <f>AK127</f>
        <v>1087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87</v>
      </c>
      <c r="AL129" s="15">
        <f>AE128-AE129</f>
        <v>-782</v>
      </c>
      <c r="AM129" t="s" s="44">
        <v>76</v>
      </c>
      <c r="AN129" s="15">
        <f>AG128-AG129</f>
        <v>-810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0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-171.796278102358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-638.203721897642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374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22.75</v>
      </c>
      <c r="AD133" t="s" s="44">
        <v>72</v>
      </c>
      <c r="AE133" s="15">
        <f>-L23</f>
        <v>11.85</v>
      </c>
      <c r="AF133" t="s" s="44">
        <v>72</v>
      </c>
      <c r="AG133" s="15">
        <f>-L24</f>
        <v>12.2</v>
      </c>
      <c r="AH133" t="s" s="44">
        <v>72</v>
      </c>
      <c r="AI133" s="15">
        <f>-L25</f>
        <v>12.6</v>
      </c>
      <c r="AJ133" t="s" s="44">
        <v>72</v>
      </c>
      <c r="AK133" s="15">
        <f>-L26</f>
        <v>13.6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47</v>
      </c>
      <c r="AD134" t="s" s="44">
        <v>72</v>
      </c>
      <c r="AE134" s="15">
        <f>-M23</f>
        <v>47.5</v>
      </c>
      <c r="AF134" t="s" s="44">
        <v>72</v>
      </c>
      <c r="AG134" s="15">
        <f>-M24</f>
        <v>0</v>
      </c>
      <c r="AH134" t="s" s="44">
        <v>72</v>
      </c>
      <c r="AI134" s="15">
        <f>-M25</f>
        <v>0</v>
      </c>
      <c r="AJ134" t="s" s="44">
        <v>72</v>
      </c>
      <c r="AK134" s="15">
        <f>-M26</f>
        <v>92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759</v>
      </c>
      <c r="AD135" t="s" s="44">
        <f>IF(AE135&gt;0,"paid","(raised)")</f>
        <v>374</v>
      </c>
      <c r="AE135" s="15">
        <f>SUM(AK133:AK134)</f>
        <v>105.6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13.6</v>
      </c>
      <c r="AK135" t="s" s="48">
        <f>AL104</f>
        <v>22</v>
      </c>
      <c r="AL135" t="s" s="44">
        <v>123</v>
      </c>
      <c r="AM135" s="15">
        <f>AK134</f>
        <v>92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171.796278102358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1498.5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0.455979308246273</v>
      </c>
      <c r="AI136" t="s" s="44">
        <v>130</v>
      </c>
      <c r="AJ136" t="s" s="44">
        <v>131</v>
      </c>
      <c r="AK136" t="s" s="44">
        <v>132</v>
      </c>
      <c r="AL136" s="15">
        <f>AF85</f>
        <v>17.5168715328067</v>
      </c>
      <c r="AM136" t="s" s="44">
        <v>133</v>
      </c>
      <c r="AN136" s="16">
        <f>-AD130/AD136</f>
        <v>0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171.796278102358</v>
      </c>
      <c r="AE137" t="s" s="48">
        <f>AE136</f>
        <v>22</v>
      </c>
      <c r="AF137" t="s" s="44">
        <v>136</v>
      </c>
      <c r="AG137" s="15">
        <f>AD136/AD137</f>
        <v>8.722540537852501</v>
      </c>
      <c r="AH137" t="s" s="44">
        <v>130</v>
      </c>
      <c r="AI137" t="s" s="44">
        <v>137</v>
      </c>
      <c r="AJ137" t="s" s="44">
        <v>138</v>
      </c>
      <c r="AK137" s="15">
        <f>AF86</f>
        <v>12</v>
      </c>
      <c r="AL137" t="s" s="44">
        <v>139</v>
      </c>
      <c r="AM137" t="s" s="44">
        <v>140</v>
      </c>
      <c r="AN137" t="s" s="44">
        <v>141</v>
      </c>
      <c r="AO137" s="16">
        <f>AH94</f>
        <v>0.375745970789656</v>
      </c>
      <c r="AP137" t="s" s="44">
        <f>IF(AO137&gt;0,"higher","lower")</f>
        <v>363</v>
      </c>
      <c r="AQ137" t="s" s="44">
        <v>142</v>
      </c>
      <c r="AR137" s="15">
        <f>AF94</f>
        <v>763.539013788259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551.5</v>
      </c>
      <c r="AC139" s="15">
        <f>AE104</f>
        <v>655.6</v>
      </c>
      <c r="AD139" s="15">
        <f>AG104</f>
        <v>671.6</v>
      </c>
      <c r="AE139" s="15">
        <f>AI104</f>
        <v>519.6</v>
      </c>
      <c r="AF139" s="15">
        <f>AK104</f>
        <v>629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52.3</v>
      </c>
      <c r="AC140" s="15">
        <f>SUM(AE119:AE120)</f>
        <v>150.8</v>
      </c>
      <c r="AD140" s="15">
        <f>SUM(AG119:AG120)</f>
        <v>2.2</v>
      </c>
      <c r="AE140" s="15">
        <f>SUM(AI119:AI120)</f>
        <v>-19.1</v>
      </c>
      <c r="AF140" s="15">
        <f>SUM(AK119:AK120)</f>
        <v>1.9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69.75</v>
      </c>
      <c r="AC141" s="15">
        <f>SUM(AE133:AE134)</f>
        <v>59.35</v>
      </c>
      <c r="AD141" s="15">
        <f>SUM(AG133:AG134)</f>
        <v>12.2</v>
      </c>
      <c r="AE141" s="15">
        <f>SUM(AI133:AI134)</f>
        <v>12.6</v>
      </c>
      <c r="AF141" s="15">
        <f>SUM(AK133:AK134)</f>
        <v>105.6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-765</v>
      </c>
      <c r="AC142" s="15">
        <f>(AE126-AE127)</f>
        <v>-667</v>
      </c>
      <c r="AD142" s="15">
        <f>(AG126-AG127)</f>
        <v>-750</v>
      </c>
      <c r="AE142" s="15">
        <f>(AI126-AI127)</f>
        <v>-782</v>
      </c>
      <c r="AF142" s="15">
        <f>(AK126-AK127)</f>
        <v>-810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763.539013788259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93" customWidth="1"/>
    <col min="2" max="28" width="10.4844" style="393" customWidth="1"/>
    <col min="29" max="29" width="18.9766" style="394" customWidth="1"/>
    <col min="30" max="48" width="9" style="394" customWidth="1"/>
    <col min="49" max="16384" width="16.3516" style="394" customWidth="1"/>
  </cols>
  <sheetData>
    <row r="1" ht="11.65" customHeight="1"/>
    <row r="2" ht="27.65" customHeight="1">
      <c r="B2" t="s" s="2">
        <v>760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250</v>
      </c>
      <c r="AA3" t="s" s="3">
        <v>19</v>
      </c>
      <c r="AB3" t="s" s="3">
        <v>20</v>
      </c>
    </row>
    <row r="4" ht="20.25" customHeight="1">
      <c r="B4" s="6">
        <v>2017</v>
      </c>
      <c r="C4" s="7">
        <v>2380.7</v>
      </c>
      <c r="D4" s="8">
        <v>79.8</v>
      </c>
      <c r="E4" s="8">
        <v>292.6</v>
      </c>
      <c r="F4" s="8">
        <v>3045.7</v>
      </c>
      <c r="G4" s="8">
        <v>10068.1</v>
      </c>
      <c r="H4" s="8">
        <v>14709.8</v>
      </c>
      <c r="I4" s="8">
        <v>2394</v>
      </c>
      <c r="J4" s="8">
        <v>744.8</v>
      </c>
      <c r="K4" s="8">
        <v>-332.5</v>
      </c>
      <c r="L4" s="8">
        <v>536.9875</v>
      </c>
      <c r="M4" s="8">
        <v>-4.9875</v>
      </c>
      <c r="N4" s="8"/>
      <c r="O4" s="8"/>
      <c r="P4" s="9"/>
      <c r="Q4" s="9"/>
      <c r="R4" s="9"/>
      <c r="S4" s="9"/>
      <c r="T4" s="9"/>
      <c r="U4" s="9"/>
      <c r="V4" s="8">
        <f>-(L4+M4)</f>
        <v>-532</v>
      </c>
      <c r="W4" s="9"/>
      <c r="X4" s="8">
        <f>F4-G4</f>
        <v>-7022.4</v>
      </c>
      <c r="Y4" s="9"/>
      <c r="Z4" s="8">
        <v>350</v>
      </c>
      <c r="AA4" s="11"/>
      <c r="AB4" s="12">
        <v>13.3</v>
      </c>
    </row>
    <row r="5" ht="20.05" customHeight="1">
      <c r="B5" s="13"/>
      <c r="C5" s="14">
        <v>2958.594</v>
      </c>
      <c r="D5" s="15">
        <v>79.962</v>
      </c>
      <c r="E5" s="15">
        <v>159.924</v>
      </c>
      <c r="F5" s="15">
        <v>1465.97</v>
      </c>
      <c r="G5" s="15">
        <v>9328.9</v>
      </c>
      <c r="H5" s="15">
        <v>14126.62</v>
      </c>
      <c r="I5" s="15">
        <v>2398.86</v>
      </c>
      <c r="J5" s="15">
        <v>-666.35</v>
      </c>
      <c r="K5" s="15">
        <v>186.578</v>
      </c>
      <c r="L5" s="15">
        <v>433.1275</v>
      </c>
      <c r="M5" s="15">
        <v>-13.327</v>
      </c>
      <c r="N5" s="15"/>
      <c r="O5" s="15"/>
      <c r="P5" s="16"/>
      <c r="Q5" s="17"/>
      <c r="R5" s="17"/>
      <c r="S5" s="17"/>
      <c r="T5" s="17"/>
      <c r="U5" s="17"/>
      <c r="V5" s="15">
        <f>-(L5+M5)+V4</f>
        <v>-951.8005000000001</v>
      </c>
      <c r="W5" s="17"/>
      <c r="X5" s="15">
        <f>F5-G5</f>
        <v>-7862.93</v>
      </c>
      <c r="Y5" s="17"/>
      <c r="Z5" s="15">
        <v>320</v>
      </c>
      <c r="AA5" s="19"/>
      <c r="AB5" s="20">
        <v>13.327</v>
      </c>
    </row>
    <row r="6" ht="20.05" customHeight="1">
      <c r="B6" s="13"/>
      <c r="C6" s="14">
        <v>2288.46</v>
      </c>
      <c r="D6" s="15">
        <v>66.52500000000001</v>
      </c>
      <c r="E6" s="15">
        <v>172.965</v>
      </c>
      <c r="F6" s="15">
        <v>1516.77</v>
      </c>
      <c r="G6" s="15">
        <v>8834.52</v>
      </c>
      <c r="H6" s="15">
        <v>13797.285</v>
      </c>
      <c r="I6" s="15">
        <v>2394.9</v>
      </c>
      <c r="J6" s="15">
        <v>625.335</v>
      </c>
      <c r="K6" s="15">
        <v>-159.66</v>
      </c>
      <c r="L6" s="15">
        <v>432.4125</v>
      </c>
      <c r="M6" s="15">
        <v>-13.305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-1370.908</v>
      </c>
      <c r="W6" s="17"/>
      <c r="X6" s="15">
        <f>F6-G6</f>
        <v>-7317.75</v>
      </c>
      <c r="Y6" s="17"/>
      <c r="Z6" s="15">
        <v>348</v>
      </c>
      <c r="AA6" s="19"/>
      <c r="AB6" s="20">
        <v>13.305</v>
      </c>
    </row>
    <row r="7" ht="20.05" customHeight="1">
      <c r="B7" s="13"/>
      <c r="C7" s="14">
        <v>2521.602</v>
      </c>
      <c r="D7" s="15">
        <v>149.127</v>
      </c>
      <c r="E7" s="15">
        <v>284.697</v>
      </c>
      <c r="F7" s="15">
        <v>1721.739</v>
      </c>
      <c r="G7" s="15">
        <v>10181.307</v>
      </c>
      <c r="H7" s="15">
        <v>16173.501</v>
      </c>
      <c r="I7" s="15">
        <v>2440.26</v>
      </c>
      <c r="J7" s="15">
        <v>-1111.674</v>
      </c>
      <c r="K7" s="15">
        <v>-94.899</v>
      </c>
      <c r="L7" s="15">
        <v>440.6025</v>
      </c>
      <c r="M7" s="15">
        <v>-13.557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-1797.9535</v>
      </c>
      <c r="W7" s="17"/>
      <c r="X7" s="15">
        <f>F7-G7</f>
        <v>-8459.567999999999</v>
      </c>
      <c r="Y7" s="17"/>
      <c r="Z7" s="15">
        <v>380</v>
      </c>
      <c r="AA7" s="19"/>
      <c r="AB7" s="20">
        <v>13.557</v>
      </c>
    </row>
    <row r="8" ht="20.05" customHeight="1">
      <c r="B8" s="21">
        <v>2018</v>
      </c>
      <c r="C8" s="14">
        <v>3687.948</v>
      </c>
      <c r="D8" s="15">
        <v>330.264</v>
      </c>
      <c r="E8" s="15">
        <v>522.918</v>
      </c>
      <c r="F8" s="15">
        <v>1114.641</v>
      </c>
      <c r="G8" s="15">
        <v>11091.366</v>
      </c>
      <c r="H8" s="15">
        <v>17985.627</v>
      </c>
      <c r="I8" s="15">
        <v>3533.13675</v>
      </c>
      <c r="J8" s="15">
        <v>-344.025</v>
      </c>
      <c r="K8" s="15">
        <v>-1307.295</v>
      </c>
      <c r="L8" s="15">
        <v>220.176</v>
      </c>
      <c r="M8" s="15">
        <v>-41.283</v>
      </c>
      <c r="N8" s="15">
        <f>SUM(C5:C8)/4</f>
        <v>2864.151</v>
      </c>
      <c r="O8" s="15"/>
      <c r="P8" s="16"/>
      <c r="Q8" s="16">
        <f>J8/I8</f>
        <v>-0.0973709834469328</v>
      </c>
      <c r="R8" s="16"/>
      <c r="S8" s="17"/>
      <c r="T8" s="15">
        <f>SUM(J5:K8)/4</f>
        <v>-717.9974999999999</v>
      </c>
      <c r="U8" s="25"/>
      <c r="V8" s="15">
        <f>-(L8+M8)+V7</f>
        <v>-1976.8465</v>
      </c>
      <c r="W8" s="17"/>
      <c r="X8" s="15">
        <f>F8-G8</f>
        <v>-9976.725</v>
      </c>
      <c r="Y8" s="24"/>
      <c r="Z8" s="15">
        <v>334</v>
      </c>
      <c r="AA8" s="22"/>
      <c r="AB8" s="20">
        <v>13.761</v>
      </c>
    </row>
    <row r="9" ht="20.05" customHeight="1">
      <c r="B9" s="13"/>
      <c r="C9" s="14">
        <v>3864</v>
      </c>
      <c r="D9" s="15">
        <v>98</v>
      </c>
      <c r="E9" s="15">
        <v>252</v>
      </c>
      <c r="F9" s="15">
        <v>1260</v>
      </c>
      <c r="G9" s="15">
        <v>11410</v>
      </c>
      <c r="H9" s="15">
        <v>18214</v>
      </c>
      <c r="I9" s="15">
        <v>3594.5</v>
      </c>
      <c r="J9" s="15">
        <v>812</v>
      </c>
      <c r="K9" s="15">
        <v>-140</v>
      </c>
      <c r="L9" s="15">
        <v>224</v>
      </c>
      <c r="M9" s="15">
        <v>-42</v>
      </c>
      <c r="N9" s="15">
        <f>SUM(C6:C9)/4</f>
        <v>3090.5025</v>
      </c>
      <c r="O9" s="15"/>
      <c r="P9" s="16"/>
      <c r="Q9" s="16">
        <f>J9/I9</f>
        <v>0.225900681596884</v>
      </c>
      <c r="R9" s="16"/>
      <c r="S9" s="17"/>
      <c r="T9" s="15">
        <f>SUM(J6:K9)/4</f>
        <v>-430.0545</v>
      </c>
      <c r="U9" s="25"/>
      <c r="V9" s="15">
        <f>-(L9+M9)+V8</f>
        <v>-2158.8465</v>
      </c>
      <c r="W9" s="17"/>
      <c r="X9" s="15">
        <f>F13-G9</f>
        <v>-9474.601000000001</v>
      </c>
      <c r="Y9" s="24"/>
      <c r="Z9" s="15">
        <v>344</v>
      </c>
      <c r="AA9" s="22"/>
      <c r="AB9" s="20">
        <v>14</v>
      </c>
    </row>
    <row r="10" ht="20.05" customHeight="1">
      <c r="B10" s="13"/>
      <c r="C10" s="14">
        <v>3278.44</v>
      </c>
      <c r="D10" s="15">
        <v>104.314</v>
      </c>
      <c r="E10" s="15">
        <v>208.628</v>
      </c>
      <c r="F10" s="15">
        <v>1505.102</v>
      </c>
      <c r="G10" s="15">
        <v>12219.64</v>
      </c>
      <c r="H10" s="15">
        <v>19670.64</v>
      </c>
      <c r="I10" s="15">
        <v>3826.0885</v>
      </c>
      <c r="J10" s="15">
        <v>208.628</v>
      </c>
      <c r="K10" s="15">
        <v>-29.804</v>
      </c>
      <c r="L10" s="15">
        <v>238.432</v>
      </c>
      <c r="M10" s="15">
        <v>-44.706</v>
      </c>
      <c r="N10" s="15">
        <f>SUM(C7:C10)/4</f>
        <v>3337.9975</v>
      </c>
      <c r="O10" s="15"/>
      <c r="P10" s="16"/>
      <c r="Q10" s="16">
        <f>J10/I10</f>
        <v>0.0545277507302824</v>
      </c>
      <c r="R10" s="16"/>
      <c r="S10" s="17"/>
      <c r="T10" s="15">
        <f>SUM(J7:K10)/4</f>
        <v>-501.76725</v>
      </c>
      <c r="U10" s="25"/>
      <c r="V10" s="15">
        <f>-(L10+M10)+V9</f>
        <v>-2352.5725</v>
      </c>
      <c r="W10" s="17"/>
      <c r="X10" s="15">
        <f>F10-G10</f>
        <v>-10714.538</v>
      </c>
      <c r="Y10" s="24"/>
      <c r="Z10" s="15">
        <v>344</v>
      </c>
      <c r="AA10" s="22"/>
      <c r="AB10" s="20">
        <v>14.902</v>
      </c>
    </row>
    <row r="11" ht="20.05" customHeight="1">
      <c r="B11" s="13"/>
      <c r="C11" s="14">
        <v>3882.6</v>
      </c>
      <c r="D11" s="15">
        <v>201.32</v>
      </c>
      <c r="E11" s="15">
        <v>215.7</v>
      </c>
      <c r="F11" s="15">
        <v>1840.64</v>
      </c>
      <c r="G11" s="15">
        <v>12194.24</v>
      </c>
      <c r="H11" s="15">
        <v>19614.32</v>
      </c>
      <c r="I11" s="15">
        <v>3692.065</v>
      </c>
      <c r="J11" s="15">
        <v>258.84</v>
      </c>
      <c r="K11" s="15">
        <v>-115.04</v>
      </c>
      <c r="L11" s="15">
        <v>230.08</v>
      </c>
      <c r="M11" s="15">
        <v>-43.14</v>
      </c>
      <c r="N11" s="15">
        <f>SUM(C8:C11)/4</f>
        <v>3678.247</v>
      </c>
      <c r="O11" s="15"/>
      <c r="P11" s="16"/>
      <c r="Q11" s="16">
        <f>J11/I11</f>
        <v>0.0701071080817916</v>
      </c>
      <c r="R11" s="16"/>
      <c r="S11" s="17"/>
      <c r="T11" s="15">
        <f>SUM(J8:K11)/4</f>
        <v>-164.174</v>
      </c>
      <c r="U11" s="25"/>
      <c r="V11" s="15">
        <f>-(L11+M11)+V10</f>
        <v>-2539.5125</v>
      </c>
      <c r="W11" s="17"/>
      <c r="X11" s="15">
        <f>F11-G11</f>
        <v>-10353.6</v>
      </c>
      <c r="Y11" s="24"/>
      <c r="Z11" s="15">
        <v>358</v>
      </c>
      <c r="AA11" s="22"/>
      <c r="AB11" s="20">
        <v>14.38</v>
      </c>
    </row>
    <row r="12" ht="20.05" customHeight="1">
      <c r="B12" s="21">
        <v>2019</v>
      </c>
      <c r="C12" s="14">
        <v>4514.08</v>
      </c>
      <c r="D12" s="15">
        <v>142.4</v>
      </c>
      <c r="E12" s="15">
        <v>398.72</v>
      </c>
      <c r="F12" s="15">
        <v>1922.4</v>
      </c>
      <c r="G12" s="15">
        <v>12132.48</v>
      </c>
      <c r="H12" s="15">
        <v>19893.28</v>
      </c>
      <c r="I12" s="15">
        <v>4082.608</v>
      </c>
      <c r="J12" s="15">
        <v>-213.6</v>
      </c>
      <c r="K12" s="15">
        <v>-227.84</v>
      </c>
      <c r="L12" s="15">
        <v>331.08</v>
      </c>
      <c r="M12" s="15">
        <v>-14.24</v>
      </c>
      <c r="N12" s="15">
        <f>SUM(C9:C12)/4</f>
        <v>3884.78</v>
      </c>
      <c r="O12" s="23"/>
      <c r="P12" s="16"/>
      <c r="Q12" s="16">
        <f>J12/I12</f>
        <v>-0.0523194977328218</v>
      </c>
      <c r="R12" s="16">
        <f>AVERAGE(Q9:Q12)</f>
        <v>0.0745540106690341</v>
      </c>
      <c r="S12" s="17"/>
      <c r="T12" s="15">
        <f>SUM(J9:K12)/4</f>
        <v>138.296</v>
      </c>
      <c r="U12" s="25"/>
      <c r="V12" s="15">
        <f>-(L12+M12)+V11</f>
        <v>-2856.3525</v>
      </c>
      <c r="W12" s="17"/>
      <c r="X12" s="15">
        <f>F12-G12</f>
        <v>-10210.08</v>
      </c>
      <c r="Y12" s="24"/>
      <c r="Z12" s="15">
        <v>338</v>
      </c>
      <c r="AA12" s="22"/>
      <c r="AB12" s="20">
        <v>14.24</v>
      </c>
    </row>
    <row r="13" ht="20.05" customHeight="1">
      <c r="B13" s="13"/>
      <c r="C13" s="14">
        <v>4450.005</v>
      </c>
      <c r="D13" s="15">
        <v>226.032</v>
      </c>
      <c r="E13" s="15">
        <v>494.445</v>
      </c>
      <c r="F13" s="15">
        <v>1935.399</v>
      </c>
      <c r="G13" s="15">
        <v>11965.569</v>
      </c>
      <c r="H13" s="15">
        <v>20102.721</v>
      </c>
      <c r="I13" s="15">
        <v>4085.5284</v>
      </c>
      <c r="J13" s="15">
        <v>282.54</v>
      </c>
      <c r="K13" s="15">
        <v>-264.1749</v>
      </c>
      <c r="L13" s="15">
        <v>328.45275</v>
      </c>
      <c r="M13" s="15">
        <v>-14.127</v>
      </c>
      <c r="N13" s="15">
        <f>SUM(C10:C13)/4</f>
        <v>4031.28125</v>
      </c>
      <c r="O13" s="23"/>
      <c r="P13" s="16">
        <f>C13/C12-1</f>
        <v>-0.0141944759508028</v>
      </c>
      <c r="Q13" s="16">
        <f>J13/I13</f>
        <v>0.0691562932226833</v>
      </c>
      <c r="R13" s="16">
        <f>AVERAGE(Q10:Q13)</f>
        <v>0.0353679135754839</v>
      </c>
      <c r="S13" s="17"/>
      <c r="T13" s="15">
        <f>SUM(J10:K13)/4</f>
        <v>-25.112725</v>
      </c>
      <c r="U13" s="25"/>
      <c r="V13" s="15">
        <f>-(L13+M13)+V12</f>
        <v>-3170.67825</v>
      </c>
      <c r="W13" s="17"/>
      <c r="X13" s="15">
        <f>F13-G13</f>
        <v>-10030.17</v>
      </c>
      <c r="Y13" s="24"/>
      <c r="Z13" s="15">
        <v>338</v>
      </c>
      <c r="AA13" s="24"/>
      <c r="AB13" s="15">
        <v>14.127</v>
      </c>
    </row>
    <row r="14" ht="20.05" customHeight="1">
      <c r="B14" s="13"/>
      <c r="C14" s="14">
        <v>3733.285</v>
      </c>
      <c r="D14" s="15">
        <v>56.78</v>
      </c>
      <c r="E14" s="15">
        <v>127.755</v>
      </c>
      <c r="F14" s="15">
        <v>1902.13</v>
      </c>
      <c r="G14" s="15">
        <v>12349.65</v>
      </c>
      <c r="H14" s="15">
        <v>20625.335</v>
      </c>
      <c r="I14" s="15">
        <v>3592.7545</v>
      </c>
      <c r="J14" s="15">
        <v>42.585</v>
      </c>
      <c r="K14" s="15">
        <v>-18.4535</v>
      </c>
      <c r="L14" s="15">
        <v>330.03375</v>
      </c>
      <c r="M14" s="15">
        <v>-14.195</v>
      </c>
      <c r="N14" s="15">
        <f>SUM(C11:C14)/4</f>
        <v>4144.9925</v>
      </c>
      <c r="O14" s="23"/>
      <c r="P14" s="16">
        <f>C14/C13-1</f>
        <v>-0.161060493190457</v>
      </c>
      <c r="Q14" s="16">
        <f>J14/I14</f>
        <v>0.0118530225207428</v>
      </c>
      <c r="R14" s="16">
        <f>AVERAGE(Q11:Q14)</f>
        <v>0.024699231523099</v>
      </c>
      <c r="S14" s="17"/>
      <c r="T14" s="15">
        <f>SUM(J11:K14)/4</f>
        <v>-63.78585</v>
      </c>
      <c r="U14" s="25"/>
      <c r="V14" s="15">
        <f>-(L14+M14)+V13</f>
        <v>-3486.517</v>
      </c>
      <c r="W14" s="17"/>
      <c r="X14" s="15">
        <f>F14-G14</f>
        <v>-10447.52</v>
      </c>
      <c r="Y14" s="24"/>
      <c r="Z14" s="15">
        <v>318</v>
      </c>
      <c r="AA14" s="24"/>
      <c r="AB14" s="15">
        <v>14.195</v>
      </c>
    </row>
    <row r="15" ht="20.05" customHeight="1">
      <c r="B15" s="13"/>
      <c r="C15" s="14">
        <v>3984.134</v>
      </c>
      <c r="D15" s="15">
        <v>166.584</v>
      </c>
      <c r="E15" s="15">
        <v>222.112</v>
      </c>
      <c r="F15" s="15">
        <v>2332.176</v>
      </c>
      <c r="G15" s="15">
        <v>13410.012</v>
      </c>
      <c r="H15" s="15">
        <v>21642.038</v>
      </c>
      <c r="I15" s="15">
        <v>3938.3234</v>
      </c>
      <c r="J15" s="15">
        <v>-97.17400000000001</v>
      </c>
      <c r="K15" s="15">
        <v>-194.348</v>
      </c>
      <c r="L15" s="15">
        <v>322.7565</v>
      </c>
      <c r="M15" s="15">
        <v>-13.882</v>
      </c>
      <c r="N15" s="15">
        <f>SUM(C12:C15)/4</f>
        <v>4170.376</v>
      </c>
      <c r="O15" s="15"/>
      <c r="P15" s="16">
        <f>C15/C14-1</f>
        <v>0.067192566332332</v>
      </c>
      <c r="Q15" s="16">
        <f>J15/I15</f>
        <v>-0.0246739513570673</v>
      </c>
      <c r="R15" s="16">
        <f>AVERAGE(Q12:Q15)</f>
        <v>0.00100396666338425</v>
      </c>
      <c r="S15" s="17"/>
      <c r="T15" s="15">
        <f>SUM(J12:K15)/4</f>
        <v>-172.61635</v>
      </c>
      <c r="U15" s="25"/>
      <c r="V15" s="15">
        <f>-(L15+M15)+V14</f>
        <v>-3795.3915</v>
      </c>
      <c r="W15" s="17"/>
      <c r="X15" s="15">
        <f>F15-G15</f>
        <v>-11077.836</v>
      </c>
      <c r="Y15" s="24"/>
      <c r="Z15" s="15">
        <v>260</v>
      </c>
      <c r="AA15" s="24"/>
      <c r="AB15" s="15">
        <v>13.882</v>
      </c>
    </row>
    <row r="16" ht="20.05" customHeight="1">
      <c r="B16" s="21">
        <v>2020</v>
      </c>
      <c r="C16" s="14">
        <v>5163.746</v>
      </c>
      <c r="D16" s="15">
        <v>210.399</v>
      </c>
      <c r="E16" s="15">
        <v>459.942</v>
      </c>
      <c r="F16" s="15">
        <v>2609.6</v>
      </c>
      <c r="G16" s="15">
        <v>15722.84</v>
      </c>
      <c r="H16" s="15">
        <v>25867.66</v>
      </c>
      <c r="I16" s="15">
        <v>4933.775</v>
      </c>
      <c r="J16" s="15">
        <v>-172.886</v>
      </c>
      <c r="K16" s="15">
        <v>-257.698</v>
      </c>
      <c r="L16" s="15">
        <v>658.51625</v>
      </c>
      <c r="M16" s="15">
        <v>-6.11625</v>
      </c>
      <c r="N16" s="15">
        <f>SUM(C13:C16)/4</f>
        <v>4332.7925</v>
      </c>
      <c r="O16" s="15">
        <v>4850.050333333330</v>
      </c>
      <c r="P16" s="16">
        <f>C16/C15-1</f>
        <v>0.296077390971288</v>
      </c>
      <c r="Q16" s="16">
        <f>J16/I16</f>
        <v>-0.0350413223140496</v>
      </c>
      <c r="R16" s="16">
        <f>AVERAGE(Q13:Q16)</f>
        <v>0.0053235105180773</v>
      </c>
      <c r="S16" s="17"/>
      <c r="T16" s="15">
        <f>SUM(J13:K16)/4</f>
        <v>-169.90235</v>
      </c>
      <c r="U16" s="25"/>
      <c r="V16" s="15">
        <f>-(L16+M16)+V15</f>
        <v>-4447.7915</v>
      </c>
      <c r="W16" s="17"/>
      <c r="X16" s="15">
        <f>F16-G16</f>
        <v>-13113.24</v>
      </c>
      <c r="Y16" s="24"/>
      <c r="Z16" s="15">
        <v>145</v>
      </c>
      <c r="AA16" s="24"/>
      <c r="AB16" s="15">
        <v>16.31</v>
      </c>
    </row>
    <row r="17" ht="20.05" customHeight="1">
      <c r="B17" s="13"/>
      <c r="C17" s="14">
        <v>4153.907</v>
      </c>
      <c r="D17" s="15">
        <v>143.9755</v>
      </c>
      <c r="E17" s="15">
        <v>712.75</v>
      </c>
      <c r="F17" s="15">
        <v>2280.8</v>
      </c>
      <c r="G17" s="15">
        <v>14511.59</v>
      </c>
      <c r="H17" s="15">
        <v>23606.28</v>
      </c>
      <c r="I17" s="15">
        <v>3884.4875</v>
      </c>
      <c r="J17" s="15">
        <v>295.0785</v>
      </c>
      <c r="K17" s="15">
        <v>-266.5685</v>
      </c>
      <c r="L17" s="15">
        <v>575.545625</v>
      </c>
      <c r="M17" s="15">
        <v>-5.345625</v>
      </c>
      <c r="N17" s="15">
        <f>SUM(C14:C17)/4</f>
        <v>4258.768</v>
      </c>
      <c r="O17" s="15">
        <v>4234.44775</v>
      </c>
      <c r="P17" s="16">
        <f>C17/C16-1</f>
        <v>-0.195563259695578</v>
      </c>
      <c r="Q17" s="16">
        <f>J17/I17</f>
        <v>0.0759633027522936</v>
      </c>
      <c r="R17" s="16">
        <f>AVERAGE(Q14:Q17)</f>
        <v>0.00702526290047988</v>
      </c>
      <c r="S17" s="17"/>
      <c r="T17" s="25">
        <f>SUM(J14:K17)/4</f>
        <v>-167.366125</v>
      </c>
      <c r="U17" s="25"/>
      <c r="V17" s="15">
        <f>-(L17+M17)+V16</f>
        <v>-5017.9915</v>
      </c>
      <c r="W17" s="17"/>
      <c r="X17" s="15">
        <f>F17-G17</f>
        <v>-12230.79</v>
      </c>
      <c r="Y17" s="24"/>
      <c r="Z17" s="15">
        <v>188</v>
      </c>
      <c r="AA17" s="24"/>
      <c r="AB17" s="15">
        <v>14.255</v>
      </c>
    </row>
    <row r="18" ht="20.05" customHeight="1">
      <c r="B18" s="13"/>
      <c r="C18" s="14">
        <v>4423.689</v>
      </c>
      <c r="D18" s="15">
        <v>178.6632</v>
      </c>
      <c r="E18" s="15">
        <v>-65.07599999999999</v>
      </c>
      <c r="F18" s="15">
        <v>2351.61</v>
      </c>
      <c r="G18" s="15">
        <v>15869.67</v>
      </c>
      <c r="H18" s="15">
        <v>25660.65</v>
      </c>
      <c r="I18" s="15">
        <v>3863.148</v>
      </c>
      <c r="J18" s="15">
        <v>-1032.342</v>
      </c>
      <c r="K18" s="15">
        <v>-192.27</v>
      </c>
      <c r="L18" s="15">
        <v>597.14625</v>
      </c>
      <c r="M18" s="15">
        <v>-5.54625</v>
      </c>
      <c r="N18" s="15">
        <f>SUM(C15:C18)/4</f>
        <v>4431.369</v>
      </c>
      <c r="O18" s="15">
        <v>4598.9505</v>
      </c>
      <c r="P18" s="16">
        <f>C18/C17-1</f>
        <v>0.0649465671715809</v>
      </c>
      <c r="Q18" s="16">
        <f>J18/I18</f>
        <v>-0.267228177641654</v>
      </c>
      <c r="R18" s="16">
        <f>AVERAGE(Q15:Q18)</f>
        <v>-0.06274503714011929</v>
      </c>
      <c r="S18" s="17"/>
      <c r="T18" s="25">
        <f>SUM(J15:K18)/4</f>
        <v>-479.552</v>
      </c>
      <c r="U18" s="25"/>
      <c r="V18" s="15">
        <f>-(L18+M18)+V17</f>
        <v>-5609.5915</v>
      </c>
      <c r="W18" s="17"/>
      <c r="X18" s="15">
        <f>F18-G18</f>
        <v>-13518.06</v>
      </c>
      <c r="Y18" s="24"/>
      <c r="Z18" s="25">
        <v>192</v>
      </c>
      <c r="AA18" s="24"/>
      <c r="AB18" s="15">
        <v>14.79</v>
      </c>
    </row>
    <row r="19" ht="20.05" customHeight="1">
      <c r="B19" s="13"/>
      <c r="C19" s="14">
        <v>5294.55</v>
      </c>
      <c r="D19" s="15">
        <v>316.122</v>
      </c>
      <c r="E19" s="15">
        <v>162.15</v>
      </c>
      <c r="F19" s="15">
        <v>2650.8</v>
      </c>
      <c r="G19" s="15">
        <v>16638</v>
      </c>
      <c r="H19" s="15">
        <v>26113.2</v>
      </c>
      <c r="I19" s="15">
        <v>5073.18</v>
      </c>
      <c r="J19" s="15">
        <v>-172.02</v>
      </c>
      <c r="K19" s="15">
        <v>-322.89</v>
      </c>
      <c r="L19" s="15">
        <v>569.2875</v>
      </c>
      <c r="M19" s="15">
        <v>-5.2875</v>
      </c>
      <c r="N19" s="15">
        <f>SUM(C16:C19)/4</f>
        <v>4758.973</v>
      </c>
      <c r="O19" s="15">
        <v>4549.946625</v>
      </c>
      <c r="P19" s="16">
        <f>C19/C18-1</f>
        <v>0.19686307061821</v>
      </c>
      <c r="Q19" s="16">
        <f>J19/I19</f>
        <v>-0.0339077265147304</v>
      </c>
      <c r="R19" s="16">
        <f>AVERAGE(Q16:Q19)</f>
        <v>-0.0650534809295351</v>
      </c>
      <c r="S19" s="17"/>
      <c r="T19" s="25">
        <f>SUM(J16:K19)/4</f>
        <v>-530.399</v>
      </c>
      <c r="U19" s="25"/>
      <c r="V19" s="15">
        <f>-(L19+M19)+V18</f>
        <v>-6173.5915</v>
      </c>
      <c r="W19" s="17"/>
      <c r="X19" s="15">
        <f>F19-G19</f>
        <v>-13987.2</v>
      </c>
      <c r="Y19" s="24"/>
      <c r="Z19" s="25">
        <v>262</v>
      </c>
      <c r="AA19" s="24"/>
      <c r="AB19" s="15">
        <v>14.1</v>
      </c>
    </row>
    <row r="20" ht="20.05" customHeight="1">
      <c r="B20" s="21">
        <v>2021</v>
      </c>
      <c r="C20" s="14">
        <v>5502.0802</v>
      </c>
      <c r="D20" s="15">
        <v>200.1022</v>
      </c>
      <c r="E20" s="15">
        <v>-10842.0338</v>
      </c>
      <c r="F20" s="15">
        <v>671.876</v>
      </c>
      <c r="G20" s="15">
        <v>22478.634</v>
      </c>
      <c r="H20" s="15">
        <v>21514.638</v>
      </c>
      <c r="I20" s="15">
        <v>6908.638</v>
      </c>
      <c r="J20" s="15">
        <v>-7243.1154</v>
      </c>
      <c r="K20" s="15">
        <v>81.7936</v>
      </c>
      <c r="L20" s="15">
        <v>5024.464</v>
      </c>
      <c r="M20" s="15">
        <v>0</v>
      </c>
      <c r="N20" s="15">
        <f>SUM(C17:C20)/4</f>
        <v>4843.55655</v>
      </c>
      <c r="O20" s="15">
        <v>4879.64551</v>
      </c>
      <c r="P20" s="16">
        <f>C20/C19-1</f>
        <v>0.0391969478048182</v>
      </c>
      <c r="Q20" s="16">
        <f>J20/I20</f>
        <v>-1.04841437632135</v>
      </c>
      <c r="R20" s="16">
        <f>AVERAGE(Q17:Q20)</f>
        <v>-0.31839674443136</v>
      </c>
      <c r="S20" s="17"/>
      <c r="T20" s="25">
        <f>SUM(J17:K20)/4</f>
        <v>-2213.08345</v>
      </c>
      <c r="U20" s="25"/>
      <c r="V20" s="15">
        <f>-(L20+M20)+V19</f>
        <v>-11198.0555</v>
      </c>
      <c r="W20" s="17"/>
      <c r="X20" s="15">
        <f>F20-G20</f>
        <v>-21806.758</v>
      </c>
      <c r="Y20" s="15"/>
      <c r="Z20" s="25">
        <v>202</v>
      </c>
      <c r="AA20" s="15"/>
      <c r="AB20" s="15">
        <v>14.606</v>
      </c>
    </row>
    <row r="21" ht="20.05" customHeight="1">
      <c r="B21" s="13"/>
      <c r="C21" s="14">
        <v>2160.275</v>
      </c>
      <c r="D21" s="15">
        <v>177.735</v>
      </c>
      <c r="E21" s="15">
        <v>-2077.91</v>
      </c>
      <c r="F21" s="15">
        <v>130.05</v>
      </c>
      <c r="G21" s="15">
        <v>22397.5</v>
      </c>
      <c r="H21" s="15">
        <v>19377.45</v>
      </c>
      <c r="I21" s="15">
        <v>1202.24</v>
      </c>
      <c r="J21" s="15">
        <v>524.535</v>
      </c>
      <c r="K21" s="15">
        <v>0</v>
      </c>
      <c r="L21" s="15">
        <v>0</v>
      </c>
      <c r="M21" s="15">
        <v>0</v>
      </c>
      <c r="N21" s="15">
        <f>SUM(C18:C21)/4</f>
        <v>4345.14855</v>
      </c>
      <c r="O21" s="15">
        <v>5182.1854375</v>
      </c>
      <c r="P21" s="16">
        <f>C21/C20-1</f>
        <v>-0.607371226613527</v>
      </c>
      <c r="Q21" s="16">
        <f>J21/I21</f>
        <v>0.436298076923077</v>
      </c>
      <c r="R21" s="16">
        <f>AVERAGE(Q18:Q21)</f>
        <v>-0.228313050888664</v>
      </c>
      <c r="S21" s="17"/>
      <c r="T21" s="25">
        <f>SUM(J18:K21)/4</f>
        <v>-2089.0772</v>
      </c>
      <c r="U21" s="25"/>
      <c r="V21" s="15">
        <f>-(L21+M21)+V20</f>
        <v>-11198.0555</v>
      </c>
      <c r="W21" s="17"/>
      <c r="X21" s="15">
        <f>F21-G21</f>
        <v>-22267.45</v>
      </c>
      <c r="Y21" s="15"/>
      <c r="Z21" s="25">
        <v>146</v>
      </c>
      <c r="AA21" s="15"/>
      <c r="AB21" s="15">
        <v>14.45</v>
      </c>
    </row>
    <row r="22" ht="20.05" customHeight="1">
      <c r="B22" s="13"/>
      <c r="C22" s="14">
        <v>1588.9752</v>
      </c>
      <c r="D22" s="15">
        <v>174.8016</v>
      </c>
      <c r="E22" s="15">
        <v>-550.1952</v>
      </c>
      <c r="F22" s="15">
        <v>143.28</v>
      </c>
      <c r="G22" s="15">
        <v>22337.352</v>
      </c>
      <c r="H22" s="15">
        <v>18784.008</v>
      </c>
      <c r="I22" s="15">
        <v>1891.296</v>
      </c>
      <c r="J22" s="15">
        <v>8.5968</v>
      </c>
      <c r="K22" s="15">
        <v>0</v>
      </c>
      <c r="L22" s="15">
        <v>0</v>
      </c>
      <c r="M22" s="15">
        <v>0</v>
      </c>
      <c r="N22" s="15">
        <f>SUM(C19:C22)/4</f>
        <v>3636.4701</v>
      </c>
      <c r="O22" s="15">
        <v>5468.96178</v>
      </c>
      <c r="P22" s="16">
        <f>C22/C21-1</f>
        <v>-0.264456978856859</v>
      </c>
      <c r="Q22" s="16">
        <f>J22/I22</f>
        <v>0.00454545454545455</v>
      </c>
      <c r="R22" s="16">
        <f>AVERAGE(Q19:Q22)</f>
        <v>-0.160369642841887</v>
      </c>
      <c r="S22" s="17"/>
      <c r="T22" s="25">
        <f>SUM(J19:K22)/4</f>
        <v>-1780.775</v>
      </c>
      <c r="U22" s="25"/>
      <c r="V22" s="15">
        <f>-(L22+M22)+V21</f>
        <v>-11198.0555</v>
      </c>
      <c r="W22" s="17"/>
      <c r="X22" s="15">
        <f>F22-G22</f>
        <v>-22194.072</v>
      </c>
      <c r="Y22" s="15"/>
      <c r="Z22" s="25">
        <v>146</v>
      </c>
      <c r="AA22" s="15"/>
      <c r="AB22" s="15">
        <v>14.328</v>
      </c>
    </row>
    <row r="23" ht="20.05" customHeight="1">
      <c r="B23" s="13"/>
      <c r="C23" s="14">
        <v>3003.46</v>
      </c>
      <c r="D23" s="15">
        <v>305.485</v>
      </c>
      <c r="E23" s="15">
        <v>-2238.32</v>
      </c>
      <c r="F23" s="15">
        <v>128.475</v>
      </c>
      <c r="G23" s="15">
        <v>23311.075</v>
      </c>
      <c r="H23" s="15">
        <v>17615.35</v>
      </c>
      <c r="I23" s="15">
        <v>5473.035</v>
      </c>
      <c r="J23" s="15">
        <v>65.66500000000001</v>
      </c>
      <c r="K23" s="15">
        <v>-15.7025</v>
      </c>
      <c r="L23" s="15">
        <v>35.6875</v>
      </c>
      <c r="M23" s="15">
        <v>0</v>
      </c>
      <c r="N23" s="15">
        <f>SUM(C20:C23)/4</f>
        <v>3063.6976</v>
      </c>
      <c r="O23" s="15">
        <v>5628.275625</v>
      </c>
      <c r="P23" s="16">
        <f>C23/C22-1</f>
        <v>0.890186832368435</v>
      </c>
      <c r="Q23" s="16">
        <f>J23/I23</f>
        <v>0.0119979134063641</v>
      </c>
      <c r="R23" s="16">
        <f>AVERAGE(Q20:Q23)</f>
        <v>-0.148893232861614</v>
      </c>
      <c r="S23" s="17"/>
      <c r="T23" s="25">
        <f>SUM(J20:K23)/4</f>
        <v>-1644.556875</v>
      </c>
      <c r="U23" s="25"/>
      <c r="V23" s="15">
        <f>-(L23+M23)+V22</f>
        <v>-11233.743</v>
      </c>
      <c r="W23" s="17"/>
      <c r="X23" s="15">
        <f>F23-G23</f>
        <v>-23182.6</v>
      </c>
      <c r="Y23" s="15"/>
      <c r="Z23" s="25">
        <v>146</v>
      </c>
      <c r="AA23" s="15"/>
      <c r="AB23" s="15">
        <v>14.275</v>
      </c>
    </row>
    <row r="24" ht="20.05" customHeight="1">
      <c r="B24" s="21">
        <v>2022</v>
      </c>
      <c r="C24" s="14">
        <v>2598.9178</v>
      </c>
      <c r="D24" s="15">
        <v>289.4054</v>
      </c>
      <c r="E24" s="15">
        <v>-558.753</v>
      </c>
      <c r="F24" s="15">
        <v>157.597</v>
      </c>
      <c r="G24" s="15">
        <v>23209.74</v>
      </c>
      <c r="H24" s="15">
        <v>16920.187</v>
      </c>
      <c r="I24" s="15">
        <v>2356.7915</v>
      </c>
      <c r="J24" s="15">
        <v>22.9232</v>
      </c>
      <c r="K24" s="15">
        <v>0</v>
      </c>
      <c r="L24" s="15">
        <v>0</v>
      </c>
      <c r="M24" s="15">
        <v>0</v>
      </c>
      <c r="N24" s="15">
        <f>SUM(C21:C24)/4</f>
        <v>2337.907</v>
      </c>
      <c r="O24" s="15">
        <v>5648.777925</v>
      </c>
      <c r="P24" s="16">
        <f>C24/C23-1</f>
        <v>-0.134692055163045</v>
      </c>
      <c r="Q24" s="16">
        <f>J24/I24</f>
        <v>0.009726443768996959</v>
      </c>
      <c r="R24" s="16">
        <f>AVERAGE(Q21:Q24)</f>
        <v>0.115641972160973</v>
      </c>
      <c r="S24" s="35"/>
      <c r="T24" s="25">
        <f>SUM(J21:K24)/4</f>
        <v>151.504375</v>
      </c>
      <c r="U24" s="15">
        <v>330.662900546743</v>
      </c>
      <c r="V24" s="15">
        <f>-(L24+M24)+V23</f>
        <v>-11233.743</v>
      </c>
      <c r="W24" s="15"/>
      <c r="X24" s="15">
        <f>F24-G24</f>
        <v>-23052.143</v>
      </c>
      <c r="Y24" s="15">
        <v>-13024.7483420316</v>
      </c>
      <c r="Z24" s="25">
        <v>146</v>
      </c>
      <c r="AA24" s="15"/>
      <c r="AB24" s="15">
        <v>14.327</v>
      </c>
    </row>
    <row r="25" ht="20.05" customHeight="1">
      <c r="B25" s="13"/>
      <c r="C25" s="14">
        <v>2455.55</v>
      </c>
      <c r="D25" s="15">
        <v>291.734</v>
      </c>
      <c r="E25" s="15">
        <v>-310.792</v>
      </c>
      <c r="F25" s="15">
        <v>87.95999999999999</v>
      </c>
      <c r="G25" s="15">
        <v>23426.68</v>
      </c>
      <c r="H25" s="15">
        <v>16683.08</v>
      </c>
      <c r="I25" s="15">
        <v>2169.68</v>
      </c>
      <c r="J25" s="15">
        <v>17.592</v>
      </c>
      <c r="K25" s="15">
        <v>-87.95999999999999</v>
      </c>
      <c r="L25" s="15">
        <v>0</v>
      </c>
      <c r="M25" s="15">
        <v>0</v>
      </c>
      <c r="N25" s="15">
        <f>SUM(C22:C25)/4</f>
        <v>2411.72575</v>
      </c>
      <c r="O25" s="15">
        <v>5033.126175</v>
      </c>
      <c r="P25" s="16">
        <f>C25/C24-1</f>
        <v>-0.055164422668543</v>
      </c>
      <c r="Q25" s="16">
        <f>J25/I25</f>
        <v>0.00810810810810811</v>
      </c>
      <c r="R25" s="16">
        <f>AVERAGE(Q22:Q25)</f>
        <v>0.00859447995723093</v>
      </c>
      <c r="S25" s="35"/>
      <c r="T25" s="25">
        <f>SUM(J22:K25)/4</f>
        <v>2.778625</v>
      </c>
      <c r="U25" s="15">
        <v>19.4618152708</v>
      </c>
      <c r="V25" s="15">
        <f>-(L25+M25)+V24</f>
        <v>-11233.743</v>
      </c>
      <c r="W25" s="15"/>
      <c r="X25" s="15">
        <f>F25-G25</f>
        <v>-23338.72</v>
      </c>
      <c r="Y25" s="15">
        <v>-23510.0927389168</v>
      </c>
      <c r="Z25" s="25">
        <v>146</v>
      </c>
      <c r="AA25" s="15"/>
      <c r="AB25" s="15">
        <v>14.66</v>
      </c>
    </row>
    <row r="26" ht="20.05" customHeight="1">
      <c r="B26" s="13"/>
      <c r="C26" s="14">
        <v>1967.8365</v>
      </c>
      <c r="D26" s="15">
        <v>315.6705</v>
      </c>
      <c r="E26" s="15">
        <v>-1375.758</v>
      </c>
      <c r="F26" s="15">
        <v>109.935</v>
      </c>
      <c r="G26" s="15">
        <v>24970.95</v>
      </c>
      <c r="H26" s="15">
        <v>16380.315</v>
      </c>
      <c r="I26" s="15">
        <v>2146.8735</v>
      </c>
      <c r="J26" s="15">
        <v>130.3515</v>
      </c>
      <c r="K26" s="15">
        <v>0</v>
      </c>
      <c r="L26" s="15">
        <v>-23.5575</v>
      </c>
      <c r="M26" s="15">
        <v>0</v>
      </c>
      <c r="N26" s="15">
        <f>SUM(C23:C26)/4</f>
        <v>2506.441075</v>
      </c>
      <c r="O26" s="15">
        <v>4591.7101125</v>
      </c>
      <c r="P26" s="16">
        <f>C26/C25-1</f>
        <v>-0.198616806825355</v>
      </c>
      <c r="Q26" s="16">
        <f>J26/I26</f>
        <v>0.0607168983174835</v>
      </c>
      <c r="R26" s="16">
        <f>AVERAGE(Q23:Q26)</f>
        <v>0.0226373409002382</v>
      </c>
      <c r="S26" s="35">
        <f>S27</f>
        <v>0.0226373409002382</v>
      </c>
      <c r="T26" s="25">
        <f>SUM(J23:K26)/4</f>
        <v>33.2173</v>
      </c>
      <c r="U26" s="15">
        <v>20.8491001929</v>
      </c>
      <c r="V26" s="15">
        <f>-(L26+M26)+V25</f>
        <v>-11210.1855</v>
      </c>
      <c r="W26" s="15">
        <f>W27</f>
        <v>-11028.876710659</v>
      </c>
      <c r="X26" s="15">
        <f>F26-G26</f>
        <v>-24861.015</v>
      </c>
      <c r="Y26" s="15">
        <v>-25185.9485992284</v>
      </c>
      <c r="Z26" s="25">
        <v>146</v>
      </c>
      <c r="AA26" s="15"/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2002.319863229390</v>
      </c>
      <c r="P27" s="17"/>
      <c r="Q27" s="17"/>
      <c r="R27" s="17"/>
      <c r="S27" s="35">
        <f>AE53</f>
        <v>0.0226373409002382</v>
      </c>
      <c r="T27" s="25"/>
      <c r="U27" s="15">
        <f>SUM(AE55:AH55)/4</f>
        <v>45.3271973352419</v>
      </c>
      <c r="V27" s="17"/>
      <c r="W27" s="15">
        <f>-SUM(AE76:AH76)+V26</f>
        <v>-11028.876710659</v>
      </c>
      <c r="X27" s="26"/>
      <c r="Y27" s="15">
        <f>AH75</f>
        <v>-24679.706210659</v>
      </c>
      <c r="Z27" s="15">
        <v>146</v>
      </c>
      <c r="AA27" s="15">
        <v>117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40926.849125</v>
      </c>
      <c r="O28" s="15">
        <f>SUM(O16:O26)</f>
        <v>54666.0777733333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115.245020574941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250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0.125428386927873</v>
      </c>
      <c r="AF49" s="35"/>
      <c r="AG49" s="35"/>
      <c r="AH49" s="35">
        <f>AVERAGE(AE51:AH51)</f>
        <v>0.01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0.890186832368435</v>
      </c>
      <c r="AF50" s="35">
        <f>P24</f>
        <v>-0.134692055163045</v>
      </c>
      <c r="AG50" s="35">
        <f>P25</f>
        <v>-0.055164422668543</v>
      </c>
      <c r="AH50" s="35">
        <f>P26</f>
        <v>-0.198616806825355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-0.01</v>
      </c>
      <c r="AG51" s="35">
        <v>0.02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1967.8365</v>
      </c>
      <c r="AE52" s="23">
        <f>C26*(1+AE51)</f>
        <v>1987.514865</v>
      </c>
      <c r="AF52" s="23">
        <f>AE52*(1+AF51)</f>
        <v>1967.63971635</v>
      </c>
      <c r="AG52" s="23">
        <f>AF52*(1+AG51)</f>
        <v>2006.992510677</v>
      </c>
      <c r="AH52" s="23">
        <f>AG52*(1+AH51)</f>
        <v>2047.132360890540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0.0226373409002382</v>
      </c>
      <c r="AF53" s="35">
        <f>AE53</f>
        <v>0.0226373409002382</v>
      </c>
      <c r="AG53" s="35">
        <f>AF53</f>
        <v>0.0226373409002382</v>
      </c>
      <c r="AH53" s="35">
        <f>AG53</f>
        <v>0.0226373409002382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0</v>
      </c>
      <c r="AF54" s="15">
        <f>AE54</f>
        <v>0</v>
      </c>
      <c r="AG54" s="15">
        <f>AF54</f>
        <v>0</v>
      </c>
      <c r="AH54" s="15">
        <f>AG54</f>
        <v>0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44.9920515432959</v>
      </c>
      <c r="AF55" s="15">
        <f>(AF52*AF53)+AF54</f>
        <v>44.5421310278629</v>
      </c>
      <c r="AG55" s="15">
        <f>(AG52*AG53)+AG54</f>
        <v>45.4329736484202</v>
      </c>
      <c r="AH55" s="15">
        <f>(AH52*AH53)+AH54</f>
        <v>46.3416331213886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-1248.5475</v>
      </c>
      <c r="AF56" s="15">
        <f>-AE71/20</f>
        <v>-1186.120125</v>
      </c>
      <c r="AG56" s="15">
        <f>-AF71/20</f>
        <v>-1126.81411875</v>
      </c>
      <c r="AH56" s="15">
        <f>-AG71/20</f>
        <v>-1070.4734128125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-1203.5554484567</v>
      </c>
      <c r="AF59" s="15">
        <f>AF55+AF56+AF58</f>
        <v>-1141.577993972140</v>
      </c>
      <c r="AG59" s="15">
        <f>AG55+AG56+AG58</f>
        <v>-1081.381145101580</v>
      </c>
      <c r="AH59" s="15">
        <f>AH55+AH56+AH58</f>
        <v>-1024.131779691110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1203.5554484567</v>
      </c>
      <c r="AF60" s="15">
        <f>-MIN(AE72,AF59)</f>
        <v>1141.577993972140</v>
      </c>
      <c r="AG60" s="15">
        <f>-MIN(AF72,AG59)</f>
        <v>1081.381145101580</v>
      </c>
      <c r="AH60" s="15">
        <f>-MIN(AG72,AH59)</f>
        <v>1024.131779691110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109.935</v>
      </c>
      <c r="AF61" s="15">
        <f>AE63</f>
        <v>109.934999999996</v>
      </c>
      <c r="AG61" s="15">
        <f>AF63</f>
        <v>109.934999999999</v>
      </c>
      <c r="AH61" s="15">
        <f>AG63</f>
        <v>109.934999999999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-4.1e-12</v>
      </c>
      <c r="AF62" s="15">
        <f>AF55+AF56+AF58+AF60</f>
        <v>2.9e-12</v>
      </c>
      <c r="AG62" s="15">
        <f>AG55+AG56+AG58+AG60</f>
        <v>2e-13</v>
      </c>
      <c r="AH62" s="15">
        <f>AH55+AH56+AH58+AH60</f>
        <v>-1.4e-12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109.934999999996</v>
      </c>
      <c r="AF63" s="15">
        <f>AF61+AF62</f>
        <v>109.934999999999</v>
      </c>
      <c r="AG63" s="15">
        <f>AG61+AG62</f>
        <v>109.934999999999</v>
      </c>
      <c r="AH63" s="15">
        <f>AH61+AH62</f>
        <v>109.934999999998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-298.936633333333</v>
      </c>
      <c r="AF65" s="15">
        <f>AE65</f>
        <v>-298.936633333333</v>
      </c>
      <c r="AG65" s="15">
        <f>AF65</f>
        <v>-298.936633333333</v>
      </c>
      <c r="AH65" s="15">
        <f>AG65</f>
        <v>-298.936633333333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-253.944581790037</v>
      </c>
      <c r="AF66" s="15">
        <f>(AF52*AF53)+AF65</f>
        <v>-254.394502305470</v>
      </c>
      <c r="AG66" s="15">
        <f>(AG52*AG53)+AG65</f>
        <v>-253.503659684913</v>
      </c>
      <c r="AH66" s="15">
        <f>(AH52*AH53)+AH65</f>
        <v>-252.595000211944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16270.38</v>
      </c>
      <c r="AF68" s="15">
        <f>AE68-AF54</f>
        <v>16270.38</v>
      </c>
      <c r="AG68" s="15">
        <f>AF68-AG54</f>
        <v>16270.38</v>
      </c>
      <c r="AH68" s="15">
        <f>AG68-AH54</f>
        <v>16270.38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298.936633333333</v>
      </c>
      <c r="AF69" s="15">
        <f>AE69-AF65</f>
        <v>597.873266666666</v>
      </c>
      <c r="AG69" s="15">
        <f>AF69-AG65</f>
        <v>896.8098999999989</v>
      </c>
      <c r="AH69" s="15">
        <f>AG69-AH65</f>
        <v>1195.746533333330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15971.4433666667</v>
      </c>
      <c r="AF70" s="15">
        <f>AF68-AF69</f>
        <v>15672.5067333333</v>
      </c>
      <c r="AG70" s="15">
        <f>AG68-AG69</f>
        <v>15373.5701</v>
      </c>
      <c r="AH70" s="15">
        <f>AH68-AH69</f>
        <v>15074.6334666667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23722.4025</v>
      </c>
      <c r="AF71" s="15">
        <f>AE71+AF56</f>
        <v>22536.282375</v>
      </c>
      <c r="AG71" s="15">
        <f>AF71+AG56</f>
        <v>21409.46825625</v>
      </c>
      <c r="AH71" s="15">
        <f>AG71+AH56</f>
        <v>20338.9948434375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1203.5554484567</v>
      </c>
      <c r="AF72" s="15">
        <f>AE72+AF60</f>
        <v>2345.133442428840</v>
      </c>
      <c r="AG72" s="15">
        <f>AF72+AG60</f>
        <v>3426.514587530420</v>
      </c>
      <c r="AH72" s="15">
        <f>AG72+AH60</f>
        <v>4450.646367221530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-8844.579581790040</v>
      </c>
      <c r="AF73" s="15">
        <f>AE73+AF66+AF58</f>
        <v>-9098.974084095509</v>
      </c>
      <c r="AG73" s="15">
        <f>AF73+AG66+AG58</f>
        <v>-9352.477743780420</v>
      </c>
      <c r="AH73" s="15">
        <f>AG73+AH66+AH58</f>
        <v>-9605.072743992359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-3.6e-11</v>
      </c>
      <c r="AF74" s="15">
        <f>AF71+AF72+AF73-AF63-AF70</f>
        <v>3.1e-11</v>
      </c>
      <c r="AG74" s="15">
        <f>AG71+AG72+AG73-AG63-AG70</f>
        <v>1e-12</v>
      </c>
      <c r="AH74" s="15">
        <f>AH71+AH72+AH73-AH63-AH70</f>
        <v>-2.8e-11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-24816.0229484567</v>
      </c>
      <c r="AF75" s="15">
        <f>AF63-AF71-AF72</f>
        <v>-24771.4808174288</v>
      </c>
      <c r="AG75" s="15">
        <f>AG63-AG71-AG72</f>
        <v>-24726.0478437804</v>
      </c>
      <c r="AH75" s="15">
        <f>AH63-AH71-AH72</f>
        <v>-24679.706210659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-44.9920515433</v>
      </c>
      <c r="AF76" s="15">
        <f>AF56+AF58+AF60</f>
        <v>-44.542131027860</v>
      </c>
      <c r="AG76" s="15">
        <f>AG56+AG58+AG60</f>
        <v>-45.432973648420</v>
      </c>
      <c r="AH76" s="15">
        <f>AH56+AH58+AH60</f>
        <v>-46.341633121390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761</v>
      </c>
      <c r="AD78" s="14"/>
      <c r="AE78" s="15"/>
      <c r="AF78" s="15"/>
      <c r="AG78" s="15"/>
      <c r="AH78" s="15">
        <v>146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761</v>
      </c>
      <c r="AD79" s="14"/>
      <c r="AE79" s="15"/>
      <c r="AF79" s="15"/>
      <c r="AG79" s="15"/>
      <c r="AH79" s="15">
        <v>2986021265408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2986.021265408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20.452200448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0.196648411310663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132.8692</v>
      </c>
      <c r="AH84" s="15">
        <f>SUM(AE55:AH55)</f>
        <v>181.308789340968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83.1434235563586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16.4692581990193</v>
      </c>
      <c r="AH86" s="15">
        <v>13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2357.014261432580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115.245020574941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-0.210650544007253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0.238431222840986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0.335702086578191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761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146</v>
      </c>
      <c r="AG94" t="s" s="44">
        <v>61</v>
      </c>
      <c r="AH94" s="15">
        <f>AH88</f>
        <v>115.245020574941</v>
      </c>
      <c r="AI94" t="s" s="44">
        <f>IF(AJ94&gt;0,"+","")</f>
      </c>
      <c r="AJ94" s="16">
        <f>AH94/AF94-1</f>
        <v>-0.210650544007253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0.238431222840986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0.0444970709148132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(AG132+AG133+AI132+AI133+AK132+AK133+AM132+AM133)/AF135</f>
        <v>-0.00406226175966051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-8.325799714826569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-0.198616806825355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-0.264456978856859</v>
      </c>
      <c r="AF103" s="16">
        <f>P23</f>
        <v>0.890186832368435</v>
      </c>
      <c r="AG103" s="16">
        <f>P24</f>
        <v>-0.134692055163045</v>
      </c>
      <c r="AH103" s="16">
        <f>P25</f>
        <v>-0.055164422668543</v>
      </c>
      <c r="AI103" s="16">
        <f>P26</f>
        <v>-0.198616806825355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1588.9752</v>
      </c>
      <c r="AF104" t="s" s="44">
        <v>72</v>
      </c>
      <c r="AG104" s="15">
        <f>C23</f>
        <v>3003.46</v>
      </c>
      <c r="AH104" t="s" s="44">
        <v>72</v>
      </c>
      <c r="AI104" s="15">
        <f>C24</f>
        <v>2598.9178</v>
      </c>
      <c r="AJ104" t="s" s="44">
        <v>72</v>
      </c>
      <c r="AK104" s="15">
        <f>C25</f>
        <v>2455.55</v>
      </c>
      <c r="AL104" t="s" s="44">
        <v>72</v>
      </c>
      <c r="AM104" s="15">
        <f>C26</f>
        <v>1967.8365</v>
      </c>
      <c r="AN104" t="s" s="44">
        <v>372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-0.198616806825355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1967.8365</v>
      </c>
      <c r="AM105" t="s" s="44">
        <f>AN104</f>
        <v>372</v>
      </c>
      <c r="AN105" t="s" s="44">
        <v>77</v>
      </c>
      <c r="AO105" t="s" s="44">
        <f>IF(AP105&gt;0,"+","")</f>
        <v>361</v>
      </c>
      <c r="AP105" s="16">
        <f>AH91</f>
        <v>0.335702086578191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0.125428386927873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</v>
      </c>
      <c r="AG107" t="s" s="44">
        <v>82</v>
      </c>
      <c r="AH107" t="s" s="44">
        <v>83</v>
      </c>
      <c r="AI107" s="23">
        <f>AH52</f>
        <v>2047.132360890540</v>
      </c>
      <c r="AJ107" t="s" s="44">
        <f>AN104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-0.236248872858431</v>
      </c>
      <c r="AF110" s="16">
        <f>(D23+E23)/C23</f>
        <v>-0.643536121673004</v>
      </c>
      <c r="AG110" s="16">
        <f>((E24+D24)/C24)</f>
        <v>-0.103638368246968</v>
      </c>
      <c r="AH110" s="16">
        <f>(D25+E25)/C25</f>
        <v>-0.00776119402985075</v>
      </c>
      <c r="AI110" s="16">
        <f>(D26+E26)/C26</f>
        <v>-0.538707102952913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-550.1952</v>
      </c>
      <c r="AF111" t="s" s="44">
        <v>72</v>
      </c>
      <c r="AG111" s="15">
        <f>E23</f>
        <v>-2238.32</v>
      </c>
      <c r="AH111" t="s" s="44">
        <v>72</v>
      </c>
      <c r="AI111" s="15">
        <f>E24</f>
        <v>-558.753</v>
      </c>
      <c r="AJ111" t="s" s="44">
        <v>72</v>
      </c>
      <c r="AK111" s="15">
        <f>E25</f>
        <v>-310.792</v>
      </c>
      <c r="AL111" t="s" s="44">
        <v>72</v>
      </c>
      <c r="AM111" s="15">
        <f>E26</f>
        <v>-1375.758</v>
      </c>
      <c r="AN111" t="s" s="44">
        <f>AN104</f>
        <v>372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-0.00776119402985075</v>
      </c>
      <c r="AG112" t="s" s="44">
        <v>76</v>
      </c>
      <c r="AH112" s="16">
        <f>AI110</f>
        <v>-0.538707102952913</v>
      </c>
      <c r="AI112" t="s" s="44">
        <v>90</v>
      </c>
      <c r="AJ112" s="15">
        <f>AK111</f>
        <v>-310.792</v>
      </c>
      <c r="AK112" t="s" s="44">
        <v>76</v>
      </c>
      <c r="AL112" s="15">
        <f>AM111</f>
        <v>-1375.758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-0.323410696725684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0.0226373409002382</v>
      </c>
      <c r="AG114" t="s" s="44">
        <v>94</v>
      </c>
      <c r="AH114" s="15">
        <f>AH66</f>
        <v>-252.595000211944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70.36799999999999</v>
      </c>
      <c r="AG116" s="15">
        <f>ABS(AH120)</f>
        <v>130.3515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8.5968</v>
      </c>
      <c r="AF118" t="s" s="44">
        <v>72</v>
      </c>
      <c r="AG118" s="15">
        <f>J23</f>
        <v>65.66500000000001</v>
      </c>
      <c r="AH118" t="s" s="44">
        <v>72</v>
      </c>
      <c r="AI118" s="15">
        <f>J24</f>
        <v>22.9232</v>
      </c>
      <c r="AJ118" t="s" s="44">
        <v>72</v>
      </c>
      <c r="AK118" s="15">
        <f>J25</f>
        <v>17.592</v>
      </c>
      <c r="AL118" t="s" s="44">
        <v>72</v>
      </c>
      <c r="AM118" s="15">
        <f>J26</f>
        <v>130.3515</v>
      </c>
      <c r="AN118" t="s" s="44">
        <f>AN104</f>
        <v>372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0</v>
      </c>
      <c r="AF119" t="s" s="44">
        <v>72</v>
      </c>
      <c r="AG119" s="15">
        <f>K23</f>
        <v>-15.7025</v>
      </c>
      <c r="AH119" t="s" s="44">
        <v>72</v>
      </c>
      <c r="AI119" s="15">
        <f>K24</f>
        <v>0</v>
      </c>
      <c r="AJ119" t="s" s="44">
        <v>72</v>
      </c>
      <c r="AK119" s="15">
        <f>K25</f>
        <v>-87.95999999999999</v>
      </c>
      <c r="AL119" t="s" s="44">
        <v>72</v>
      </c>
      <c r="AM119" s="15">
        <f>K26</f>
        <v>0</v>
      </c>
      <c r="AN119" t="s" s="44">
        <f>AN118</f>
        <v>372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-70.36799999999999</v>
      </c>
      <c r="AG120" t="s" s="44">
        <v>76</v>
      </c>
      <c r="AH120" s="15">
        <f>AM118+AM119</f>
        <v>130.3515</v>
      </c>
      <c r="AI120" t="s" s="44">
        <f>AI114</f>
        <v>372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0</v>
      </c>
      <c r="AN120" t="s" s="44">
        <f>AN104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33.2173</v>
      </c>
      <c r="AG121" t="s" s="44">
        <f>AN104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0</v>
      </c>
      <c r="AG122" t="s" s="44">
        <f>AG121</f>
        <v>372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45.3271973352419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143.28</v>
      </c>
      <c r="AF125" t="s" s="44">
        <v>72</v>
      </c>
      <c r="AG125" s="15">
        <f>F23</f>
        <v>128.475</v>
      </c>
      <c r="AH125" t="s" s="44">
        <v>72</v>
      </c>
      <c r="AI125" s="15">
        <f>F24</f>
        <v>157.597</v>
      </c>
      <c r="AJ125" t="s" s="44">
        <v>72</v>
      </c>
      <c r="AK125" s="15">
        <f>F25</f>
        <v>87.95999999999999</v>
      </c>
      <c r="AL125" t="s" s="44">
        <v>72</v>
      </c>
      <c r="AM125" s="15">
        <f>F26</f>
        <v>109.935</v>
      </c>
      <c r="AN125" t="s" s="44">
        <f>AN104</f>
        <v>372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22337.352</v>
      </c>
      <c r="AF126" t="s" s="44">
        <v>72</v>
      </c>
      <c r="AG126" s="15">
        <f>G23</f>
        <v>23311.075</v>
      </c>
      <c r="AH126" t="s" s="44">
        <v>72</v>
      </c>
      <c r="AI126" s="15">
        <f>G24</f>
        <v>23209.74</v>
      </c>
      <c r="AJ126" t="s" s="44">
        <v>72</v>
      </c>
      <c r="AK126" s="15">
        <f>G25</f>
        <v>23426.68</v>
      </c>
      <c r="AL126" t="s" s="44">
        <v>72</v>
      </c>
      <c r="AM126" s="15">
        <f>G26</f>
        <v>24970.95</v>
      </c>
      <c r="AN126" t="s" s="44">
        <f>AN125</f>
        <v>372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87.95999999999999</v>
      </c>
      <c r="AH127" t="s" s="44">
        <v>76</v>
      </c>
      <c r="AI127" s="15">
        <f>AM125</f>
        <v>109.935</v>
      </c>
      <c r="AJ127" t="s" s="44">
        <f>AM122</f>
        <v>372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23426.68</v>
      </c>
      <c r="AH128" t="s" s="44">
        <v>76</v>
      </c>
      <c r="AI128" s="15">
        <f>AM126</f>
        <v>24970.95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-23338.72</v>
      </c>
      <c r="AO128" t="s" s="44">
        <v>76</v>
      </c>
      <c r="AP128" s="15">
        <f>AI127-AI128</f>
        <v>-24861.015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AE56+AF56+AG56+AH56+AE60+AF60+AG60+AH60</f>
        <v>-181.308789340970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-24679.706210659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0</v>
      </c>
      <c r="AF132" t="s" s="44">
        <v>72</v>
      </c>
      <c r="AG132" s="15">
        <f>-L23</f>
        <v>-35.6875</v>
      </c>
      <c r="AH132" t="s" s="44">
        <v>72</v>
      </c>
      <c r="AI132" s="15">
        <f>-L24</f>
        <v>0</v>
      </c>
      <c r="AJ132" t="s" s="44">
        <v>72</v>
      </c>
      <c r="AK132" s="15">
        <f>-L25</f>
        <v>0</v>
      </c>
      <c r="AL132" t="s" s="44">
        <v>72</v>
      </c>
      <c r="AM132" s="15">
        <f>-L26</f>
        <v>23.5575</v>
      </c>
      <c r="AN132" t="s" s="44">
        <f>AN104</f>
        <v>372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0</v>
      </c>
      <c r="AF133" t="s" s="44">
        <v>72</v>
      </c>
      <c r="AG133" s="15">
        <f>-M23</f>
        <v>0</v>
      </c>
      <c r="AH133" t="s" s="44">
        <v>72</v>
      </c>
      <c r="AI133" s="15">
        <f>-M24</f>
        <v>0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t="s" s="44">
        <f>AN132</f>
        <v>372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761</v>
      </c>
      <c r="AF134" t="s" s="44">
        <f>IF(AG134&gt;0,"paid","(raised)")</f>
        <v>374</v>
      </c>
      <c r="AG134" s="15">
        <f>SUM(AM132:AM133)</f>
        <v>23.5575</v>
      </c>
      <c r="AH134" t="s" s="44">
        <f>AN104</f>
        <v>372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23.5575</v>
      </c>
      <c r="AM134" t="s" s="44">
        <f>AN104</f>
        <v>372</v>
      </c>
      <c r="AN134" t="s" s="44">
        <v>123</v>
      </c>
      <c r="AO134" s="15">
        <f>AM133</f>
        <v>0</v>
      </c>
      <c r="AP134" t="s" s="44">
        <f>AN104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181.308789340970</v>
      </c>
      <c r="AU134" t="s" s="44">
        <f>AN104</f>
        <v>372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2986.021265408</v>
      </c>
      <c r="AG135" t="s" s="44">
        <f>AN104</f>
        <v>372</v>
      </c>
      <c r="AH135" t="s" s="44">
        <v>128</v>
      </c>
      <c r="AI135" t="s" s="44">
        <v>129</v>
      </c>
      <c r="AJ135" s="43">
        <f>AH82</f>
        <v>0.196648411310663</v>
      </c>
      <c r="AK135" t="s" s="44">
        <v>130</v>
      </c>
      <c r="AL135" t="s" s="44">
        <v>131</v>
      </c>
      <c r="AM135" t="s" s="44">
        <v>132</v>
      </c>
      <c r="AN135" s="15">
        <f>AH85</f>
        <v>83.1434235563586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181.308789340968</v>
      </c>
      <c r="AG136" t="s" s="44">
        <f>AG135</f>
        <v>372</v>
      </c>
      <c r="AH136" t="s" s="44">
        <v>136</v>
      </c>
      <c r="AI136" s="15">
        <f>AF135/AF136</f>
        <v>16.4692581990193</v>
      </c>
      <c r="AJ136" t="s" s="44">
        <v>130</v>
      </c>
      <c r="AK136" t="s" s="44">
        <v>137</v>
      </c>
      <c r="AL136" t="s" s="44">
        <v>138</v>
      </c>
      <c r="AM136" s="15">
        <f>AH86</f>
        <v>13</v>
      </c>
      <c r="AN136" t="s" s="44">
        <v>139</v>
      </c>
      <c r="AO136" t="s" s="44">
        <v>140</v>
      </c>
      <c r="AP136" t="s" s="44">
        <v>141</v>
      </c>
      <c r="AQ136" s="16">
        <f>AJ94</f>
        <v>-0.210650544007253</v>
      </c>
      <c r="AR136" t="s" s="44">
        <f>IF(AQ136&gt;0,"higher","lower")</f>
        <v>104</v>
      </c>
      <c r="AS136" t="s" s="44">
        <v>142</v>
      </c>
      <c r="AT136" s="15">
        <f>AH94</f>
        <v>115.245020574941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761</v>
      </c>
      <c r="AF138" t="s" s="44">
        <f>AE160</f>
        <v>428</v>
      </c>
      <c r="AG138" t="s" s="44">
        <f>AF160</f>
        <v>429</v>
      </c>
      <c r="AH138" t="s" s="44">
        <f>AG160</f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146</v>
      </c>
      <c r="AG139" t="s" s="44">
        <f>AG94</f>
        <v>61</v>
      </c>
      <c r="AH139" s="15">
        <f>AH94</f>
        <v>115.245020574941</v>
      </c>
      <c r="AI139" t="s" s="44">
        <f>AI94</f>
      </c>
      <c r="AJ139" s="16">
        <f>AJ94</f>
        <v>-0.210650544007253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0.238431222840986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0.0444970709148132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</c>
      <c r="AH144" s="16">
        <f>AH99</f>
        <v>-0.00406226175966051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-8.325799714826569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419</v>
      </c>
      <c r="AG146" s="16">
        <f>AG101</f>
        <v>-0.198616806825355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-0.264456978856859</v>
      </c>
      <c r="AF148" s="16">
        <f>AF103</f>
        <v>0.890186832368435</v>
      </c>
      <c r="AG148" s="16">
        <f>AG103</f>
        <v>-0.134692055163045</v>
      </c>
      <c r="AH148" s="16">
        <f>AH103</f>
        <v>-0.055164422668543</v>
      </c>
      <c r="AI148" s="16">
        <f>AI103</f>
        <v>-0.198616806825355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1588.9752</v>
      </c>
      <c r="AF149" t="s" s="44">
        <f>AF104</f>
        <v>72</v>
      </c>
      <c r="AG149" s="15">
        <f>AG104</f>
        <v>3003.46</v>
      </c>
      <c r="AH149" t="s" s="44">
        <f>AH104</f>
        <v>72</v>
      </c>
      <c r="AI149" s="15">
        <f>AI104</f>
        <v>2598.9178</v>
      </c>
      <c r="AJ149" t="s" s="44">
        <f>AJ104</f>
        <v>72</v>
      </c>
      <c r="AK149" s="15">
        <f>AK104</f>
        <v>2455.55</v>
      </c>
      <c r="AL149" t="s" s="44">
        <f>AL104</f>
        <v>72</v>
      </c>
      <c r="AM149" s="15">
        <f>AM104</f>
        <v>1967.8365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419</v>
      </c>
      <c r="AG150" s="16">
        <f>AG105</f>
        <v>-0.198616806825355</v>
      </c>
      <c r="AH150" t="s" s="44">
        <v>408</v>
      </c>
      <c r="AI150" t="s" s="44">
        <v>409</v>
      </c>
      <c r="AJ150" t="s" s="44">
        <v>410</v>
      </c>
      <c r="AK150" s="15">
        <f>AL105</f>
        <v>1967.8365</v>
      </c>
      <c r="AL150" t="s" s="44">
        <f>AN149</f>
        <v>407</v>
      </c>
      <c r="AM150" t="s" s="44">
        <v>411</v>
      </c>
      <c r="AN150" t="s" s="44">
        <f>AO105</f>
        <v>361</v>
      </c>
      <c r="AO150" s="16">
        <f>AP105</f>
        <v>0.335702086578191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0.125428386927873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0.01</v>
      </c>
      <c r="AG152" t="s" s="44">
        <v>415</v>
      </c>
      <c r="AH152" t="s" s="44">
        <v>416</v>
      </c>
      <c r="AI152" s="23">
        <f>AI107</f>
        <v>2047.132360890540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419</v>
      </c>
      <c r="AG153" t="s" s="44">
        <v>418</v>
      </c>
      <c r="AH153" t="s" s="44">
        <f>IF(AK156&lt;AI156,"turun","tumbuh")</f>
        <v>395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-0.236248872858431</v>
      </c>
      <c r="AF155" s="16">
        <f>AF110</f>
        <v>-0.643536121673004</v>
      </c>
      <c r="AG155" s="16">
        <f>AG110</f>
        <v>-0.103638368246968</v>
      </c>
      <c r="AH155" s="16">
        <f>AH110</f>
        <v>-0.00776119402985075</v>
      </c>
      <c r="AI155" s="16">
        <f>AI110</f>
        <v>-0.538707102952913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-550.1952</v>
      </c>
      <c r="AF156" t="s" s="44">
        <f>AF111</f>
        <v>72</v>
      </c>
      <c r="AG156" s="15">
        <f>AG111</f>
        <v>-2238.32</v>
      </c>
      <c r="AH156" t="s" s="44">
        <f>AH111</f>
        <v>72</v>
      </c>
      <c r="AI156" s="15">
        <f>AI111</f>
        <v>-558.753</v>
      </c>
      <c r="AJ156" t="s" s="44">
        <f>AJ111</f>
        <v>72</v>
      </c>
      <c r="AK156" s="15">
        <f>AK111</f>
        <v>-310.792</v>
      </c>
      <c r="AL156" t="s" s="44">
        <f>AL111</f>
        <v>72</v>
      </c>
      <c r="AM156" s="15">
        <f>AM111</f>
        <v>-1375.758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-0.00776119402985075</v>
      </c>
      <c r="AG157" t="s" s="85">
        <v>422</v>
      </c>
      <c r="AH157" s="16">
        <f>AH112</f>
        <v>-0.538707102952913</v>
      </c>
      <c r="AI157" t="s" s="85">
        <v>423</v>
      </c>
      <c r="AJ157" s="15">
        <f>AJ112</f>
        <v>-310.792</v>
      </c>
      <c r="AK157" t="s" s="44">
        <v>410</v>
      </c>
      <c r="AL157" s="15">
        <f>AL112</f>
        <v>-1375.758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-0.323410696725684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0.0226373409002382</v>
      </c>
      <c r="AG159" t="s" s="85">
        <v>427</v>
      </c>
      <c r="AH159" s="15">
        <f>AH114</f>
        <v>-252.595000211944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70.36799999999999</v>
      </c>
      <c r="AG161" s="15">
        <f>ABS(AH165)</f>
        <v>130.3515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8.5968</v>
      </c>
      <c r="AF163" t="s" s="44">
        <f>AF118</f>
        <v>72</v>
      </c>
      <c r="AG163" s="15">
        <f>AG118</f>
        <v>65.66500000000001</v>
      </c>
      <c r="AH163" t="s" s="44">
        <f>AH118</f>
        <v>72</v>
      </c>
      <c r="AI163" s="15">
        <f>AI118</f>
        <v>22.9232</v>
      </c>
      <c r="AJ163" t="s" s="44">
        <f>AJ118</f>
        <v>72</v>
      </c>
      <c r="AK163" s="15">
        <f>AK118</f>
        <v>17.592</v>
      </c>
      <c r="AL163" t="s" s="44">
        <f>AL118</f>
        <v>72</v>
      </c>
      <c r="AM163" s="15">
        <f>AM118</f>
        <v>130.3515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0</v>
      </c>
      <c r="AF164" t="s" s="44">
        <f>AF119</f>
        <v>72</v>
      </c>
      <c r="AG164" s="15">
        <f>AG119</f>
        <v>-15.7025</v>
      </c>
      <c r="AH164" t="s" s="44">
        <f>AH119</f>
        <v>72</v>
      </c>
      <c r="AI164" s="15">
        <f>AI119</f>
        <v>0</v>
      </c>
      <c r="AJ164" t="s" s="44">
        <f>AJ119</f>
        <v>72</v>
      </c>
      <c r="AK164" s="15">
        <f>AK119</f>
        <v>-87.95999999999999</v>
      </c>
      <c r="AL164" t="s" s="44">
        <f>AL119</f>
        <v>72</v>
      </c>
      <c r="AM164" s="15">
        <f>AM119</f>
        <v>0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-70.36799999999999</v>
      </c>
      <c r="AG165" t="s" s="44">
        <v>410</v>
      </c>
      <c r="AH165" s="15">
        <f>AH120</f>
        <v>130.3515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0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33.2173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0</v>
      </c>
      <c r="AG167" t="s" s="44">
        <f>AN149</f>
        <v>407</v>
      </c>
      <c r="AH167" t="s" s="85">
        <v>435</v>
      </c>
      <c r="AI167" s="15">
        <f>AL122</f>
        <v>45.3271973352419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419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143.28</v>
      </c>
      <c r="AF170" t="s" s="44">
        <f>AF125</f>
        <v>72</v>
      </c>
      <c r="AG170" s="15">
        <f>AG125</f>
        <v>128.475</v>
      </c>
      <c r="AH170" t="s" s="44">
        <f>AH125</f>
        <v>72</v>
      </c>
      <c r="AI170" s="15">
        <f>AI125</f>
        <v>157.597</v>
      </c>
      <c r="AJ170" t="s" s="44">
        <f>AJ125</f>
        <v>72</v>
      </c>
      <c r="AK170" s="15">
        <f>AK125</f>
        <v>87.95999999999999</v>
      </c>
      <c r="AL170" t="s" s="44">
        <f>AL125</f>
        <v>72</v>
      </c>
      <c r="AM170" s="15">
        <f>AM125</f>
        <v>109.935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22337.352</v>
      </c>
      <c r="AF171" t="s" s="44">
        <f>AF126</f>
        <v>72</v>
      </c>
      <c r="AG171" s="15">
        <f>AG126</f>
        <v>23311.075</v>
      </c>
      <c r="AH171" t="s" s="44">
        <f>AH126</f>
        <v>72</v>
      </c>
      <c r="AI171" s="15">
        <f>AI126</f>
        <v>23209.74</v>
      </c>
      <c r="AJ171" t="s" s="44">
        <f>AJ126</f>
        <v>72</v>
      </c>
      <c r="AK171" s="15">
        <f>AK126</f>
        <v>23426.68</v>
      </c>
      <c r="AL171" t="s" s="44">
        <f>AL126</f>
        <v>72</v>
      </c>
      <c r="AM171" s="15">
        <f>AM126</f>
        <v>24970.95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440</v>
      </c>
      <c r="AG172" s="15">
        <f>AG127</f>
        <v>87.95999999999999</v>
      </c>
      <c r="AH172" t="s" s="44">
        <f>AG165</f>
        <v>410</v>
      </c>
      <c r="AI172" s="15">
        <f>AI127</f>
        <v>109.935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440</v>
      </c>
      <c r="AG173" s="15">
        <f>AG128</f>
        <v>23426.68</v>
      </c>
      <c r="AH173" t="s" s="44">
        <f>AG165</f>
        <v>410</v>
      </c>
      <c r="AI173" s="15">
        <f>AI128</f>
        <v>24970.95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516</v>
      </c>
      <c r="AN173" s="15">
        <f>AN128</f>
        <v>-23338.72</v>
      </c>
      <c r="AO173" t="s" s="44">
        <f>AH173</f>
        <v>410</v>
      </c>
      <c r="AP173" s="15">
        <f>AP128</f>
        <v>-24861.015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-181.308789340970</v>
      </c>
      <c r="AJ174" t="s" s="44">
        <f>AG174</f>
        <v>407</v>
      </c>
      <c r="AK174" t="s" s="85">
        <v>446</v>
      </c>
      <c r="AL174" s="15">
        <f>AN129</f>
        <v>-24679.706210659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44.05" customHeight="1">
      <c r="AC175" s="36"/>
      <c r="AD175" s="38"/>
      <c r="AE175" t="s" s="44">
        <v>448</v>
      </c>
      <c r="AF175" t="s" s="44">
        <f>IF(AF130="(raised)","(yang dihimpun)","(yang dibayarkan)")</f>
        <v>449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0</v>
      </c>
      <c r="AF177" t="s" s="44">
        <f>AF132</f>
        <v>72</v>
      </c>
      <c r="AG177" s="15">
        <f>AG132</f>
        <v>-35.6875</v>
      </c>
      <c r="AH177" t="s" s="44">
        <f>AH132</f>
        <v>72</v>
      </c>
      <c r="AI177" s="15">
        <f>AI132</f>
        <v>0</v>
      </c>
      <c r="AJ177" t="s" s="44">
        <f>AJ132</f>
        <v>72</v>
      </c>
      <c r="AK177" s="15">
        <f>AK132</f>
        <v>0</v>
      </c>
      <c r="AL177" t="s" s="44">
        <f>AL132</f>
        <v>72</v>
      </c>
      <c r="AM177" s="15">
        <f>AM132</f>
        <v>23.5575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0</v>
      </c>
      <c r="AF178" t="s" s="44">
        <f>AF133</f>
        <v>72</v>
      </c>
      <c r="AG178" s="15">
        <f>AG133</f>
        <v>0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0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761</v>
      </c>
      <c r="AF179" t="s" s="44">
        <f>IF(AF175="(yang dihimpun)","(menghimpun)","(membayarkan)")</f>
        <v>451</v>
      </c>
      <c r="AG179" s="15">
        <f>AG134</f>
        <v>23.5575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23.5575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181.308789340970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2986.021265408</v>
      </c>
      <c r="AG180" t="s" s="44">
        <f>AN149</f>
        <v>407</v>
      </c>
      <c r="AH180" t="s" s="85">
        <v>458</v>
      </c>
      <c r="AI180" s="40">
        <f>AJ135</f>
        <v>0.196648411310663</v>
      </c>
      <c r="AJ180" t="s" s="44">
        <v>459</v>
      </c>
      <c r="AK180" t="s" s="85">
        <v>460</v>
      </c>
      <c r="AL180" s="15">
        <f>AN135</f>
        <v>83.1434235563586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181.308789340968</v>
      </c>
      <c r="AG181" t="s" s="44">
        <f>AN149</f>
        <v>407</v>
      </c>
      <c r="AH181" t="s" s="85">
        <v>463</v>
      </c>
      <c r="AI181" s="15">
        <f>AI136</f>
        <v>16.4692581990193</v>
      </c>
      <c r="AJ181" t="s" s="44">
        <v>464</v>
      </c>
      <c r="AK181" t="s" s="85">
        <v>465</v>
      </c>
      <c r="AL181" s="15">
        <f>AM136</f>
        <v>13</v>
      </c>
      <c r="AM181" t="s" s="44">
        <v>466</v>
      </c>
      <c r="AN181" t="s" s="85">
        <v>467</v>
      </c>
      <c r="AO181" t="s" s="44">
        <f>IF(AP181&gt;0,"+","")</f>
      </c>
      <c r="AP181" s="16">
        <f>AQ136</f>
        <v>-0.210650544007253</v>
      </c>
      <c r="AQ181" t="s" s="85">
        <v>468</v>
      </c>
      <c r="AR181" s="15">
        <f>AT136</f>
        <v>115.245020574941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1588.9752</v>
      </c>
      <c r="AE183" s="15">
        <f>AG104</f>
        <v>3003.46</v>
      </c>
      <c r="AF183" s="15">
        <f>AI104</f>
        <v>2598.9178</v>
      </c>
      <c r="AG183" s="15">
        <f>AK104</f>
        <v>2455.55</v>
      </c>
      <c r="AH183" s="15">
        <f>AM104</f>
        <v>1967.8365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8.5968</v>
      </c>
      <c r="AE184" s="15">
        <f>SUM(AG118:AG119)</f>
        <v>49.9625</v>
      </c>
      <c r="AF184" s="15">
        <f>SUM(AI118:AI119)</f>
        <v>22.9232</v>
      </c>
      <c r="AG184" s="15">
        <f>SUM(AK118:AK119)</f>
        <v>-70.36799999999999</v>
      </c>
      <c r="AH184" s="15">
        <f>SUM(AM118:AM119)</f>
        <v>130.3515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0</v>
      </c>
      <c r="AE185" s="15">
        <f>SUM(AG132:AG133)</f>
        <v>-35.6875</v>
      </c>
      <c r="AF185" s="15">
        <f>SUM(AI132:AI133)</f>
        <v>0</v>
      </c>
      <c r="AG185" s="15">
        <f>SUM(AK132:AK133)</f>
        <v>0</v>
      </c>
      <c r="AH185" s="15">
        <f>SUM(AM132:AM133)</f>
        <v>23.5575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-22194.072</v>
      </c>
      <c r="AE186" s="15">
        <f>(AG125-AG126)</f>
        <v>-23182.6</v>
      </c>
      <c r="AF186" s="15">
        <f>(AI125-AI126)</f>
        <v>-23052.143</v>
      </c>
      <c r="AG186" s="15">
        <f>(AK125-AK126)</f>
        <v>-23338.72</v>
      </c>
      <c r="AH186" s="15">
        <f>(AM125-AM126)</f>
        <v>-24861.015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115.245020574941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2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95" customWidth="1"/>
    <col min="2" max="28" width="10.4844" style="395" customWidth="1"/>
    <col min="29" max="29" width="18.9766" style="396" customWidth="1"/>
    <col min="30" max="48" width="9" style="396" customWidth="1"/>
    <col min="49" max="16384" width="16.3516" style="396" customWidth="1"/>
  </cols>
  <sheetData>
    <row r="1" ht="11.65" customHeight="1"/>
    <row r="2" ht="27.65" customHeight="1">
      <c r="B2" t="s" s="2">
        <v>762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219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1.9</v>
      </c>
      <c r="D8" s="15">
        <v>62.6</v>
      </c>
      <c r="E8" s="15">
        <v>-270.2</v>
      </c>
      <c r="F8" s="15">
        <v>806</v>
      </c>
      <c r="G8" s="15">
        <v>5165</v>
      </c>
      <c r="H8" s="15">
        <v>27183</v>
      </c>
      <c r="I8" s="15">
        <v>208.6</v>
      </c>
      <c r="J8" s="15">
        <v>-584.5</v>
      </c>
      <c r="K8" s="15">
        <v>-0.03</v>
      </c>
      <c r="L8" s="15">
        <v>491.41</v>
      </c>
      <c r="M8" s="15">
        <v>-0.01</v>
      </c>
      <c r="N8" s="15">
        <f>SUM(C5:C8)/4</f>
        <v>0.475</v>
      </c>
      <c r="O8" s="15"/>
      <c r="P8" s="16"/>
      <c r="Q8" s="16">
        <f>J8/I8</f>
        <v>-2.80201342281879</v>
      </c>
      <c r="R8" s="16"/>
      <c r="S8" s="17"/>
      <c r="T8" s="15">
        <f>SUM(J5:K8)/4</f>
        <v>-146.1325</v>
      </c>
      <c r="U8" s="25"/>
      <c r="V8" s="15">
        <f>-(L8+M8)+V7</f>
        <v>-491.4</v>
      </c>
      <c r="W8" s="17"/>
      <c r="X8" s="15">
        <f>F8-G8</f>
        <v>-4359</v>
      </c>
      <c r="Y8" s="24"/>
      <c r="Z8" s="15">
        <v>794</v>
      </c>
      <c r="AA8" s="22"/>
      <c r="AB8" s="20">
        <v>13.761</v>
      </c>
    </row>
    <row r="9" ht="20.05" customHeight="1">
      <c r="B9" s="13"/>
      <c r="C9" s="14">
        <v>635.3</v>
      </c>
      <c r="D9" s="15">
        <v>-3.4</v>
      </c>
      <c r="E9" s="15">
        <v>-931.7</v>
      </c>
      <c r="F9" s="15">
        <v>467</v>
      </c>
      <c r="G9" s="15">
        <v>4304</v>
      </c>
      <c r="H9" s="15">
        <v>25190</v>
      </c>
      <c r="I9" s="15">
        <v>631.1</v>
      </c>
      <c r="J9" s="15">
        <v>324.3</v>
      </c>
      <c r="K9" s="15">
        <v>-0.07000000000000001</v>
      </c>
      <c r="L9" s="15">
        <v>-689.11</v>
      </c>
      <c r="M9" s="15">
        <v>-1.79</v>
      </c>
      <c r="N9" s="15">
        <f>SUM(C6:C9)/4</f>
        <v>159.3</v>
      </c>
      <c r="O9" s="15"/>
      <c r="P9" s="16"/>
      <c r="Q9" s="16">
        <f>J9/I9</f>
        <v>0.5138646807162101</v>
      </c>
      <c r="R9" s="16"/>
      <c r="S9" s="17"/>
      <c r="T9" s="15">
        <f>SUM(J6:K9)/4</f>
        <v>-65.075</v>
      </c>
      <c r="U9" s="25"/>
      <c r="V9" s="15">
        <f>-(L9+M9)+V8</f>
        <v>199.5</v>
      </c>
      <c r="W9" s="17"/>
      <c r="X9" s="15">
        <f>F13-G9</f>
        <v>-2778</v>
      </c>
      <c r="Y9" s="24"/>
      <c r="Z9" s="15">
        <v>900</v>
      </c>
      <c r="AA9" s="22"/>
      <c r="AB9" s="20">
        <v>14</v>
      </c>
    </row>
    <row r="10" ht="20.05" customHeight="1">
      <c r="B10" s="13"/>
      <c r="C10" s="14">
        <v>174.6</v>
      </c>
      <c r="D10" s="15">
        <v>99.59999999999999</v>
      </c>
      <c r="E10" s="15">
        <v>285.1</v>
      </c>
      <c r="F10" s="15">
        <v>729</v>
      </c>
      <c r="G10" s="15">
        <v>4529</v>
      </c>
      <c r="H10" s="15">
        <v>25709</v>
      </c>
      <c r="I10" s="15">
        <v>553.4</v>
      </c>
      <c r="J10" s="15">
        <v>148.4</v>
      </c>
      <c r="K10" s="15">
        <v>0</v>
      </c>
      <c r="L10" s="15">
        <v>289.9</v>
      </c>
      <c r="M10" s="15">
        <v>-205.4</v>
      </c>
      <c r="N10" s="15">
        <f>SUM(C7:C10)/4</f>
        <v>202.95</v>
      </c>
      <c r="O10" s="15"/>
      <c r="P10" s="16">
        <f>C10/C9-1</f>
        <v>-0.7251692113961909</v>
      </c>
      <c r="Q10" s="16">
        <f>J10/I10</f>
        <v>0.268160462594868</v>
      </c>
      <c r="R10" s="16"/>
      <c r="S10" s="17"/>
      <c r="T10" s="15">
        <f>SUM(J7:K10)/4</f>
        <v>-27.975</v>
      </c>
      <c r="U10" s="25"/>
      <c r="V10" s="15">
        <f>-(L10+M10)+V9</f>
        <v>115</v>
      </c>
      <c r="W10" s="17"/>
      <c r="X10" s="15">
        <f>F10-G10</f>
        <v>-3800</v>
      </c>
      <c r="Y10" s="24"/>
      <c r="Z10" s="15">
        <v>820</v>
      </c>
      <c r="AA10" s="22"/>
      <c r="AB10" s="20">
        <v>14.902</v>
      </c>
    </row>
    <row r="11" ht="20.05" customHeight="1">
      <c r="B11" s="13"/>
      <c r="C11" s="14">
        <v>350</v>
      </c>
      <c r="D11" s="15">
        <v>-67.2</v>
      </c>
      <c r="E11" s="15">
        <v>-5218</v>
      </c>
      <c r="F11" s="15">
        <v>783</v>
      </c>
      <c r="G11" s="15">
        <v>4151</v>
      </c>
      <c r="H11" s="15">
        <v>20115</v>
      </c>
      <c r="I11" s="15">
        <v>143.3</v>
      </c>
      <c r="J11" s="15">
        <v>-267.1</v>
      </c>
      <c r="K11" s="15">
        <v>-0.1</v>
      </c>
      <c r="L11" s="15">
        <v>283</v>
      </c>
      <c r="M11" s="15">
        <v>-0.1</v>
      </c>
      <c r="N11" s="15">
        <f>SUM(C8:C11)/4</f>
        <v>290.45</v>
      </c>
      <c r="O11" s="15"/>
      <c r="P11" s="16">
        <f>C11/C10-1</f>
        <v>1.00458190148912</v>
      </c>
      <c r="Q11" s="16">
        <f>J11/I11</f>
        <v>-1.8639218422889</v>
      </c>
      <c r="R11" s="16"/>
      <c r="S11" s="17"/>
      <c r="T11" s="15">
        <f>SUM(J8:K11)/4</f>
        <v>-94.77500000000001</v>
      </c>
      <c r="U11" s="25"/>
      <c r="V11" s="15">
        <f>-(L11+M11)+V10</f>
        <v>-167.9</v>
      </c>
      <c r="W11" s="17"/>
      <c r="X11" s="15">
        <f>F11-G11</f>
        <v>-3368</v>
      </c>
      <c r="Y11" s="24"/>
      <c r="Z11" s="15">
        <v>760</v>
      </c>
      <c r="AA11" s="22"/>
      <c r="AB11" s="20">
        <v>14.38</v>
      </c>
    </row>
    <row r="12" ht="20.05" customHeight="1">
      <c r="B12" s="21">
        <v>2019</v>
      </c>
      <c r="C12" s="14">
        <v>6.6</v>
      </c>
      <c r="D12" s="15">
        <v>-6.9</v>
      </c>
      <c r="E12" s="15">
        <v>1127.3</v>
      </c>
      <c r="F12" s="15">
        <v>280</v>
      </c>
      <c r="G12" s="15">
        <v>4277</v>
      </c>
      <c r="H12" s="15">
        <v>21139</v>
      </c>
      <c r="I12" s="15">
        <v>223.7</v>
      </c>
      <c r="J12" s="15">
        <v>-296.9</v>
      </c>
      <c r="K12" s="15">
        <v>-0.03</v>
      </c>
      <c r="L12" s="15">
        <v>36</v>
      </c>
      <c r="M12" s="15">
        <v>-232.2</v>
      </c>
      <c r="N12" s="15">
        <f>SUM(C9:C12)/4</f>
        <v>291.625</v>
      </c>
      <c r="O12" s="23"/>
      <c r="P12" s="16">
        <f>C12/C11-1</f>
        <v>-0.981142857142857</v>
      </c>
      <c r="Q12" s="16">
        <f>J12/I12</f>
        <v>-1.3272239606616</v>
      </c>
      <c r="R12" s="16">
        <f>AVERAGE(Q9:Q12)</f>
        <v>-0.602280164909856</v>
      </c>
      <c r="S12" s="17"/>
      <c r="T12" s="15">
        <f>SUM(J9:K12)/4</f>
        <v>-22.875</v>
      </c>
      <c r="U12" s="25"/>
      <c r="V12" s="15">
        <f>-(L12+M12)+V11</f>
        <v>28.3</v>
      </c>
      <c r="W12" s="17"/>
      <c r="X12" s="15">
        <f>F12-G12</f>
        <v>-3997</v>
      </c>
      <c r="Y12" s="24"/>
      <c r="Z12" s="15">
        <v>764</v>
      </c>
      <c r="AA12" s="22"/>
      <c r="AB12" s="20">
        <v>14.24</v>
      </c>
    </row>
    <row r="13" ht="20.05" customHeight="1">
      <c r="B13" s="13"/>
      <c r="C13" s="14">
        <v>1633.3</v>
      </c>
      <c r="D13" s="15">
        <v>-41.8</v>
      </c>
      <c r="E13" s="15">
        <v>2042.6</v>
      </c>
      <c r="F13" s="15">
        <v>1526</v>
      </c>
      <c r="G13" s="15">
        <v>4469</v>
      </c>
      <c r="H13" s="15">
        <v>23052</v>
      </c>
      <c r="I13" s="15">
        <v>1615.5</v>
      </c>
      <c r="J13" s="15">
        <v>1367.4</v>
      </c>
      <c r="K13" s="15">
        <v>-0.02</v>
      </c>
      <c r="L13" s="15">
        <v>9</v>
      </c>
      <c r="M13" s="15">
        <v>-305</v>
      </c>
      <c r="N13" s="15">
        <f>SUM(C10:C13)/4</f>
        <v>541.125</v>
      </c>
      <c r="O13" s="23"/>
      <c r="P13" s="16">
        <f>C13/C12-1</f>
        <v>246.469696969697</v>
      </c>
      <c r="Q13" s="16">
        <f>J13/I13</f>
        <v>0.846425255338904</v>
      </c>
      <c r="R13" s="16">
        <f>AVERAGE(Q10:Q13)</f>
        <v>-0.519140021254182</v>
      </c>
      <c r="S13" s="17"/>
      <c r="T13" s="15">
        <f>SUM(J10:K13)/4</f>
        <v>237.9125</v>
      </c>
      <c r="U13" s="25"/>
      <c r="V13" s="15">
        <f>-(L13+M13)+V12</f>
        <v>324.3</v>
      </c>
      <c r="W13" s="17"/>
      <c r="X13" s="15">
        <f>F13-G13</f>
        <v>-2943</v>
      </c>
      <c r="Y13" s="24"/>
      <c r="Z13" s="15">
        <v>702</v>
      </c>
      <c r="AA13" s="24"/>
      <c r="AB13" s="15">
        <v>14.127</v>
      </c>
    </row>
    <row r="14" ht="20.05" customHeight="1">
      <c r="B14" s="13"/>
      <c r="C14" s="14">
        <v>53.7</v>
      </c>
      <c r="D14" s="15">
        <v>65.59999999999999</v>
      </c>
      <c r="E14" s="15">
        <v>3846.1</v>
      </c>
      <c r="F14" s="15">
        <v>930</v>
      </c>
      <c r="G14" s="15">
        <v>4051</v>
      </c>
      <c r="H14" s="15">
        <v>26486</v>
      </c>
      <c r="I14" s="15">
        <v>409.2</v>
      </c>
      <c r="J14" s="15">
        <v>-270</v>
      </c>
      <c r="K14" s="15">
        <v>-0.05</v>
      </c>
      <c r="L14" s="15">
        <v>-168.6</v>
      </c>
      <c r="M14" s="15">
        <v>6.8</v>
      </c>
      <c r="N14" s="15">
        <f>SUM(C11:C14)/4</f>
        <v>510.9</v>
      </c>
      <c r="O14" s="23"/>
      <c r="P14" s="16">
        <f>C14/C13-1</f>
        <v>-0.9671217779954689</v>
      </c>
      <c r="Q14" s="16">
        <f>J14/I14</f>
        <v>-0.659824046920821</v>
      </c>
      <c r="R14" s="16">
        <f>AVERAGE(Q11:Q14)</f>
        <v>-0.751136148633104</v>
      </c>
      <c r="S14" s="17"/>
      <c r="T14" s="15">
        <f>SUM(J11:K14)/4</f>
        <v>133.3</v>
      </c>
      <c r="U14" s="25"/>
      <c r="V14" s="15">
        <f>-(L14+M14)+V13</f>
        <v>486.1</v>
      </c>
      <c r="W14" s="17"/>
      <c r="X14" s="15">
        <f>F14-G14</f>
        <v>-3121</v>
      </c>
      <c r="Y14" s="24"/>
      <c r="Z14" s="15">
        <v>722</v>
      </c>
      <c r="AA14" s="24"/>
      <c r="AB14" s="15">
        <v>14.195</v>
      </c>
    </row>
    <row r="15" ht="20.05" customHeight="1">
      <c r="B15" s="13"/>
      <c r="C15" s="14">
        <v>328</v>
      </c>
      <c r="D15" s="15">
        <v>-39.2</v>
      </c>
      <c r="E15" s="15">
        <v>328.1</v>
      </c>
      <c r="F15" s="15">
        <v>394</v>
      </c>
      <c r="G15" s="15">
        <v>3883</v>
      </c>
      <c r="H15" s="15">
        <v>26657</v>
      </c>
      <c r="I15" s="15">
        <v>663.7</v>
      </c>
      <c r="J15" s="15">
        <v>-126</v>
      </c>
      <c r="K15" s="15">
        <v>-0.1</v>
      </c>
      <c r="L15" s="15">
        <v>-398.29</v>
      </c>
      <c r="M15" s="15">
        <v>-12.31</v>
      </c>
      <c r="N15" s="15">
        <f>SUM(C12:C15)/4</f>
        <v>505.4</v>
      </c>
      <c r="O15" s="15"/>
      <c r="P15" s="16">
        <f>C15/C14-1</f>
        <v>5.10800744878957</v>
      </c>
      <c r="Q15" s="16">
        <f>J15/I15</f>
        <v>-0.189844809401838</v>
      </c>
      <c r="R15" s="16">
        <f>AVERAGE(Q12:Q15)</f>
        <v>-0.332616890411339</v>
      </c>
      <c r="S15" s="17"/>
      <c r="T15" s="15">
        <f>SUM(J12:K15)/4</f>
        <v>168.575</v>
      </c>
      <c r="U15" s="25"/>
      <c r="V15" s="15">
        <f>-(L15+M15)+V14</f>
        <v>896.7</v>
      </c>
      <c r="W15" s="17"/>
      <c r="X15" s="15">
        <f>F15-G15</f>
        <v>-3489</v>
      </c>
      <c r="Y15" s="24"/>
      <c r="Z15" s="15">
        <v>724</v>
      </c>
      <c r="AA15" s="24"/>
      <c r="AB15" s="15">
        <v>13.882</v>
      </c>
    </row>
    <row r="16" ht="20.05" customHeight="1">
      <c r="B16" s="21">
        <v>2020</v>
      </c>
      <c r="C16" s="14">
        <v>4.1</v>
      </c>
      <c r="D16" s="15">
        <v>352</v>
      </c>
      <c r="E16" s="15">
        <v>-6016.5</v>
      </c>
      <c r="F16" s="15">
        <v>696</v>
      </c>
      <c r="G16" s="15">
        <v>4171</v>
      </c>
      <c r="H16" s="15">
        <v>20940</v>
      </c>
      <c r="I16" s="15">
        <v>321.8</v>
      </c>
      <c r="J16" s="15">
        <v>-10</v>
      </c>
      <c r="K16" s="15">
        <v>-0.1</v>
      </c>
      <c r="L16" s="15">
        <v>300.8</v>
      </c>
      <c r="M16" s="15">
        <v>-2.8</v>
      </c>
      <c r="N16" s="15">
        <f>SUM(C13:C16)/4</f>
        <v>504.775</v>
      </c>
      <c r="O16" s="15"/>
      <c r="P16" s="16">
        <f>C16/C15-1</f>
        <v>-0.9875</v>
      </c>
      <c r="Q16" s="16">
        <f>J16/I16</f>
        <v>-0.0310752019888129</v>
      </c>
      <c r="R16" s="16">
        <f>AVERAGE(Q13:Q16)</f>
        <v>-0.008579700743141979</v>
      </c>
      <c r="S16" s="17"/>
      <c r="T16" s="15">
        <f>SUM(J13:K16)/4</f>
        <v>240.2825</v>
      </c>
      <c r="U16" s="25"/>
      <c r="V16" s="15">
        <f>-(L16+M16)+V15</f>
        <v>598.7</v>
      </c>
      <c r="W16" s="17"/>
      <c r="X16" s="15">
        <f>F16-G16</f>
        <v>-3475</v>
      </c>
      <c r="Y16" s="24"/>
      <c r="Z16" s="15">
        <v>700</v>
      </c>
      <c r="AA16" s="24"/>
      <c r="AB16" s="15">
        <v>16.31</v>
      </c>
    </row>
    <row r="17" ht="20.05" customHeight="1">
      <c r="B17" s="13"/>
      <c r="C17" s="14">
        <v>644.7</v>
      </c>
      <c r="D17" s="15">
        <v>-264.3</v>
      </c>
      <c r="E17" s="15">
        <v>6014.4</v>
      </c>
      <c r="F17" s="15">
        <v>798</v>
      </c>
      <c r="G17" s="15">
        <v>3607</v>
      </c>
      <c r="H17" s="15">
        <v>24127</v>
      </c>
      <c r="I17" s="15">
        <v>669.5</v>
      </c>
      <c r="J17" s="15">
        <v>523.6</v>
      </c>
      <c r="K17" s="15">
        <v>-0.1</v>
      </c>
      <c r="L17" s="15">
        <v>-366.9</v>
      </c>
      <c r="M17" s="15">
        <v>-22.7</v>
      </c>
      <c r="N17" s="15">
        <f>SUM(C14:C17)/4</f>
        <v>257.625</v>
      </c>
      <c r="O17" s="15"/>
      <c r="P17" s="16">
        <f>C17/C16-1</f>
        <v>156.243902439024</v>
      </c>
      <c r="Q17" s="16">
        <f>J17/I17</f>
        <v>0.782076176250934</v>
      </c>
      <c r="R17" s="16">
        <f>AVERAGE(Q14:Q17)</f>
        <v>-0.0246669705151345</v>
      </c>
      <c r="S17" s="17"/>
      <c r="T17" s="25">
        <f>SUM(J14:K17)/4</f>
        <v>29.3125</v>
      </c>
      <c r="U17" s="25"/>
      <c r="V17" s="15">
        <f>-(L17+M17)+V16</f>
        <v>988.3</v>
      </c>
      <c r="W17" s="17"/>
      <c r="X17" s="15">
        <f>F17-G17</f>
        <v>-2809</v>
      </c>
      <c r="Y17" s="24"/>
      <c r="Z17" s="15">
        <v>550</v>
      </c>
      <c r="AA17" s="24"/>
      <c r="AB17" s="15">
        <v>14.255</v>
      </c>
    </row>
    <row r="18" ht="20.05" customHeight="1">
      <c r="B18" s="13"/>
      <c r="C18" s="14">
        <v>15.1</v>
      </c>
      <c r="D18" s="15">
        <v>81</v>
      </c>
      <c r="E18" s="15">
        <v>1200.4</v>
      </c>
      <c r="F18" s="15">
        <v>702</v>
      </c>
      <c r="G18" s="15">
        <v>3589</v>
      </c>
      <c r="H18" s="15">
        <v>27356</v>
      </c>
      <c r="I18" s="15">
        <v>263.8</v>
      </c>
      <c r="J18" s="15">
        <v>60.2</v>
      </c>
      <c r="K18" s="15">
        <v>0</v>
      </c>
      <c r="L18" s="15">
        <v>37.5</v>
      </c>
      <c r="M18" s="15">
        <v>-200.2</v>
      </c>
      <c r="N18" s="15">
        <f>SUM(C15:C18)/4</f>
        <v>247.975</v>
      </c>
      <c r="O18" s="15"/>
      <c r="P18" s="16">
        <f>C18/C17-1</f>
        <v>-0.976578253451218</v>
      </c>
      <c r="Q18" s="16">
        <f>J18/I18</f>
        <v>0.228203184230478</v>
      </c>
      <c r="R18" s="16">
        <f>AVERAGE(Q15:Q18)</f>
        <v>0.19733983727269</v>
      </c>
      <c r="S18" s="17"/>
      <c r="T18" s="25">
        <f>SUM(J15:K18)/4</f>
        <v>111.875</v>
      </c>
      <c r="U18" s="25"/>
      <c r="V18" s="15">
        <f>-(L18+M18)+V17</f>
        <v>1151</v>
      </c>
      <c r="W18" s="17"/>
      <c r="X18" s="15">
        <f>F18-G18</f>
        <v>-2887</v>
      </c>
      <c r="Y18" s="24"/>
      <c r="Z18" s="15">
        <v>630</v>
      </c>
      <c r="AA18" s="24"/>
      <c r="AB18" s="15">
        <v>14.79</v>
      </c>
    </row>
    <row r="19" ht="20.05" customHeight="1">
      <c r="B19" s="13"/>
      <c r="C19" s="14">
        <v>111.7</v>
      </c>
      <c r="D19" s="15">
        <v>-109</v>
      </c>
      <c r="E19" s="15">
        <v>7625</v>
      </c>
      <c r="F19" s="15">
        <v>431</v>
      </c>
      <c r="G19" s="15">
        <v>3652</v>
      </c>
      <c r="H19" s="15">
        <v>35049</v>
      </c>
      <c r="I19" s="15">
        <v>133.8</v>
      </c>
      <c r="J19" s="15">
        <v>-207.1</v>
      </c>
      <c r="K19" s="15">
        <v>-0.2</v>
      </c>
      <c r="L19" s="15">
        <v>-60.2</v>
      </c>
      <c r="M19" s="15">
        <v>0</v>
      </c>
      <c r="N19" s="15">
        <f>SUM(C16:C19)/4</f>
        <v>193.9</v>
      </c>
      <c r="O19" s="15"/>
      <c r="P19" s="16">
        <f>C19/C18-1</f>
        <v>6.39735099337748</v>
      </c>
      <c r="Q19" s="16">
        <f>J19/I19</f>
        <v>-1.54783258594918</v>
      </c>
      <c r="R19" s="16">
        <f>AVERAGE(Q16:Q19)</f>
        <v>-0.142157106864145</v>
      </c>
      <c r="S19" s="17"/>
      <c r="T19" s="25">
        <f>SUM(J16:K19)/4</f>
        <v>91.575</v>
      </c>
      <c r="U19" s="25"/>
      <c r="V19" s="15">
        <f>-(L19+M19)+V18</f>
        <v>1211.2</v>
      </c>
      <c r="W19" s="17"/>
      <c r="X19" s="15">
        <f>F19-G19</f>
        <v>-3221</v>
      </c>
      <c r="Y19" s="24"/>
      <c r="Z19" s="15">
        <v>686</v>
      </c>
      <c r="AA19" s="24"/>
      <c r="AB19" s="15">
        <v>14.1</v>
      </c>
    </row>
    <row r="20" ht="20.05" customHeight="1">
      <c r="B20" s="21">
        <v>2021</v>
      </c>
      <c r="C20" s="14">
        <v>1.7</v>
      </c>
      <c r="D20" s="15">
        <v>63.2</v>
      </c>
      <c r="E20" s="15">
        <v>1157.2</v>
      </c>
      <c r="F20" s="15">
        <v>601</v>
      </c>
      <c r="G20" s="15">
        <v>4000</v>
      </c>
      <c r="H20" s="15">
        <v>36557</v>
      </c>
      <c r="I20" s="15">
        <v>47.2</v>
      </c>
      <c r="J20" s="15">
        <v>-315.5</v>
      </c>
      <c r="K20" s="15">
        <v>-0.2</v>
      </c>
      <c r="L20" s="15">
        <v>824.355</v>
      </c>
      <c r="M20" s="15">
        <v>0</v>
      </c>
      <c r="N20" s="15">
        <f>SUM(C17:C20)/4</f>
        <v>193.3</v>
      </c>
      <c r="O20" s="15"/>
      <c r="P20" s="16">
        <f>C20/C19-1</f>
        <v>-0.984780662488809</v>
      </c>
      <c r="Q20" s="16">
        <f>J20/I20</f>
        <v>-6.68432203389831</v>
      </c>
      <c r="R20" s="16">
        <f>AVERAGE(Q17:Q20)</f>
        <v>-1.80546881484152</v>
      </c>
      <c r="S20" s="17"/>
      <c r="T20" s="25">
        <f>SUM(J17:K20)/4</f>
        <v>15.175</v>
      </c>
      <c r="U20" s="25"/>
      <c r="V20" s="15">
        <f>-(L20+M20)+V19</f>
        <v>386.845</v>
      </c>
      <c r="W20" s="17"/>
      <c r="X20" s="15">
        <f>F20-G20</f>
        <v>-3399</v>
      </c>
      <c r="Y20" s="15"/>
      <c r="Z20" s="15">
        <v>1030</v>
      </c>
      <c r="AA20" s="15"/>
      <c r="AB20" s="15">
        <v>14.606</v>
      </c>
    </row>
    <row r="21" ht="20.05" customHeight="1">
      <c r="B21" s="13"/>
      <c r="C21" s="14">
        <v>869.9</v>
      </c>
      <c r="D21" s="15">
        <v>-10</v>
      </c>
      <c r="E21" s="15">
        <v>-1141.9</v>
      </c>
      <c r="F21" s="15">
        <v>723</v>
      </c>
      <c r="G21" s="15">
        <v>3780</v>
      </c>
      <c r="H21" s="15">
        <v>50166</v>
      </c>
      <c r="I21" s="15">
        <v>1044</v>
      </c>
      <c r="J21" s="15">
        <v>651.6</v>
      </c>
      <c r="K21" s="15">
        <v>-0.1</v>
      </c>
      <c r="L21" s="15">
        <v>-584.6180000000001</v>
      </c>
      <c r="M21" s="15">
        <v>-296.32</v>
      </c>
      <c r="N21" s="15">
        <f>SUM(C18:C21)/4</f>
        <v>249.6</v>
      </c>
      <c r="O21" s="15"/>
      <c r="P21" s="16">
        <f>C21/C20-1</f>
        <v>510.705882352941</v>
      </c>
      <c r="Q21" s="16">
        <f>J21/I21</f>
        <v>0.624137931034483</v>
      </c>
      <c r="R21" s="16">
        <f>AVERAGE(Q18:Q21)</f>
        <v>-1.84495337614563</v>
      </c>
      <c r="S21" s="17"/>
      <c r="T21" s="25">
        <f>SUM(J18:K21)/4</f>
        <v>47.175</v>
      </c>
      <c r="U21" s="25"/>
      <c r="V21" s="15">
        <f>-(L21+M21)+V20</f>
        <v>1267.783</v>
      </c>
      <c r="W21" s="17"/>
      <c r="X21" s="15">
        <f>F21-G21</f>
        <v>-3057</v>
      </c>
      <c r="Y21" s="15"/>
      <c r="Z21" s="15">
        <v>1765</v>
      </c>
      <c r="AA21" s="15"/>
      <c r="AB21" s="15">
        <v>14.45</v>
      </c>
    </row>
    <row r="22" ht="20.05" customHeight="1">
      <c r="B22" s="13"/>
      <c r="C22" s="14">
        <v>10.5</v>
      </c>
      <c r="D22" s="15">
        <v>-27.3</v>
      </c>
      <c r="E22" s="15">
        <v>14056.5</v>
      </c>
      <c r="F22" s="15">
        <v>398</v>
      </c>
      <c r="G22" s="15">
        <v>4220</v>
      </c>
      <c r="H22" s="15">
        <v>49406</v>
      </c>
      <c r="I22" s="15">
        <v>30.3</v>
      </c>
      <c r="J22" s="15">
        <v>-309.5</v>
      </c>
      <c r="K22" s="15">
        <v>-0.1</v>
      </c>
      <c r="L22" s="15">
        <v>-10.101</v>
      </c>
      <c r="M22" s="15">
        <v>0.01</v>
      </c>
      <c r="N22" s="15">
        <f>SUM(C19:C22)/4</f>
        <v>248.45</v>
      </c>
      <c r="O22" s="15"/>
      <c r="P22" s="16">
        <f>C22/C21-1</f>
        <v>-0.9879296470858721</v>
      </c>
      <c r="Q22" s="16">
        <f>J22/I22</f>
        <v>-10.2145214521452</v>
      </c>
      <c r="R22" s="16">
        <f>AVERAGE(Q19:Q22)</f>
        <v>-4.45563453523955</v>
      </c>
      <c r="S22" s="17"/>
      <c r="T22" s="25">
        <f>SUM(J19:K22)/4</f>
        <v>-45.275</v>
      </c>
      <c r="U22" s="25"/>
      <c r="V22" s="15">
        <f>-(L22+M22)+V21</f>
        <v>1277.874</v>
      </c>
      <c r="W22" s="17"/>
      <c r="X22" s="15">
        <f>F22-G22</f>
        <v>-3822</v>
      </c>
      <c r="Y22" s="15"/>
      <c r="Z22" s="15">
        <v>1895</v>
      </c>
      <c r="AA22" s="15"/>
      <c r="AB22" s="15">
        <v>14.328</v>
      </c>
    </row>
    <row r="23" ht="20.05" customHeight="1">
      <c r="B23" s="13"/>
      <c r="C23" s="14">
        <v>783</v>
      </c>
      <c r="D23" s="15">
        <v>-13</v>
      </c>
      <c r="E23" s="15">
        <v>10820</v>
      </c>
      <c r="F23" s="15">
        <v>462</v>
      </c>
      <c r="G23" s="15">
        <v>5137</v>
      </c>
      <c r="H23" s="15">
        <v>61152</v>
      </c>
      <c r="I23" s="15">
        <v>201.9</v>
      </c>
      <c r="J23" s="15">
        <v>-389.2</v>
      </c>
      <c r="K23" s="15">
        <v>0</v>
      </c>
      <c r="L23" s="15">
        <v>449.99</v>
      </c>
      <c r="M23" s="15">
        <v>0.01</v>
      </c>
      <c r="N23" s="15">
        <f>SUM(C20:C23)/4</f>
        <v>416.275</v>
      </c>
      <c r="O23" s="15"/>
      <c r="P23" s="16">
        <f>C23/C22-1</f>
        <v>73.5714285714286</v>
      </c>
      <c r="Q23" s="16">
        <f>J23/I23</f>
        <v>-1.92768697374938</v>
      </c>
      <c r="R23" s="16">
        <f>AVERAGE(Q20:Q23)</f>
        <v>-4.5505981321896</v>
      </c>
      <c r="S23" s="17"/>
      <c r="T23" s="25">
        <f>SUM(J20:K23)/4</f>
        <v>-90.75</v>
      </c>
      <c r="U23" s="25"/>
      <c r="V23" s="15">
        <f>-(L23+M23)+V22</f>
        <v>827.874</v>
      </c>
      <c r="W23" s="17"/>
      <c r="X23" s="15">
        <f>F23-G23</f>
        <v>-4675</v>
      </c>
      <c r="Y23" s="15"/>
      <c r="Z23" s="15">
        <v>2800</v>
      </c>
      <c r="AA23" s="15"/>
      <c r="AB23" s="15">
        <v>14.275</v>
      </c>
    </row>
    <row r="24" ht="20.05" customHeight="1">
      <c r="B24" s="21">
        <v>2022</v>
      </c>
      <c r="C24" s="14">
        <v>145.8</v>
      </c>
      <c r="D24" s="15">
        <v>12.7</v>
      </c>
      <c r="E24" s="15">
        <v>3573.3</v>
      </c>
      <c r="F24" s="15">
        <v>819</v>
      </c>
      <c r="G24" s="15">
        <v>5345</v>
      </c>
      <c r="H24" s="15">
        <v>64895</v>
      </c>
      <c r="I24" s="15">
        <v>997.5</v>
      </c>
      <c r="J24" s="15">
        <v>501.2</v>
      </c>
      <c r="K24" s="15">
        <v>-0.1</v>
      </c>
      <c r="L24" s="15">
        <v>-145</v>
      </c>
      <c r="M24" s="15">
        <v>0</v>
      </c>
      <c r="N24" s="15">
        <f>SUM(C21:C24)/4</f>
        <v>452.3</v>
      </c>
      <c r="O24" s="15">
        <v>412.11225</v>
      </c>
      <c r="P24" s="16">
        <f>C24/C23-1</f>
        <v>-0.813793103448276</v>
      </c>
      <c r="Q24" s="16">
        <f>J24/I24</f>
        <v>0.502456140350877</v>
      </c>
      <c r="R24" s="16">
        <f>AVERAGE(Q21:Q24)</f>
        <v>-2.75390358862731</v>
      </c>
      <c r="S24" s="35"/>
      <c r="T24" s="25">
        <f>SUM(J21:K24)/4</f>
        <v>113.45</v>
      </c>
      <c r="U24" s="15">
        <v>110.463702517504</v>
      </c>
      <c r="V24" s="15">
        <f>-(L24+M24)+V23</f>
        <v>972.874</v>
      </c>
      <c r="W24" s="15"/>
      <c r="X24" s="15">
        <f>F24-G24</f>
        <v>-4526</v>
      </c>
      <c r="Y24" s="15">
        <v>-4397.744807469210</v>
      </c>
      <c r="Z24" s="15">
        <v>2730</v>
      </c>
      <c r="AA24" s="15">
        <v>992.510062456849</v>
      </c>
      <c r="AB24" s="15">
        <v>14.327</v>
      </c>
    </row>
    <row r="25" ht="20.05" customHeight="1">
      <c r="B25" s="13"/>
      <c r="C25" s="14">
        <v>1236.4</v>
      </c>
      <c r="D25" s="15">
        <v>-12.3</v>
      </c>
      <c r="E25" s="15">
        <v>-253.1</v>
      </c>
      <c r="F25" s="15">
        <v>2070</v>
      </c>
      <c r="G25" s="15">
        <v>4071</v>
      </c>
      <c r="H25" s="15">
        <v>62542</v>
      </c>
      <c r="I25" s="15">
        <v>19674.3</v>
      </c>
      <c r="J25" s="15">
        <v>3545.1</v>
      </c>
      <c r="K25" s="15">
        <v>-0.1</v>
      </c>
      <c r="L25" s="15">
        <v>-1525.1</v>
      </c>
      <c r="M25" s="15">
        <v>-828.6</v>
      </c>
      <c r="N25" s="15">
        <f>SUM(C22:C25)/4</f>
        <v>543.925</v>
      </c>
      <c r="O25" s="15">
        <v>551.37225</v>
      </c>
      <c r="P25" s="16">
        <f>C25/C24-1</f>
        <v>7.480109739369</v>
      </c>
      <c r="Q25" s="16">
        <f>J25/I25</f>
        <v>0.180189384120401</v>
      </c>
      <c r="R25" s="16">
        <f>AVERAGE(Q22:Q25)</f>
        <v>-2.86489072535583</v>
      </c>
      <c r="S25" s="35"/>
      <c r="T25" s="25">
        <f>SUM(J22:K25)/4</f>
        <v>836.825</v>
      </c>
      <c r="U25" s="15">
        <v>110.463702517504</v>
      </c>
      <c r="V25" s="15">
        <f>-(L25+M25)+V24</f>
        <v>3326.574</v>
      </c>
      <c r="W25" s="15"/>
      <c r="X25" s="15">
        <f>F25-G25</f>
        <v>-2001</v>
      </c>
      <c r="Y25" s="15">
        <v>-4397.744807469210</v>
      </c>
      <c r="Z25" s="15">
        <v>2610</v>
      </c>
      <c r="AA25" s="15">
        <v>912.819473500458</v>
      </c>
      <c r="AB25" s="15">
        <v>14.66</v>
      </c>
    </row>
    <row r="26" ht="20.05" customHeight="1">
      <c r="B26" s="13"/>
      <c r="C26" s="14">
        <f>C42-C25-C24</f>
        <v>7591.8</v>
      </c>
      <c r="D26" s="15">
        <f>D42-D25-D24</f>
        <v>41.6</v>
      </c>
      <c r="E26" s="15">
        <f>E42-E25-E24</f>
        <v>3839.8</v>
      </c>
      <c r="F26" s="15">
        <v>1081</v>
      </c>
      <c r="G26" s="15">
        <v>4267</v>
      </c>
      <c r="H26" s="15">
        <v>66612</v>
      </c>
      <c r="I26" s="15">
        <f>I42-I25-I24</f>
        <v>1376.2</v>
      </c>
      <c r="J26" s="15">
        <f>J42-J25-J24</f>
        <v>-268.3</v>
      </c>
      <c r="K26" s="15">
        <f>K42-K25-K24</f>
        <v>-0.8</v>
      </c>
      <c r="L26" s="15">
        <f>L42-L25-L24</f>
        <v>-727.9</v>
      </c>
      <c r="M26" s="15">
        <f>M42-M25-M24</f>
        <v>-1.4</v>
      </c>
      <c r="N26" s="15">
        <f>SUM(C23:C26)/4</f>
        <v>2439.25</v>
      </c>
      <c r="O26" s="15">
        <v>912.2105</v>
      </c>
      <c r="P26" s="16">
        <f>C26/C25-1</f>
        <v>5.14024587512132</v>
      </c>
      <c r="Q26" s="16">
        <f>J26/I26</f>
        <v>-0.194957128324371</v>
      </c>
      <c r="R26" s="16">
        <f>AVERAGE(Q23:Q26)</f>
        <v>-0.359999644400618</v>
      </c>
      <c r="S26" s="35">
        <f>S27</f>
        <v>0.341322762235639</v>
      </c>
      <c r="T26" s="25">
        <f>SUM(J23:K26)/4</f>
        <v>846.95</v>
      </c>
      <c r="U26" s="15">
        <v>158.789758513415</v>
      </c>
      <c r="V26" s="15">
        <f>-(L26+M26)+V25</f>
        <v>4055.874</v>
      </c>
      <c r="W26" s="15">
        <f>W27</f>
        <v>5887.225186821570</v>
      </c>
      <c r="X26" s="15">
        <f>F26-G26</f>
        <v>-3186</v>
      </c>
      <c r="Y26" s="15">
        <v>-4324.514589654150</v>
      </c>
      <c r="Z26" s="15">
        <v>2650</v>
      </c>
      <c r="AA26" s="15">
        <v>315.560118168390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1564.28090025</v>
      </c>
      <c r="P27" s="17"/>
      <c r="Q27" s="17"/>
      <c r="R27" s="17"/>
      <c r="S27" s="35">
        <f>AE53</f>
        <v>0.341322762235639</v>
      </c>
      <c r="T27" s="25"/>
      <c r="U27" s="15">
        <f>SUM(AE55:AH55)/4</f>
        <v>533.724677785782</v>
      </c>
      <c r="V27" s="17"/>
      <c r="W27" s="15">
        <f>-SUM(AE76:AH76)+V26</f>
        <v>5887.225186821570</v>
      </c>
      <c r="X27" s="26"/>
      <c r="Y27" s="15">
        <f>AH75</f>
        <v>-2090.950644428440</v>
      </c>
      <c r="Z27" s="15">
        <v>2340</v>
      </c>
      <c r="AA27" s="15">
        <v>315.560118168390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3435.475</v>
      </c>
      <c r="O28" s="15">
        <f>SUM(O24:O26)</f>
        <v>1875.695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2847.101041814550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>
        <f>7582+1390+2</f>
        <v>8974</v>
      </c>
      <c r="D42" s="15">
        <v>42</v>
      </c>
      <c r="E42" s="15">
        <v>7160</v>
      </c>
      <c r="F42" s="15"/>
      <c r="G42" s="15"/>
      <c r="H42" s="15"/>
      <c r="I42" s="15">
        <f>2149+19887+12</f>
        <v>22048</v>
      </c>
      <c r="J42" s="15">
        <v>3778</v>
      </c>
      <c r="K42" s="15">
        <v>-1</v>
      </c>
      <c r="L42" s="15">
        <f>-3228-M42</f>
        <v>-2398</v>
      </c>
      <c r="M42" s="15">
        <f>-1-810-12-7</f>
        <v>-830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219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21.3444977706177</v>
      </c>
      <c r="AF49" s="35"/>
      <c r="AG49" s="35"/>
      <c r="AH49" s="35">
        <f>AVERAGE(AE51:AH51)</f>
        <v>-0.1775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73.5714285714286</v>
      </c>
      <c r="AF50" s="35">
        <f>P24</f>
        <v>-0.813793103448276</v>
      </c>
      <c r="AG50" s="35">
        <f>P25</f>
        <v>7.480109739369</v>
      </c>
      <c r="AH50" s="35">
        <f>P26</f>
        <v>5.14024587512132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-0.8</v>
      </c>
      <c r="AF51" s="35">
        <v>-0.01</v>
      </c>
      <c r="AG51" s="35">
        <v>0.05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7591.8</v>
      </c>
      <c r="AE52" s="23">
        <f>C26*(1+AE51)</f>
        <v>1518.36</v>
      </c>
      <c r="AF52" s="23">
        <f>AE52*(1+AF51)</f>
        <v>1503.1764</v>
      </c>
      <c r="AG52" s="23">
        <f>AF52*(1+AG51)</f>
        <v>1578.33522</v>
      </c>
      <c r="AH52" s="23">
        <f>AG52*(1+AH51)</f>
        <v>1657.251981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AVERAGE(Q24:Q25)</f>
        <v>0.341322762235639</v>
      </c>
      <c r="AF53" s="35">
        <f>AE53</f>
        <v>0.341322762235639</v>
      </c>
      <c r="AG53" s="35">
        <f>AF53</f>
        <v>0.341322762235639</v>
      </c>
      <c r="AH53" s="35">
        <f>AG53</f>
        <v>0.341322762235639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AVERAGE(K20:K26)</f>
        <v>-0.2</v>
      </c>
      <c r="AF54" s="15">
        <f>AE54</f>
        <v>-0.2</v>
      </c>
      <c r="AG54" s="15">
        <f>AF54</f>
        <v>-0.2</v>
      </c>
      <c r="AH54" s="15">
        <f>AG54</f>
        <v>-0.2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518.050829268105</v>
      </c>
      <c r="AF55" s="15">
        <f>(AF52*AF53)+AF54</f>
        <v>512.868320975424</v>
      </c>
      <c r="AG55" s="15">
        <f>(AG52*AG53)+AG54</f>
        <v>538.521737024195</v>
      </c>
      <c r="AH55" s="15">
        <f>(AH52*AH53)+AH54</f>
        <v>565.457823875405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-213.35</v>
      </c>
      <c r="AF56" s="15">
        <f>-AE71/20</f>
        <v>-202.6825</v>
      </c>
      <c r="AG56" s="15">
        <f>-AF71/20</f>
        <v>-192.548375</v>
      </c>
      <c r="AH56" s="15">
        <f>-AG71/20</f>
        <v>-182.92095625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-252.125414634053</v>
      </c>
      <c r="AF58" s="15">
        <f>IF(AF66&gt;0,AF66*$AE$57,0)</f>
        <v>-249.534160487712</v>
      </c>
      <c r="AG58" s="15">
        <f>IF(AG66&gt;0,AG66*$AE$57,0)</f>
        <v>-262.360868512098</v>
      </c>
      <c r="AH58" s="15">
        <f>IF(AH66&gt;0,AH66*$AE$57,0)</f>
        <v>-275.828911937703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52.575414634052</v>
      </c>
      <c r="AF59" s="15">
        <f>AF55+AF56+AF58</f>
        <v>60.651660487712</v>
      </c>
      <c r="AG59" s="15">
        <f>AG55+AG56+AG58</f>
        <v>83.612493512097</v>
      </c>
      <c r="AH59" s="15">
        <f>AH55+AH56+AH58</f>
        <v>106.707955687702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1081</v>
      </c>
      <c r="AF61" s="15">
        <f>AE63</f>
        <v>1133.575414634050</v>
      </c>
      <c r="AG61" s="15">
        <f>AF63</f>
        <v>1194.227075121760</v>
      </c>
      <c r="AH61" s="15">
        <f>AG63</f>
        <v>1277.839568633860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52.575414634052</v>
      </c>
      <c r="AF62" s="15">
        <f>AF55+AF56+AF58+AF60</f>
        <v>60.651660487712</v>
      </c>
      <c r="AG62" s="15">
        <f>AG55+AG56+AG58+AG60</f>
        <v>83.612493512097</v>
      </c>
      <c r="AH62" s="15">
        <f>AH55+AH56+AH58+AH60</f>
        <v>106.707955687702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1133.575414634050</v>
      </c>
      <c r="AF63" s="15">
        <f>AF61+AF62</f>
        <v>1194.227075121760</v>
      </c>
      <c r="AG63" s="15">
        <f>AG61+AG62</f>
        <v>1277.839568633860</v>
      </c>
      <c r="AH63" s="15">
        <f>AH61+AH62</f>
        <v>1384.547524321560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-14</v>
      </c>
      <c r="AF65" s="15">
        <f>AE65</f>
        <v>-14</v>
      </c>
      <c r="AG65" s="15">
        <f>AF65</f>
        <v>-14</v>
      </c>
      <c r="AH65" s="15">
        <f>AG65</f>
        <v>-14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504.250829268105</v>
      </c>
      <c r="AF66" s="15">
        <f>(AF52*AF53)+AF65</f>
        <v>499.068320975424</v>
      </c>
      <c r="AG66" s="15">
        <f>(AG52*AG53)+AG65</f>
        <v>524.721737024195</v>
      </c>
      <c r="AH66" s="15">
        <f>(AH52*AH53)+AH65</f>
        <v>551.657823875405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65531.2</v>
      </c>
      <c r="AF68" s="15">
        <f>AE68-AF54</f>
        <v>65531.4</v>
      </c>
      <c r="AG68" s="15">
        <f>AF68-AG54</f>
        <v>65531.6</v>
      </c>
      <c r="AH68" s="15">
        <f>AG68-AH54</f>
        <v>65531.8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14</v>
      </c>
      <c r="AF69" s="15">
        <f>AE69-AF65</f>
        <v>28</v>
      </c>
      <c r="AG69" s="15">
        <f>AF69-AG65</f>
        <v>42</v>
      </c>
      <c r="AH69" s="15">
        <f>AG69-AH65</f>
        <v>56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65517.2</v>
      </c>
      <c r="AF70" s="15">
        <f>AF68-AF69</f>
        <v>65503.4</v>
      </c>
      <c r="AG70" s="15">
        <f>AG68-AG69</f>
        <v>65489.6</v>
      </c>
      <c r="AH70" s="15">
        <f>AH68-AH69</f>
        <v>65475.8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4053.65</v>
      </c>
      <c r="AF71" s="15">
        <f>AE71+AF56</f>
        <v>3850.9675</v>
      </c>
      <c r="AG71" s="15">
        <f>AF71+AG56</f>
        <v>3658.419125</v>
      </c>
      <c r="AH71" s="15">
        <f>AG71+AH56</f>
        <v>3475.49816875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62597.1254146341</v>
      </c>
      <c r="AF73" s="15">
        <f>AE73+AF66+AF58</f>
        <v>62846.6595751218</v>
      </c>
      <c r="AG73" s="15">
        <f>AF73+AG66+AG58</f>
        <v>63109.0204436339</v>
      </c>
      <c r="AH73" s="15">
        <f>AG73+AH66+AH58</f>
        <v>63384.8493555716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5e-11</v>
      </c>
      <c r="AF74" s="15">
        <f>AF71+AF72+AF73-AF63-AF70</f>
        <v>4e-11</v>
      </c>
      <c r="AG74" s="15">
        <f>AG71+AG72+AG73-AG63-AG70</f>
        <v>4e-11</v>
      </c>
      <c r="AH74" s="15">
        <f>AH71+AH72+AH73-AH63-AH70</f>
        <v>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-2920.074585365950</v>
      </c>
      <c r="AF75" s="15">
        <f>AF63-AF71-AF72</f>
        <v>-2656.740424878240</v>
      </c>
      <c r="AG75" s="15">
        <f>AG63-AG71-AG72</f>
        <v>-2380.579556366140</v>
      </c>
      <c r="AH75" s="15">
        <f>AH63-AH71-AH72</f>
        <v>-2090.950644428440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-465.475414634053</v>
      </c>
      <c r="AF76" s="15">
        <f>AF56+AF58+AF60</f>
        <v>-452.216660487712</v>
      </c>
      <c r="AG76" s="15">
        <f>AG56+AG58+AG60</f>
        <v>-454.909243512098</v>
      </c>
      <c r="AH76" s="15">
        <f>AH56+AH58+AH60</f>
        <v>-458.749868187703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763</v>
      </c>
      <c r="AD78" s="14"/>
      <c r="AE78" s="15"/>
      <c r="AF78" s="15"/>
      <c r="AG78" s="15"/>
      <c r="AH78" s="15">
        <v>2340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763</v>
      </c>
      <c r="AD79" s="14"/>
      <c r="AE79" s="15"/>
      <c r="AF79" s="15"/>
      <c r="AG79" s="15"/>
      <c r="AH79" s="15">
        <v>31583681925120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31583.68192512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13.497299968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0.472382856126061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0.0329236267651405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2134.898711143130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30.6692770285767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14.7939954997718</v>
      </c>
      <c r="AH86" s="15">
        <v>18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38428.1768005763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2847.101041814550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0.216709846929295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722.028571428571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-0.45402164183992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763</v>
      </c>
      <c r="AF94" t="s" s="44">
        <v>60</v>
      </c>
      <c r="AG94" s="15">
        <f>AH78</f>
        <v>2340</v>
      </c>
      <c r="AH94" t="s" s="44">
        <v>61</v>
      </c>
      <c r="AI94" s="15">
        <f>AH88</f>
        <v>2847.101041814550</v>
      </c>
      <c r="AJ94" t="s" s="44">
        <f>IF(AK94&gt;0,"+","")</f>
        <v>361</v>
      </c>
      <c r="AK94" s="16">
        <f>AI94/AG94-1</f>
        <v>0.216709846929295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722.028571428571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0.107264251458457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0.0879568128436136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-0.100874876069025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5.14024587512132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-0.9879296470858721</v>
      </c>
      <c r="AF103" s="16">
        <f>P23</f>
        <v>73.5714285714286</v>
      </c>
      <c r="AG103" s="16">
        <f>P24</f>
        <v>-0.813793103448276</v>
      </c>
      <c r="AH103" s="16">
        <f>P25</f>
        <v>7.480109739369</v>
      </c>
      <c r="AI103" s="16">
        <f>P26</f>
        <v>5.14024587512132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10.5</v>
      </c>
      <c r="AF104" t="s" s="44">
        <v>72</v>
      </c>
      <c r="AG104" s="15">
        <f>C23</f>
        <v>783</v>
      </c>
      <c r="AH104" t="s" s="44">
        <v>72</v>
      </c>
      <c r="AI104" s="15">
        <f>C24</f>
        <v>145.8</v>
      </c>
      <c r="AJ104" t="s" s="44">
        <v>72</v>
      </c>
      <c r="AK104" s="15">
        <f>C25</f>
        <v>1236.4</v>
      </c>
      <c r="AL104" t="s" s="44">
        <v>72</v>
      </c>
      <c r="AM104" s="15">
        <f>C26</f>
        <v>7591.8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5.14024587512132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7591.8</v>
      </c>
      <c r="AM105" t="s" s="44">
        <v>372</v>
      </c>
      <c r="AN105" t="s" s="44">
        <v>373</v>
      </c>
      <c r="AO105" s="16">
        <f>AH91</f>
        <v>-0.45402164183992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21.3444977706177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-0.1775</v>
      </c>
      <c r="AG107" t="s" s="44">
        <v>82</v>
      </c>
      <c r="AH107" t="s" s="44">
        <v>83</v>
      </c>
      <c r="AI107" s="23">
        <f>AH52</f>
        <v>1657.251981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1336.114285714290</v>
      </c>
      <c r="AF110" s="16">
        <f>(D23+E23)/C23</f>
        <v>13.8020434227331</v>
      </c>
      <c r="AG110" s="16">
        <f>((E24+D24)/C24)</f>
        <v>24.5953360768176</v>
      </c>
      <c r="AH110" s="16">
        <f>(D25+E25)/C25</f>
        <v>-0.214655451310256</v>
      </c>
      <c r="AI110" s="16">
        <f>(D26+E26)/C26</f>
        <v>0.511262151268474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14056.5</v>
      </c>
      <c r="AF111" t="s" s="44">
        <v>72</v>
      </c>
      <c r="AG111" s="15">
        <f>E23</f>
        <v>10820</v>
      </c>
      <c r="AH111" t="s" s="44">
        <v>72</v>
      </c>
      <c r="AI111" s="15">
        <f>E24</f>
        <v>3573.3</v>
      </c>
      <c r="AJ111" t="s" s="44">
        <v>72</v>
      </c>
      <c r="AK111" s="15">
        <f>E25</f>
        <v>-253.1</v>
      </c>
      <c r="AL111" t="s" s="44">
        <v>72</v>
      </c>
      <c r="AM111" s="15">
        <f>E26</f>
        <v>3839.8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-0.214655451310256</v>
      </c>
      <c r="AG112" t="s" s="44">
        <v>76</v>
      </c>
      <c r="AH112" s="16">
        <f>AI110</f>
        <v>0.511262151268474</v>
      </c>
      <c r="AI112" t="s" s="44">
        <v>90</v>
      </c>
      <c r="AJ112" s="15">
        <f>AK111</f>
        <v>-253.1</v>
      </c>
      <c r="AK112" t="s" s="44">
        <v>76</v>
      </c>
      <c r="AL112" s="15">
        <f>AM111</f>
        <v>3839.8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9.67349654987723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0.341322762235639</v>
      </c>
      <c r="AG114" t="s" s="44">
        <v>94</v>
      </c>
      <c r="AH114" s="15">
        <f>AH66</f>
        <v>551.657823875405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-309.5</v>
      </c>
      <c r="AF117" t="s" s="44">
        <v>72</v>
      </c>
      <c r="AG117" s="15">
        <f>J23</f>
        <v>-389.2</v>
      </c>
      <c r="AH117" t="s" s="44">
        <v>72</v>
      </c>
      <c r="AI117" s="15">
        <f>J24</f>
        <v>501.2</v>
      </c>
      <c r="AJ117" t="s" s="44">
        <v>72</v>
      </c>
      <c r="AK117" s="15">
        <f>J25</f>
        <v>3545.1</v>
      </c>
      <c r="AL117" t="s" s="44">
        <v>72</v>
      </c>
      <c r="AM117" s="15">
        <f>J26</f>
        <v>-268.3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-0.1</v>
      </c>
      <c r="AF118" t="s" s="44">
        <v>72</v>
      </c>
      <c r="AG118" s="15">
        <f>K23</f>
        <v>0</v>
      </c>
      <c r="AH118" t="s" s="44">
        <v>72</v>
      </c>
      <c r="AI118" s="15">
        <f>K24</f>
        <v>-0.1</v>
      </c>
      <c r="AJ118" t="s" s="44">
        <v>72</v>
      </c>
      <c r="AK118" s="15">
        <f>K25</f>
        <v>-0.1</v>
      </c>
      <c r="AL118" t="s" s="44">
        <v>72</v>
      </c>
      <c r="AM118" s="15">
        <f>K26</f>
        <v>-0.8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3545</v>
      </c>
      <c r="AG119" t="s" s="44">
        <v>76</v>
      </c>
      <c r="AH119" s="15">
        <f>AM117+AM118</f>
        <v>-269.1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-0.8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846.95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-0.2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104</v>
      </c>
      <c r="AK121" t="s" s="44">
        <v>105</v>
      </c>
      <c r="AL121" s="15">
        <f>SUM(AE55:AH55)/4</f>
        <v>533.724677785782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398</v>
      </c>
      <c r="AF124" t="s" s="44">
        <v>72</v>
      </c>
      <c r="AG124" s="15">
        <f>F23</f>
        <v>462</v>
      </c>
      <c r="AH124" t="s" s="44">
        <v>72</v>
      </c>
      <c r="AI124" s="15">
        <f>F24</f>
        <v>819</v>
      </c>
      <c r="AJ124" t="s" s="44">
        <v>72</v>
      </c>
      <c r="AK124" s="15">
        <f>F25</f>
        <v>2070</v>
      </c>
      <c r="AL124" t="s" s="44">
        <v>72</v>
      </c>
      <c r="AM124" s="15">
        <f>F26</f>
        <v>1081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4220</v>
      </c>
      <c r="AF125" t="s" s="44">
        <v>72</v>
      </c>
      <c r="AG125" s="15">
        <f>G23</f>
        <v>5137</v>
      </c>
      <c r="AH125" t="s" s="44">
        <v>72</v>
      </c>
      <c r="AI125" s="15">
        <f>G24</f>
        <v>5345</v>
      </c>
      <c r="AJ125" t="s" s="44">
        <v>72</v>
      </c>
      <c r="AK125" s="15">
        <f>G25</f>
        <v>4071</v>
      </c>
      <c r="AL125" t="s" s="44">
        <v>72</v>
      </c>
      <c r="AM125" s="15">
        <f>G26</f>
        <v>4267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2070</v>
      </c>
      <c r="AH126" t="s" s="44">
        <v>76</v>
      </c>
      <c r="AI126" s="15">
        <f>AM124</f>
        <v>1081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4071</v>
      </c>
      <c r="AH127" t="s" s="44">
        <v>76</v>
      </c>
      <c r="AI127" s="15">
        <f>AM125</f>
        <v>4267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-2001</v>
      </c>
      <c r="AO127" t="s" s="44">
        <v>76</v>
      </c>
      <c r="AP127" s="15">
        <f>AI126-AI127</f>
        <v>-3186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-1039.849355571570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-791.50183125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-2090.950644428440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10.101</v>
      </c>
      <c r="AF131" t="s" s="44">
        <v>72</v>
      </c>
      <c r="AG131" s="15">
        <f>-L23</f>
        <v>-449.99</v>
      </c>
      <c r="AH131" t="s" s="44">
        <v>72</v>
      </c>
      <c r="AI131" s="15">
        <f>-L24</f>
        <v>145</v>
      </c>
      <c r="AJ131" t="s" s="44">
        <v>72</v>
      </c>
      <c r="AK131" s="15">
        <f>-L25</f>
        <v>1525.1</v>
      </c>
      <c r="AL131" t="s" s="44">
        <v>72</v>
      </c>
      <c r="AM131" s="15">
        <f>-L26</f>
        <v>727.9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-0.01</v>
      </c>
      <c r="AF132" t="s" s="44">
        <v>72</v>
      </c>
      <c r="AG132" s="15">
        <f>-M23</f>
        <v>-0.01</v>
      </c>
      <c r="AH132" t="s" s="44">
        <v>72</v>
      </c>
      <c r="AI132" s="15">
        <f>-M24</f>
        <v>0</v>
      </c>
      <c r="AJ132" t="s" s="44">
        <v>72</v>
      </c>
      <c r="AK132" s="15">
        <f>-M25</f>
        <v>828.6</v>
      </c>
      <c r="AL132" t="s" s="44">
        <v>72</v>
      </c>
      <c r="AM132" s="15">
        <f>-M26</f>
        <v>1.4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763</v>
      </c>
      <c r="AF133" t="s" s="44">
        <f>IF(AG133&gt;0,"paid","(raised)")</f>
        <v>374</v>
      </c>
      <c r="AG133" s="15">
        <f>SUM(AM131:AM132)</f>
        <v>729.3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727.9</v>
      </c>
      <c r="AM133" t="s" s="44">
        <f>AM105</f>
        <v>372</v>
      </c>
      <c r="AN133" t="s" s="44">
        <v>123</v>
      </c>
      <c r="AO133" s="15">
        <f>AM132</f>
        <v>1.4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1831.351186821570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31583.68192512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0.472382856126061</v>
      </c>
      <c r="AK134" t="s" s="44">
        <v>130</v>
      </c>
      <c r="AL134" t="s" s="44">
        <v>131</v>
      </c>
      <c r="AM134" t="s" s="44">
        <v>132</v>
      </c>
      <c r="AN134" s="15">
        <f>AH85</f>
        <v>30.6692770285767</v>
      </c>
      <c r="AO134" t="s" s="44">
        <v>133</v>
      </c>
      <c r="AP134" s="16">
        <f>-AF128/AF134</f>
        <v>0.0329236267651407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2134.898711143130</v>
      </c>
      <c r="AG135" t="s" s="44">
        <f>AG134</f>
        <v>372</v>
      </c>
      <c r="AH135" t="s" s="44">
        <v>136</v>
      </c>
      <c r="AI135" s="15">
        <f>AF134/AF135</f>
        <v>14.7939954997718</v>
      </c>
      <c r="AJ135" t="s" s="44">
        <v>130</v>
      </c>
      <c r="AK135" t="s" s="44">
        <v>137</v>
      </c>
      <c r="AL135" t="s" s="44">
        <v>138</v>
      </c>
      <c r="AM135" s="15">
        <f>AH86</f>
        <v>18</v>
      </c>
      <c r="AN135" t="s" s="44">
        <v>139</v>
      </c>
      <c r="AO135" t="s" s="44">
        <v>140</v>
      </c>
      <c r="AP135" t="s" s="44">
        <v>141</v>
      </c>
      <c r="AQ135" s="16">
        <f>AK94</f>
        <v>0.216709846929295</v>
      </c>
      <c r="AR135" t="s" s="44">
        <f>IF(AQ135&gt;0,"higher","lower")</f>
        <v>363</v>
      </c>
      <c r="AS135" t="s" s="44">
        <v>142</v>
      </c>
      <c r="AT135" s="15">
        <f>AI94</f>
        <v>2847.101041814550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10.5</v>
      </c>
      <c r="AE137" s="15">
        <f>AG104</f>
        <v>783</v>
      </c>
      <c r="AF137" s="15">
        <f>AI104</f>
        <v>145.8</v>
      </c>
      <c r="AG137" s="15">
        <f>AK104</f>
        <v>1236.4</v>
      </c>
      <c r="AH137" s="15">
        <f>AM104</f>
        <v>7591.8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-309.6</v>
      </c>
      <c r="AE138" s="15">
        <f>SUM(AG117:AG118)</f>
        <v>-389.2</v>
      </c>
      <c r="AF138" s="15">
        <f>SUM(AI117:AI118)</f>
        <v>501.1</v>
      </c>
      <c r="AG138" s="15">
        <f>SUM(AK117:AK118)</f>
        <v>3545</v>
      </c>
      <c r="AH138" s="15">
        <f>SUM(AM117:AM118)</f>
        <v>-269.1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10.091</v>
      </c>
      <c r="AE139" s="15">
        <f>SUM(AG131:AG132)</f>
        <v>-450</v>
      </c>
      <c r="AF139" s="15">
        <f>SUM(AI131:AI132)</f>
        <v>145</v>
      </c>
      <c r="AG139" s="15">
        <f>SUM(AK131:AK132)</f>
        <v>2353.7</v>
      </c>
      <c r="AH139" s="15">
        <f>SUM(AM131:AM132)</f>
        <v>729.3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-3822</v>
      </c>
      <c r="AE140" s="15">
        <f>(AG124-AG125)</f>
        <v>-4675</v>
      </c>
      <c r="AF140" s="15">
        <f>(AI124-AI125)</f>
        <v>-4526</v>
      </c>
      <c r="AG140" s="15">
        <f>(AK124-AK125)</f>
        <v>-2001</v>
      </c>
      <c r="AH140" s="15">
        <f>(AM124-AM125)</f>
        <v>-3186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2847.101041814550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2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04" customWidth="1"/>
    <col min="2" max="28" width="10.4844" style="104" customWidth="1"/>
    <col min="29" max="29" width="18.9766" style="105" customWidth="1"/>
    <col min="30" max="33" width="9" style="105" customWidth="1"/>
    <col min="34" max="47" hidden="1" width="16.3333" style="105" customWidth="1"/>
    <col min="48" max="16384" width="16.3516" style="105" customWidth="1"/>
  </cols>
  <sheetData>
    <row r="1" ht="11.65" customHeight="1"/>
    <row r="2" ht="27.65" customHeight="1">
      <c r="B2" t="s" s="2">
        <v>476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471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305</v>
      </c>
      <c r="AA3" t="s" s="3">
        <v>19</v>
      </c>
      <c r="AB3" t="s" s="3">
        <v>20</v>
      </c>
    </row>
    <row r="4" ht="20.25" customHeight="1">
      <c r="B4" s="6">
        <v>2020</v>
      </c>
      <c r="C4" s="7">
        <v>1060.9655</v>
      </c>
      <c r="D4" s="8">
        <v>93.7825</v>
      </c>
      <c r="E4" s="8">
        <v>213.661</v>
      </c>
      <c r="F4" s="8"/>
      <c r="G4" s="8"/>
      <c r="H4" s="8"/>
      <c r="I4" s="8">
        <v>1081.353</v>
      </c>
      <c r="J4" s="8">
        <v>119.8785</v>
      </c>
      <c r="K4" s="8">
        <v>-163.9155</v>
      </c>
      <c r="L4" s="8">
        <v>780.4335</v>
      </c>
      <c r="M4" s="8">
        <v>-605.101</v>
      </c>
      <c r="N4" s="8">
        <f>SUM(C4:C4)/4</f>
        <v>265.241375</v>
      </c>
      <c r="O4" s="8"/>
      <c r="P4" s="55"/>
      <c r="Q4" s="55">
        <f>(D4+E4)/C4</f>
        <v>0.289777094542659</v>
      </c>
      <c r="R4" s="55"/>
      <c r="S4" s="9"/>
      <c r="T4" s="8">
        <f>SUM(J4:K4)/4</f>
        <v>-11.00925</v>
      </c>
      <c r="U4" s="9"/>
      <c r="V4" s="8">
        <f>-(L4+M4)</f>
        <v>-175.3325</v>
      </c>
      <c r="W4" s="9"/>
      <c r="X4" s="8">
        <f>F4-G4</f>
        <v>0</v>
      </c>
      <c r="Y4" s="73"/>
      <c r="Z4" s="9"/>
      <c r="AA4" s="73"/>
      <c r="AB4" s="8">
        <v>16.31</v>
      </c>
    </row>
    <row r="5" ht="20.05" customHeight="1">
      <c r="B5" s="13"/>
      <c r="C5" s="14">
        <v>927.28775</v>
      </c>
      <c r="D5" s="15">
        <v>81.96625</v>
      </c>
      <c r="E5" s="15">
        <v>186.7405</v>
      </c>
      <c r="F5" s="15"/>
      <c r="G5" s="15"/>
      <c r="H5" s="15"/>
      <c r="I5" s="15">
        <v>945.1065</v>
      </c>
      <c r="J5" s="15">
        <v>104.77425</v>
      </c>
      <c r="K5" s="15">
        <v>-143.26275</v>
      </c>
      <c r="L5" s="15">
        <v>682.10175</v>
      </c>
      <c r="M5" s="15">
        <v>-528.8605</v>
      </c>
      <c r="N5" s="15">
        <f>SUM(C4:C5)/4</f>
        <v>497.0633125</v>
      </c>
      <c r="O5" s="15"/>
      <c r="P5" s="16">
        <f>C5/C4-1</f>
        <v>-0.125996321275291</v>
      </c>
      <c r="Q5" s="16">
        <f>(D5+E5)/C5</f>
        <v>0.289777094542659</v>
      </c>
      <c r="R5" s="16">
        <f>AVERAGE(Q3:Q5)</f>
        <v>0.289777094542659</v>
      </c>
      <c r="S5" s="17"/>
      <c r="T5" s="15">
        <f>SUM(J4:K5)/4</f>
        <v>-20.631375</v>
      </c>
      <c r="U5" s="17"/>
      <c r="V5" s="15">
        <f>-(L5+M5)+V4</f>
        <v>-328.57375</v>
      </c>
      <c r="W5" s="17"/>
      <c r="X5" s="15">
        <f>F5-G5</f>
        <v>0</v>
      </c>
      <c r="Y5" s="24"/>
      <c r="Z5" s="17"/>
      <c r="AA5" s="24"/>
      <c r="AB5" s="15">
        <v>14.255</v>
      </c>
    </row>
    <row r="6" ht="20.05" customHeight="1">
      <c r="B6" s="13"/>
      <c r="C6" s="14">
        <v>2143.071</v>
      </c>
      <c r="D6" s="15">
        <v>85.0425</v>
      </c>
      <c r="E6" s="15">
        <v>840.072</v>
      </c>
      <c r="F6" s="15"/>
      <c r="G6" s="15"/>
      <c r="H6" s="15"/>
      <c r="I6" s="15">
        <v>2194.836</v>
      </c>
      <c r="J6" s="15">
        <v>1100.376</v>
      </c>
      <c r="K6" s="15">
        <v>-289.884</v>
      </c>
      <c r="L6" s="15">
        <v>-564.978</v>
      </c>
      <c r="M6" s="15">
        <v>0</v>
      </c>
      <c r="N6" s="15">
        <f>SUM(C4:C6)/4</f>
        <v>1032.8310625</v>
      </c>
      <c r="O6" s="15"/>
      <c r="P6" s="16">
        <f>C6/C5-1</f>
        <v>1.31111755762976</v>
      </c>
      <c r="Q6" s="16">
        <f>(D6+E6)/C6</f>
        <v>0.43167701863354</v>
      </c>
      <c r="R6" s="16">
        <f>AVERAGE(Q3:Q6)</f>
        <v>0.337077069239619</v>
      </c>
      <c r="S6" s="17"/>
      <c r="T6" s="15">
        <f>SUM(J4:K6)/4</f>
        <v>181.991625</v>
      </c>
      <c r="U6" s="17"/>
      <c r="V6" s="15">
        <f>-(L6+M6)+V5</f>
        <v>236.40425</v>
      </c>
      <c r="W6" s="17"/>
      <c r="X6" s="15">
        <f>F6-G6</f>
        <v>0</v>
      </c>
      <c r="Y6" s="24"/>
      <c r="Z6" s="17"/>
      <c r="AA6" s="24"/>
      <c r="AB6" s="15">
        <v>14.79</v>
      </c>
    </row>
    <row r="7" ht="20.05" customHeight="1">
      <c r="B7" s="13"/>
      <c r="C7" s="14">
        <v>1663.8</v>
      </c>
      <c r="D7" s="15">
        <v>81.075</v>
      </c>
      <c r="E7" s="15">
        <v>564</v>
      </c>
      <c r="F7" s="15">
        <v>566.8200000000001</v>
      </c>
      <c r="G7" s="15">
        <v>7134.6</v>
      </c>
      <c r="H7" s="15">
        <v>8460</v>
      </c>
      <c r="I7" s="15">
        <v>1706.1</v>
      </c>
      <c r="J7" s="15">
        <v>939.0599999999999</v>
      </c>
      <c r="K7" s="15">
        <v>-650.01</v>
      </c>
      <c r="L7" s="15">
        <v>49.35</v>
      </c>
      <c r="M7" s="15">
        <v>-1804.8</v>
      </c>
      <c r="N7" s="15">
        <f>SUM(C4:C7)/4</f>
        <v>1448.7810625</v>
      </c>
      <c r="O7" s="15"/>
      <c r="P7" s="16">
        <f>C7/C6-1</f>
        <v>-0.223637480979398</v>
      </c>
      <c r="Q7" s="16">
        <f>(D7+E7)/C7</f>
        <v>0.38771186440678</v>
      </c>
      <c r="R7" s="16">
        <f>AVERAGE(Q4:Q7)</f>
        <v>0.34973576803141</v>
      </c>
      <c r="S7" s="17"/>
      <c r="T7" s="15">
        <f>SUM(J4:K7)/4</f>
        <v>254.254125</v>
      </c>
      <c r="U7" s="17"/>
      <c r="V7" s="15">
        <f>-(L7+M7)+V6</f>
        <v>1991.85425</v>
      </c>
      <c r="W7" s="17"/>
      <c r="X7" s="15">
        <f>F7-G7</f>
        <v>-6567.78</v>
      </c>
      <c r="Y7" s="24"/>
      <c r="Z7" s="17"/>
      <c r="AA7" s="24"/>
      <c r="AB7" s="15">
        <v>14.1</v>
      </c>
    </row>
    <row r="8" ht="20.05" customHeight="1">
      <c r="B8" s="21">
        <v>2021</v>
      </c>
      <c r="C8" s="14">
        <v>854.451</v>
      </c>
      <c r="D8" s="15">
        <v>99.32080000000001</v>
      </c>
      <c r="E8" s="15">
        <v>240.999</v>
      </c>
      <c r="F8" s="15">
        <v>426.4952</v>
      </c>
      <c r="G8" s="15">
        <v>7390.636</v>
      </c>
      <c r="H8" s="15">
        <v>8763.6</v>
      </c>
      <c r="I8" s="15">
        <v>1073.541</v>
      </c>
      <c r="J8" s="15">
        <v>470.3132</v>
      </c>
      <c r="K8" s="15">
        <v>-552.8371</v>
      </c>
      <c r="L8" s="15">
        <v>-121.2298</v>
      </c>
      <c r="M8" s="15">
        <v>470.3132</v>
      </c>
      <c r="N8" s="15">
        <f>SUM(C5:C8)/4</f>
        <v>1397.1524375</v>
      </c>
      <c r="O8" s="15"/>
      <c r="P8" s="16">
        <f>C8/C7-1</f>
        <v>-0.486446087270105</v>
      </c>
      <c r="Q8" s="16">
        <f>(D8+E8)/C8</f>
        <v>0.398290598290598</v>
      </c>
      <c r="R8" s="16">
        <f>AVERAGE(Q5:Q8)</f>
        <v>0.376864143968394</v>
      </c>
      <c r="S8" s="17"/>
      <c r="T8" s="15">
        <f>SUM(J5:K8)/4</f>
        <v>244.6324</v>
      </c>
      <c r="U8" s="17"/>
      <c r="V8" s="15">
        <f>-(L8+M8)+V7</f>
        <v>1642.77085</v>
      </c>
      <c r="W8" s="17"/>
      <c r="X8" s="15">
        <f>F8-G8</f>
        <v>-6964.1408</v>
      </c>
      <c r="Y8" s="15"/>
      <c r="Z8" s="25"/>
      <c r="AA8" s="15"/>
      <c r="AB8" s="15">
        <v>14.606</v>
      </c>
    </row>
    <row r="9" ht="20.05" customHeight="1">
      <c r="B9" s="13"/>
      <c r="C9" s="14">
        <v>1206.575</v>
      </c>
      <c r="D9" s="15">
        <v>98.26000000000001</v>
      </c>
      <c r="E9" s="15">
        <v>238.425</v>
      </c>
      <c r="F9" s="15">
        <v>232.645</v>
      </c>
      <c r="G9" s="15">
        <v>7586.25</v>
      </c>
      <c r="H9" s="15">
        <v>10317.3</v>
      </c>
      <c r="I9" s="15">
        <v>1062.075</v>
      </c>
      <c r="J9" s="15">
        <v>465.29</v>
      </c>
      <c r="K9" s="15">
        <v>-546.9325</v>
      </c>
      <c r="L9" s="15">
        <v>-119.935</v>
      </c>
      <c r="M9" s="15">
        <v>465.29</v>
      </c>
      <c r="N9" s="15">
        <f>SUM(C6:C9)/4</f>
        <v>1466.97425</v>
      </c>
      <c r="O9" s="15"/>
      <c r="P9" s="16">
        <f>C9/C8-1</f>
        <v>0.41210555081567</v>
      </c>
      <c r="Q9" s="16">
        <f>(D9+E9)/C9</f>
        <v>0.279041916167665</v>
      </c>
      <c r="R9" s="16">
        <f>AVERAGE(Q6:Q9)</f>
        <v>0.374180349374646</v>
      </c>
      <c r="S9" s="17"/>
      <c r="T9" s="15">
        <f>SUM(J6:K9)/4</f>
        <v>233.8439</v>
      </c>
      <c r="U9" s="17"/>
      <c r="V9" s="15">
        <f>-(L9+M9)+V8</f>
        <v>1297.41585</v>
      </c>
      <c r="W9" s="17"/>
      <c r="X9" s="15">
        <f>F9-G9</f>
        <v>-7353.605</v>
      </c>
      <c r="Y9" s="15"/>
      <c r="Z9" s="25">
        <v>750</v>
      </c>
      <c r="AA9" s="15"/>
      <c r="AB9" s="15">
        <v>14.45</v>
      </c>
    </row>
    <row r="10" ht="20.05" customHeight="1">
      <c r="B10" s="13"/>
      <c r="C10" s="14">
        <v>1361.16</v>
      </c>
      <c r="D10" s="15">
        <v>97.43040000000001</v>
      </c>
      <c r="E10" s="15">
        <v>343.872</v>
      </c>
      <c r="F10" s="15">
        <v>306.6192</v>
      </c>
      <c r="G10" s="15">
        <v>6705.504</v>
      </c>
      <c r="H10" s="15">
        <v>9771.696</v>
      </c>
      <c r="I10" s="15">
        <v>1342.5336</v>
      </c>
      <c r="J10" s="15">
        <v>713.5344</v>
      </c>
      <c r="K10" s="15">
        <v>-394.02</v>
      </c>
      <c r="L10" s="15">
        <v>-1091.7936</v>
      </c>
      <c r="M10" s="15">
        <v>0</v>
      </c>
      <c r="N10" s="15">
        <f>SUM(C7:C10)/4</f>
        <v>1271.4965</v>
      </c>
      <c r="O10" s="15"/>
      <c r="P10" s="16">
        <f>C10/C9-1</f>
        <v>0.128118848807575</v>
      </c>
      <c r="Q10" s="16">
        <f>(D10+E10)/C10</f>
        <v>0.324210526315789</v>
      </c>
      <c r="R10" s="16">
        <f>AVERAGE(Q7:Q10)</f>
        <v>0.347313726295208</v>
      </c>
      <c r="S10" s="17"/>
      <c r="T10" s="15">
        <f>SUM(J7:K10)/4</f>
        <v>111.0995</v>
      </c>
      <c r="U10" s="17"/>
      <c r="V10" s="15">
        <f>-(L10+M10)+V9</f>
        <v>2389.20945</v>
      </c>
      <c r="W10" s="17"/>
      <c r="X10" s="15">
        <f>F10-G10</f>
        <v>-6398.8848</v>
      </c>
      <c r="Y10" s="15"/>
      <c r="Z10" s="25">
        <v>656</v>
      </c>
      <c r="AA10" s="15"/>
      <c r="AB10" s="15">
        <v>14.328</v>
      </c>
    </row>
    <row r="11" ht="20.05" customHeight="1">
      <c r="B11" s="13"/>
      <c r="C11" s="14">
        <v>1555.975</v>
      </c>
      <c r="D11" s="15">
        <v>97.06999999999999</v>
      </c>
      <c r="E11" s="15">
        <v>256.95</v>
      </c>
      <c r="F11" s="15">
        <v>175.5825</v>
      </c>
      <c r="G11" s="15">
        <v>6523.675</v>
      </c>
      <c r="H11" s="15">
        <v>9849.75</v>
      </c>
      <c r="I11" s="15">
        <v>1603.0825</v>
      </c>
      <c r="J11" s="15">
        <v>142.75</v>
      </c>
      <c r="K11" s="15">
        <v>-214.125</v>
      </c>
      <c r="L11" s="15">
        <v>-31.405</v>
      </c>
      <c r="M11" s="15">
        <v>-25.695</v>
      </c>
      <c r="N11" s="15">
        <f>SUM(C8:C11)/4</f>
        <v>1244.54025</v>
      </c>
      <c r="O11" s="15"/>
      <c r="P11" s="16">
        <f>C11/C10-1</f>
        <v>0.143124246965823</v>
      </c>
      <c r="Q11" s="16">
        <f>(D11+E11)/C11</f>
        <v>0.227522935779817</v>
      </c>
      <c r="R11" s="16">
        <f>AVERAGE(Q8:Q11)</f>
        <v>0.307266494138467</v>
      </c>
      <c r="S11" s="17"/>
      <c r="T11" s="15">
        <f>SUM(J8:K11)/4</f>
        <v>20.99325</v>
      </c>
      <c r="U11" s="17"/>
      <c r="V11" s="15">
        <f>-(L11+M11)+V10</f>
        <v>2446.30945</v>
      </c>
      <c r="W11" s="17"/>
      <c r="X11" s="15">
        <f>F11-G11</f>
        <v>-6348.0925</v>
      </c>
      <c r="Y11" s="15"/>
      <c r="Z11" s="25">
        <v>550</v>
      </c>
      <c r="AA11" s="15"/>
      <c r="AB11" s="15">
        <v>14.275</v>
      </c>
    </row>
    <row r="12" ht="20.05" customHeight="1">
      <c r="B12" s="21">
        <v>2022</v>
      </c>
      <c r="C12" s="14">
        <v>1147.5927</v>
      </c>
      <c r="D12" s="15">
        <v>131.8084</v>
      </c>
      <c r="E12" s="15">
        <v>136.1065</v>
      </c>
      <c r="F12" s="15">
        <v>330.9537</v>
      </c>
      <c r="G12" s="15">
        <v>6475.804</v>
      </c>
      <c r="H12" s="15">
        <v>9957.264999999999</v>
      </c>
      <c r="I12" s="15">
        <v>1161.9197</v>
      </c>
      <c r="J12" s="15">
        <v>521.5028</v>
      </c>
      <c r="K12" s="15">
        <v>-202.0107</v>
      </c>
      <c r="L12" s="15">
        <v>-163.3278</v>
      </c>
      <c r="M12" s="15">
        <v>0</v>
      </c>
      <c r="N12" s="15">
        <f>SUM(C9:C12)/4</f>
        <v>1317.825675</v>
      </c>
      <c r="O12" s="15">
        <v>1490.652715</v>
      </c>
      <c r="P12" s="16">
        <f>C12/C11-1</f>
        <v>-0.262460707916258</v>
      </c>
      <c r="Q12" s="16">
        <f>(D12+E12)/C12</f>
        <v>0.233458177278402</v>
      </c>
      <c r="R12" s="16">
        <f>AVERAGE(Q9:Q12)</f>
        <v>0.266058388885418</v>
      </c>
      <c r="S12" s="16"/>
      <c r="T12" s="15">
        <f>SUM(J9:K12)/4</f>
        <v>121.49725</v>
      </c>
      <c r="U12" s="15"/>
      <c r="V12" s="15">
        <f>-(L12+M12)+V11</f>
        <v>2609.63725</v>
      </c>
      <c r="W12" s="15"/>
      <c r="X12" s="15">
        <f>F12-G12</f>
        <v>-6144.8503</v>
      </c>
      <c r="Y12" s="15"/>
      <c r="Z12" s="25">
        <v>478</v>
      </c>
      <c r="AA12" s="17"/>
      <c r="AB12" s="15">
        <v>14.327</v>
      </c>
    </row>
    <row r="13" ht="20.05" customHeight="1">
      <c r="B13" s="13"/>
      <c r="C13" s="14">
        <v>907.454</v>
      </c>
      <c r="D13" s="15">
        <v>134.872</v>
      </c>
      <c r="E13" s="15">
        <v>139.27</v>
      </c>
      <c r="F13" s="15">
        <v>181.784</v>
      </c>
      <c r="G13" s="15">
        <v>6802.24</v>
      </c>
      <c r="H13" s="15">
        <v>10423.26</v>
      </c>
      <c r="I13" s="15">
        <v>617.186</v>
      </c>
      <c r="J13" s="15">
        <v>-290.268</v>
      </c>
      <c r="K13" s="15">
        <v>-265.346</v>
      </c>
      <c r="L13" s="15">
        <v>404.616</v>
      </c>
      <c r="M13" s="15">
        <v>0</v>
      </c>
      <c r="N13" s="15">
        <f>SUM(C10:C13)/4</f>
        <v>1243.045425</v>
      </c>
      <c r="O13" s="15">
        <v>1467.001766666660</v>
      </c>
      <c r="P13" s="16">
        <f>C13/C12-1</f>
        <v>-0.209254293792562</v>
      </c>
      <c r="Q13" s="16">
        <f>(D13+E13)/C13</f>
        <v>0.302100161550889</v>
      </c>
      <c r="R13" s="16">
        <f>AVERAGE(Q10:Q13)</f>
        <v>0.271822950231224</v>
      </c>
      <c r="S13" s="16"/>
      <c r="T13" s="15">
        <f>SUM(J10:K13)/4</f>
        <v>3.004375</v>
      </c>
      <c r="U13" s="15">
        <v>-86.45980920023339</v>
      </c>
      <c r="V13" s="15">
        <f>-(L13+M13)+V12</f>
        <v>2205.02125</v>
      </c>
      <c r="W13" s="15"/>
      <c r="X13" s="15">
        <f>F13-G13</f>
        <v>-6620.456</v>
      </c>
      <c r="Y13" s="15">
        <v>-7162.739236800930</v>
      </c>
      <c r="Z13" s="26">
        <v>322</v>
      </c>
      <c r="AA13" s="17"/>
      <c r="AB13" s="15">
        <v>14.66</v>
      </c>
    </row>
    <row r="14" ht="20.05" customHeight="1">
      <c r="B14" s="13"/>
      <c r="C14" s="14">
        <v>722.4299999999999</v>
      </c>
      <c r="D14" s="15">
        <v>135.063</v>
      </c>
      <c r="E14" s="15">
        <v>15.705</v>
      </c>
      <c r="F14" s="15">
        <v>157.05</v>
      </c>
      <c r="G14" s="15">
        <v>7459.875</v>
      </c>
      <c r="H14" s="15">
        <v>11354.715</v>
      </c>
      <c r="I14" s="15">
        <v>736.5645</v>
      </c>
      <c r="J14" s="15">
        <v>317.241</v>
      </c>
      <c r="K14" s="15">
        <v>-367.497</v>
      </c>
      <c r="L14" s="15">
        <v>6.282</v>
      </c>
      <c r="M14" s="15">
        <v>0</v>
      </c>
      <c r="N14" s="15">
        <f>SUM(C11:C14)/4</f>
        <v>1083.362925</v>
      </c>
      <c r="O14" s="15">
        <v>1458.1699875</v>
      </c>
      <c r="P14" s="16">
        <f>C14/C13-1</f>
        <v>-0.203893530691363</v>
      </c>
      <c r="Q14" s="16">
        <f>(D14+E14)/C14</f>
        <v>0.208695652173913</v>
      </c>
      <c r="R14" s="16">
        <f>AVERAGE(Q11:Q14)</f>
        <v>0.242944231695755</v>
      </c>
      <c r="S14" s="16">
        <f>S15</f>
        <v>0.242944231695755</v>
      </c>
      <c r="T14" s="15">
        <f>SUM(J11:K14)/4</f>
        <v>-89.438225</v>
      </c>
      <c r="U14" s="15">
        <v>86.48579083823201</v>
      </c>
      <c r="V14" s="15">
        <f>-(L14+M14)+V13</f>
        <v>2198.73925</v>
      </c>
      <c r="W14" s="15">
        <f>V14</f>
        <v>2198.73925</v>
      </c>
      <c r="X14" s="15">
        <f>F14-G14</f>
        <v>-7302.825</v>
      </c>
      <c r="Y14" s="15">
        <v>-6746.434836647080</v>
      </c>
      <c r="Z14" s="26">
        <v>336</v>
      </c>
      <c r="AA14" s="17"/>
      <c r="AB14" s="15">
        <v>15.705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7"/>
      <c r="O15" s="26">
        <f>AVERAGE(AD29:AG29)</f>
        <v>800.592519177</v>
      </c>
      <c r="P15" s="17"/>
      <c r="Q15" s="17"/>
      <c r="R15" s="17"/>
      <c r="S15" s="35">
        <f>AD30</f>
        <v>0.242944231695755</v>
      </c>
      <c r="T15" s="17"/>
      <c r="U15" s="15">
        <f>SUM(AD32:AG32)/4</f>
        <v>30.5838344728253</v>
      </c>
      <c r="V15" s="17"/>
      <c r="W15" s="15">
        <f>-SUM(AD53:AG53)+V14</f>
        <v>2321.0745878913</v>
      </c>
      <c r="X15" s="17"/>
      <c r="Y15" s="15">
        <f>AG52</f>
        <v>-7180.4896621087</v>
      </c>
      <c r="Z15" s="15">
        <v>338</v>
      </c>
      <c r="AA15" s="15">
        <v>226.498881997520</v>
      </c>
      <c r="AB15" s="17"/>
    </row>
    <row r="16" ht="20.05" customHeight="1">
      <c r="B16" s="21">
        <v>2023</v>
      </c>
      <c r="C16" s="14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>
        <f>SUM(N12:N14)</f>
        <v>3644.234025</v>
      </c>
      <c r="O16" s="15">
        <f>SUM(O12:O14)</f>
        <v>4415.824469166660</v>
      </c>
      <c r="P16" s="17"/>
      <c r="Q16" s="17"/>
      <c r="R16" s="17"/>
      <c r="S16" s="17"/>
      <c r="T16" s="17"/>
      <c r="U16" s="17"/>
      <c r="V16" s="17"/>
      <c r="W16" s="17"/>
      <c r="X16" s="17"/>
      <c r="Y16" s="15"/>
      <c r="Z16" s="15"/>
      <c r="AA16" s="15">
        <f>AG65</f>
        <v>246.296227733048</v>
      </c>
      <c r="AB16" s="15"/>
    </row>
    <row r="17" ht="20.05" customHeight="1">
      <c r="B17" s="13"/>
      <c r="C17" s="1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5"/>
      <c r="Z17" s="15"/>
      <c r="AA17" s="15"/>
      <c r="AB17" s="15"/>
    </row>
    <row r="18" ht="20.05" customHeight="1">
      <c r="B18" t="s" s="56">
        <v>477</v>
      </c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5"/>
      <c r="Z18" s="15"/>
      <c r="AA18" s="15"/>
      <c r="AB18" s="15"/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5"/>
      <c r="Z19" s="15"/>
      <c r="AA19" s="15"/>
      <c r="AB19" s="15"/>
    </row>
    <row r="20" ht="20.05" customHeight="1">
      <c r="B20" s="13"/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5"/>
      <c r="Z20" s="15"/>
      <c r="AA20" s="15"/>
      <c r="AB20" s="15"/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5"/>
      <c r="Z21" s="15"/>
      <c r="AA21" s="15"/>
      <c r="AB21" s="15"/>
    </row>
    <row r="22" ht="20.05" customHeight="1">
      <c r="B22" s="13"/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5"/>
      <c r="Z22" s="15"/>
      <c r="AA22" s="15"/>
      <c r="AB22" s="15"/>
    </row>
    <row r="24" ht="27.65" customHeight="1">
      <c r="AC24" t="s" s="2">
        <v>305</v>
      </c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</row>
    <row r="25" ht="20.25" customHeight="1">
      <c r="AC25" t="s" s="28">
        <v>366</v>
      </c>
      <c r="AD25" t="s" s="29">
        <v>24</v>
      </c>
      <c r="AE25" t="s" s="29">
        <v>25</v>
      </c>
      <c r="AF25" t="s" s="29">
        <v>26</v>
      </c>
      <c r="AG25" t="s" s="29">
        <v>23</v>
      </c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</row>
    <row r="26" ht="20.25" customHeight="1">
      <c r="AC26" t="s" s="31">
        <v>15</v>
      </c>
      <c r="AD26" s="32"/>
      <c r="AE26" s="9"/>
      <c r="AF26" s="9"/>
      <c r="AG26" s="9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</row>
    <row r="27" ht="20.05" customHeight="1">
      <c r="AC27" t="s" s="33">
        <v>27</v>
      </c>
      <c r="AD27" s="71">
        <f>AVERAGE(P11:P14)</f>
        <v>-0.13312107135859</v>
      </c>
      <c r="AE27" s="35"/>
      <c r="AF27" s="35"/>
      <c r="AG27" s="35">
        <f>AVERAGE(AD28:AG28)</f>
        <v>0.0325</v>
      </c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</row>
    <row r="28" ht="20.05" customHeight="1">
      <c r="AC28" t="s" s="33">
        <v>13</v>
      </c>
      <c r="AD28" s="37">
        <v>0.1</v>
      </c>
      <c r="AE28" s="35">
        <v>-0.01</v>
      </c>
      <c r="AF28" s="35">
        <v>0.02</v>
      </c>
      <c r="AG28" s="35">
        <v>0.02</v>
      </c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</row>
    <row r="29" ht="20.05" customHeight="1">
      <c r="AC29" t="s" s="33">
        <v>28</v>
      </c>
      <c r="AD29" s="38">
        <f>C14*(1+AD28)</f>
        <v>794.673</v>
      </c>
      <c r="AE29" s="23">
        <f>AD29*(1+AE28)</f>
        <v>786.72627</v>
      </c>
      <c r="AF29" s="23">
        <f>AE29*(1+AF28)</f>
        <v>802.4607954000001</v>
      </c>
      <c r="AG29" s="23">
        <f>AF29*(1+AG28)</f>
        <v>818.510011308</v>
      </c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</row>
    <row r="30" ht="20.05" customHeight="1">
      <c r="AC30" t="s" s="33">
        <v>14</v>
      </c>
      <c r="AD30" s="37">
        <f>R14</f>
        <v>0.242944231695755</v>
      </c>
      <c r="AE30" s="35">
        <f>AD30</f>
        <v>0.242944231695755</v>
      </c>
      <c r="AF30" s="35">
        <f>AE30</f>
        <v>0.242944231695755</v>
      </c>
      <c r="AG30" s="35">
        <f>AF30</f>
        <v>0.242944231695755</v>
      </c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</row>
    <row r="31" ht="20.05" customHeight="1">
      <c r="AC31" t="s" s="33">
        <v>29</v>
      </c>
      <c r="AD31" s="14">
        <f>AVERAGE(K4)</f>
        <v>-163.9155</v>
      </c>
      <c r="AE31" s="15">
        <f>AD31</f>
        <v>-163.9155</v>
      </c>
      <c r="AF31" s="15">
        <f>AE31</f>
        <v>-163.9155</v>
      </c>
      <c r="AG31" s="15">
        <f>AF31</f>
        <v>-163.9155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</row>
    <row r="32" ht="20.05" customHeight="1">
      <c r="AC32" t="s" s="33">
        <v>30</v>
      </c>
      <c r="AD32" s="14">
        <f>(AD29*AD30)+AD31</f>
        <v>29.1457214343607</v>
      </c>
      <c r="AE32" s="15">
        <f>(AE29*AE30)+AE31</f>
        <v>27.2151092200171</v>
      </c>
      <c r="AF32" s="15">
        <f>(AF29*AF30)+AF31</f>
        <v>31.0377214044174</v>
      </c>
      <c r="AG32" s="15">
        <f>(AG29*AG30)+AG31</f>
        <v>34.9367858325058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</row>
    <row r="33" ht="20.05" customHeight="1">
      <c r="AC33" t="s" s="33">
        <v>31</v>
      </c>
      <c r="AD33" s="14">
        <f>-G14/20</f>
        <v>-372.99375</v>
      </c>
      <c r="AE33" s="15">
        <f>-AD48/20</f>
        <v>-354.3440625</v>
      </c>
      <c r="AF33" s="15">
        <f>-AE48/20</f>
        <v>-336.626859375</v>
      </c>
      <c r="AG33" s="15">
        <f>-AF48/20</f>
        <v>-319.795516406250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</row>
    <row r="34" ht="20.05" customHeight="1">
      <c r="AC34" t="s" s="33">
        <v>32</v>
      </c>
      <c r="AD34" s="39">
        <v>0</v>
      </c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</row>
    <row r="35" ht="20.05" customHeight="1">
      <c r="AC35" t="s" s="33">
        <v>33</v>
      </c>
      <c r="AD35" s="14">
        <f>IF(AD43&gt;0,AD43*$AD$34,0)</f>
        <v>0</v>
      </c>
      <c r="AE35" s="15">
        <f>IF(AE43&gt;0,AE43*$AD$34,0)</f>
        <v>0</v>
      </c>
      <c r="AF35" s="15">
        <f>IF(AF43&gt;0,AF43*$AD$34,0)</f>
        <v>0</v>
      </c>
      <c r="AG35" s="15">
        <f>IF(AG43&gt;0,AG43*$AD$34,0)</f>
        <v>0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</row>
    <row r="36" ht="20.05" customHeight="1">
      <c r="AC36" t="s" s="33">
        <v>34</v>
      </c>
      <c r="AD36" s="14">
        <f>AD32+AD33+AD35</f>
        <v>-343.848028565639</v>
      </c>
      <c r="AE36" s="15">
        <f>AE32+AE33+AE35</f>
        <v>-327.128953279983</v>
      </c>
      <c r="AF36" s="15">
        <f>AF32+AF33+AF35</f>
        <v>-305.589137970583</v>
      </c>
      <c r="AG36" s="15">
        <f>AG32+AG33+AG35</f>
        <v>-284.858730573744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</row>
    <row r="37" ht="20.05" customHeight="1">
      <c r="AC37" t="s" s="33">
        <v>35</v>
      </c>
      <c r="AD37" s="14">
        <f>-MIN(0,AD36)</f>
        <v>343.848028565639</v>
      </c>
      <c r="AE37" s="15">
        <f>-MIN(AD49,AE36)</f>
        <v>327.128953279983</v>
      </c>
      <c r="AF37" s="15">
        <f>-MIN(AE49,AF36)</f>
        <v>305.589137970583</v>
      </c>
      <c r="AG37" s="15">
        <f>-MIN(AF49,AG36)</f>
        <v>284.858730573744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</row>
    <row r="38" ht="20.05" customHeight="1">
      <c r="AC38" t="s" s="33">
        <v>36</v>
      </c>
      <c r="AD38" s="14">
        <f>F14</f>
        <v>157.05</v>
      </c>
      <c r="AE38" s="15">
        <f>AD40</f>
        <v>157.05</v>
      </c>
      <c r="AF38" s="15">
        <f>AE40</f>
        <v>157.05</v>
      </c>
      <c r="AG38" s="15">
        <f>AF40</f>
        <v>157.05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</row>
    <row r="39" ht="20.05" customHeight="1">
      <c r="AC39" t="s" s="33">
        <v>37</v>
      </c>
      <c r="AD39" s="14">
        <f>AD32+AD33+AD35+AD37</f>
        <v>-3e-13</v>
      </c>
      <c r="AE39" s="15">
        <f>AE32+AE33+AE35+AE37</f>
        <v>1e-13</v>
      </c>
      <c r="AF39" s="15">
        <f>AF32+AF33+AF35+AF37</f>
        <v>4e-13</v>
      </c>
      <c r="AG39" s="15">
        <f>AG32+AG33+AG35+AG37</f>
        <v>-2e-13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ht="20.05" customHeight="1">
      <c r="AC40" t="s" s="33">
        <v>38</v>
      </c>
      <c r="AD40" s="14">
        <f>AD38+AD39</f>
        <v>157.05</v>
      </c>
      <c r="AE40" s="15">
        <f>AE38+AE39</f>
        <v>157.05</v>
      </c>
      <c r="AF40" s="15">
        <f>AF38+AF39</f>
        <v>157.05</v>
      </c>
      <c r="AG40" s="15">
        <f>AG38+AG39</f>
        <v>157.05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ht="20.05" customHeight="1">
      <c r="AC41" t="s" s="41">
        <v>4</v>
      </c>
      <c r="AD41" s="14"/>
      <c r="AE41" s="15"/>
      <c r="AF41" s="15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ht="20.05" customHeight="1">
      <c r="AC42" t="s" s="33">
        <v>3</v>
      </c>
      <c r="AD42" s="14">
        <f>-AVERAGE(D12:D14)</f>
        <v>-133.914466666667</v>
      </c>
      <c r="AE42" s="15">
        <f>AD42</f>
        <v>-133.914466666667</v>
      </c>
      <c r="AF42" s="15">
        <f>AE42</f>
        <v>-133.914466666667</v>
      </c>
      <c r="AG42" s="15">
        <f>AF42</f>
        <v>-133.914466666667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ht="20.05" customHeight="1">
      <c r="AC43" t="s" s="33">
        <v>4</v>
      </c>
      <c r="AD43" s="14">
        <f>(AD29*AD30)+AD42</f>
        <v>59.1467547676937</v>
      </c>
      <c r="AE43" s="15">
        <f>(AE29*AE30)+AE42</f>
        <v>57.2161425533501</v>
      </c>
      <c r="AF43" s="15">
        <f>(AF29*AF30)+AF42</f>
        <v>61.0387547377504</v>
      </c>
      <c r="AG43" s="15">
        <f>(AG29*AG30)+AG42</f>
        <v>64.9378191658388</v>
      </c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ht="20.05" customHeight="1">
      <c r="AC44" t="s" s="41">
        <v>39</v>
      </c>
      <c r="AD44" s="14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</row>
    <row r="45" ht="20.05" customHeight="1">
      <c r="AC45" t="s" s="33">
        <v>40</v>
      </c>
      <c r="AD45" s="14">
        <f>H14-F14-AD31</f>
        <v>11361.5805</v>
      </c>
      <c r="AE45" s="15">
        <f>AD45-AE31</f>
        <v>11525.496</v>
      </c>
      <c r="AF45" s="15">
        <f>AE45-AF31</f>
        <v>11689.4115</v>
      </c>
      <c r="AG45" s="15">
        <f>AF45-AG31</f>
        <v>11853.327</v>
      </c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</row>
    <row r="46" ht="20.05" customHeight="1">
      <c r="AC46" t="s" s="33">
        <v>41</v>
      </c>
      <c r="AD46" s="14">
        <f>0-AD42</f>
        <v>133.914466666667</v>
      </c>
      <c r="AE46" s="15">
        <f>AD46-AE42</f>
        <v>267.828933333334</v>
      </c>
      <c r="AF46" s="15">
        <f>AE46-AF42</f>
        <v>401.743400000001</v>
      </c>
      <c r="AG46" s="15">
        <f>AF46-AG42</f>
        <v>535.657866666668</v>
      </c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ht="20.05" customHeight="1">
      <c r="AC47" t="s" s="33">
        <v>42</v>
      </c>
      <c r="AD47" s="14">
        <f>AD45-AD46</f>
        <v>11227.6660333333</v>
      </c>
      <c r="AE47" s="15">
        <f>AE45-AE46</f>
        <v>11257.6670666667</v>
      </c>
      <c r="AF47" s="15">
        <f>AF45-AF46</f>
        <v>11287.6681</v>
      </c>
      <c r="AG47" s="15">
        <f>AG45-AG46</f>
        <v>11317.6691333333</v>
      </c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ht="20.05" customHeight="1">
      <c r="AC48" t="s" s="33">
        <v>6</v>
      </c>
      <c r="AD48" s="14">
        <f>G14+AD33</f>
        <v>7086.88125</v>
      </c>
      <c r="AE48" s="15">
        <f>AD48+AE33</f>
        <v>6732.5371875</v>
      </c>
      <c r="AF48" s="15">
        <f>AE48+AF33</f>
        <v>6395.910328125</v>
      </c>
      <c r="AG48" s="15">
        <f>AF48+AG33</f>
        <v>6076.114811718750</v>
      </c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</row>
    <row r="49" ht="20.05" customHeight="1">
      <c r="AC49" t="s" s="33">
        <v>35</v>
      </c>
      <c r="AD49" s="14">
        <f>AD37</f>
        <v>343.848028565639</v>
      </c>
      <c r="AE49" s="15">
        <f>AD49+AE37</f>
        <v>670.976981845622</v>
      </c>
      <c r="AF49" s="15">
        <f>AE49+AF37</f>
        <v>976.5661198162049</v>
      </c>
      <c r="AG49" s="15">
        <f>AF49+AG37</f>
        <v>1261.424850389950</v>
      </c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</row>
    <row r="50" ht="20.05" customHeight="1">
      <c r="AC50" t="s" s="33">
        <v>11</v>
      </c>
      <c r="AD50" s="14">
        <f>(H14-G14)+AD43+AD35</f>
        <v>3953.986754767690</v>
      </c>
      <c r="AE50" s="15">
        <f>AD50+AE43+AE35</f>
        <v>4011.202897321040</v>
      </c>
      <c r="AF50" s="15">
        <f>AE50+AF43+AF35</f>
        <v>4072.241652058790</v>
      </c>
      <c r="AG50" s="15">
        <f>AF50+AG43+AG35</f>
        <v>4137.179471224630</v>
      </c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ht="20.05" customHeight="1">
      <c r="AC51" t="s" s="33">
        <v>43</v>
      </c>
      <c r="AD51" s="14">
        <f>AD48+AD49+AD50-AD40-AD47</f>
        <v>2.9e-11</v>
      </c>
      <c r="AE51" s="15">
        <f>AE48+AE49+AE50-AE40-AE47</f>
        <v>-3.8e-11</v>
      </c>
      <c r="AF51" s="15">
        <f>AF48+AF49+AF50-AF40-AF47</f>
        <v>-5e-12</v>
      </c>
      <c r="AG51" s="15">
        <f>AG48+AG49+AG50-AG40-AG47</f>
        <v>3e-11</v>
      </c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</row>
    <row r="52" ht="20.05" customHeight="1">
      <c r="AC52" t="s" s="33">
        <v>18</v>
      </c>
      <c r="AD52" s="14">
        <f>AD40-AD48-AD49</f>
        <v>-7273.679278565640</v>
      </c>
      <c r="AE52" s="15">
        <f>AE40-AE48-AE49</f>
        <v>-7246.464169345620</v>
      </c>
      <c r="AF52" s="15">
        <f>AF40-AF48-AF49</f>
        <v>-7215.426447941210</v>
      </c>
      <c r="AG52" s="15">
        <f>AG40-AG48-AG49</f>
        <v>-7180.4896621087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C53" t="s" s="33">
        <v>44</v>
      </c>
      <c r="AD53" s="14">
        <f>AD33+AD35+AD37</f>
        <v>-29.145721434361</v>
      </c>
      <c r="AE53" s="15">
        <f>AE33+AE35+AE37</f>
        <v>-27.215109220017</v>
      </c>
      <c r="AF53" s="15">
        <f>AF33+AF35+AF37</f>
        <v>-31.037721404417</v>
      </c>
      <c r="AG53" s="15">
        <f>AG33+AG35+AG37</f>
        <v>-34.936785832506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C54" t="s" s="33">
        <v>45</v>
      </c>
      <c r="AD54" s="14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C55" t="s" s="96">
        <v>305</v>
      </c>
      <c r="AD55" s="14"/>
      <c r="AE55" s="15"/>
      <c r="AF55" s="15"/>
      <c r="AG55" s="15">
        <v>338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C56" t="s" s="33">
        <f>$AC55</f>
        <v>478</v>
      </c>
      <c r="AD56" s="14"/>
      <c r="AE56" s="15"/>
      <c r="AF56" s="15"/>
      <c r="AG56" s="15">
        <v>8394230108160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C57" t="s" s="33">
        <v>46</v>
      </c>
      <c r="AD57" s="14"/>
      <c r="AE57" s="15"/>
      <c r="AF57" s="15"/>
      <c r="AG57" s="15">
        <f>AG56/1000000000</f>
        <v>8394.23010816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C58" t="s" s="33">
        <v>47</v>
      </c>
      <c r="AD58" s="14"/>
      <c r="AE58" s="15"/>
      <c r="AF58" s="15"/>
      <c r="AG58" s="15">
        <f>AG57/AG55</f>
        <v>24.83500032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C59" t="s" s="33">
        <v>48</v>
      </c>
      <c r="AD59" s="14"/>
      <c r="AE59" s="15"/>
      <c r="AF59" s="15"/>
      <c r="AG59" s="43">
        <f>AG57/(AG40+AG47)</f>
        <v>0.731541226466739</v>
      </c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</row>
    <row r="60" ht="20.05" customHeight="1">
      <c r="AC60" t="s" s="33">
        <v>49</v>
      </c>
      <c r="AD60" s="14"/>
      <c r="AE60" s="15"/>
      <c r="AF60" s="15"/>
      <c r="AG60" s="16">
        <f>-(AD35+AE35+AF35+AG35)/AG57</f>
        <v>0</v>
      </c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</row>
    <row r="61" ht="20.05" customHeight="1">
      <c r="AC61" t="s" s="33">
        <v>50</v>
      </c>
      <c r="AD61" s="14"/>
      <c r="AE61" s="15"/>
      <c r="AF61" s="15"/>
      <c r="AG61" s="15">
        <f>SUM(AD32:AG32)</f>
        <v>122.335337891301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C62" t="s" s="33">
        <v>51</v>
      </c>
      <c r="AD62" s="14"/>
      <c r="AE62" s="15"/>
      <c r="AF62" s="15"/>
      <c r="AG62" s="15">
        <f>(H14+F14)/AG61</f>
        <v>94.10007932645421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C63" t="s" s="33">
        <v>52</v>
      </c>
      <c r="AD63" s="14"/>
      <c r="AE63" s="15"/>
      <c r="AF63" s="15">
        <f>AG57/AG61</f>
        <v>68.61656045466231</v>
      </c>
      <c r="AG63" s="15">
        <v>50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C64" t="s" s="33">
        <v>53</v>
      </c>
      <c r="AD64" s="14"/>
      <c r="AE64" s="15"/>
      <c r="AF64" s="15"/>
      <c r="AG64" s="15">
        <f>AG61*AG63</f>
        <v>6116.766894565050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C65" t="s" s="33">
        <v>54</v>
      </c>
      <c r="AD65" s="14"/>
      <c r="AE65" s="15"/>
      <c r="AF65" s="15"/>
      <c r="AG65" s="15">
        <f>AG64/AG58</f>
        <v>246.296227733048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C66" t="s" s="33">
        <v>55</v>
      </c>
      <c r="AD66" s="38"/>
      <c r="AE66" s="23"/>
      <c r="AF66" s="23"/>
      <c r="AG66" s="16">
        <f>AG65/AG55-1</f>
        <v>-0.271312935701041</v>
      </c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</row>
    <row r="67" ht="20.05" customHeight="1">
      <c r="AC67" t="s" s="33">
        <v>56</v>
      </c>
      <c r="AD67" s="38"/>
      <c r="AE67" s="23"/>
      <c r="AF67" s="23"/>
      <c r="AG67" s="16">
        <f>C14/C10-1</f>
        <v>-0.469254165564665</v>
      </c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</row>
    <row r="68" ht="20.05" customHeight="1">
      <c r="AC68" t="s" s="33">
        <v>57</v>
      </c>
      <c r="AD68" s="38"/>
      <c r="AE68" s="23"/>
      <c r="AF68" s="23"/>
      <c r="AG68" s="16">
        <f>O16/N16-1</f>
        <v>0.211729114780618</v>
      </c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</row>
    <row r="69" ht="8.35" customHeight="1" hidden="1">
      <c r="AC69" s="98"/>
      <c r="AD69" s="38"/>
      <c r="AE69" s="23"/>
      <c r="AF69" s="23"/>
      <c r="AG69" s="16"/>
      <c r="AH69" s="99"/>
      <c r="AI69" s="99"/>
      <c r="AJ69" s="99"/>
      <c r="AK69" s="99"/>
      <c r="AL69" s="99"/>
      <c r="AM69" s="99"/>
      <c r="AN69" s="99"/>
      <c r="AO69" s="99"/>
      <c r="AP69" s="99"/>
      <c r="AQ69" s="99"/>
      <c r="AR69" s="99"/>
      <c r="AS69" s="99"/>
      <c r="AT69" s="99"/>
      <c r="AU69" s="99"/>
    </row>
    <row r="70" ht="8.35" customHeight="1" hidden="1">
      <c r="AC70" s="36"/>
      <c r="AD70" t="s" s="100">
        <f>$AC55</f>
        <v>479</v>
      </c>
      <c r="AE70" t="s" s="44">
        <v>60</v>
      </c>
      <c r="AF70" s="26">
        <f>AG55</f>
        <v>338</v>
      </c>
      <c r="AG70" t="s" s="44">
        <v>61</v>
      </c>
      <c r="AH70" s="101">
        <f>AG65</f>
        <v>246.296227733048</v>
      </c>
      <c r="AI70" t="s" s="102">
        <f>IF(AJ70&gt;0,"+","")</f>
      </c>
      <c r="AJ70" s="99">
        <f>AH70/AF70-1</f>
        <v>-0.271312935701041</v>
      </c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</row>
    <row r="71" ht="8.35" customHeight="1" hidden="1">
      <c r="AC71" s="36"/>
      <c r="AD71" s="46">
        <f>TODAY()</f>
        <v>44942</v>
      </c>
      <c r="AE71" s="17"/>
      <c r="AF71" s="17"/>
      <c r="AG71" s="17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</row>
    <row r="72" ht="8.35" customHeight="1" hidden="1">
      <c r="AC72" s="36"/>
      <c r="AD72" t="s" s="45">
        <v>62</v>
      </c>
      <c r="AE72" s="17"/>
      <c r="AF72" s="17"/>
      <c r="AG72" s="17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</row>
    <row r="73" ht="8.35" customHeight="1" hidden="1">
      <c r="AC73" s="36"/>
      <c r="AD73" t="s" s="45">
        <v>63</v>
      </c>
      <c r="AE73" t="s" s="44">
        <v>64</v>
      </c>
      <c r="AF73" t="s" s="44">
        <f>IF(AG73&gt;0,"+","")</f>
      </c>
      <c r="AG73" s="16">
        <f>AH80/AD80-1</f>
        <v>-0.469254165564665</v>
      </c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</row>
    <row r="74" ht="8.35" customHeight="1" hidden="1">
      <c r="AC74" s="36"/>
      <c r="AD74" t="s" s="45">
        <v>63</v>
      </c>
      <c r="AE74" t="s" s="44">
        <v>65</v>
      </c>
      <c r="AF74" t="s" s="44">
        <f>IF(AG74&gt;0,"+","")</f>
      </c>
      <c r="AG74" s="16">
        <f>SUM(AE93:AH94)/AE110</f>
        <v>-0.0426189055327694</v>
      </c>
      <c r="AH74" t="s" s="102">
        <v>66</v>
      </c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</row>
    <row r="75" ht="8.35" customHeight="1" hidden="1">
      <c r="AC75" s="36"/>
      <c r="AD75" t="s" s="45">
        <v>63</v>
      </c>
      <c r="AE75" t="s" s="44">
        <v>17</v>
      </c>
      <c r="AF75" t="s" s="44">
        <f>IF(AG75&gt;0,"+","")</f>
      </c>
      <c r="AG75" s="16">
        <f>SUM(AE107:AH108)/AE110</f>
        <v>-0.022690609805281</v>
      </c>
      <c r="AH75" t="s" s="102">
        <f>AH74</f>
        <v>66</v>
      </c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</row>
    <row r="76" ht="8.35" customHeight="1" hidden="1">
      <c r="AC76" s="36"/>
      <c r="AD76" t="s" s="45">
        <v>68</v>
      </c>
      <c r="AE76" t="s" s="44">
        <v>369</v>
      </c>
      <c r="AF76" s="16">
        <f>AO103/AE110</f>
        <v>-0.869981511812614</v>
      </c>
      <c r="AG76" t="s" s="44">
        <f>AH75</f>
        <v>66</v>
      </c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</row>
    <row r="77" ht="8.35" customHeight="1" hidden="1">
      <c r="AC77" s="36"/>
      <c r="AD77" t="s" s="45">
        <v>28</v>
      </c>
      <c r="AE77" t="s" s="44">
        <f>AE81</f>
        <v>370</v>
      </c>
      <c r="AF77" s="16">
        <f>AF81</f>
        <v>-0.203893530691363</v>
      </c>
      <c r="AG77" s="17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</row>
    <row r="78" ht="8.35" customHeight="1" hidden="1">
      <c r="AC78" s="36"/>
      <c r="AD78" t="s" s="45">
        <v>70</v>
      </c>
      <c r="AE78" t="s" s="44">
        <v>371</v>
      </c>
      <c r="AF78" t="s" s="44">
        <f>AL81</f>
        <v>372</v>
      </c>
      <c r="AG78" s="17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</row>
    <row r="79" ht="8.35" customHeight="1" hidden="1">
      <c r="AC79" s="36"/>
      <c r="AD79" s="71">
        <f>P10</f>
        <v>0.128118848807575</v>
      </c>
      <c r="AE79" s="16">
        <f>P11</f>
        <v>0.143124246965823</v>
      </c>
      <c r="AF79" s="16">
        <f>P12</f>
        <v>-0.262460707916258</v>
      </c>
      <c r="AG79" s="16">
        <f>P13</f>
        <v>-0.209254293792562</v>
      </c>
      <c r="AH79" s="99">
        <f>P14</f>
        <v>-0.203893530691363</v>
      </c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</row>
    <row r="80" ht="8.35" customHeight="1" hidden="1">
      <c r="AC80" s="36"/>
      <c r="AD80" s="14">
        <f>C10</f>
        <v>1361.16</v>
      </c>
      <c r="AE80" s="26">
        <f>C11</f>
        <v>1555.975</v>
      </c>
      <c r="AF80" s="26">
        <f>C12</f>
        <v>1147.5927</v>
      </c>
      <c r="AG80" s="26">
        <f>C13</f>
        <v>907.454</v>
      </c>
      <c r="AH80" s="101">
        <f>C14</f>
        <v>722.4299999999999</v>
      </c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</row>
    <row r="81" ht="8.35" customHeight="1" hidden="1">
      <c r="AC81" s="36"/>
      <c r="AD81" t="s" s="45">
        <v>2</v>
      </c>
      <c r="AE81" t="s" s="44">
        <f>IF(AF81&lt;0,"declined","grew")</f>
        <v>370</v>
      </c>
      <c r="AF81" s="16">
        <f>AH80/AG80-1</f>
        <v>-0.203893530691363</v>
      </c>
      <c r="AG81" t="s" s="44">
        <v>73</v>
      </c>
      <c r="AH81" t="s" s="102">
        <v>74</v>
      </c>
      <c r="AI81" t="s" s="102">
        <v>75</v>
      </c>
      <c r="AJ81" t="s" s="102">
        <v>76</v>
      </c>
      <c r="AK81" s="101">
        <f>AH80</f>
        <v>722.4299999999999</v>
      </c>
      <c r="AL81" t="s" s="102">
        <v>372</v>
      </c>
      <c r="AM81" t="s" s="102">
        <v>378</v>
      </c>
      <c r="AN81" s="99">
        <v>0.0297063450445726</v>
      </c>
      <c r="AO81" t="s" s="102">
        <v>78</v>
      </c>
      <c r="AP81" s="103"/>
      <c r="AQ81" s="103"/>
      <c r="AR81" s="103"/>
      <c r="AS81" s="103"/>
      <c r="AT81" s="103"/>
      <c r="AU81" s="103"/>
    </row>
    <row r="82" ht="8.35" customHeight="1" hidden="1">
      <c r="AC82" s="36"/>
      <c r="AD82" t="s" s="45">
        <v>79</v>
      </c>
      <c r="AE82" s="16">
        <f>AVERAGE(AE79:AH79)</f>
        <v>-0.13312107135859</v>
      </c>
      <c r="AF82" t="s" s="44">
        <v>80</v>
      </c>
      <c r="AG82" s="17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</row>
    <row r="83" ht="8.35" customHeight="1" hidden="1">
      <c r="AC83" s="36"/>
      <c r="AD83" t="s" s="45">
        <v>81</v>
      </c>
      <c r="AE83" s="35">
        <f>AG27</f>
        <v>0.0325</v>
      </c>
      <c r="AF83" t="s" s="44">
        <v>82</v>
      </c>
      <c r="AG83" t="s" s="44">
        <v>83</v>
      </c>
      <c r="AH83" s="101">
        <f>AG29</f>
        <v>818.510011308</v>
      </c>
      <c r="AI83" t="s" s="102">
        <f>AL81</f>
        <v>372</v>
      </c>
      <c r="AJ83" t="s" s="102">
        <v>84</v>
      </c>
      <c r="AK83" t="s" s="102">
        <f>AH81</f>
        <v>74</v>
      </c>
      <c r="AL83" t="s" s="102">
        <f>AI81</f>
        <v>75</v>
      </c>
      <c r="AM83" t="s" s="102">
        <v>85</v>
      </c>
      <c r="AN83" s="103"/>
      <c r="AO83" s="103"/>
      <c r="AP83" s="103"/>
      <c r="AQ83" s="103"/>
      <c r="AR83" s="103"/>
      <c r="AS83" s="103"/>
      <c r="AT83" s="103"/>
      <c r="AU83" s="103"/>
    </row>
    <row r="84" ht="8.35" customHeight="1" hidden="1">
      <c r="AC84" s="36"/>
      <c r="AD84" t="s" s="45">
        <v>14</v>
      </c>
      <c r="AE84" t="s" s="44">
        <f>IF(AG88&lt;AE88,"down","up")</f>
        <v>87</v>
      </c>
      <c r="AF84" t="s" s="44">
        <v>86</v>
      </c>
      <c r="AG84" t="s" s="44">
        <f>IF(AK88&gt;AI88,"up","down")</f>
        <v>87</v>
      </c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</row>
    <row r="85" ht="8.35" customHeight="1" hidden="1">
      <c r="AC85" s="36"/>
      <c r="AD85" t="s" s="45">
        <f>AD78</f>
        <v>70</v>
      </c>
      <c r="AE85" t="s" s="44">
        <v>474</v>
      </c>
      <c r="AF85" t="s" s="44">
        <f>AL81</f>
        <v>372</v>
      </c>
      <c r="AG85" s="17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</row>
    <row r="86" ht="8.35" customHeight="1" hidden="1">
      <c r="AC86" s="36"/>
      <c r="AD86" s="71">
        <f>(D10+E10)/C10</f>
        <v>0.324210526315789</v>
      </c>
      <c r="AE86" s="16">
        <f>(D11+E11)/C11</f>
        <v>0.227522935779817</v>
      </c>
      <c r="AF86" s="16">
        <f>(D12+E12)/C12</f>
        <v>0.233458177278402</v>
      </c>
      <c r="AG86" s="16">
        <f>(D13+E13)/C13</f>
        <v>0.302100161550889</v>
      </c>
      <c r="AH86" s="99">
        <f>(D14+E14)/C14</f>
        <v>0.208695652173913</v>
      </c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</row>
    <row r="87" ht="8.35" customHeight="1" hidden="1">
      <c r="AC87" s="36"/>
      <c r="AD87" s="14">
        <f>E10</f>
        <v>343.872</v>
      </c>
      <c r="AE87" s="26">
        <f>E11</f>
        <v>256.95</v>
      </c>
      <c r="AF87" s="26">
        <f>E12</f>
        <v>136.1065</v>
      </c>
      <c r="AG87" s="26">
        <f>E13</f>
        <v>139.27</v>
      </c>
      <c r="AH87" s="101">
        <f>E14</f>
        <v>15.705</v>
      </c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</row>
    <row r="88" ht="8.35" customHeight="1" hidden="1">
      <c r="AC88" s="36"/>
      <c r="AD88" t="s" s="45">
        <v>89</v>
      </c>
      <c r="AE88" s="16">
        <f>AG86</f>
        <v>0.302100161550889</v>
      </c>
      <c r="AF88" t="s" s="44">
        <v>76</v>
      </c>
      <c r="AG88" s="16">
        <f>AH86</f>
        <v>0.208695652173913</v>
      </c>
      <c r="AH88" t="s" s="102">
        <v>90</v>
      </c>
      <c r="AI88" s="101">
        <f>AG87</f>
        <v>139.27</v>
      </c>
      <c r="AJ88" t="s" s="102">
        <v>76</v>
      </c>
      <c r="AK88" s="101">
        <f>AH87</f>
        <v>15.705</v>
      </c>
      <c r="AL88" t="s" s="102">
        <f>AI83</f>
        <v>372</v>
      </c>
      <c r="AM88" t="s" s="102">
        <v>73</v>
      </c>
      <c r="AN88" t="s" s="102">
        <f>AK83</f>
        <v>74</v>
      </c>
      <c r="AO88" t="s" s="102">
        <v>91</v>
      </c>
      <c r="AP88" s="103"/>
      <c r="AQ88" s="103"/>
      <c r="AR88" s="103"/>
      <c r="AS88" s="103"/>
      <c r="AT88" s="103"/>
      <c r="AU88" s="103"/>
    </row>
    <row r="89" ht="8.35" customHeight="1" hidden="1">
      <c r="AC89" s="36"/>
      <c r="AD89" t="s" s="45">
        <v>92</v>
      </c>
      <c r="AE89" s="16">
        <f>AVERAGE(AE86:AH86)</f>
        <v>0.242944231695755</v>
      </c>
      <c r="AF89" t="s" s="44">
        <v>78</v>
      </c>
      <c r="AG89" s="17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</row>
    <row r="90" ht="8.35" customHeight="1" hidden="1">
      <c r="AC90" s="36"/>
      <c r="AD90" t="s" s="45">
        <v>93</v>
      </c>
      <c r="AE90" s="35">
        <f>AD30</f>
        <v>0.242944231695755</v>
      </c>
      <c r="AF90" t="s" s="44">
        <v>94</v>
      </c>
      <c r="AG90" s="26">
        <f>AG43</f>
        <v>64.9378191658388</v>
      </c>
      <c r="AH90" t="s" s="102">
        <f>AL88</f>
        <v>372</v>
      </c>
      <c r="AI90" t="s" s="102">
        <v>95</v>
      </c>
      <c r="AJ90" t="s" s="102">
        <f>AN88</f>
        <v>74</v>
      </c>
      <c r="AK90" t="s" s="102">
        <f>AI81</f>
        <v>75</v>
      </c>
      <c r="AL90" t="s" s="102">
        <f>AM83</f>
        <v>85</v>
      </c>
      <c r="AM90" s="103"/>
      <c r="AN90" s="103"/>
      <c r="AO90" s="103"/>
      <c r="AP90" s="103"/>
      <c r="AQ90" s="103"/>
      <c r="AR90" s="103"/>
      <c r="AS90" s="103"/>
      <c r="AT90" s="103"/>
      <c r="AU90" s="103"/>
    </row>
    <row r="91" ht="8.35" customHeight="1" hidden="1">
      <c r="AC91" s="36"/>
      <c r="AD91" t="s" s="45">
        <v>15</v>
      </c>
      <c r="AE91" t="s" s="44">
        <f>IF(AG95&lt;AE95,"lower","higher")</f>
        <v>363</v>
      </c>
      <c r="AF91" s="17"/>
      <c r="AG91" s="17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</row>
    <row r="92" ht="8.35" customHeight="1" hidden="1">
      <c r="AC92" s="36"/>
      <c r="AD92" t="s" s="45">
        <f>AD85</f>
        <v>70</v>
      </c>
      <c r="AE92" t="s" s="44">
        <v>96</v>
      </c>
      <c r="AF92" t="s" s="44">
        <f>AL81</f>
        <v>372</v>
      </c>
      <c r="AG92" s="17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</row>
    <row r="93" ht="8.35" customHeight="1" hidden="1">
      <c r="AC93" s="36"/>
      <c r="AD93" s="14">
        <f>J10</f>
        <v>713.5344</v>
      </c>
      <c r="AE93" s="26">
        <f>J11</f>
        <v>142.75</v>
      </c>
      <c r="AF93" s="26">
        <f>J12</f>
        <v>521.5028</v>
      </c>
      <c r="AG93" s="26">
        <f>J13</f>
        <v>-290.268</v>
      </c>
      <c r="AH93" s="101">
        <f>J14</f>
        <v>317.241</v>
      </c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</row>
    <row r="94" ht="8.35" customHeight="1" hidden="1">
      <c r="AC94" s="36"/>
      <c r="AD94" s="14">
        <f>K10</f>
        <v>-394.02</v>
      </c>
      <c r="AE94" s="26">
        <f>K11</f>
        <v>-214.125</v>
      </c>
      <c r="AF94" s="26">
        <f>K12</f>
        <v>-202.0107</v>
      </c>
      <c r="AG94" s="26">
        <f>K13</f>
        <v>-265.346</v>
      </c>
      <c r="AH94" s="101">
        <f>K14</f>
        <v>-367.497</v>
      </c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</row>
    <row r="95" ht="8.35" customHeight="1" hidden="1">
      <c r="AC95" s="36"/>
      <c r="AD95" t="s" s="45">
        <v>97</v>
      </c>
      <c r="AE95" s="26">
        <f>AG93+AG94</f>
        <v>-555.614</v>
      </c>
      <c r="AF95" t="s" s="44">
        <v>76</v>
      </c>
      <c r="AG95" s="26">
        <f>AH93+AH94</f>
        <v>-50.256</v>
      </c>
      <c r="AH95" t="s" s="102">
        <f>AH90</f>
        <v>372</v>
      </c>
      <c r="AI95" t="s" s="102">
        <v>84</v>
      </c>
      <c r="AJ95" t="s" s="102">
        <f>AJ90</f>
        <v>74</v>
      </c>
      <c r="AK95" t="s" s="102">
        <v>98</v>
      </c>
      <c r="AL95" s="101">
        <f>AH94</f>
        <v>-367.497</v>
      </c>
      <c r="AM95" t="s" s="102">
        <f>AL81</f>
        <v>372</v>
      </c>
      <c r="AN95" t="s" s="102">
        <v>99</v>
      </c>
      <c r="AO95" s="103"/>
      <c r="AP95" s="103"/>
      <c r="AQ95" s="103"/>
      <c r="AR95" s="103"/>
      <c r="AS95" s="103"/>
      <c r="AT95" s="103"/>
      <c r="AU95" s="103"/>
    </row>
    <row r="96" ht="8.35" customHeight="1" hidden="1">
      <c r="AC96" s="36"/>
      <c r="AD96" t="s" s="45">
        <v>100</v>
      </c>
      <c r="AE96" s="26">
        <f>SUM(AE93:AH94)/4</f>
        <v>-89.438225</v>
      </c>
      <c r="AF96" t="s" s="44">
        <f>AL81</f>
        <v>372</v>
      </c>
      <c r="AG96" t="s" s="44">
        <v>78</v>
      </c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</row>
    <row r="97" ht="8.35" customHeight="1" hidden="1">
      <c r="AC97" s="36"/>
      <c r="AD97" t="s" s="45">
        <v>101</v>
      </c>
      <c r="AE97" s="26">
        <f>AD31</f>
        <v>-163.9155</v>
      </c>
      <c r="AF97" t="s" s="44">
        <f>AF96</f>
        <v>372</v>
      </c>
      <c r="AG97" t="s" s="44">
        <v>102</v>
      </c>
      <c r="AH97" t="s" s="102">
        <v>103</v>
      </c>
      <c r="AI97" t="s" s="102">
        <f>IF(AH83&gt;AK81,"higher","lower")</f>
        <v>363</v>
      </c>
      <c r="AJ97" t="s" s="102">
        <v>105</v>
      </c>
      <c r="AK97" s="101">
        <f>SUM(AD32:AG32)/4</f>
        <v>30.5838344728253</v>
      </c>
      <c r="AL97" t="s" s="102">
        <f>AF97</f>
        <v>372</v>
      </c>
      <c r="AM97" t="s" s="102">
        <v>106</v>
      </c>
      <c r="AN97" t="s" s="102">
        <v>107</v>
      </c>
      <c r="AO97" s="103"/>
      <c r="AP97" s="103"/>
      <c r="AQ97" s="103"/>
      <c r="AR97" s="103"/>
      <c r="AS97" s="103"/>
      <c r="AT97" s="103"/>
      <c r="AU97" s="103"/>
    </row>
    <row r="98" ht="8.35" customHeight="1" hidden="1">
      <c r="AC98" s="36"/>
      <c r="AD98" t="s" s="45">
        <v>18</v>
      </c>
      <c r="AE98" t="s" s="44">
        <f>AL103</f>
        <v>87</v>
      </c>
      <c r="AF98" s="17"/>
      <c r="AG98" s="17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</row>
    <row r="99" ht="8.35" customHeight="1" hidden="1">
      <c r="AC99" s="36"/>
      <c r="AD99" t="s" s="45">
        <f>AD78</f>
        <v>70</v>
      </c>
      <c r="AE99" t="s" s="44">
        <v>109</v>
      </c>
      <c r="AF99" t="s" s="44">
        <f>AL81</f>
        <v>372</v>
      </c>
      <c r="AG99" s="17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</row>
    <row r="100" ht="8.35" customHeight="1" hidden="1">
      <c r="AC100" s="36"/>
      <c r="AD100" s="14">
        <f>F10</f>
        <v>306.6192</v>
      </c>
      <c r="AE100" s="26">
        <f>F11</f>
        <v>175.5825</v>
      </c>
      <c r="AF100" s="26">
        <f>F12</f>
        <v>330.9537</v>
      </c>
      <c r="AG100" s="26">
        <f>F13</f>
        <v>181.784</v>
      </c>
      <c r="AH100" s="101">
        <f>F14</f>
        <v>157.05</v>
      </c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</row>
    <row r="101" ht="8.35" customHeight="1" hidden="1">
      <c r="AC101" s="36"/>
      <c r="AD101" s="14">
        <f>G10</f>
        <v>6705.504</v>
      </c>
      <c r="AE101" s="26">
        <f>G11</f>
        <v>6523.675</v>
      </c>
      <c r="AF101" s="26">
        <f>G12</f>
        <v>6475.804</v>
      </c>
      <c r="AG101" s="26">
        <f>G13</f>
        <v>6802.24</v>
      </c>
      <c r="AH101" s="101">
        <f>G14</f>
        <v>7459.875</v>
      </c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  <c r="AU101" s="103"/>
    </row>
    <row r="102" ht="8.35" customHeight="1" hidden="1">
      <c r="AC102" s="36"/>
      <c r="AD102" t="s" s="45">
        <v>110</v>
      </c>
      <c r="AE102" t="s" s="44">
        <f>IF(AH102&lt;AF102,"declined","increased")</f>
        <v>370</v>
      </c>
      <c r="AF102" s="26">
        <f>AG100</f>
        <v>181.784</v>
      </c>
      <c r="AG102" t="s" s="44">
        <v>76</v>
      </c>
      <c r="AH102" s="101">
        <f>AH100</f>
        <v>157.05</v>
      </c>
      <c r="AI102" t="s" s="102">
        <f>AL97</f>
        <v>372</v>
      </c>
      <c r="AJ102" t="s" s="102">
        <v>84</v>
      </c>
      <c r="AK102" t="s" s="102">
        <f>AH81</f>
        <v>74</v>
      </c>
      <c r="AL102" t="s" s="102">
        <f>AO88</f>
        <v>91</v>
      </c>
      <c r="AM102" s="103"/>
      <c r="AN102" s="103"/>
      <c r="AO102" s="103"/>
      <c r="AP102" s="103"/>
      <c r="AQ102" s="103"/>
      <c r="AR102" s="103"/>
      <c r="AS102" s="103"/>
      <c r="AT102" s="103"/>
      <c r="AU102" s="103"/>
    </row>
    <row r="103" ht="8.35" customHeight="1" hidden="1">
      <c r="AC103" s="36"/>
      <c r="AD103" t="s" s="45">
        <v>112</v>
      </c>
      <c r="AE103" t="s" s="44">
        <f>IF(AH103&lt;AF103,"declined","increased")</f>
        <v>111</v>
      </c>
      <c r="AF103" s="26">
        <f>AG101</f>
        <v>6802.24</v>
      </c>
      <c r="AG103" t="s" s="44">
        <v>76</v>
      </c>
      <c r="AH103" s="101">
        <f>AH101</f>
        <v>7459.875</v>
      </c>
      <c r="AI103" t="s" s="102">
        <f>AI102</f>
        <v>372</v>
      </c>
      <c r="AJ103" t="s" s="102">
        <v>113</v>
      </c>
      <c r="AK103" t="s" s="102">
        <v>114</v>
      </c>
      <c r="AL103" t="s" s="102">
        <f>IF(AO103&lt;AM103,"down","up")</f>
        <v>87</v>
      </c>
      <c r="AM103" s="101">
        <f>AF102-AF103</f>
        <v>-6620.456</v>
      </c>
      <c r="AN103" t="s" s="102">
        <v>76</v>
      </c>
      <c r="AO103" s="101">
        <f>AH102-AH103</f>
        <v>-7302.825</v>
      </c>
      <c r="AP103" t="s" s="102">
        <f>AI103</f>
        <v>372</v>
      </c>
      <c r="AQ103" t="s" s="102">
        <v>115</v>
      </c>
      <c r="AR103" s="103"/>
      <c r="AS103" s="103"/>
      <c r="AT103" s="103"/>
      <c r="AU103" s="103"/>
    </row>
    <row r="104" ht="8.35" customHeight="1" hidden="1">
      <c r="AC104" s="36"/>
      <c r="AD104" t="s" s="45">
        <v>116</v>
      </c>
      <c r="AE104" s="26">
        <f>SUM(AD35:AG35)</f>
        <v>0</v>
      </c>
      <c r="AF104" t="s" s="44">
        <f>AI103</f>
        <v>372</v>
      </c>
      <c r="AG104" t="s" s="44">
        <v>117</v>
      </c>
      <c r="AH104" t="s" s="102">
        <f>IF(AI104&gt;0,"+","")</f>
      </c>
      <c r="AI104" s="101">
        <f>AD33+AE33+AF33+AG33+AD37+AE37+AF37+AG37</f>
        <v>-122.335337891301</v>
      </c>
      <c r="AJ104" t="s" s="102">
        <f>AP103</f>
        <v>372</v>
      </c>
      <c r="AK104" t="s" s="102">
        <v>118</v>
      </c>
      <c r="AL104" t="s" s="102">
        <v>119</v>
      </c>
      <c r="AM104" s="101">
        <f>AG52</f>
        <v>-7180.4896621087</v>
      </c>
      <c r="AN104" t="s" s="102">
        <f>AI103</f>
        <v>372</v>
      </c>
      <c r="AO104" t="s" s="102">
        <v>120</v>
      </c>
      <c r="AP104" s="103"/>
      <c r="AQ104" s="103"/>
      <c r="AR104" s="103"/>
      <c r="AS104" s="103"/>
      <c r="AT104" s="103"/>
      <c r="AU104" s="103"/>
    </row>
    <row r="105" ht="8.35" customHeight="1" hidden="1">
      <c r="AC105" s="36"/>
      <c r="AD105" t="s" s="45">
        <v>17</v>
      </c>
      <c r="AE105" t="s" s="44">
        <f>AE109</f>
        <v>121</v>
      </c>
      <c r="AF105" s="17"/>
      <c r="AG105" s="17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ht="8.35" customHeight="1" hidden="1">
      <c r="AC106" s="36"/>
      <c r="AD106" t="s" s="45">
        <f>AD78</f>
        <v>70</v>
      </c>
      <c r="AE106" t="s" s="44">
        <v>379</v>
      </c>
      <c r="AF106" t="s" s="44">
        <f>AL81</f>
        <v>372</v>
      </c>
      <c r="AG106" s="17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ht="8.35" customHeight="1" hidden="1">
      <c r="AC107" s="36"/>
      <c r="AD107" s="14">
        <f>-L10</f>
        <v>1091.7936</v>
      </c>
      <c r="AE107" s="26">
        <f>-L11</f>
        <v>31.405</v>
      </c>
      <c r="AF107" s="26">
        <f>-L12</f>
        <v>163.3278</v>
      </c>
      <c r="AG107" s="26">
        <f>-L13</f>
        <v>-404.616</v>
      </c>
      <c r="AH107" s="101">
        <f>-L14</f>
        <v>-6.282</v>
      </c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</row>
    <row r="108" ht="8.35" customHeight="1" hidden="1">
      <c r="AC108" s="36"/>
      <c r="AD108" s="14">
        <f>-M10</f>
        <v>0</v>
      </c>
      <c r="AE108" s="26">
        <f>-M11</f>
        <v>25.695</v>
      </c>
      <c r="AF108" s="26">
        <f>-M12</f>
        <v>0</v>
      </c>
      <c r="AG108" s="26">
        <f>-M13</f>
        <v>0</v>
      </c>
      <c r="AH108" s="101">
        <f>-M14</f>
        <v>0</v>
      </c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  <c r="AU108" s="103"/>
    </row>
    <row r="109" ht="8.35" customHeight="1" hidden="1">
      <c r="AC109" s="36"/>
      <c r="AD109" t="s" s="100">
        <f>AD70</f>
        <v>479</v>
      </c>
      <c r="AE109" t="s" s="44">
        <f>IF(AF109&gt;0,"paid","(raised)")</f>
        <v>121</v>
      </c>
      <c r="AF109" s="26">
        <f>SUM(AH107:AH108)</f>
        <v>-6.282</v>
      </c>
      <c r="AG109" t="s" s="44">
        <f>AL81</f>
        <v>372</v>
      </c>
      <c r="AH109" t="s" s="102">
        <f>AG81</f>
        <v>73</v>
      </c>
      <c r="AI109" t="s" s="102">
        <f>AH81</f>
        <v>74</v>
      </c>
      <c r="AJ109" t="s" s="102">
        <f>AI81</f>
        <v>75</v>
      </c>
      <c r="AK109" s="101">
        <f>AH107</f>
        <v>-6.282</v>
      </c>
      <c r="AL109" t="s" s="102">
        <f>AL81</f>
        <v>372</v>
      </c>
      <c r="AM109" t="s" s="102">
        <v>123</v>
      </c>
      <c r="AN109" s="101">
        <f>AH108</f>
        <v>0</v>
      </c>
      <c r="AO109" t="s" s="102">
        <f>AL81</f>
        <v>372</v>
      </c>
      <c r="AP109" t="s" s="102">
        <v>389</v>
      </c>
      <c r="AQ109" t="s" s="102">
        <v>475</v>
      </c>
      <c r="AR109" t="s" s="102">
        <f>IF(AS109&gt;0,"pay","raise")</f>
        <v>364</v>
      </c>
      <c r="AS109" s="101">
        <f>-SUM(AD53:AG53)</f>
        <v>122.335337891301</v>
      </c>
      <c r="AT109" t="s" s="102">
        <f>AL81</f>
        <v>372</v>
      </c>
      <c r="AU109" t="s" s="102">
        <v>126</v>
      </c>
    </row>
    <row r="110" ht="8.35" customHeight="1" hidden="1">
      <c r="AC110" s="36"/>
      <c r="AD110" t="s" s="45">
        <v>375</v>
      </c>
      <c r="AE110" s="26">
        <f>AG57</f>
        <v>8394.23010816</v>
      </c>
      <c r="AF110" t="s" s="44">
        <f>AL81</f>
        <v>372</v>
      </c>
      <c r="AG110" t="s" s="44">
        <v>128</v>
      </c>
      <c r="AH110" t="s" s="102">
        <v>129</v>
      </c>
      <c r="AI110" s="101">
        <f>AG59</f>
        <v>0.731541226466739</v>
      </c>
      <c r="AJ110" t="s" s="102">
        <v>130</v>
      </c>
      <c r="AK110" t="s" s="102">
        <v>131</v>
      </c>
      <c r="AL110" t="s" s="102">
        <v>132</v>
      </c>
      <c r="AM110" s="101">
        <f>AG62</f>
        <v>94.10007932645421</v>
      </c>
      <c r="AN110" t="s" s="102">
        <v>133</v>
      </c>
      <c r="AO110" s="99">
        <f>-AE104/AE110</f>
        <v>0</v>
      </c>
      <c r="AP110" t="s" s="102">
        <v>134</v>
      </c>
      <c r="AQ110" s="103"/>
      <c r="AR110" s="103"/>
      <c r="AS110" s="103"/>
      <c r="AT110" s="103"/>
      <c r="AU110" s="103"/>
    </row>
    <row r="111" ht="8.35" customHeight="1" hidden="1">
      <c r="AC111" s="36"/>
      <c r="AD111" t="s" s="45">
        <v>135</v>
      </c>
      <c r="AE111" s="26">
        <f>AG61</f>
        <v>122.335337891301</v>
      </c>
      <c r="AF111" t="s" s="44">
        <f>AF110</f>
        <v>372</v>
      </c>
      <c r="AG111" t="s" s="44">
        <v>136</v>
      </c>
      <c r="AH111" s="101">
        <f>AE110/AE111</f>
        <v>68.61656045466231</v>
      </c>
      <c r="AI111" t="s" s="102">
        <v>130</v>
      </c>
      <c r="AJ111" t="s" s="102">
        <v>137</v>
      </c>
      <c r="AK111" t="s" s="102">
        <v>138</v>
      </c>
      <c r="AL111" s="101">
        <f>AG63</f>
        <v>50</v>
      </c>
      <c r="AM111" t="s" s="102">
        <v>139</v>
      </c>
      <c r="AN111" t="s" s="102">
        <v>140</v>
      </c>
      <c r="AO111" t="s" s="102">
        <v>141</v>
      </c>
      <c r="AP111" s="99">
        <f>AJ70</f>
        <v>-0.271312935701041</v>
      </c>
      <c r="AQ111" t="s" s="102">
        <f>IF(AP111&gt;0,"higher","lower")</f>
        <v>104</v>
      </c>
      <c r="AR111" t="s" s="102">
        <v>142</v>
      </c>
      <c r="AS111" s="101">
        <f>AH70</f>
        <v>246.296227733048</v>
      </c>
      <c r="AT111" t="s" s="102">
        <v>143</v>
      </c>
      <c r="AU111" s="103"/>
    </row>
    <row r="112" ht="8.35" customHeight="1" hidden="1">
      <c r="AC112" s="36"/>
      <c r="AD112" s="34"/>
      <c r="AE112" s="17"/>
      <c r="AF112" s="17"/>
      <c r="AG112" s="17"/>
      <c r="AH112" s="101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</row>
    <row r="113" ht="8.35" customHeight="1" hidden="1">
      <c r="AC113" s="36"/>
      <c r="AD113" s="14">
        <f>AD80</f>
        <v>1361.16</v>
      </c>
      <c r="AE113" s="26">
        <f>AE80</f>
        <v>1555.975</v>
      </c>
      <c r="AF113" s="26">
        <f>AF80</f>
        <v>1147.5927</v>
      </c>
      <c r="AG113" s="26">
        <f>AG80</f>
        <v>907.454</v>
      </c>
      <c r="AH113" s="101">
        <f>AH80</f>
        <v>722.4299999999999</v>
      </c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</row>
    <row r="114" ht="8.35" customHeight="1" hidden="1">
      <c r="AC114" s="36"/>
      <c r="AD114" s="14">
        <f>SUM(AD93:AD94)</f>
        <v>319.5144</v>
      </c>
      <c r="AE114" s="26">
        <f>SUM(AE93:AE94)</f>
        <v>-71.375</v>
      </c>
      <c r="AF114" s="26">
        <f>SUM(AF93:AF94)</f>
        <v>319.4921</v>
      </c>
      <c r="AG114" s="26">
        <f>SUM(AG93:AG94)</f>
        <v>-555.614</v>
      </c>
      <c r="AH114" s="101">
        <f>SUM(AH93:AH94)</f>
        <v>-50.256</v>
      </c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</row>
    <row r="115" ht="8.35" customHeight="1" hidden="1">
      <c r="AC115" s="36"/>
      <c r="AD115" s="14">
        <f>SUM(AD107:AD108)</f>
        <v>1091.7936</v>
      </c>
      <c r="AE115" s="26">
        <f>SUM(AE107:AE108)</f>
        <v>57.1</v>
      </c>
      <c r="AF115" s="26">
        <f>SUM(AF107:AF108)</f>
        <v>163.3278</v>
      </c>
      <c r="AG115" s="26">
        <f>SUM(AG107:AG108)</f>
        <v>-404.616</v>
      </c>
      <c r="AH115" s="101">
        <f>SUM(AH107:AH108)</f>
        <v>-6.282</v>
      </c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  <c r="AU115" s="103"/>
    </row>
    <row r="116" ht="8.35" customHeight="1" hidden="1">
      <c r="AC116" s="36"/>
      <c r="AD116" s="14">
        <f>AD100-AD101</f>
        <v>-6398.8848</v>
      </c>
      <c r="AE116" s="26">
        <f>AE100-AE101</f>
        <v>-6348.0925</v>
      </c>
      <c r="AF116" s="26">
        <f>AF100-AF101</f>
        <v>-6144.8503</v>
      </c>
      <c r="AG116" s="26">
        <f>AG100-AG101</f>
        <v>-6620.456</v>
      </c>
      <c r="AH116" s="101">
        <f>AH100-AH101</f>
        <v>-7302.825</v>
      </c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  <c r="AU116" s="103"/>
    </row>
    <row r="117" ht="8.35" customHeight="1" hidden="1">
      <c r="AC117" s="36"/>
      <c r="AD117" s="34"/>
      <c r="AE117" s="17"/>
      <c r="AF117" s="17"/>
      <c r="AG117" s="17"/>
      <c r="AH117" s="101">
        <f>AS111</f>
        <v>246.296227733048</v>
      </c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103"/>
    </row>
    <row r="118" ht="8.35" customHeight="1" hidden="1">
      <c r="AC118" s="36"/>
      <c r="AD118" s="34"/>
      <c r="AE118" s="17"/>
      <c r="AF118" s="17"/>
      <c r="AG118" s="17"/>
      <c r="AH118" s="101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</row>
    <row r="119" ht="8.35" customHeight="1" hidden="1">
      <c r="AC119" s="36"/>
      <c r="AD119" s="34"/>
      <c r="AE119" s="17"/>
      <c r="AF119" s="17"/>
      <c r="AG119" s="17"/>
      <c r="AH119" s="101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</row>
    <row r="120" ht="8.35" customHeight="1" hidden="1">
      <c r="AC120" s="36"/>
      <c r="AD120" s="34"/>
      <c r="AE120" s="17"/>
      <c r="AF120" s="17"/>
      <c r="AG120" s="17"/>
      <c r="AH120" s="101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</row>
    <row r="121" ht="8.35" customHeight="1" hidden="1">
      <c r="AC121" s="36"/>
      <c r="AD121" s="34"/>
      <c r="AE121" s="17"/>
      <c r="AF121" s="17"/>
      <c r="AG121" s="17"/>
      <c r="AH121" s="101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</row>
    <row r="122" ht="8.35" customHeight="1" hidden="1">
      <c r="AC122" s="36"/>
      <c r="AD122" s="34"/>
      <c r="AE122" s="17"/>
      <c r="AF122" s="17"/>
      <c r="AG122" s="17"/>
      <c r="AH122" s="101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  <c r="AU122" s="103"/>
    </row>
    <row r="123" ht="8.35" customHeight="1" hidden="1">
      <c r="AC123" s="36"/>
      <c r="AD123" s="34"/>
      <c r="AE123" s="17"/>
      <c r="AF123" s="17"/>
      <c r="AG123" s="17"/>
      <c r="AH123" s="101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</row>
    <row r="124" ht="8.35" customHeight="1" hidden="1">
      <c r="AC124" s="36"/>
      <c r="AD124" s="34"/>
      <c r="AE124" s="17"/>
      <c r="AF124" s="17"/>
      <c r="AG124" s="17"/>
      <c r="AH124" s="101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  <c r="AU124" s="103"/>
    </row>
  </sheetData>
  <mergeCells count="2">
    <mergeCell ref="B2:AB2"/>
    <mergeCell ref="AC24:AU2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97" customWidth="1"/>
    <col min="2" max="27" width="10.4844" style="397" customWidth="1"/>
    <col min="28" max="28" width="18.9766" style="399" customWidth="1"/>
    <col min="29" max="46" width="9" style="399" customWidth="1"/>
    <col min="47" max="16384" width="16.3516" style="399" customWidth="1"/>
  </cols>
  <sheetData>
    <row r="1" ht="11.65" customHeight="1"/>
    <row r="2" ht="27.65" customHeight="1">
      <c r="B2" t="s" s="2">
        <v>764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170</v>
      </c>
      <c r="AA3" t="s" s="3">
        <v>19</v>
      </c>
    </row>
    <row r="4" ht="20.25" customHeight="1">
      <c r="B4" s="6">
        <v>2017</v>
      </c>
      <c r="C4" s="7">
        <v>793.9</v>
      </c>
      <c r="D4" s="8">
        <v>49</v>
      </c>
      <c r="E4" s="8">
        <v>10.7</v>
      </c>
      <c r="F4" s="8">
        <v>1278</v>
      </c>
      <c r="G4" s="8">
        <v>3852</v>
      </c>
      <c r="H4" s="8">
        <v>7216</v>
      </c>
      <c r="I4" s="8">
        <v>787.5</v>
      </c>
      <c r="J4" s="8">
        <v>-150.2</v>
      </c>
      <c r="K4" s="8">
        <v>-95</v>
      </c>
      <c r="L4" s="8">
        <v>-48</v>
      </c>
      <c r="M4" s="8">
        <v>-22</v>
      </c>
      <c r="N4" s="59"/>
      <c r="O4" s="9"/>
      <c r="P4" s="9"/>
      <c r="Q4" s="9"/>
      <c r="R4" s="9"/>
      <c r="S4" s="9"/>
      <c r="T4" s="9"/>
      <c r="U4" s="9"/>
      <c r="V4" s="8">
        <f>-(L4+M4)</f>
        <v>70</v>
      </c>
      <c r="W4" s="9"/>
      <c r="X4" s="9"/>
      <c r="Y4" s="9"/>
      <c r="Z4" s="398">
        <v>655</v>
      </c>
      <c r="AA4" s="9"/>
    </row>
    <row r="5" ht="20.05" customHeight="1">
      <c r="B5" s="13"/>
      <c r="C5" s="14">
        <v>761.6</v>
      </c>
      <c r="D5" s="15">
        <v>48.44</v>
      </c>
      <c r="E5" s="15">
        <v>1267.3</v>
      </c>
      <c r="F5" s="15">
        <v>1455</v>
      </c>
      <c r="G5" s="15">
        <v>4359</v>
      </c>
      <c r="H5" s="15">
        <v>8907</v>
      </c>
      <c r="I5" s="15">
        <v>827.4</v>
      </c>
      <c r="J5" s="15">
        <v>-41.8</v>
      </c>
      <c r="K5" s="15">
        <v>398.7</v>
      </c>
      <c r="L5" s="15">
        <v>-199.75</v>
      </c>
      <c r="M5" s="15">
        <v>-32</v>
      </c>
      <c r="N5" s="26"/>
      <c r="O5" s="17"/>
      <c r="P5" s="17"/>
      <c r="Q5" s="17"/>
      <c r="R5" s="17"/>
      <c r="S5" s="17"/>
      <c r="T5" s="17"/>
      <c r="U5" s="17"/>
      <c r="V5" s="15">
        <f>-(L5+M5)+V4</f>
        <v>301.75</v>
      </c>
      <c r="W5" s="17"/>
      <c r="X5" s="17"/>
      <c r="Y5" s="17"/>
      <c r="Z5" s="148">
        <v>645</v>
      </c>
      <c r="AA5" s="17"/>
    </row>
    <row r="6" ht="20.05" customHeight="1">
      <c r="B6" s="13"/>
      <c r="C6" s="14">
        <v>800.2</v>
      </c>
      <c r="D6" s="15">
        <v>46.46</v>
      </c>
      <c r="E6" s="15">
        <v>-1</v>
      </c>
      <c r="F6" s="15">
        <v>1376</v>
      </c>
      <c r="G6" s="15">
        <v>4358</v>
      </c>
      <c r="H6" s="15">
        <v>8902</v>
      </c>
      <c r="I6" s="15">
        <v>856</v>
      </c>
      <c r="J6" s="15">
        <v>-4</v>
      </c>
      <c r="K6" s="15">
        <v>-29.8</v>
      </c>
      <c r="L6" s="15">
        <v>-199.75</v>
      </c>
      <c r="M6" s="15">
        <v>-32</v>
      </c>
      <c r="N6" s="26"/>
      <c r="O6" s="17"/>
      <c r="P6" s="17"/>
      <c r="Q6" s="17"/>
      <c r="R6" s="17"/>
      <c r="S6" s="17"/>
      <c r="T6" s="17"/>
      <c r="U6" s="17"/>
      <c r="V6" s="15">
        <f>-(L6+M6)+V5</f>
        <v>533.5</v>
      </c>
      <c r="W6" s="17"/>
      <c r="X6" s="17"/>
      <c r="Y6" s="17"/>
      <c r="Z6" s="148">
        <v>585</v>
      </c>
      <c r="AA6" s="17"/>
    </row>
    <row r="7" ht="20.05" customHeight="1">
      <c r="B7" s="13"/>
      <c r="C7" s="14">
        <v>918.3</v>
      </c>
      <c r="D7" s="15">
        <v>24.6</v>
      </c>
      <c r="E7" s="15">
        <v>-36</v>
      </c>
      <c r="F7" s="15">
        <v>1145</v>
      </c>
      <c r="G7" s="15">
        <v>4374</v>
      </c>
      <c r="H7" s="15">
        <v>8851</v>
      </c>
      <c r="I7" s="15">
        <v>1015.4</v>
      </c>
      <c r="J7" s="15">
        <v>-69.3</v>
      </c>
      <c r="K7" s="15">
        <v>-103.5</v>
      </c>
      <c r="L7" s="15">
        <v>-199.75</v>
      </c>
      <c r="M7" s="15">
        <v>-32</v>
      </c>
      <c r="N7" s="26"/>
      <c r="O7" s="17"/>
      <c r="P7" s="17"/>
      <c r="Q7" s="17"/>
      <c r="R7" s="17"/>
      <c r="S7" s="17"/>
      <c r="T7" s="17"/>
      <c r="U7" s="17"/>
      <c r="V7" s="15">
        <f>-(L7+M7)+V6</f>
        <v>765.25</v>
      </c>
      <c r="W7" s="17"/>
      <c r="X7" s="17"/>
      <c r="Y7" s="17"/>
      <c r="Z7" s="148">
        <v>515</v>
      </c>
      <c r="AA7" s="17"/>
    </row>
    <row r="8" ht="20.05" customHeight="1">
      <c r="B8" s="21">
        <v>2018</v>
      </c>
      <c r="C8" s="14">
        <v>909.3</v>
      </c>
      <c r="D8" s="15">
        <v>44.13</v>
      </c>
      <c r="E8" s="15">
        <v>9.300000000000001</v>
      </c>
      <c r="F8" s="15">
        <v>2125</v>
      </c>
      <c r="G8" s="15">
        <v>3362</v>
      </c>
      <c r="H8" s="15">
        <v>7808</v>
      </c>
      <c r="I8" s="15">
        <v>823.5</v>
      </c>
      <c r="J8" s="15">
        <v>-550.8</v>
      </c>
      <c r="K8" s="15">
        <v>2135</v>
      </c>
      <c r="L8" s="15">
        <v>97.25</v>
      </c>
      <c r="M8" s="15">
        <v>-14.5</v>
      </c>
      <c r="N8" s="15">
        <f>SUM(C5:C8)/4</f>
        <v>847.35</v>
      </c>
      <c r="O8" s="17"/>
      <c r="P8" s="16"/>
      <c r="Q8" s="16">
        <f>((D8+E8)/C8)</f>
        <v>0.0587594853183768</v>
      </c>
      <c r="R8" s="16"/>
      <c r="S8" s="17"/>
      <c r="T8" s="15">
        <f>SUM(J5:K8)/4</f>
        <v>433.625</v>
      </c>
      <c r="U8" s="17"/>
      <c r="V8" s="15">
        <f>-(L8+M8)+V7</f>
        <v>682.5</v>
      </c>
      <c r="W8" s="17"/>
      <c r="X8" s="15">
        <f>F8-G8</f>
        <v>-1237</v>
      </c>
      <c r="Y8" s="24"/>
      <c r="Z8" s="148">
        <v>550</v>
      </c>
      <c r="AA8" s="24"/>
    </row>
    <row r="9" ht="20.05" customHeight="1">
      <c r="B9" s="13"/>
      <c r="C9" s="14">
        <v>610.7</v>
      </c>
      <c r="D9" s="15">
        <v>44.28</v>
      </c>
      <c r="E9" s="15">
        <v>-41.68</v>
      </c>
      <c r="F9" s="15">
        <v>1761</v>
      </c>
      <c r="G9" s="15">
        <v>3210</v>
      </c>
      <c r="H9" s="15">
        <v>7491</v>
      </c>
      <c r="I9" s="15">
        <v>719.4</v>
      </c>
      <c r="J9" s="15">
        <v>-167.9</v>
      </c>
      <c r="K9" s="15">
        <v>-109.4</v>
      </c>
      <c r="L9" s="15">
        <v>97.25</v>
      </c>
      <c r="M9" s="15">
        <v>-14.5</v>
      </c>
      <c r="N9" s="15">
        <f>SUM(C6:C9)/4</f>
        <v>809.625</v>
      </c>
      <c r="O9" s="17"/>
      <c r="P9" s="16"/>
      <c r="Q9" s="16">
        <f>((D9+E9)/C9)</f>
        <v>0.00425740953004749</v>
      </c>
      <c r="R9" s="16"/>
      <c r="S9" s="17"/>
      <c r="T9" s="15">
        <f>SUM(J6:K9)/4</f>
        <v>275.075</v>
      </c>
      <c r="U9" s="17"/>
      <c r="V9" s="15">
        <f>-(L9+M9)+V8</f>
        <v>599.75</v>
      </c>
      <c r="W9" s="17"/>
      <c r="X9" s="15">
        <f>F9-G9</f>
        <v>-1449</v>
      </c>
      <c r="Y9" s="24"/>
      <c r="Z9" s="148">
        <v>565</v>
      </c>
      <c r="AA9" s="24"/>
    </row>
    <row r="10" ht="20.05" customHeight="1">
      <c r="B10" s="13"/>
      <c r="C10" s="14">
        <v>1138.5</v>
      </c>
      <c r="D10" s="15">
        <v>53.29</v>
      </c>
      <c r="E10" s="15">
        <v>2.55</v>
      </c>
      <c r="F10" s="15">
        <v>1397</v>
      </c>
      <c r="G10" s="15">
        <v>3162</v>
      </c>
      <c r="H10" s="15">
        <v>7449</v>
      </c>
      <c r="I10" s="15">
        <v>948.7</v>
      </c>
      <c r="J10" s="15">
        <v>-202.5</v>
      </c>
      <c r="K10" s="15">
        <v>-18.6</v>
      </c>
      <c r="L10" s="15">
        <v>97.25</v>
      </c>
      <c r="M10" s="15">
        <v>-14.5</v>
      </c>
      <c r="N10" s="15">
        <f>SUM(C7:C10)/4</f>
        <v>894.2</v>
      </c>
      <c r="O10" s="17"/>
      <c r="P10" s="16"/>
      <c r="Q10" s="16">
        <f>((D10+E10)/C10)</f>
        <v>0.0490469916556873</v>
      </c>
      <c r="R10" s="16"/>
      <c r="S10" s="17"/>
      <c r="T10" s="15">
        <f>SUM(J7:K10)/4</f>
        <v>228.25</v>
      </c>
      <c r="U10" s="17"/>
      <c r="V10" s="15">
        <f>-(L10+M10)+V9</f>
        <v>517</v>
      </c>
      <c r="W10" s="17"/>
      <c r="X10" s="15">
        <f>F10-G10</f>
        <v>-1765</v>
      </c>
      <c r="Y10" s="24"/>
      <c r="Z10" s="148">
        <v>486</v>
      </c>
      <c r="AA10" s="24"/>
    </row>
    <row r="11" ht="20.05" customHeight="1">
      <c r="B11" s="13"/>
      <c r="C11" s="14">
        <v>1023.3</v>
      </c>
      <c r="D11" s="15">
        <v>25.9</v>
      </c>
      <c r="E11" s="15">
        <v>119.63</v>
      </c>
      <c r="F11" s="15">
        <v>1372</v>
      </c>
      <c r="G11" s="15">
        <v>3019</v>
      </c>
      <c r="H11" s="15">
        <v>7404</v>
      </c>
      <c r="I11" s="15">
        <v>1044.7</v>
      </c>
      <c r="J11" s="15">
        <v>74.09999999999999</v>
      </c>
      <c r="K11" s="15">
        <v>-13.5</v>
      </c>
      <c r="L11" s="15">
        <v>97.25</v>
      </c>
      <c r="M11" s="15">
        <v>-14.5</v>
      </c>
      <c r="N11" s="15">
        <f>SUM(C8:C11)/4</f>
        <v>920.45</v>
      </c>
      <c r="O11" s="17"/>
      <c r="P11" s="16"/>
      <c r="Q11" s="16">
        <f>((D11+E11)/C11)</f>
        <v>0.14221635883905</v>
      </c>
      <c r="R11" s="16"/>
      <c r="S11" s="17"/>
      <c r="T11" s="15">
        <f>SUM(J8:K11)/4</f>
        <v>286.6</v>
      </c>
      <c r="U11" s="17"/>
      <c r="V11" s="15">
        <f>-(L11+M11)+V10</f>
        <v>434.25</v>
      </c>
      <c r="W11" s="17"/>
      <c r="X11" s="15">
        <f>F11-G11</f>
        <v>-1647</v>
      </c>
      <c r="Y11" s="24"/>
      <c r="Z11" s="148">
        <v>500</v>
      </c>
      <c r="AA11" s="24"/>
    </row>
    <row r="12" ht="20.05" customHeight="1">
      <c r="B12" s="21">
        <v>2019</v>
      </c>
      <c r="C12" s="14">
        <v>823.7</v>
      </c>
      <c r="D12" s="15">
        <v>43.7</v>
      </c>
      <c r="E12" s="15">
        <v>1</v>
      </c>
      <c r="F12" s="15">
        <v>1178</v>
      </c>
      <c r="G12" s="15">
        <v>3001</v>
      </c>
      <c r="H12" s="15">
        <v>7384</v>
      </c>
      <c r="I12" s="15">
        <v>787.1</v>
      </c>
      <c r="J12" s="15">
        <v>-124.7</v>
      </c>
      <c r="K12" s="15">
        <v>-8.199999999999999</v>
      </c>
      <c r="L12" s="15">
        <v>97.25</v>
      </c>
      <c r="M12" s="15">
        <v>-14.5</v>
      </c>
      <c r="N12" s="15">
        <f>SUM(C9:C12)/4</f>
        <v>899.05</v>
      </c>
      <c r="O12" s="17"/>
      <c r="P12" s="16"/>
      <c r="Q12" s="16">
        <f>((D12+E12)/C12)</f>
        <v>0.0542673303387156</v>
      </c>
      <c r="R12" s="16">
        <f>AVERAGE(Q9:Q12)</f>
        <v>0.0624470225908751</v>
      </c>
      <c r="S12" s="17"/>
      <c r="T12" s="15">
        <f>SUM(J9:K12)/4</f>
        <v>-142.675</v>
      </c>
      <c r="U12" s="17"/>
      <c r="V12" s="15">
        <f>-(L12+M12)+V11</f>
        <v>351.5</v>
      </c>
      <c r="W12" s="17"/>
      <c r="X12" s="15">
        <f>F12-G12</f>
        <v>-1823</v>
      </c>
      <c r="Y12" s="24"/>
      <c r="Z12" s="148">
        <v>550</v>
      </c>
      <c r="AA12" s="24"/>
    </row>
    <row r="13" ht="20.05" customHeight="1">
      <c r="B13" s="13"/>
      <c r="C13" s="14">
        <v>989.9</v>
      </c>
      <c r="D13" s="15">
        <v>39.7</v>
      </c>
      <c r="E13" s="15">
        <v>-8.6</v>
      </c>
      <c r="F13" s="15">
        <v>1109</v>
      </c>
      <c r="G13" s="15">
        <v>3297</v>
      </c>
      <c r="H13" s="15">
        <v>7615</v>
      </c>
      <c r="I13" s="15">
        <v>830.3</v>
      </c>
      <c r="J13" s="15">
        <v>-102.6</v>
      </c>
      <c r="K13" s="15">
        <v>-40.6</v>
      </c>
      <c r="L13" s="15">
        <v>97.25</v>
      </c>
      <c r="M13" s="15">
        <v>-14.5</v>
      </c>
      <c r="N13" s="15">
        <f>SUM(C10:C13)/4</f>
        <v>993.85</v>
      </c>
      <c r="O13" s="17"/>
      <c r="P13" s="16"/>
      <c r="Q13" s="16">
        <f>((D13+E13)/C13)</f>
        <v>0.0314173148802909</v>
      </c>
      <c r="R13" s="16">
        <f>AVERAGE(Q10:Q13)</f>
        <v>0.069236998928436</v>
      </c>
      <c r="S13" s="17"/>
      <c r="T13" s="15">
        <f>SUM(J10:K13)/4</f>
        <v>-109.15</v>
      </c>
      <c r="U13" s="17"/>
      <c r="V13" s="15">
        <f>-(L13+M13)+V12</f>
        <v>268.75</v>
      </c>
      <c r="W13" s="17"/>
      <c r="X13" s="15">
        <f>F13-G13</f>
        <v>-2188</v>
      </c>
      <c r="Y13" s="24"/>
      <c r="Z13" s="148">
        <v>720</v>
      </c>
      <c r="AA13" s="24"/>
    </row>
    <row r="14" ht="20.05" customHeight="1">
      <c r="B14" s="13"/>
      <c r="C14" s="14">
        <v>955.3</v>
      </c>
      <c r="D14" s="15">
        <v>41.4</v>
      </c>
      <c r="E14" s="15">
        <v>41.4</v>
      </c>
      <c r="F14" s="15">
        <v>1569</v>
      </c>
      <c r="G14" s="15">
        <v>3729</v>
      </c>
      <c r="H14" s="15">
        <v>8083</v>
      </c>
      <c r="I14" s="15">
        <v>1065.6</v>
      </c>
      <c r="J14" s="15">
        <v>108</v>
      </c>
      <c r="K14" s="15">
        <v>27.9</v>
      </c>
      <c r="L14" s="15">
        <v>97.25</v>
      </c>
      <c r="M14" s="15">
        <v>-14.5</v>
      </c>
      <c r="N14" s="15">
        <f>SUM(C11:C14)/4</f>
        <v>948.05</v>
      </c>
      <c r="O14" s="17"/>
      <c r="P14" s="16"/>
      <c r="Q14" s="16">
        <f>((D14+E14)/C14)</f>
        <v>0.08667434313828121</v>
      </c>
      <c r="R14" s="16">
        <f>AVERAGE(Q11:Q14)</f>
        <v>0.0786438367990844</v>
      </c>
      <c r="S14" s="17"/>
      <c r="T14" s="15">
        <f>SUM(J11:K14)/4</f>
        <v>-19.9</v>
      </c>
      <c r="U14" s="17"/>
      <c r="V14" s="15">
        <f>-(L14+M14)+V13</f>
        <v>186</v>
      </c>
      <c r="W14" s="17"/>
      <c r="X14" s="15">
        <f>F14-G14</f>
        <v>-2160</v>
      </c>
      <c r="Y14" s="24"/>
      <c r="Z14" s="148">
        <v>730</v>
      </c>
      <c r="AA14" s="24"/>
    </row>
    <row r="15" ht="20.05" customHeight="1">
      <c r="B15" s="13"/>
      <c r="C15" s="14">
        <v>1237.5</v>
      </c>
      <c r="D15" s="15">
        <v>52.6</v>
      </c>
      <c r="E15" s="15">
        <v>102.5</v>
      </c>
      <c r="F15" s="15">
        <v>1527</v>
      </c>
      <c r="G15" s="15">
        <v>3614</v>
      </c>
      <c r="H15" s="15">
        <v>8092</v>
      </c>
      <c r="I15" s="15">
        <v>1154.9</v>
      </c>
      <c r="J15" s="15">
        <v>-3.3</v>
      </c>
      <c r="K15" s="15">
        <v>-14.9</v>
      </c>
      <c r="L15" s="15">
        <v>97.25</v>
      </c>
      <c r="M15" s="15">
        <v>-14.5</v>
      </c>
      <c r="N15" s="15">
        <f>SUM(C12:C15)/4</f>
        <v>1001.6</v>
      </c>
      <c r="O15" s="17"/>
      <c r="P15" s="16"/>
      <c r="Q15" s="16">
        <f>((D15+E15)/C15)</f>
        <v>0.125333333333333</v>
      </c>
      <c r="R15" s="16">
        <f>AVERAGE(Q12:Q15)</f>
        <v>0.07442308042265521</v>
      </c>
      <c r="S15" s="17"/>
      <c r="T15" s="15">
        <f>SUM(J12:K15)/4</f>
        <v>-39.6</v>
      </c>
      <c r="U15" s="17"/>
      <c r="V15" s="15">
        <f>-(L15+M15)+V14</f>
        <v>103.25</v>
      </c>
      <c r="W15" s="17"/>
      <c r="X15" s="15">
        <f>F15-G15</f>
        <v>-2087</v>
      </c>
      <c r="Y15" s="24"/>
      <c r="Z15" s="148">
        <v>655</v>
      </c>
      <c r="AA15" s="24"/>
    </row>
    <row r="16" ht="20.05" customHeight="1">
      <c r="B16" s="21">
        <v>2020</v>
      </c>
      <c r="C16" s="14">
        <v>882</v>
      </c>
      <c r="D16" s="15">
        <v>44.2</v>
      </c>
      <c r="E16" s="15">
        <v>-5.5</v>
      </c>
      <c r="F16" s="15">
        <v>1375</v>
      </c>
      <c r="G16" s="15">
        <v>3663</v>
      </c>
      <c r="H16" s="15">
        <v>8174</v>
      </c>
      <c r="I16" s="15">
        <v>929.8</v>
      </c>
      <c r="J16" s="15">
        <v>-135.7</v>
      </c>
      <c r="K16" s="15">
        <v>-29.7</v>
      </c>
      <c r="L16" s="15">
        <v>18.5</v>
      </c>
      <c r="M16" s="15">
        <v>-11</v>
      </c>
      <c r="N16" s="15">
        <f>SUM(C13:C16)/4</f>
        <v>1016.175</v>
      </c>
      <c r="O16" s="15"/>
      <c r="P16" s="16"/>
      <c r="Q16" s="16">
        <f>((D16+E16)/C16)</f>
        <v>0.0438775510204082</v>
      </c>
      <c r="R16" s="16">
        <f>AVERAGE(Q13:Q16)</f>
        <v>0.07182563559307829</v>
      </c>
      <c r="S16" s="17"/>
      <c r="T16" s="15">
        <f>SUM(J13:K16)/4</f>
        <v>-47.725</v>
      </c>
      <c r="U16" s="17"/>
      <c r="V16" s="15">
        <f>-(L16+M16)+V15</f>
        <v>95.75</v>
      </c>
      <c r="W16" s="17"/>
      <c r="X16" s="15">
        <f>F16-G16</f>
        <v>-2288</v>
      </c>
      <c r="Y16" s="24"/>
      <c r="Z16" s="148">
        <v>440</v>
      </c>
      <c r="AA16" s="24"/>
    </row>
    <row r="17" ht="20.05" customHeight="1">
      <c r="B17" s="13"/>
      <c r="C17" s="14">
        <v>583.7</v>
      </c>
      <c r="D17" s="15">
        <v>40.6</v>
      </c>
      <c r="E17" s="15">
        <v>-109</v>
      </c>
      <c r="F17" s="15">
        <v>1104</v>
      </c>
      <c r="G17" s="15">
        <v>3505</v>
      </c>
      <c r="H17" s="15">
        <v>7822</v>
      </c>
      <c r="I17" s="15">
        <v>653.4</v>
      </c>
      <c r="J17" s="15">
        <v>-284.4</v>
      </c>
      <c r="K17" s="15">
        <v>35.3</v>
      </c>
      <c r="L17" s="15">
        <v>18.5</v>
      </c>
      <c r="M17" s="15">
        <v>-11</v>
      </c>
      <c r="N17" s="15">
        <f>SUM(C14:C17)/4</f>
        <v>914.625</v>
      </c>
      <c r="O17" s="15"/>
      <c r="P17" s="16"/>
      <c r="Q17" s="16">
        <f>((D17+E17)/C17)</f>
        <v>-0.117183484666781</v>
      </c>
      <c r="R17" s="16">
        <f>AVERAGE(Q14:Q17)</f>
        <v>0.0346754357063104</v>
      </c>
      <c r="S17" s="17"/>
      <c r="T17" s="15">
        <f>SUM(J14:K17)/4</f>
        <v>-74.2</v>
      </c>
      <c r="U17" s="17"/>
      <c r="V17" s="15">
        <f>-(L17+M17)+V16</f>
        <v>88.25</v>
      </c>
      <c r="W17" s="17"/>
      <c r="X17" s="15">
        <f>F17-G17</f>
        <v>-2401</v>
      </c>
      <c r="Y17" s="24"/>
      <c r="Z17" s="148">
        <v>390</v>
      </c>
      <c r="AA17" s="24"/>
    </row>
    <row r="18" ht="20.05" customHeight="1">
      <c r="B18" s="13"/>
      <c r="C18" s="14">
        <v>659.4</v>
      </c>
      <c r="D18" s="15">
        <v>50.2</v>
      </c>
      <c r="E18" s="15">
        <v>-68.5</v>
      </c>
      <c r="F18" s="15">
        <v>819</v>
      </c>
      <c r="G18" s="15">
        <v>3556</v>
      </c>
      <c r="H18" s="15">
        <v>7767</v>
      </c>
      <c r="I18" s="15">
        <v>500.4</v>
      </c>
      <c r="J18" s="15">
        <v>-271.6</v>
      </c>
      <c r="K18" s="15">
        <v>-2.2</v>
      </c>
      <c r="L18" s="15">
        <v>18.5</v>
      </c>
      <c r="M18" s="15">
        <v>-11</v>
      </c>
      <c r="N18" s="15">
        <f>SUM(C15:C18)/4</f>
        <v>840.65</v>
      </c>
      <c r="O18" s="15"/>
      <c r="P18" s="16"/>
      <c r="Q18" s="16">
        <f>((D18+E18)/C18)</f>
        <v>-0.0277525022747953</v>
      </c>
      <c r="R18" s="16">
        <f>AVERAGE(Q15:Q18)</f>
        <v>0.00606872435304123</v>
      </c>
      <c r="S18" s="17"/>
      <c r="T18" s="15">
        <f>SUM(J15:K18)/4</f>
        <v>-176.625</v>
      </c>
      <c r="U18" s="17"/>
      <c r="V18" s="15">
        <f>-(L18+M18)+V17</f>
        <v>80.75</v>
      </c>
      <c r="W18" s="17"/>
      <c r="X18" s="15">
        <f>F18-G18</f>
        <v>-2737</v>
      </c>
      <c r="Y18" s="24"/>
      <c r="Z18" s="148">
        <v>430</v>
      </c>
      <c r="AA18" s="24"/>
    </row>
    <row r="19" ht="20.05" customHeight="1">
      <c r="B19" s="13"/>
      <c r="C19" s="14">
        <v>822.2</v>
      </c>
      <c r="D19" s="15">
        <v>-24.3</v>
      </c>
      <c r="E19" s="15">
        <v>105.7</v>
      </c>
      <c r="F19" s="15">
        <v>851</v>
      </c>
      <c r="G19" s="15">
        <v>3394</v>
      </c>
      <c r="H19" s="15">
        <v>7625</v>
      </c>
      <c r="I19" s="15">
        <v>647.3</v>
      </c>
      <c r="J19" s="15">
        <v>-119.1</v>
      </c>
      <c r="K19" s="15">
        <v>92.59999999999999</v>
      </c>
      <c r="L19" s="15">
        <v>18.5</v>
      </c>
      <c r="M19" s="15">
        <v>-11</v>
      </c>
      <c r="N19" s="15">
        <f>SUM(C16:C19)/4</f>
        <v>736.825</v>
      </c>
      <c r="O19" s="15"/>
      <c r="P19" s="16"/>
      <c r="Q19" s="16">
        <f>((D19+E19)/C19)</f>
        <v>0.09900267574799319</v>
      </c>
      <c r="R19" s="16">
        <f>AVERAGE(Q16:Q19)</f>
        <v>-0.000513940043293725</v>
      </c>
      <c r="S19" s="17"/>
      <c r="T19" s="15">
        <f>SUM(J16:K19)/4</f>
        <v>-178.7</v>
      </c>
      <c r="U19" s="17"/>
      <c r="V19" s="15">
        <f>-(L19+M19)+V18</f>
        <v>73.25</v>
      </c>
      <c r="W19" s="17"/>
      <c r="X19" s="15">
        <f>F19-G19</f>
        <v>-2543</v>
      </c>
      <c r="Y19" s="24"/>
      <c r="Z19" s="25">
        <v>575</v>
      </c>
      <c r="AA19" s="24"/>
    </row>
    <row r="20" ht="20.05" customHeight="1">
      <c r="B20" s="21">
        <v>2021</v>
      </c>
      <c r="C20" s="14">
        <v>447.1</v>
      </c>
      <c r="D20" s="15">
        <v>46.6</v>
      </c>
      <c r="E20" s="15">
        <v>-77.59999999999999</v>
      </c>
      <c r="F20" s="15">
        <v>799</v>
      </c>
      <c r="G20" s="15">
        <v>3368</v>
      </c>
      <c r="H20" s="15">
        <v>7551</v>
      </c>
      <c r="I20" s="15">
        <v>498.2</v>
      </c>
      <c r="J20" s="15">
        <v>-59.9</v>
      </c>
      <c r="K20" s="15">
        <v>1.7</v>
      </c>
      <c r="L20" s="15">
        <v>6.291</v>
      </c>
      <c r="M20" s="15">
        <v>0</v>
      </c>
      <c r="N20" s="15">
        <f>SUM(C17:C20)/4</f>
        <v>628.1</v>
      </c>
      <c r="O20" s="15">
        <v>806.74</v>
      </c>
      <c r="P20" s="16"/>
      <c r="Q20" s="16">
        <f>((D20+E20)/C20)</f>
        <v>-0.0693357190785059</v>
      </c>
      <c r="R20" s="16">
        <f>AVERAGE(Q17:Q20)</f>
        <v>-0.0288172575680223</v>
      </c>
      <c r="S20" s="17"/>
      <c r="T20" s="15">
        <f>SUM(J17:K20)/4</f>
        <v>-151.9</v>
      </c>
      <c r="U20" s="17"/>
      <c r="V20" s="15">
        <f>-(L20+M20)+V19</f>
        <v>66.959</v>
      </c>
      <c r="W20" s="17"/>
      <c r="X20" s="15">
        <f>F20-G20</f>
        <v>-2569</v>
      </c>
      <c r="Y20" s="15"/>
      <c r="Z20" s="25">
        <v>482</v>
      </c>
      <c r="AA20" s="17"/>
    </row>
    <row r="21" ht="20.05" customHeight="1">
      <c r="B21" s="13"/>
      <c r="C21" s="14">
        <v>423.9</v>
      </c>
      <c r="D21" s="15">
        <v>45.9</v>
      </c>
      <c r="E21" s="15">
        <v>-116.2</v>
      </c>
      <c r="F21" s="15">
        <v>1062</v>
      </c>
      <c r="G21" s="15">
        <v>3827</v>
      </c>
      <c r="H21" s="15">
        <v>7877</v>
      </c>
      <c r="I21" s="15">
        <v>429.2</v>
      </c>
      <c r="J21" s="15">
        <v>-158.2</v>
      </c>
      <c r="K21" s="15">
        <v>-7</v>
      </c>
      <c r="L21" s="15">
        <v>448.393</v>
      </c>
      <c r="M21" s="15">
        <v>-19.4</v>
      </c>
      <c r="N21" s="15">
        <f>SUM(C18:C21)/4</f>
        <v>588.15</v>
      </c>
      <c r="O21" s="15">
        <v>731.5700000000001</v>
      </c>
      <c r="P21" s="16">
        <f>C21/C20-1</f>
        <v>-0.0518899575039141</v>
      </c>
      <c r="Q21" s="16">
        <f>((D21+E21)/C21)</f>
        <v>-0.165841000235905</v>
      </c>
      <c r="R21" s="16">
        <f>AVERAGE(Q18:Q21)</f>
        <v>-0.0409816364603033</v>
      </c>
      <c r="S21" s="17"/>
      <c r="T21" s="15">
        <f>SUM(J18:K21)/4</f>
        <v>-130.925</v>
      </c>
      <c r="U21" s="17"/>
      <c r="V21" s="15">
        <f>-(L21+M21)+V20</f>
        <v>-362.034</v>
      </c>
      <c r="W21" s="17"/>
      <c r="X21" s="15">
        <f>F21-G21</f>
        <v>-2765</v>
      </c>
      <c r="Y21" s="15"/>
      <c r="Z21" s="25">
        <v>436</v>
      </c>
      <c r="AA21" s="17"/>
    </row>
    <row r="22" ht="20.05" customHeight="1">
      <c r="B22" s="13"/>
      <c r="C22" s="14">
        <v>521.8</v>
      </c>
      <c r="D22" s="15">
        <v>47.7</v>
      </c>
      <c r="E22" s="15">
        <v>-79.09999999999999</v>
      </c>
      <c r="F22" s="15">
        <v>665</v>
      </c>
      <c r="G22" s="15">
        <v>3856</v>
      </c>
      <c r="H22" s="15">
        <v>7822</v>
      </c>
      <c r="I22" s="15">
        <v>448</v>
      </c>
      <c r="J22" s="15">
        <v>-368</v>
      </c>
      <c r="K22" s="15">
        <v>20.8</v>
      </c>
      <c r="L22" s="15">
        <v>-50.781</v>
      </c>
      <c r="M22" s="15">
        <v>0.042</v>
      </c>
      <c r="N22" s="15">
        <f>SUM(C19:C22)/4</f>
        <v>553.75</v>
      </c>
      <c r="O22" s="23">
        <v>653.59275</v>
      </c>
      <c r="P22" s="16">
        <f>C22/C21-1</f>
        <v>0.230950695918849</v>
      </c>
      <c r="Q22" s="16">
        <f>((D22+E22)/C22)</f>
        <v>-0.0601763127635109</v>
      </c>
      <c r="R22" s="16">
        <f>AVERAGE(Q19:Q22)</f>
        <v>-0.0490875890824822</v>
      </c>
      <c r="S22" s="17"/>
      <c r="T22" s="15">
        <f>SUM(J19:K22)/4</f>
        <v>-149.275</v>
      </c>
      <c r="U22" s="17"/>
      <c r="V22" s="15">
        <f>-(L22+M22)+V21</f>
        <v>-311.295</v>
      </c>
      <c r="W22" s="17"/>
      <c r="X22" s="15">
        <f>F22-G22</f>
        <v>-3191</v>
      </c>
      <c r="Y22" s="15"/>
      <c r="Z22" s="25">
        <v>498</v>
      </c>
      <c r="AA22" s="17"/>
    </row>
    <row r="23" ht="20.05" customHeight="1">
      <c r="B23" s="13"/>
      <c r="C23" s="14">
        <v>960.1</v>
      </c>
      <c r="D23" s="15">
        <v>-16.3</v>
      </c>
      <c r="E23" s="15">
        <v>81.7</v>
      </c>
      <c r="F23" s="15">
        <v>782</v>
      </c>
      <c r="G23" s="15">
        <v>3702</v>
      </c>
      <c r="H23" s="15">
        <v>7752</v>
      </c>
      <c r="I23" s="15">
        <v>1049.8</v>
      </c>
      <c r="J23" s="15">
        <v>245.3</v>
      </c>
      <c r="K23" s="15">
        <v>-38.6</v>
      </c>
      <c r="L23" s="15">
        <v>-92.46299999999999</v>
      </c>
      <c r="M23" s="15">
        <v>-0.001</v>
      </c>
      <c r="N23" s="15">
        <f>SUM(C20:C23)/4</f>
        <v>588.225</v>
      </c>
      <c r="O23" s="23">
        <v>612.3127500000001</v>
      </c>
      <c r="P23" s="16">
        <f>C23/C22-1</f>
        <v>0.83997700268302</v>
      </c>
      <c r="Q23" s="16">
        <f>((D23+E23)/C23)</f>
        <v>0.0681179043849599</v>
      </c>
      <c r="R23" s="16">
        <f>AVERAGE(Q20:Q23)</f>
        <v>-0.0568087819232405</v>
      </c>
      <c r="S23" s="17"/>
      <c r="T23" s="15">
        <f>SUM(J20:K23)/4</f>
        <v>-90.97499999999999</v>
      </c>
      <c r="U23" s="17"/>
      <c r="V23" s="15">
        <f>-(L23+M23)+V22</f>
        <v>-218.831</v>
      </c>
      <c r="W23" s="17"/>
      <c r="X23" s="15">
        <f>F23-G23</f>
        <v>-2920</v>
      </c>
      <c r="Y23" s="15"/>
      <c r="Z23" s="25">
        <v>484</v>
      </c>
      <c r="AA23" s="17"/>
    </row>
    <row r="24" ht="20.05" customHeight="1">
      <c r="B24" s="21">
        <v>2022</v>
      </c>
      <c r="C24" s="14">
        <v>766.4</v>
      </c>
      <c r="D24" s="15">
        <v>45</v>
      </c>
      <c r="E24" s="15">
        <v>-66</v>
      </c>
      <c r="F24" s="15">
        <v>711</v>
      </c>
      <c r="G24" s="15">
        <v>4045</v>
      </c>
      <c r="H24" s="15">
        <v>8037</v>
      </c>
      <c r="I24" s="15">
        <v>512.1</v>
      </c>
      <c r="J24" s="15">
        <v>-285.6</v>
      </c>
      <c r="K24" s="15">
        <v>-19.8</v>
      </c>
      <c r="L24" s="15">
        <v>235.664</v>
      </c>
      <c r="M24" s="15">
        <v>0</v>
      </c>
      <c r="N24" s="15">
        <f>SUM(C21:C24)/4</f>
        <v>668.05</v>
      </c>
      <c r="O24" s="23">
        <v>563.3027499999999</v>
      </c>
      <c r="P24" s="16">
        <f>C24/C23-1</f>
        <v>-0.20174981772732</v>
      </c>
      <c r="Q24" s="16">
        <f>((D24+E24)/C24)</f>
        <v>-0.0274008350730689</v>
      </c>
      <c r="R24" s="16">
        <f>AVERAGE(Q21:Q24)</f>
        <v>-0.0463250609218812</v>
      </c>
      <c r="S24" s="35"/>
      <c r="T24" s="15">
        <f>SUM(J21:K24)/4</f>
        <v>-152.775</v>
      </c>
      <c r="U24" s="15">
        <v>28.8471</v>
      </c>
      <c r="V24" s="15">
        <f>-(L24+M24)+V23</f>
        <v>-454.495</v>
      </c>
      <c r="W24" s="15"/>
      <c r="X24" s="15">
        <f>F24-G24</f>
        <v>-3334</v>
      </c>
      <c r="Y24" s="15">
        <v>-3092.430953333330</v>
      </c>
      <c r="Z24" s="25">
        <v>396</v>
      </c>
      <c r="AA24" s="26">
        <v>390.122108657808</v>
      </c>
    </row>
    <row r="25" ht="20.05" customHeight="1">
      <c r="B25" s="13"/>
      <c r="C25" s="14">
        <v>782.2</v>
      </c>
      <c r="D25" s="15">
        <v>38.1</v>
      </c>
      <c r="E25" s="15">
        <v>158.1</v>
      </c>
      <c r="F25" s="15">
        <v>1148</v>
      </c>
      <c r="G25" s="15">
        <v>4097</v>
      </c>
      <c r="H25" s="15">
        <v>8216</v>
      </c>
      <c r="I25" s="15">
        <v>832.9</v>
      </c>
      <c r="J25" s="15">
        <v>-18.6</v>
      </c>
      <c r="K25" s="15">
        <v>486</v>
      </c>
      <c r="L25" s="15">
        <v>-21.592</v>
      </c>
      <c r="M25" s="15">
        <v>-12.3</v>
      </c>
      <c r="N25" s="15">
        <f>SUM(C22:C25)/4</f>
        <v>757.625</v>
      </c>
      <c r="O25" s="23">
        <v>619.17525</v>
      </c>
      <c r="P25" s="16">
        <f>C25/C24-1</f>
        <v>0.020615866388309</v>
      </c>
      <c r="Q25" s="16">
        <f>((D25+E25)/C25)</f>
        <v>0.250830989516748</v>
      </c>
      <c r="R25" s="16">
        <f>AVERAGE(Q22:Q25)</f>
        <v>0.057842936516282</v>
      </c>
      <c r="S25" s="35"/>
      <c r="T25" s="15">
        <f>SUM(J22:K25)/4</f>
        <v>5.375</v>
      </c>
      <c r="U25" s="15">
        <v>-0.203537762276</v>
      </c>
      <c r="V25" s="15">
        <f>-(L25+M25)+V24</f>
        <v>-420.603</v>
      </c>
      <c r="W25" s="15"/>
      <c r="X25" s="15">
        <f>F25-G25</f>
        <v>-2949</v>
      </c>
      <c r="Y25" s="15">
        <v>-3334.813715341840</v>
      </c>
      <c r="Z25" s="15">
        <v>390</v>
      </c>
      <c r="AA25" s="26">
        <v>318.599722070543</v>
      </c>
    </row>
    <row r="26" ht="20.05" customHeight="1">
      <c r="B26" s="13"/>
      <c r="C26" s="14">
        <v>920.4</v>
      </c>
      <c r="D26" s="15">
        <v>42.4</v>
      </c>
      <c r="E26" s="15">
        <v>3.7</v>
      </c>
      <c r="F26" s="15">
        <v>1128</v>
      </c>
      <c r="G26" s="15">
        <v>4161</v>
      </c>
      <c r="H26" s="15">
        <v>8299</v>
      </c>
      <c r="I26" s="15">
        <v>985.3</v>
      </c>
      <c r="J26" s="15">
        <v>29.2</v>
      </c>
      <c r="K26" s="15">
        <v>-29.1</v>
      </c>
      <c r="L26" s="15">
        <v>-8.5</v>
      </c>
      <c r="M26" s="15">
        <v>0</v>
      </c>
      <c r="N26" s="15">
        <f>AVERAGE(C26)</f>
        <v>920.4</v>
      </c>
      <c r="O26" s="23">
        <v>735.2315</v>
      </c>
      <c r="P26" s="16">
        <f>C26/C25-1</f>
        <v>0.176681155714651</v>
      </c>
      <c r="Q26" s="16">
        <f>((D26+E26)/C26)</f>
        <v>0.0500869187309865</v>
      </c>
      <c r="R26" s="16">
        <f>AVERAGE(Q23:Q26)</f>
        <v>0.08540874438990639</v>
      </c>
      <c r="S26" s="35">
        <f>S27</f>
        <v>0.0716258404530942</v>
      </c>
      <c r="T26" s="15">
        <f>SUM(J23:K26)/4</f>
        <v>92.2</v>
      </c>
      <c r="U26" s="15">
        <v>4.624948313369</v>
      </c>
      <c r="V26" s="15">
        <f>-(L26+M26)+V25</f>
        <v>-412.103</v>
      </c>
      <c r="W26" s="15">
        <f>W27</f>
        <v>-227.381329025306</v>
      </c>
      <c r="X26" s="15">
        <f>F26-G26</f>
        <v>-3033</v>
      </c>
      <c r="Y26" s="15">
        <v>-2930.500206746520</v>
      </c>
      <c r="Z26" s="15">
        <v>356</v>
      </c>
      <c r="AA26" s="26">
        <v>374.181828727734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AVERAGE(AC37:AF37)</f>
        <v>1051.023168</v>
      </c>
      <c r="P27" s="17"/>
      <c r="Q27" s="17"/>
      <c r="R27" s="17"/>
      <c r="S27" s="35">
        <f>AC38</f>
        <v>0.0716258404530942</v>
      </c>
      <c r="T27" s="17"/>
      <c r="U27" s="15">
        <f>SUM(AC40:AF40)/4</f>
        <v>46.1804177436736</v>
      </c>
      <c r="V27" s="17"/>
      <c r="W27" s="15">
        <f>-SUM(AC61:AF61)+V26</f>
        <v>-227.381329025306</v>
      </c>
      <c r="X27" s="17"/>
      <c r="Y27" s="15">
        <f>AF60</f>
        <v>-2848.278329025310</v>
      </c>
      <c r="Z27" s="15">
        <v>260</v>
      </c>
      <c r="AA27" s="26">
        <v>318.599722070543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4704.3</v>
      </c>
      <c r="O28" s="15">
        <f>SUM(O20:O26)</f>
        <v>4721.925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AF73</f>
        <v>324.889612708026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1" ht="27.65" customHeight="1">
      <c r="AB31" t="s" s="2">
        <v>170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ht="20.25" customHeight="1">
      <c r="AB32" t="s" s="28">
        <v>366</v>
      </c>
      <c r="AC32" t="s" s="29">
        <v>24</v>
      </c>
      <c r="AD32" t="s" s="29">
        <v>25</v>
      </c>
      <c r="AE32" t="s" s="29">
        <v>26</v>
      </c>
      <c r="AF32" t="s" s="29">
        <v>23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</row>
    <row r="33" ht="20.25" customHeight="1">
      <c r="AB33" t="s" s="31">
        <v>15</v>
      </c>
      <c r="AC33" s="32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ht="20.05" customHeight="1">
      <c r="AB34" t="s" s="33">
        <v>27</v>
      </c>
      <c r="AC34" s="71">
        <f>AVERAGE(P23:P26)</f>
        <v>0.208881051764665</v>
      </c>
      <c r="AD34" s="35"/>
      <c r="AE34" s="35"/>
      <c r="AF34" s="35">
        <f>AVERAGE(AC36:AF36)</f>
        <v>0.055</v>
      </c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</row>
    <row r="35" ht="20.05" customHeight="1">
      <c r="AB35" s="36"/>
      <c r="AC35" s="37">
        <f>P23</f>
        <v>0.83997700268302</v>
      </c>
      <c r="AD35" s="35">
        <f>P24</f>
        <v>-0.20174981772732</v>
      </c>
      <c r="AE35" s="35">
        <f>P25</f>
        <v>0.020615866388309</v>
      </c>
      <c r="AF35" s="35">
        <f>P26</f>
        <v>0.176681155714651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</row>
    <row r="36" ht="20.05" customHeight="1">
      <c r="AB36" t="s" s="33">
        <v>13</v>
      </c>
      <c r="AC36" s="37">
        <v>0.3</v>
      </c>
      <c r="AD36" s="35">
        <v>-0.2</v>
      </c>
      <c r="AE36" s="35">
        <v>0.02</v>
      </c>
      <c r="AF36" s="35">
        <v>0.1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20.05" customHeight="1">
      <c r="AB37" t="s" s="33">
        <v>28</v>
      </c>
      <c r="AC37" s="38">
        <f>C26*(1+AC36)</f>
        <v>1196.52</v>
      </c>
      <c r="AD37" s="23">
        <f>AC37*(1+AD36)</f>
        <v>957.216</v>
      </c>
      <c r="AE37" s="23">
        <f>AD37*(1+AE36)</f>
        <v>976.36032</v>
      </c>
      <c r="AF37" s="23">
        <f>AE37*(1+AF36)</f>
        <v>1073.996352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</row>
    <row r="38" ht="20.05" customHeight="1">
      <c r="AB38" t="s" s="33">
        <v>14</v>
      </c>
      <c r="AC38" s="37">
        <f>AVERAGE(R25:R26)</f>
        <v>0.0716258404530942</v>
      </c>
      <c r="AD38" s="35">
        <f>AC38</f>
        <v>0.0716258404530942</v>
      </c>
      <c r="AE38" s="35">
        <f>AD38</f>
        <v>0.0716258404530942</v>
      </c>
      <c r="AF38" s="35">
        <f>AE38</f>
        <v>0.0716258404530942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B39" t="s" s="33">
        <v>29</v>
      </c>
      <c r="AC39" s="14">
        <f>AVERAGE(K26)</f>
        <v>-29.1</v>
      </c>
      <c r="AD39" s="15">
        <f>AC39</f>
        <v>-29.1</v>
      </c>
      <c r="AE39" s="15">
        <f>AD39</f>
        <v>-29.1</v>
      </c>
      <c r="AF39" s="15">
        <f>AE39</f>
        <v>-29.1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ht="20.05" customHeight="1">
      <c r="AB40" t="s" s="33">
        <v>30</v>
      </c>
      <c r="AC40" s="14">
        <f>(AC37*AC38)+AC39</f>
        <v>56.6017506189363</v>
      </c>
      <c r="AD40" s="15">
        <f>(AD37*AD38)+AD39</f>
        <v>39.461400495149</v>
      </c>
      <c r="AE40" s="15">
        <f>(AE37*AE38)+AE39</f>
        <v>40.832628505052</v>
      </c>
      <c r="AF40" s="15">
        <f>(AF37*AF38)+AF39</f>
        <v>47.8258913555572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ht="20.05" customHeight="1">
      <c r="AB41" t="s" s="33">
        <v>31</v>
      </c>
      <c r="AC41" s="14">
        <f>-G26/20</f>
        <v>-208.05</v>
      </c>
      <c r="AD41" s="15">
        <f>-AC56/20</f>
        <v>-197.6475</v>
      </c>
      <c r="AE41" s="15">
        <f>-AD56/20</f>
        <v>-187.765125</v>
      </c>
      <c r="AF41" s="15">
        <f>-AE56/20</f>
        <v>-178.37686875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ht="20.05" customHeight="1">
      <c r="AB42" t="s" s="33">
        <v>32</v>
      </c>
      <c r="AC42" s="39">
        <v>0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ht="20.05" customHeight="1">
      <c r="AB43" t="s" s="33">
        <v>33</v>
      </c>
      <c r="AC43" s="14">
        <f>IF(AC51&gt;0,AC51*$AC$42,0)</f>
        <v>0</v>
      </c>
      <c r="AD43" s="15">
        <f>IF(AD51&gt;0,AD51*$AC$42,0)</f>
        <v>0</v>
      </c>
      <c r="AE43" s="15">
        <f>IF(AE51&gt;0,AE51*$AC$42,0)</f>
        <v>0</v>
      </c>
      <c r="AF43" s="15">
        <f>IF(AF51&gt;0,AF51*$AC$42,0)</f>
        <v>0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34</v>
      </c>
      <c r="AC44" s="14">
        <f>AC40+AC41+AC43</f>
        <v>-151.448249381064</v>
      </c>
      <c r="AD44" s="15">
        <f>AD40+AD41+AD43</f>
        <v>-158.186099504851</v>
      </c>
      <c r="AE44" s="15">
        <f>AE40+AE41+AE43</f>
        <v>-146.932496494948</v>
      </c>
      <c r="AF44" s="15">
        <f>AF40+AF41+AF43</f>
        <v>-130.550977394443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35</v>
      </c>
      <c r="AC45" s="14">
        <f>-MIN(0,AC44)</f>
        <v>151.448249381064</v>
      </c>
      <c r="AD45" s="15">
        <f>-MIN(AC57,AD44)</f>
        <v>158.186099504851</v>
      </c>
      <c r="AE45" s="15">
        <f>-MIN(AD57,AE44)</f>
        <v>146.932496494948</v>
      </c>
      <c r="AF45" s="15">
        <f>-MIN(AE57,AF44)</f>
        <v>130.550977394443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36</v>
      </c>
      <c r="AC46" s="14">
        <f>F26</f>
        <v>1128</v>
      </c>
      <c r="AD46" s="15">
        <f>AC48</f>
        <v>1128</v>
      </c>
      <c r="AE46" s="15">
        <f>AD48</f>
        <v>1128</v>
      </c>
      <c r="AF46" s="15">
        <f>AE48</f>
        <v>1128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37</v>
      </c>
      <c r="AC47" s="14">
        <f>AC40+AC41+AC43+AC45</f>
        <v>3e-13</v>
      </c>
      <c r="AD47" s="15">
        <f>AD40+AD41+AD43+AD45</f>
        <v>0</v>
      </c>
      <c r="AE47" s="15">
        <f>AE40+AE41+AE43+AE45</f>
        <v>0</v>
      </c>
      <c r="AF47" s="15">
        <f>AF40+AF41+AF43+AF45</f>
        <v>2e-13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38</v>
      </c>
      <c r="AC48" s="14">
        <f>AC46+AC47</f>
        <v>1128</v>
      </c>
      <c r="AD48" s="15">
        <f>AD46+AD47</f>
        <v>1128</v>
      </c>
      <c r="AE48" s="15">
        <f>AE46+AE47</f>
        <v>1128</v>
      </c>
      <c r="AF48" s="15">
        <f>AF46+AF47</f>
        <v>1128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41">
        <v>4</v>
      </c>
      <c r="AC49" s="14"/>
      <c r="AD49" s="15"/>
      <c r="AE49" s="15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ht="20.05" customHeight="1">
      <c r="AB50" t="s" s="33">
        <v>3</v>
      </c>
      <c r="AC50" s="14">
        <f>-AVERAGE(D24:D26)</f>
        <v>-41.8333333333333</v>
      </c>
      <c r="AD50" s="15">
        <f>AC50</f>
        <v>-41.8333333333333</v>
      </c>
      <c r="AE50" s="15">
        <f>AD50</f>
        <v>-41.8333333333333</v>
      </c>
      <c r="AF50" s="15">
        <f>AE50</f>
        <v>-41.8333333333333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4</v>
      </c>
      <c r="AC51" s="14">
        <f>(AC37*AC38)+AC50</f>
        <v>43.868417285603</v>
      </c>
      <c r="AD51" s="15">
        <f>(AD37*AD38)+AD50</f>
        <v>26.7280671618157</v>
      </c>
      <c r="AE51" s="15">
        <f>(AE37*AE38)+AE50</f>
        <v>28.0992951717187</v>
      </c>
      <c r="AF51" s="15">
        <f>(AF37*AF38)+AF50</f>
        <v>35.0925580222239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41">
        <v>39</v>
      </c>
      <c r="AC52" s="14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40</v>
      </c>
      <c r="AC53" s="14">
        <f>H26-F26-AC39</f>
        <v>7200.1</v>
      </c>
      <c r="AD53" s="15">
        <f>AC53-AD39</f>
        <v>7229.2</v>
      </c>
      <c r="AE53" s="15">
        <f>AD53-AE39</f>
        <v>7258.3</v>
      </c>
      <c r="AF53" s="15">
        <f>AE53-AF39</f>
        <v>7287.4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33">
        <v>41</v>
      </c>
      <c r="AC54" s="14">
        <f>0-AC50</f>
        <v>41.8333333333333</v>
      </c>
      <c r="AD54" s="15">
        <f>AC54-AD50</f>
        <v>83.6666666666666</v>
      </c>
      <c r="AE54" s="15">
        <f>AD54-AE50</f>
        <v>125.5</v>
      </c>
      <c r="AF54" s="15">
        <f>AE54-AF50</f>
        <v>167.333333333333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42</v>
      </c>
      <c r="AC55" s="14">
        <f>AC53-AC54</f>
        <v>7158.266666666670</v>
      </c>
      <c r="AD55" s="15">
        <f>AD53-AD54</f>
        <v>7145.533333333330</v>
      </c>
      <c r="AE55" s="15">
        <f>AE53-AE54</f>
        <v>7132.8</v>
      </c>
      <c r="AF55" s="15">
        <f>AF53-AF54</f>
        <v>7120.066666666670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6</v>
      </c>
      <c r="AC56" s="14">
        <f>G26+AC41</f>
        <v>3952.95</v>
      </c>
      <c r="AD56" s="15">
        <f>AC56+AD41</f>
        <v>3755.3025</v>
      </c>
      <c r="AE56" s="15">
        <f>AD56+AE41</f>
        <v>3567.537375</v>
      </c>
      <c r="AF56" s="15">
        <f>AE56+AF41</f>
        <v>3389.16050625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35</v>
      </c>
      <c r="AC57" s="14">
        <f>AC45</f>
        <v>151.448249381064</v>
      </c>
      <c r="AD57" s="15">
        <f>AC57+AD45</f>
        <v>309.634348885915</v>
      </c>
      <c r="AE57" s="15">
        <f>AD57+AE45</f>
        <v>456.566845380863</v>
      </c>
      <c r="AF57" s="15">
        <f>AE57+AF45</f>
        <v>587.117822775306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11</v>
      </c>
      <c r="AC58" s="14">
        <f>(H26-G26)+AC51+AC43</f>
        <v>4181.8684172856</v>
      </c>
      <c r="AD58" s="15">
        <f>AC58+AD51+AD43</f>
        <v>4208.596484447420</v>
      </c>
      <c r="AE58" s="15">
        <f>AD58+AE51+AE43</f>
        <v>4236.695779619140</v>
      </c>
      <c r="AF58" s="15">
        <f>AE58+AF51+AF43</f>
        <v>4271.788337641360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43</v>
      </c>
      <c r="AC59" s="14">
        <f>AC56+AC57+AC58-AC48-AC55</f>
        <v>-6e-12</v>
      </c>
      <c r="AD59" s="15">
        <f>AD56+AD57+AD58-AD48-AD55</f>
        <v>5e-12</v>
      </c>
      <c r="AE59" s="15">
        <f>AE56+AE57+AE58-AE48-AE55</f>
        <v>3e-12</v>
      </c>
      <c r="AF59" s="15">
        <f>AF56+AF57+AF58-AF48-AF55</f>
        <v>-4e-12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18</v>
      </c>
      <c r="AC60" s="14">
        <f>AC48-AC56-AC57</f>
        <v>-2976.398249381060</v>
      </c>
      <c r="AD60" s="15">
        <f>AD48-AD56-AD57</f>
        <v>-2936.936848885920</v>
      </c>
      <c r="AE60" s="15">
        <f>AE48-AE56-AE57</f>
        <v>-2896.104220380860</v>
      </c>
      <c r="AF60" s="15">
        <f>AF48-AF56-AF57</f>
        <v>-2848.278329025310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44</v>
      </c>
      <c r="AC61" s="14">
        <f>AC41+AC43+AC45</f>
        <v>-56.601750618936</v>
      </c>
      <c r="AD61" s="15">
        <f>AD41+AD43+AD45</f>
        <v>-39.461400495149</v>
      </c>
      <c r="AE61" s="15">
        <f>AE41+AE43+AE45</f>
        <v>-40.832628505052</v>
      </c>
      <c r="AF61" s="15">
        <f>AF41+AF43+AF45</f>
        <v>-47.825891355557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45</v>
      </c>
      <c r="AC62" s="14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170</v>
      </c>
      <c r="AC63" s="14"/>
      <c r="AD63" s="15"/>
      <c r="AE63" s="15"/>
      <c r="AF63" s="15">
        <v>260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33">
        <f>$AB63</f>
        <v>765</v>
      </c>
      <c r="AC64" s="14"/>
      <c r="AD64" s="15"/>
      <c r="AE64" s="15"/>
      <c r="AF64" s="15">
        <v>1182620375040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46</v>
      </c>
      <c r="AC65" s="14"/>
      <c r="AD65" s="15"/>
      <c r="AE65" s="15"/>
      <c r="AF65" s="15">
        <f>AF64/1000000000</f>
        <v>1182.62037504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47</v>
      </c>
      <c r="AC66" s="14"/>
      <c r="AD66" s="15"/>
      <c r="AE66" s="15"/>
      <c r="AF66" s="15">
        <f>AF65/AF63</f>
        <v>4.548539904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48</v>
      </c>
      <c r="AC67" s="14"/>
      <c r="AD67" s="15"/>
      <c r="AE67" s="15"/>
      <c r="AF67" s="43">
        <f>AF65/(AF48+AF55)</f>
        <v>0.143381524766208</v>
      </c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</row>
    <row r="68" ht="20.05" customHeight="1">
      <c r="AB68" t="s" s="33">
        <v>49</v>
      </c>
      <c r="AC68" s="14"/>
      <c r="AD68" s="15"/>
      <c r="AE68" s="15"/>
      <c r="AF68" s="16">
        <f>-(AC43+AD43+AE43+AF43)/AF65</f>
        <v>0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ht="20.05" customHeight="1">
      <c r="AB69" t="s" s="33">
        <v>50</v>
      </c>
      <c r="AC69" s="14"/>
      <c r="AD69" s="15"/>
      <c r="AE69" s="15"/>
      <c r="AF69" s="15">
        <f>SUM(AC40:AF40)</f>
        <v>184.721670974695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51</v>
      </c>
      <c r="AC70" s="14"/>
      <c r="AD70" s="15"/>
      <c r="AE70" s="15"/>
      <c r="AF70" s="15">
        <f>(H26+F26)/AF69</f>
        <v>51.033535752778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52</v>
      </c>
      <c r="AC71" s="14"/>
      <c r="AD71" s="15"/>
      <c r="AE71" s="15">
        <f>AF65/AF69</f>
        <v>6.40217451910126</v>
      </c>
      <c r="AF71" s="15">
        <v>8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53</v>
      </c>
      <c r="AC72" s="14"/>
      <c r="AD72" s="15"/>
      <c r="AE72" s="15"/>
      <c r="AF72" s="15">
        <f>AF69*AF71</f>
        <v>1477.773367797560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B73" t="s" s="33">
        <v>54</v>
      </c>
      <c r="AC73" s="14"/>
      <c r="AD73" s="15"/>
      <c r="AE73" s="15"/>
      <c r="AF73" s="15">
        <f>(AF72/AF66)</f>
        <v>324.889612708026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55</v>
      </c>
      <c r="AC74" s="38"/>
      <c r="AD74" s="23"/>
      <c r="AE74" s="23"/>
      <c r="AF74" s="16">
        <f>AF73/AF63-1</f>
        <v>0.249575433492408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ht="20.05" customHeight="1">
      <c r="AB75" t="s" s="33">
        <v>56</v>
      </c>
      <c r="AC75" s="38"/>
      <c r="AD75" s="23"/>
      <c r="AE75" s="23"/>
      <c r="AF75" s="16">
        <f>C26/C22-1</f>
        <v>0.763894212341893</v>
      </c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ht="20.05" customHeight="1">
      <c r="AB76" t="s" s="33">
        <v>57</v>
      </c>
      <c r="AC76" s="38"/>
      <c r="AD76" s="23"/>
      <c r="AE76" s="23"/>
      <c r="AF76" s="16">
        <f>O28/N28-1</f>
        <v>0.00374657228493081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ht="20.05" customHeight="1">
      <c r="AB77" s="36"/>
      <c r="AC77" s="38"/>
      <c r="AD77" s="23"/>
      <c r="AE77" s="23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B78" s="36"/>
      <c r="AC78" s="38"/>
      <c r="AD78" s="23"/>
      <c r="AE78" s="23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B79" s="36"/>
      <c r="AC79" t="s" s="45">
        <f>$AB63</f>
        <v>765</v>
      </c>
      <c r="AD79" t="s" s="44">
        <v>60</v>
      </c>
      <c r="AE79" s="15">
        <f>AF63</f>
        <v>260</v>
      </c>
      <c r="AF79" t="s" s="44">
        <v>61</v>
      </c>
      <c r="AG79" s="15">
        <f>AF73</f>
        <v>324.889612708026</v>
      </c>
      <c r="AH79" t="s" s="44">
        <f>IF(AI79&gt;0,"+","")</f>
        <v>361</v>
      </c>
      <c r="AI79" s="16">
        <f>AG79/AE79-1</f>
        <v>0.249575433492408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ht="20.05" customHeight="1">
      <c r="AB80" s="36"/>
      <c r="AC80" s="46">
        <f>TODAY()</f>
        <v>44942</v>
      </c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ht="32.05" customHeight="1">
      <c r="AB81" s="36"/>
      <c r="AC81" t="s" s="45">
        <v>62</v>
      </c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ht="32.05" customHeight="1">
      <c r="AB82" s="36"/>
      <c r="AC82" t="s" s="45">
        <v>63</v>
      </c>
      <c r="AD82" t="s" s="44">
        <v>64</v>
      </c>
      <c r="AE82" t="s" s="44">
        <f>IF(AF82&gt;0,"+","")</f>
        <v>361</v>
      </c>
      <c r="AF82" s="16">
        <f>AG89/AC89-1</f>
        <v>0.763894212341893</v>
      </c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32.05" customHeight="1">
      <c r="AB83" s="36"/>
      <c r="AC83" t="s" s="45">
        <v>63</v>
      </c>
      <c r="AD83" t="s" s="44">
        <v>65</v>
      </c>
      <c r="AE83" t="s" s="44">
        <f>IF(AF83&gt;0,"+","")</f>
        <v>361</v>
      </c>
      <c r="AF83" s="16">
        <f>SUM(AD102:AG103)/AD119</f>
        <v>0.311849861361915</v>
      </c>
      <c r="AG83" t="s" s="44">
        <v>66</v>
      </c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32.05" customHeight="1">
      <c r="AB84" s="36"/>
      <c r="AC84" t="s" s="45">
        <v>63</v>
      </c>
      <c r="AD84" t="s" s="44">
        <v>17</v>
      </c>
      <c r="AE84" t="s" s="44">
        <f>IF(AF84&gt;0,"+","")</f>
      </c>
      <c r="AF84" s="16">
        <f>SUM(AD116:AG117)/AD119</f>
        <v>-0.0852412169852818</v>
      </c>
      <c r="AG84" t="s" s="44">
        <f>AG83</f>
        <v>66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32.05" customHeight="1">
      <c r="AB85" s="36"/>
      <c r="AC85" t="s" s="45">
        <v>68</v>
      </c>
      <c r="AD85" t="s" s="44">
        <v>369</v>
      </c>
      <c r="AE85" s="16">
        <f>AN112/AD119</f>
        <v>-2.56464378934568</v>
      </c>
      <c r="AF85" t="s" s="44">
        <f>AG84</f>
        <v>66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20.05" customHeight="1">
      <c r="AB86" s="36"/>
      <c r="AC86" t="s" s="45">
        <v>28</v>
      </c>
      <c r="AD86" t="s" s="44">
        <f>AD90</f>
        <v>362</v>
      </c>
      <c r="AE86" s="16">
        <f>AE90</f>
        <v>0.176681155714651</v>
      </c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32.05" customHeight="1">
      <c r="AB87" s="36"/>
      <c r="AC87" t="s" s="45">
        <v>70</v>
      </c>
      <c r="AD87" t="s" s="44">
        <v>371</v>
      </c>
      <c r="AE87" t="s" s="44">
        <f>AK90</f>
        <v>372</v>
      </c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20.05" customHeight="1">
      <c r="AB88" s="36"/>
      <c r="AC88" s="71">
        <f>P22</f>
        <v>0.230950695918849</v>
      </c>
      <c r="AD88" s="16">
        <f>P23</f>
        <v>0.83997700268302</v>
      </c>
      <c r="AE88" s="16">
        <f>P24</f>
        <v>-0.20174981772732</v>
      </c>
      <c r="AF88" s="16">
        <f>P25</f>
        <v>0.020615866388309</v>
      </c>
      <c r="AG88" s="16">
        <f>P26</f>
        <v>0.176681155714651</v>
      </c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B89" s="36"/>
      <c r="AC89" s="14">
        <f>C22</f>
        <v>521.8</v>
      </c>
      <c r="AD89" s="15">
        <f>C23</f>
        <v>960.1</v>
      </c>
      <c r="AE89" s="15">
        <f>C24</f>
        <v>766.4</v>
      </c>
      <c r="AF89" s="15">
        <f>C25</f>
        <v>782.2</v>
      </c>
      <c r="AG89" s="15">
        <f>C26</f>
        <v>920.4</v>
      </c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44.05" customHeight="1">
      <c r="AB90" s="36"/>
      <c r="AC90" t="s" s="45">
        <v>2</v>
      </c>
      <c r="AD90" t="s" s="44">
        <f>IF(AE90&lt;0,"declined","grew")</f>
        <v>362</v>
      </c>
      <c r="AE90" s="16">
        <f>AG89/AF89-1</f>
        <v>0.176681155714651</v>
      </c>
      <c r="AF90" t="s" s="44">
        <v>73</v>
      </c>
      <c r="AG90" t="s" s="44">
        <v>74</v>
      </c>
      <c r="AH90" t="s" s="44">
        <v>75</v>
      </c>
      <c r="AI90" t="s" s="44">
        <v>76</v>
      </c>
      <c r="AJ90" s="15">
        <f>AG89</f>
        <v>920.4</v>
      </c>
      <c r="AK90" t="s" s="44">
        <v>372</v>
      </c>
      <c r="AL90" t="s" s="44">
        <v>378</v>
      </c>
      <c r="AM90" s="16">
        <v>0.0297063450445726</v>
      </c>
      <c r="AN90" t="s" s="44">
        <v>78</v>
      </c>
      <c r="AO90" s="17"/>
      <c r="AP90" s="17"/>
      <c r="AQ90" s="17"/>
      <c r="AR90" s="17"/>
      <c r="AS90" s="17"/>
      <c r="AT90" s="17"/>
    </row>
    <row r="91" ht="56.05" customHeight="1">
      <c r="AB91" s="36"/>
      <c r="AC91" t="s" s="45">
        <v>79</v>
      </c>
      <c r="AD91" s="16">
        <f>AVERAGE(AD88:AG88)</f>
        <v>0.208881051764665</v>
      </c>
      <c r="AE91" t="s" s="44">
        <v>80</v>
      </c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56.05" customHeight="1">
      <c r="AB92" s="36"/>
      <c r="AC92" t="s" s="45">
        <v>81</v>
      </c>
      <c r="AD92" s="35">
        <f>AF34</f>
        <v>0.055</v>
      </c>
      <c r="AE92" t="s" s="44">
        <v>82</v>
      </c>
      <c r="AF92" t="s" s="44">
        <v>83</v>
      </c>
      <c r="AG92" s="23">
        <f>AF37</f>
        <v>1073.996352</v>
      </c>
      <c r="AH92" t="s" s="44">
        <f>AK90</f>
        <v>372</v>
      </c>
      <c r="AI92" t="s" s="44">
        <v>84</v>
      </c>
      <c r="AJ92" t="s" s="44">
        <f>AG90</f>
        <v>74</v>
      </c>
      <c r="AK92" t="s" s="44">
        <f>AH90</f>
        <v>75</v>
      </c>
      <c r="AL92" t="s" s="44">
        <v>85</v>
      </c>
      <c r="AM92" s="17"/>
      <c r="AN92" s="17"/>
      <c r="AO92" s="17"/>
      <c r="AP92" s="17"/>
      <c r="AQ92" s="17"/>
      <c r="AR92" s="17"/>
      <c r="AS92" s="17"/>
      <c r="AT92" s="17"/>
    </row>
    <row r="93" ht="20.05" customHeight="1">
      <c r="AB93" s="36"/>
      <c r="AC93" t="s" s="45">
        <v>14</v>
      </c>
      <c r="AD93" t="s" s="44">
        <f>IF(AF97&lt;AD97,"down","up")</f>
        <v>87</v>
      </c>
      <c r="AE93" t="s" s="44">
        <v>86</v>
      </c>
      <c r="AF93" t="s" s="44">
        <f>IF(AJ97&gt;AH97,"up","down")</f>
        <v>87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44.05" customHeight="1">
      <c r="AB94" s="36"/>
      <c r="AC94" t="s" s="45">
        <f>AC87</f>
        <v>70</v>
      </c>
      <c r="AD94" t="s" s="44">
        <v>88</v>
      </c>
      <c r="AE94" t="s" s="44">
        <f>AK90</f>
        <v>372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B95" s="36"/>
      <c r="AC95" s="71">
        <f>(D22+E22)/C22</f>
        <v>-0.0601763127635109</v>
      </c>
      <c r="AD95" s="16">
        <f>(D23+E23)/C23</f>
        <v>0.0681179043849599</v>
      </c>
      <c r="AE95" s="16">
        <f>((E24+D24)/C24)</f>
        <v>-0.0274008350730689</v>
      </c>
      <c r="AF95" s="16">
        <f>(D25+E25)/C25</f>
        <v>0.250830989516748</v>
      </c>
      <c r="AG95" s="16">
        <f>(D26+E26)/C26</f>
        <v>0.0500869187309865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B96" s="36"/>
      <c r="AC96" s="14">
        <f>E22</f>
        <v>-79.09999999999999</v>
      </c>
      <c r="AD96" s="15">
        <f>E23</f>
        <v>81.7</v>
      </c>
      <c r="AE96" s="15">
        <f>E24</f>
        <v>-66</v>
      </c>
      <c r="AF96" s="15">
        <f>E25</f>
        <v>158.1</v>
      </c>
      <c r="AG96" s="15">
        <f>E26</f>
        <v>3.7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44.05" customHeight="1">
      <c r="AB97" s="36"/>
      <c r="AC97" t="s" s="45">
        <v>89</v>
      </c>
      <c r="AD97" s="16">
        <f>AF95</f>
        <v>0.250830989516748</v>
      </c>
      <c r="AE97" t="s" s="44">
        <v>76</v>
      </c>
      <c r="AF97" s="16">
        <f>AG95</f>
        <v>0.0500869187309865</v>
      </c>
      <c r="AG97" t="s" s="44">
        <v>90</v>
      </c>
      <c r="AH97" s="15">
        <f>AF96</f>
        <v>158.1</v>
      </c>
      <c r="AI97" t="s" s="44">
        <v>76</v>
      </c>
      <c r="AJ97" s="15">
        <f>AG96</f>
        <v>3.7</v>
      </c>
      <c r="AK97" t="s" s="44">
        <f>AH92</f>
        <v>372</v>
      </c>
      <c r="AL97" t="s" s="44">
        <v>73</v>
      </c>
      <c r="AM97" t="s" s="44">
        <f>AJ92</f>
        <v>74</v>
      </c>
      <c r="AN97" t="s" s="44">
        <v>91</v>
      </c>
      <c r="AO97" s="17"/>
      <c r="AP97" s="17"/>
      <c r="AQ97" s="17"/>
      <c r="AR97" s="17"/>
      <c r="AS97" s="17"/>
      <c r="AT97" s="17"/>
    </row>
    <row r="98" ht="68.05" customHeight="1">
      <c r="AB98" s="36"/>
      <c r="AC98" t="s" s="45">
        <v>92</v>
      </c>
      <c r="AD98" s="16">
        <f>AVERAGE(AD95:AG95)</f>
        <v>0.08540874438990639</v>
      </c>
      <c r="AE98" t="s" s="44">
        <v>78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B99" s="36"/>
      <c r="AC99" t="s" s="45">
        <v>93</v>
      </c>
      <c r="AD99" s="35">
        <f>AC38</f>
        <v>0.0716258404530942</v>
      </c>
      <c r="AE99" t="s" s="44">
        <v>94</v>
      </c>
      <c r="AF99" s="15">
        <f>AF51</f>
        <v>35.0925580222239</v>
      </c>
      <c r="AG99" t="s" s="44">
        <f>AK97</f>
        <v>372</v>
      </c>
      <c r="AH99" t="s" s="44">
        <v>95</v>
      </c>
      <c r="AI99" t="s" s="44">
        <f>AM97</f>
        <v>74</v>
      </c>
      <c r="AJ99" t="s" s="44">
        <f>AH90</f>
        <v>75</v>
      </c>
      <c r="AK99" t="s" s="44">
        <f>AL92</f>
        <v>85</v>
      </c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B100" s="36"/>
      <c r="AC100" t="s" s="45">
        <v>15</v>
      </c>
      <c r="AD100" t="s" s="44">
        <f>IF(AF104&lt;AD104,"lower","higher")</f>
        <v>104</v>
      </c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56.05" customHeight="1">
      <c r="AB101" s="36"/>
      <c r="AC101" t="s" s="45">
        <f>AC94</f>
        <v>70</v>
      </c>
      <c r="AD101" t="s" s="44">
        <v>96</v>
      </c>
      <c r="AE101" t="s" s="44">
        <f>AK90</f>
        <v>372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B102" s="36"/>
      <c r="AC102" s="14">
        <f>J22</f>
        <v>-368</v>
      </c>
      <c r="AD102" s="15">
        <f>J23</f>
        <v>245.3</v>
      </c>
      <c r="AE102" s="15">
        <f>J24</f>
        <v>-285.6</v>
      </c>
      <c r="AF102" s="15">
        <f>J25</f>
        <v>-18.6</v>
      </c>
      <c r="AG102" s="15">
        <f>J26</f>
        <v>29.2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B103" s="36"/>
      <c r="AC103" s="14">
        <f>K22</f>
        <v>20.8</v>
      </c>
      <c r="AD103" s="15">
        <f>K23</f>
        <v>-38.6</v>
      </c>
      <c r="AE103" s="15">
        <f>K24</f>
        <v>-19.8</v>
      </c>
      <c r="AF103" s="15">
        <f>K25</f>
        <v>486</v>
      </c>
      <c r="AG103" s="15">
        <f>K26</f>
        <v>-29.1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44.05" customHeight="1">
      <c r="AB104" s="36"/>
      <c r="AC104" t="s" s="45">
        <v>97</v>
      </c>
      <c r="AD104" s="15">
        <f>AF102+AF103</f>
        <v>467.4</v>
      </c>
      <c r="AE104" t="s" s="44">
        <v>76</v>
      </c>
      <c r="AF104" s="15">
        <f>AG102+AG103</f>
        <v>0.1</v>
      </c>
      <c r="AG104" t="s" s="44">
        <f>AG99</f>
        <v>372</v>
      </c>
      <c r="AH104" t="s" s="44">
        <v>84</v>
      </c>
      <c r="AI104" t="s" s="44">
        <f>AI99</f>
        <v>74</v>
      </c>
      <c r="AJ104" t="s" s="44">
        <v>98</v>
      </c>
      <c r="AK104" s="15">
        <f>AG103</f>
        <v>-29.1</v>
      </c>
      <c r="AL104" t="s" s="44">
        <f>AK90</f>
        <v>372</v>
      </c>
      <c r="AM104" t="s" s="44">
        <v>99</v>
      </c>
      <c r="AN104" s="17"/>
      <c r="AO104" s="17"/>
      <c r="AP104" s="17"/>
      <c r="AQ104" s="17"/>
      <c r="AR104" s="17"/>
      <c r="AS104" s="17"/>
      <c r="AT104" s="17"/>
    </row>
    <row r="105" ht="56.05" customHeight="1">
      <c r="AB105" s="36"/>
      <c r="AC105" t="s" s="45">
        <v>100</v>
      </c>
      <c r="AD105" s="15">
        <f>SUM(AD102:AG103)/4</f>
        <v>92.2</v>
      </c>
      <c r="AE105" t="s" s="44">
        <f>AK90</f>
        <v>372</v>
      </c>
      <c r="AF105" t="s" s="44">
        <v>78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44.05" customHeight="1">
      <c r="AB106" s="36"/>
      <c r="AC106" t="s" s="45">
        <v>101</v>
      </c>
      <c r="AD106" s="15">
        <f>AC39</f>
        <v>-29.1</v>
      </c>
      <c r="AE106" t="s" s="44">
        <f>AE105</f>
        <v>372</v>
      </c>
      <c r="AF106" t="s" s="44">
        <v>102</v>
      </c>
      <c r="AG106" t="s" s="44">
        <v>103</v>
      </c>
      <c r="AH106" t="s" s="44">
        <f>IF(AG92&gt;AJ90,"higher","lower")</f>
        <v>363</v>
      </c>
      <c r="AI106" t="s" s="44">
        <v>105</v>
      </c>
      <c r="AJ106" s="15">
        <f>SUM(AC40:AF40)/4</f>
        <v>46.1804177436736</v>
      </c>
      <c r="AK106" t="s" s="44">
        <f>AE106</f>
        <v>372</v>
      </c>
      <c r="AL106" t="s" s="44">
        <v>106</v>
      </c>
      <c r="AM106" t="s" s="44">
        <v>107</v>
      </c>
      <c r="AN106" s="17"/>
      <c r="AO106" s="17"/>
      <c r="AP106" s="17"/>
      <c r="AQ106" s="17"/>
      <c r="AR106" s="17"/>
      <c r="AS106" s="17"/>
      <c r="AT106" s="17"/>
    </row>
    <row r="107" ht="20.05" customHeight="1">
      <c r="AB107" s="36"/>
      <c r="AC107" t="s" s="45">
        <v>18</v>
      </c>
      <c r="AD107" t="s" s="44">
        <f>AK112</f>
        <v>87</v>
      </c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B108" s="36"/>
      <c r="AC108" t="s" s="45">
        <f>AC87</f>
        <v>70</v>
      </c>
      <c r="AD108" t="s" s="44">
        <v>109</v>
      </c>
      <c r="AE108" t="s" s="44">
        <f>AK90</f>
        <v>372</v>
      </c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B109" s="36"/>
      <c r="AC109" s="14">
        <f>F22</f>
        <v>665</v>
      </c>
      <c r="AD109" s="15">
        <f>F23</f>
        <v>782</v>
      </c>
      <c r="AE109" s="15">
        <f>F24</f>
        <v>711</v>
      </c>
      <c r="AF109" s="15">
        <f>F25</f>
        <v>1148</v>
      </c>
      <c r="AG109" s="15">
        <f>F26</f>
        <v>1128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B110" s="36"/>
      <c r="AC110" s="14">
        <f>G22</f>
        <v>3856</v>
      </c>
      <c r="AD110" s="15">
        <f>G23</f>
        <v>3702</v>
      </c>
      <c r="AE110" s="15">
        <f>G24</f>
        <v>4045</v>
      </c>
      <c r="AF110" s="15">
        <f>G25</f>
        <v>4097</v>
      </c>
      <c r="AG110" s="15">
        <f>G26</f>
        <v>4161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B111" s="36"/>
      <c r="AC111" t="s" s="45">
        <v>110</v>
      </c>
      <c r="AD111" t="s" s="44">
        <f>IF(AG111&lt;AE111,"declined","increased")</f>
        <v>370</v>
      </c>
      <c r="AE111" s="15">
        <f>AF109</f>
        <v>1148</v>
      </c>
      <c r="AF111" t="s" s="44">
        <v>76</v>
      </c>
      <c r="AG111" s="15">
        <f>AG109</f>
        <v>1128</v>
      </c>
      <c r="AH111" t="s" s="44">
        <f>AK106</f>
        <v>372</v>
      </c>
      <c r="AI111" t="s" s="44">
        <v>84</v>
      </c>
      <c r="AJ111" t="s" s="44">
        <f>AG90</f>
        <v>74</v>
      </c>
      <c r="AK111" t="s" s="44">
        <f>AN97</f>
        <v>91</v>
      </c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32.05" customHeight="1">
      <c r="AB112" s="36"/>
      <c r="AC112" t="s" s="45">
        <v>112</v>
      </c>
      <c r="AD112" t="s" s="44">
        <f>IF(AG112&lt;AE112,"declined","increased")</f>
        <v>111</v>
      </c>
      <c r="AE112" s="15">
        <f>AF110</f>
        <v>4097</v>
      </c>
      <c r="AF112" t="s" s="44">
        <v>76</v>
      </c>
      <c r="AG112" s="15">
        <f>AG110</f>
        <v>4161</v>
      </c>
      <c r="AH112" t="s" s="44">
        <f>AH111</f>
        <v>372</v>
      </c>
      <c r="AI112" t="s" s="44">
        <v>113</v>
      </c>
      <c r="AJ112" t="s" s="44">
        <v>114</v>
      </c>
      <c r="AK112" t="s" s="44">
        <f>IF(AN112&lt;AL112,"down","up")</f>
        <v>87</v>
      </c>
      <c r="AL112" s="15">
        <f>AE111-AE112</f>
        <v>-2949</v>
      </c>
      <c r="AM112" t="s" s="44">
        <v>76</v>
      </c>
      <c r="AN112" s="15">
        <f>AG111-AG112</f>
        <v>-3033</v>
      </c>
      <c r="AO112" t="s" s="44">
        <f>AH112</f>
        <v>372</v>
      </c>
      <c r="AP112" t="s" s="44">
        <v>115</v>
      </c>
      <c r="AQ112" s="17"/>
      <c r="AR112" s="17"/>
      <c r="AS112" s="17"/>
      <c r="AT112" s="17"/>
    </row>
    <row r="113" ht="56.05" customHeight="1">
      <c r="AB113" s="36"/>
      <c r="AC113" t="s" s="45">
        <v>116</v>
      </c>
      <c r="AD113" s="15">
        <f>SUM(AC43:AF43)</f>
        <v>0</v>
      </c>
      <c r="AE113" t="s" s="44">
        <f>AH112</f>
        <v>372</v>
      </c>
      <c r="AF113" t="s" s="44">
        <v>117</v>
      </c>
      <c r="AG113" t="s" s="44">
        <f>IF(AH113&gt;0,"+","")</f>
      </c>
      <c r="AH113" s="15">
        <f>AC41+AD41+AE41+AF41+AC45+AD45+AE45+AF45</f>
        <v>-184.721670974694</v>
      </c>
      <c r="AI113" t="s" s="44">
        <f>AO112</f>
        <v>372</v>
      </c>
      <c r="AJ113" t="s" s="44">
        <v>118</v>
      </c>
      <c r="AK113" t="s" s="44">
        <v>119</v>
      </c>
      <c r="AL113" s="15">
        <f>AF60</f>
        <v>-2848.278329025310</v>
      </c>
      <c r="AM113" t="s" s="44">
        <f>AH112</f>
        <v>372</v>
      </c>
      <c r="AN113" t="s" s="44">
        <v>120</v>
      </c>
      <c r="AO113" s="17"/>
      <c r="AP113" s="17"/>
      <c r="AQ113" s="17"/>
      <c r="AR113" s="17"/>
      <c r="AS113" s="17"/>
      <c r="AT113" s="17"/>
    </row>
    <row r="114" ht="20.05" customHeight="1">
      <c r="AB114" s="36"/>
      <c r="AC114" t="s" s="45">
        <v>17</v>
      </c>
      <c r="AD114" t="s" s="44">
        <f>AD118</f>
        <v>374</v>
      </c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56.05" customHeight="1">
      <c r="AB115" s="36"/>
      <c r="AC115" t="s" s="45">
        <f>AC87</f>
        <v>70</v>
      </c>
      <c r="AD115" t="s" s="44">
        <v>379</v>
      </c>
      <c r="AE115" t="s" s="44">
        <f>AK90</f>
        <v>372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20.05" customHeight="1">
      <c r="AB116" s="36"/>
      <c r="AC116" s="14">
        <f>-L22</f>
        <v>50.781</v>
      </c>
      <c r="AD116" s="15">
        <f>-L23</f>
        <v>92.46299999999999</v>
      </c>
      <c r="AE116" s="15">
        <f>-L24</f>
        <v>-235.664</v>
      </c>
      <c r="AF116" s="15">
        <f>-L25</f>
        <v>21.592</v>
      </c>
      <c r="AG116" s="15">
        <f>-L26</f>
        <v>8.5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20.05" customHeight="1">
      <c r="AB117" s="36"/>
      <c r="AC117" s="14">
        <f>-M22</f>
        <v>-0.042</v>
      </c>
      <c r="AD117" s="15">
        <f>-M23</f>
        <v>0.001</v>
      </c>
      <c r="AE117" s="15">
        <f>-M24</f>
        <v>0</v>
      </c>
      <c r="AF117" s="15">
        <f>-M25</f>
        <v>12.3</v>
      </c>
      <c r="AG117" s="15">
        <f>-M26</f>
        <v>0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44.05" customHeight="1">
      <c r="AB118" s="36"/>
      <c r="AC118" t="s" s="45">
        <f>AC79</f>
        <v>765</v>
      </c>
      <c r="AD118" t="s" s="44">
        <f>IF(AE118&gt;0,"paid","(raised)")</f>
        <v>374</v>
      </c>
      <c r="AE118" s="15">
        <f>SUM(AG116:AG117)</f>
        <v>8.5</v>
      </c>
      <c r="AF118" t="s" s="44">
        <f>AK90</f>
        <v>372</v>
      </c>
      <c r="AG118" t="s" s="44">
        <f>AF90</f>
        <v>73</v>
      </c>
      <c r="AH118" t="s" s="44">
        <f>AG90</f>
        <v>74</v>
      </c>
      <c r="AI118" t="s" s="44">
        <f>AH90</f>
        <v>75</v>
      </c>
      <c r="AJ118" s="15">
        <f>AG116</f>
        <v>8.5</v>
      </c>
      <c r="AK118" t="s" s="44">
        <f>AK90</f>
        <v>372</v>
      </c>
      <c r="AL118" t="s" s="44">
        <v>123</v>
      </c>
      <c r="AM118" s="15">
        <f>AG117</f>
        <v>0</v>
      </c>
      <c r="AN118" t="s" s="44">
        <f>AK90</f>
        <v>372</v>
      </c>
      <c r="AO118" t="s" s="44">
        <v>389</v>
      </c>
      <c r="AP118" t="s" s="44">
        <v>475</v>
      </c>
      <c r="AQ118" t="s" s="44">
        <f>IF(AR118&gt;0,"pay","raise")</f>
        <v>364</v>
      </c>
      <c r="AR118" s="15">
        <f>-SUM(AC61:AF61)</f>
        <v>184.721670974694</v>
      </c>
      <c r="AS118" t="s" s="44">
        <f>AK90</f>
        <v>372</v>
      </c>
      <c r="AT118" t="s" s="44">
        <v>126</v>
      </c>
    </row>
    <row r="119" ht="56.05" customHeight="1">
      <c r="AB119" s="36"/>
      <c r="AC119" t="s" s="45">
        <v>375</v>
      </c>
      <c r="AD119" s="15">
        <f>AF65</f>
        <v>1182.62037504</v>
      </c>
      <c r="AE119" t="s" s="44">
        <f>AK90</f>
        <v>372</v>
      </c>
      <c r="AF119" t="s" s="44">
        <v>128</v>
      </c>
      <c r="AG119" t="s" s="44">
        <v>129</v>
      </c>
      <c r="AH119" s="43">
        <f>AF67</f>
        <v>0.143381524766208</v>
      </c>
      <c r="AI119" t="s" s="44">
        <v>130</v>
      </c>
      <c r="AJ119" t="s" s="44">
        <v>131</v>
      </c>
      <c r="AK119" t="s" s="44">
        <v>132</v>
      </c>
      <c r="AL119" s="15">
        <f>AF70</f>
        <v>51.033535752778</v>
      </c>
      <c r="AM119" t="s" s="44">
        <v>133</v>
      </c>
      <c r="AN119" s="16">
        <f>-AD113/AD119</f>
        <v>0</v>
      </c>
      <c r="AO119" t="s" s="44">
        <v>134</v>
      </c>
      <c r="AP119" s="17"/>
      <c r="AQ119" s="17"/>
      <c r="AR119" s="17"/>
      <c r="AS119" s="17"/>
      <c r="AT119" s="17"/>
    </row>
    <row r="120" ht="56.05" customHeight="1">
      <c r="AB120" s="36"/>
      <c r="AC120" t="s" s="45">
        <v>135</v>
      </c>
      <c r="AD120" s="15">
        <f>AF69</f>
        <v>184.721670974695</v>
      </c>
      <c r="AE120" t="s" s="44">
        <f>AE119</f>
        <v>372</v>
      </c>
      <c r="AF120" t="s" s="44">
        <v>136</v>
      </c>
      <c r="AG120" s="15">
        <f>AD119/AD120</f>
        <v>6.40217451910126</v>
      </c>
      <c r="AH120" t="s" s="44">
        <v>130</v>
      </c>
      <c r="AI120" t="s" s="44">
        <v>137</v>
      </c>
      <c r="AJ120" t="s" s="44">
        <v>138</v>
      </c>
      <c r="AK120" s="15">
        <f>AF71</f>
        <v>8</v>
      </c>
      <c r="AL120" t="s" s="44">
        <v>139</v>
      </c>
      <c r="AM120" t="s" s="44">
        <v>140</v>
      </c>
      <c r="AN120" t="s" s="44">
        <v>141</v>
      </c>
      <c r="AO120" s="16">
        <f>AI79</f>
        <v>0.249575433492408</v>
      </c>
      <c r="AP120" t="s" s="44">
        <f>IF(AO120&gt;0,"higher","lower")</f>
        <v>363</v>
      </c>
      <c r="AQ120" t="s" s="44">
        <v>142</v>
      </c>
      <c r="AR120" s="15">
        <f>AG79</f>
        <v>324.889612708026</v>
      </c>
      <c r="AS120" t="s" s="44">
        <v>143</v>
      </c>
      <c r="AT120" s="17"/>
    </row>
    <row r="121" ht="20.05" customHeight="1">
      <c r="AB121" s="36"/>
      <c r="AC121" s="34"/>
      <c r="AD121" s="17"/>
      <c r="AE121" s="17"/>
      <c r="AF121" s="17"/>
      <c r="AG121" s="15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20.05" customHeight="1">
      <c r="AB122" t="s" s="33">
        <v>28</v>
      </c>
      <c r="AC122" s="14">
        <f>AC89</f>
        <v>521.8</v>
      </c>
      <c r="AD122" s="15">
        <f>AD89</f>
        <v>960.1</v>
      </c>
      <c r="AE122" s="15">
        <f>AE89</f>
        <v>766.4</v>
      </c>
      <c r="AF122" s="15">
        <f>AF89</f>
        <v>782.2</v>
      </c>
      <c r="AG122" s="15">
        <f>AG89</f>
        <v>920.4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20.05" customHeight="1">
      <c r="AB123" t="s" s="33">
        <v>15</v>
      </c>
      <c r="AC123" s="14">
        <f>SUM(AC102:AC103)</f>
        <v>-347.2</v>
      </c>
      <c r="AD123" s="15">
        <f>SUM(AD102:AD103)</f>
        <v>206.7</v>
      </c>
      <c r="AE123" s="15">
        <f>SUM(AE102:AE103)</f>
        <v>-305.4</v>
      </c>
      <c r="AF123" s="15">
        <f>SUM(AF102:AF103)</f>
        <v>467.4</v>
      </c>
      <c r="AG123" s="15">
        <f>SUM(AG102:AG103)</f>
        <v>0.1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20.05" customHeight="1">
      <c r="AB124" t="s" s="33">
        <v>17</v>
      </c>
      <c r="AC124" s="14">
        <f>SUM(AC116:AC117)</f>
        <v>50.739</v>
      </c>
      <c r="AD124" s="15">
        <f>SUM(AD116:AD117)</f>
        <v>92.464</v>
      </c>
      <c r="AE124" s="15">
        <f>SUM(AE116:AE117)</f>
        <v>-235.664</v>
      </c>
      <c r="AF124" s="15">
        <f>SUM(AF116:AF117)</f>
        <v>33.892</v>
      </c>
      <c r="AG124" s="15">
        <f>SUM(AG116:AG117)</f>
        <v>8.5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20.05" customHeight="1">
      <c r="AB125" t="s" s="33">
        <v>146</v>
      </c>
      <c r="AC125" s="14">
        <f>(AC109-AC110)</f>
        <v>-3191</v>
      </c>
      <c r="AD125" s="15">
        <f>(AD109-AD110)</f>
        <v>-2920</v>
      </c>
      <c r="AE125" s="15">
        <f>(AE109-AE110)</f>
        <v>-3334</v>
      </c>
      <c r="AF125" s="15">
        <f>(AF109-AF110)</f>
        <v>-2949</v>
      </c>
      <c r="AG125" s="15">
        <f>(AG109-AG110)</f>
        <v>-3033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20.05" customHeight="1">
      <c r="AB126" s="36"/>
      <c r="AC126" s="34"/>
      <c r="AD126" s="17"/>
      <c r="AE126" s="17"/>
      <c r="AF126" s="17"/>
      <c r="AG126" s="15">
        <f>AR120</f>
        <v>324.889612708026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B127" s="36"/>
      <c r="AC127" s="34"/>
      <c r="AD127" s="17"/>
      <c r="AE127" s="17"/>
      <c r="AF127" s="17"/>
      <c r="AG127" s="15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20.05" customHeight="1">
      <c r="AB128" s="36"/>
      <c r="AC128" s="34"/>
      <c r="AD128" s="17"/>
      <c r="AE128" s="17"/>
      <c r="AF128" s="17"/>
      <c r="AG128" s="15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20.05" customHeight="1">
      <c r="AB129" s="36"/>
      <c r="AC129" s="34"/>
      <c r="AD129" s="17"/>
      <c r="AE129" s="17"/>
      <c r="AF129" s="17"/>
      <c r="AG129" s="15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20.05" customHeight="1">
      <c r="AB130" s="36"/>
      <c r="AC130" s="34"/>
      <c r="AD130" s="17"/>
      <c r="AE130" s="17"/>
      <c r="AF130" s="17"/>
      <c r="AG130" s="15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20.05" customHeight="1">
      <c r="AB131" s="36"/>
      <c r="AC131" s="34"/>
      <c r="AD131" s="17"/>
      <c r="AE131" s="17"/>
      <c r="AF131" s="17"/>
      <c r="AG131" s="15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20.05" customHeight="1">
      <c r="AB132" s="36"/>
      <c r="AC132" s="34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B133" s="36"/>
      <c r="AC133" s="34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</sheetData>
  <mergeCells count="2">
    <mergeCell ref="B2:AA2"/>
    <mergeCell ref="AB31:AT3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00" customWidth="1"/>
    <col min="2" max="26" width="10.4844" style="400" customWidth="1"/>
    <col min="27" max="27" width="18.9766" style="401" customWidth="1"/>
    <col min="28" max="46" width="9" style="401" customWidth="1"/>
    <col min="47" max="16384" width="16.3516" style="401" customWidth="1"/>
  </cols>
  <sheetData>
    <row r="1" ht="11.65" customHeight="1"/>
    <row r="2" ht="27.65" customHeight="1">
      <c r="B2" t="s" s="2">
        <v>766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767</v>
      </c>
      <c r="W3" t="s" s="3">
        <v>18</v>
      </c>
      <c r="X3" t="s" s="3">
        <v>224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10903.400448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5">
        <f>V4</f>
        <v>10903.400448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5">
        <f>V5</f>
        <v>10903.400448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5">
        <f>V6</f>
        <v>10903.400448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5">
        <f>SUM(J5:K8)/4</f>
        <v>0</v>
      </c>
      <c r="T8" s="15">
        <f>J8+K8+T7</f>
        <v>0</v>
      </c>
      <c r="U8" s="15">
        <f>-(L8+M8)+U7</f>
        <v>0</v>
      </c>
      <c r="V8" s="15">
        <f>V7</f>
        <v>10903.400448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5">
        <f>SUM(J6:K9)/4</f>
        <v>0</v>
      </c>
      <c r="T9" s="15">
        <f>J9+K9+T8</f>
        <v>0</v>
      </c>
      <c r="U9" s="15">
        <f>-(L9+M9)+U8</f>
        <v>0</v>
      </c>
      <c r="V9" s="15">
        <f>V8</f>
        <v>10903.400448</v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5">
        <f>SUM(J7:K10)/4</f>
        <v>0</v>
      </c>
      <c r="T10" s="15">
        <f>J10+K10+T9</f>
        <v>0</v>
      </c>
      <c r="U10" s="15">
        <f>-(L10+M10)+U9</f>
        <v>0</v>
      </c>
      <c r="V10" s="15">
        <f>V9</f>
        <v>10903.400448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5">
        <f>SUM(J8:K11)/4</f>
        <v>0</v>
      </c>
      <c r="T11" s="15">
        <f>J11+K11+T10</f>
        <v>0</v>
      </c>
      <c r="U11" s="15">
        <f>-(L11+M11)+U10</f>
        <v>0</v>
      </c>
      <c r="V11" s="15">
        <f>V10</f>
        <v>10903.400448</v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5">
        <f>SUM(J9:K12)/4</f>
        <v>0</v>
      </c>
      <c r="T12" s="15">
        <f>J12+K12+T11</f>
        <v>0</v>
      </c>
      <c r="U12" s="15">
        <f>-(L12+M12)+U11</f>
        <v>0</v>
      </c>
      <c r="V12" s="15">
        <f>V11</f>
        <v>10903.400448</v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5">
        <f>SUM(J10:K13)/4</f>
        <v>0</v>
      </c>
      <c r="T13" s="15">
        <f>J13+K13+T12</f>
        <v>0</v>
      </c>
      <c r="U13" s="15">
        <f>-(L13+M13)+U12</f>
        <v>0</v>
      </c>
      <c r="V13" s="15">
        <f>V12</f>
        <v>10903.400448</v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5">
        <f>SUM(J11:K14)/4</f>
        <v>0</v>
      </c>
      <c r="T14" s="15">
        <f>J14+K14+T13</f>
        <v>0</v>
      </c>
      <c r="U14" s="15">
        <f>-(L14+M14)+U13</f>
        <v>0</v>
      </c>
      <c r="V14" s="15">
        <f>V13</f>
        <v>10903.400448</v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5">
        <f>SUM(J12:K15)/4</f>
        <v>0</v>
      </c>
      <c r="T15" s="15">
        <f>J15+K15+T14</f>
        <v>0</v>
      </c>
      <c r="U15" s="15">
        <f>-(L15+M15)+U14</f>
        <v>0</v>
      </c>
      <c r="V15" s="15">
        <f>V14</f>
        <v>10903.400448</v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>
        <v>1051</v>
      </c>
      <c r="D16" s="15">
        <v>57</v>
      </c>
      <c r="E16" s="15">
        <v>125</v>
      </c>
      <c r="F16" s="15"/>
      <c r="G16" s="15"/>
      <c r="H16" s="15"/>
      <c r="I16" s="15">
        <v>1067</v>
      </c>
      <c r="J16" s="15">
        <v>171.5</v>
      </c>
      <c r="K16" s="15">
        <v>-68.25</v>
      </c>
      <c r="L16" s="15">
        <v>-114</v>
      </c>
      <c r="M16" s="15">
        <v>-28.5</v>
      </c>
      <c r="N16" s="15">
        <f>SUM(C13:C16)/4</f>
        <v>262.75</v>
      </c>
      <c r="O16" s="15"/>
      <c r="P16" s="16"/>
      <c r="Q16" s="16">
        <f>(E16+D16)/C16</f>
        <v>0.173168411037108</v>
      </c>
      <c r="R16" s="16">
        <f>AVERAGE(Q13:Q16)</f>
        <v>0.173168411037108</v>
      </c>
      <c r="S16" s="15">
        <f>SUM(J13:K16)/4</f>
        <v>25.8125</v>
      </c>
      <c r="T16" s="15">
        <f>J16+K16+T15</f>
        <v>103.25</v>
      </c>
      <c r="U16" s="15">
        <f>-(L16+M16)+U15</f>
        <v>142.5</v>
      </c>
      <c r="V16" s="15">
        <f>V15</f>
        <v>10903.400448</v>
      </c>
      <c r="W16" s="15">
        <f>F16-G16</f>
        <v>0</v>
      </c>
      <c r="X16" s="18"/>
      <c r="Y16" s="24"/>
      <c r="Z16" s="15">
        <v>16.31</v>
      </c>
    </row>
    <row r="17" ht="20.05" customHeight="1">
      <c r="B17" s="13"/>
      <c r="C17" s="14">
        <v>1051</v>
      </c>
      <c r="D17" s="15">
        <v>57</v>
      </c>
      <c r="E17" s="15">
        <v>125</v>
      </c>
      <c r="F17" s="15"/>
      <c r="G17" s="15"/>
      <c r="H17" s="15"/>
      <c r="I17" s="15">
        <v>1067</v>
      </c>
      <c r="J17" s="15">
        <v>171.5</v>
      </c>
      <c r="K17" s="15">
        <v>-68.25</v>
      </c>
      <c r="L17" s="15">
        <v>-114</v>
      </c>
      <c r="M17" s="15">
        <v>-28.5</v>
      </c>
      <c r="N17" s="15">
        <f>SUM(C14:C17)/4</f>
        <v>525.5</v>
      </c>
      <c r="O17" s="15"/>
      <c r="P17" s="16">
        <f>C17/C16-1</f>
        <v>0</v>
      </c>
      <c r="Q17" s="16">
        <f>(E17+D17)/C17</f>
        <v>0.173168411037108</v>
      </c>
      <c r="R17" s="16">
        <f>AVERAGE(Q14:Q17)</f>
        <v>0.173168411037108</v>
      </c>
      <c r="S17" s="25">
        <f>SUM(J14:K17)/4</f>
        <v>51.625</v>
      </c>
      <c r="T17" s="15">
        <f>J17+K17+T16</f>
        <v>206.5</v>
      </c>
      <c r="U17" s="15">
        <f>-(L17+M17)+U16</f>
        <v>285</v>
      </c>
      <c r="V17" s="15">
        <f>V16</f>
        <v>10903.400448</v>
      </c>
      <c r="W17" s="15">
        <f>F17-G17</f>
        <v>0</v>
      </c>
      <c r="X17" s="18"/>
      <c r="Y17" s="24"/>
      <c r="Z17" s="15">
        <v>14.255</v>
      </c>
    </row>
    <row r="18" ht="20.05" customHeight="1">
      <c r="B18" s="13"/>
      <c r="C18" s="14">
        <v>1051</v>
      </c>
      <c r="D18" s="15">
        <v>57</v>
      </c>
      <c r="E18" s="15">
        <v>125</v>
      </c>
      <c r="F18" s="15"/>
      <c r="G18" s="15"/>
      <c r="H18" s="15"/>
      <c r="I18" s="15">
        <v>1067</v>
      </c>
      <c r="J18" s="15">
        <v>171.5</v>
      </c>
      <c r="K18" s="15">
        <v>-68.25</v>
      </c>
      <c r="L18" s="15">
        <v>-114</v>
      </c>
      <c r="M18" s="15">
        <v>-28.5</v>
      </c>
      <c r="N18" s="15">
        <f>SUM(C15:C18)/4</f>
        <v>788.25</v>
      </c>
      <c r="O18" s="15"/>
      <c r="P18" s="16">
        <f>C18/C17-1</f>
        <v>0</v>
      </c>
      <c r="Q18" s="16">
        <f>(E18+D18)/C18</f>
        <v>0.173168411037108</v>
      </c>
      <c r="R18" s="16">
        <f>AVERAGE(Q15:Q18)</f>
        <v>0.173168411037108</v>
      </c>
      <c r="S18" s="25">
        <f>SUM(J15:K18)/4</f>
        <v>77.4375</v>
      </c>
      <c r="T18" s="15">
        <f>J18+K18+T17</f>
        <v>309.75</v>
      </c>
      <c r="U18" s="15">
        <f>-(L18+M18)+U17</f>
        <v>427.5</v>
      </c>
      <c r="V18" s="15">
        <f>V17</f>
        <v>10903.400448</v>
      </c>
      <c r="W18" s="15">
        <f>F18-G18</f>
        <v>0</v>
      </c>
      <c r="X18" s="18"/>
      <c r="Y18" s="24"/>
      <c r="Z18" s="15">
        <v>14.79</v>
      </c>
    </row>
    <row r="19" ht="20.05" customHeight="1">
      <c r="B19" s="13"/>
      <c r="C19" s="14">
        <v>1051</v>
      </c>
      <c r="D19" s="15">
        <v>57</v>
      </c>
      <c r="E19" s="15">
        <v>125</v>
      </c>
      <c r="F19" s="15"/>
      <c r="G19" s="15"/>
      <c r="H19" s="15"/>
      <c r="I19" s="15">
        <v>1067</v>
      </c>
      <c r="J19" s="15">
        <v>171.5</v>
      </c>
      <c r="K19" s="15">
        <v>-68.25</v>
      </c>
      <c r="L19" s="15">
        <v>-114</v>
      </c>
      <c r="M19" s="15">
        <v>-28.5</v>
      </c>
      <c r="N19" s="15">
        <f>SUM(C16:C19)/4</f>
        <v>1051</v>
      </c>
      <c r="O19" s="15"/>
      <c r="P19" s="16">
        <f>C19/C18-1</f>
        <v>0</v>
      </c>
      <c r="Q19" s="16">
        <f>(E19+D19)/C19</f>
        <v>0.173168411037108</v>
      </c>
      <c r="R19" s="16">
        <f>AVERAGE(Q16:Q19)</f>
        <v>0.173168411037108</v>
      </c>
      <c r="S19" s="25">
        <f>SUM(J16:K19)/4</f>
        <v>103.25</v>
      </c>
      <c r="T19" s="15">
        <f>J19+K19+T18</f>
        <v>413</v>
      </c>
      <c r="U19" s="15">
        <f>-(L19+M19)+U18</f>
        <v>570</v>
      </c>
      <c r="V19" s="15">
        <f>V18</f>
        <v>10903.400448</v>
      </c>
      <c r="W19" s="15">
        <f>F19-G19</f>
        <v>0</v>
      </c>
      <c r="X19" s="15"/>
      <c r="Y19" s="24"/>
      <c r="Z19" s="15">
        <v>14.1</v>
      </c>
    </row>
    <row r="20" ht="20.05" customHeight="1">
      <c r="B20" s="21">
        <v>2021</v>
      </c>
      <c r="C20" s="14">
        <v>1132</v>
      </c>
      <c r="D20" s="15">
        <v>60.25</v>
      </c>
      <c r="E20" s="15">
        <v>201</v>
      </c>
      <c r="F20" s="15"/>
      <c r="G20" s="15"/>
      <c r="H20" s="15"/>
      <c r="I20" s="15">
        <v>1147</v>
      </c>
      <c r="J20" s="15">
        <v>367</v>
      </c>
      <c r="K20" s="15">
        <v>-16</v>
      </c>
      <c r="L20" s="15">
        <v>-202</v>
      </c>
      <c r="M20" s="15">
        <v>0</v>
      </c>
      <c r="N20" s="15">
        <f>SUM(C17:C20)/4</f>
        <v>1071.25</v>
      </c>
      <c r="O20" s="15"/>
      <c r="P20" s="16">
        <f>C20/C19-1</f>
        <v>0.077069457659372</v>
      </c>
      <c r="Q20" s="16">
        <f>(E20+D20)/C20</f>
        <v>0.230786219081272</v>
      </c>
      <c r="R20" s="16">
        <f>AVERAGE(Q17:Q20)</f>
        <v>0.187572863048149</v>
      </c>
      <c r="S20" s="25">
        <f>SUM(J17:K20)/4</f>
        <v>165.1875</v>
      </c>
      <c r="T20" s="15">
        <f>J20+K20+T19</f>
        <v>764</v>
      </c>
      <c r="U20" s="15">
        <f>-(L20+M20)+U19</f>
        <v>772</v>
      </c>
      <c r="V20" s="15">
        <f>V19</f>
        <v>10903.400448</v>
      </c>
      <c r="W20" s="15">
        <f>F20-G20</f>
        <v>0</v>
      </c>
      <c r="X20" s="15"/>
      <c r="Y20" s="15"/>
      <c r="Z20" s="15">
        <v>14.606</v>
      </c>
    </row>
    <row r="21" ht="20.05" customHeight="1">
      <c r="B21" s="13"/>
      <c r="C21" s="14">
        <v>1402</v>
      </c>
      <c r="D21" s="15">
        <v>60.25</v>
      </c>
      <c r="E21" s="15">
        <v>229</v>
      </c>
      <c r="F21" s="15"/>
      <c r="G21" s="15"/>
      <c r="H21" s="15"/>
      <c r="I21" s="15">
        <v>1498</v>
      </c>
      <c r="J21" s="15">
        <v>127</v>
      </c>
      <c r="K21" s="15">
        <v>-95</v>
      </c>
      <c r="L21" s="15">
        <v>21</v>
      </c>
      <c r="M21" s="15">
        <v>-50</v>
      </c>
      <c r="N21" s="15">
        <f>SUM(C18:C21)/4</f>
        <v>1159</v>
      </c>
      <c r="O21" s="15"/>
      <c r="P21" s="16">
        <f>C21/C20-1</f>
        <v>0.238515901060071</v>
      </c>
      <c r="Q21" s="16">
        <f>(E21+D21)/C21</f>
        <v>0.206312410841655</v>
      </c>
      <c r="R21" s="16">
        <f>AVERAGE(Q18:Q21)</f>
        <v>0.195858862999286</v>
      </c>
      <c r="S21" s="25">
        <f>SUM(J18:K21)/4</f>
        <v>147.375</v>
      </c>
      <c r="T21" s="15">
        <f>J21+K21+T20</f>
        <v>796</v>
      </c>
      <c r="U21" s="15">
        <f>-(L21+M21)+U20</f>
        <v>801</v>
      </c>
      <c r="V21" s="15">
        <f>V20</f>
        <v>10903.400448</v>
      </c>
      <c r="W21" s="15">
        <f>F21-G21</f>
        <v>0</v>
      </c>
      <c r="X21" s="15"/>
      <c r="Y21" s="15"/>
      <c r="Z21" s="15">
        <v>14.45</v>
      </c>
    </row>
    <row r="22" ht="20.05" customHeight="1">
      <c r="B22" s="13"/>
      <c r="C22" s="14">
        <v>1675</v>
      </c>
      <c r="D22" s="15">
        <v>60.25</v>
      </c>
      <c r="E22" s="15">
        <v>404.5</v>
      </c>
      <c r="F22" s="15"/>
      <c r="G22" s="15"/>
      <c r="H22" s="15"/>
      <c r="I22" s="15">
        <v>1674.5</v>
      </c>
      <c r="J22" s="15">
        <v>531.5</v>
      </c>
      <c r="K22" s="15">
        <v>-168</v>
      </c>
      <c r="L22" s="15">
        <v>-88</v>
      </c>
      <c r="M22" s="15">
        <v>-125</v>
      </c>
      <c r="N22" s="15">
        <f>SUM(C19:C22)/4</f>
        <v>1315</v>
      </c>
      <c r="O22" s="15"/>
      <c r="P22" s="16">
        <f>C22/C21-1</f>
        <v>0.19472182596291</v>
      </c>
      <c r="Q22" s="16">
        <f>(E22+D22)/C22</f>
        <v>0.277462686567164</v>
      </c>
      <c r="R22" s="16">
        <f>AVERAGE(Q19:Q22)</f>
        <v>0.2219324318818</v>
      </c>
      <c r="S22" s="25">
        <f>SUM(J19:K22)/4</f>
        <v>212.4375</v>
      </c>
      <c r="T22" s="15">
        <f>J22+K22+T21</f>
        <v>1159.5</v>
      </c>
      <c r="U22" s="15">
        <f>-(L22+M22)+U21</f>
        <v>1014</v>
      </c>
      <c r="V22" s="15">
        <f>V21</f>
        <v>10903.400448</v>
      </c>
      <c r="W22" s="15">
        <f>F22-G22</f>
        <v>0</v>
      </c>
      <c r="X22" s="15"/>
      <c r="Y22" s="15"/>
      <c r="Z22" s="15">
        <v>14.328</v>
      </c>
    </row>
    <row r="23" ht="20.05" customHeight="1">
      <c r="B23" s="13"/>
      <c r="C23" s="14">
        <v>1675</v>
      </c>
      <c r="D23" s="15">
        <v>60.25</v>
      </c>
      <c r="E23" s="15">
        <v>404.5</v>
      </c>
      <c r="F23" s="15">
        <v>860</v>
      </c>
      <c r="G23" s="15">
        <v>2761</v>
      </c>
      <c r="H23" s="15">
        <v>5859</v>
      </c>
      <c r="I23" s="15">
        <v>1674.5</v>
      </c>
      <c r="J23" s="15">
        <v>531.5</v>
      </c>
      <c r="K23" s="15">
        <v>-168</v>
      </c>
      <c r="L23" s="15">
        <v>-88</v>
      </c>
      <c r="M23" s="15">
        <v>-125</v>
      </c>
      <c r="N23" s="15">
        <f>SUM(C20:C23)/4</f>
        <v>1471</v>
      </c>
      <c r="O23" s="15"/>
      <c r="P23" s="16">
        <f>C23/C22-1</f>
        <v>0</v>
      </c>
      <c r="Q23" s="16">
        <f>(E23+D23)/C23</f>
        <v>0.277462686567164</v>
      </c>
      <c r="R23" s="16">
        <f>AVERAGE(Q20:Q23)</f>
        <v>0.248006000764314</v>
      </c>
      <c r="S23" s="25">
        <f>SUM(J20:K23)/4</f>
        <v>277.5</v>
      </c>
      <c r="T23" s="15">
        <f>J23+K23+T22</f>
        <v>1523</v>
      </c>
      <c r="U23" s="15">
        <f>-(L23+M23)+U22</f>
        <v>1227</v>
      </c>
      <c r="V23" s="15">
        <f>V22</f>
        <v>10903.400448</v>
      </c>
      <c r="W23" s="15">
        <f>F23-G23</f>
        <v>-1901</v>
      </c>
      <c r="X23" s="15">
        <v>750</v>
      </c>
      <c r="Y23" s="15"/>
      <c r="Z23" s="15">
        <v>14.275</v>
      </c>
    </row>
    <row r="24" ht="20.05" customHeight="1">
      <c r="B24" s="21">
        <v>2022</v>
      </c>
      <c r="C24" s="14">
        <v>1634</v>
      </c>
      <c r="D24" s="15">
        <v>67</v>
      </c>
      <c r="E24" s="15">
        <v>494</v>
      </c>
      <c r="F24" s="15">
        <v>1809</v>
      </c>
      <c r="G24" s="15">
        <v>2831</v>
      </c>
      <c r="H24" s="15">
        <v>7001</v>
      </c>
      <c r="I24" s="15">
        <v>1576</v>
      </c>
      <c r="J24" s="15">
        <v>538</v>
      </c>
      <c r="K24" s="15">
        <v>-39</v>
      </c>
      <c r="L24" s="15">
        <v>-81</v>
      </c>
      <c r="M24" s="15">
        <v>531</v>
      </c>
      <c r="N24" s="15">
        <f>SUM(C21:C24)/4</f>
        <v>1596.5</v>
      </c>
      <c r="O24" s="15"/>
      <c r="P24" s="16">
        <f>C24/C23-1</f>
        <v>-0.0244776119402985</v>
      </c>
      <c r="Q24" s="16">
        <f>(E24+D24)/C24</f>
        <v>0.343329253365973</v>
      </c>
      <c r="R24" s="16">
        <f>AVERAGE(Q21:Q24)</f>
        <v>0.276141759335489</v>
      </c>
      <c r="S24" s="25">
        <f>SUM(J21:K24)/4</f>
        <v>314.5</v>
      </c>
      <c r="T24" s="15">
        <f>J24+K24+T23</f>
        <v>2022</v>
      </c>
      <c r="U24" s="15">
        <f>-(L24+M24)+U23</f>
        <v>777</v>
      </c>
      <c r="V24" s="15">
        <f>V23</f>
        <v>10903.400448</v>
      </c>
      <c r="W24" s="15">
        <f>F24-G24</f>
        <v>-1022</v>
      </c>
      <c r="X24" s="15">
        <v>795</v>
      </c>
      <c r="Y24" s="15"/>
      <c r="Z24" s="15">
        <v>14.327</v>
      </c>
    </row>
    <row r="25" ht="20.05" customHeight="1">
      <c r="B25" s="13"/>
      <c r="C25" s="14">
        <v>1351</v>
      </c>
      <c r="D25" s="15">
        <v>67</v>
      </c>
      <c r="E25" s="15">
        <v>237</v>
      </c>
      <c r="F25" s="15">
        <v>1564</v>
      </c>
      <c r="G25" s="15">
        <v>2704</v>
      </c>
      <c r="H25" s="15">
        <v>6923</v>
      </c>
      <c r="I25" s="15">
        <v>1302</v>
      </c>
      <c r="J25" s="15">
        <v>-40</v>
      </c>
      <c r="K25" s="15">
        <v>-38</v>
      </c>
      <c r="L25" s="15">
        <v>-5</v>
      </c>
      <c r="M25" s="15">
        <v>-161</v>
      </c>
      <c r="N25" s="15">
        <f>SUM(C22:C25)/4</f>
        <v>1583.75</v>
      </c>
      <c r="O25" s="15"/>
      <c r="P25" s="16">
        <f>C25/C24-1</f>
        <v>-0.173194614443084</v>
      </c>
      <c r="Q25" s="16">
        <f>(E25+D25)/C25</f>
        <v>0.225018504811251</v>
      </c>
      <c r="R25" s="16">
        <f>AVERAGE(Q22:Q25)</f>
        <v>0.280818282827888</v>
      </c>
      <c r="S25" s="25">
        <f>SUM(J22:K25)/4</f>
        <v>287</v>
      </c>
      <c r="T25" s="15">
        <f>J25+K25+T24</f>
        <v>1944</v>
      </c>
      <c r="U25" s="15">
        <f>-(L25+M25)+U24</f>
        <v>943</v>
      </c>
      <c r="V25" s="15">
        <f>V24</f>
        <v>10903.400448</v>
      </c>
      <c r="W25" s="15">
        <f>F25-G25</f>
        <v>-1140</v>
      </c>
      <c r="X25" s="15">
        <v>1235</v>
      </c>
      <c r="Y25" s="15"/>
      <c r="Z25" s="15">
        <v>14.66</v>
      </c>
    </row>
    <row r="26" ht="20.05" customHeight="1">
      <c r="B26" s="13"/>
      <c r="C26" s="14">
        <v>1418.5</v>
      </c>
      <c r="D26" s="15">
        <v>67.7</v>
      </c>
      <c r="E26" s="15">
        <v>276.1</v>
      </c>
      <c r="F26" s="15">
        <v>1419</v>
      </c>
      <c r="G26" s="15">
        <v>2687</v>
      </c>
      <c r="H26" s="15">
        <v>7047</v>
      </c>
      <c r="I26" s="15">
        <v>1523.5</v>
      </c>
      <c r="J26" s="15">
        <v>586.1</v>
      </c>
      <c r="K26" s="15">
        <v>-360.2</v>
      </c>
      <c r="L26" s="15">
        <v>-255.3</v>
      </c>
      <c r="M26" s="15">
        <v>-116.8</v>
      </c>
      <c r="N26" s="15">
        <f>SUM(C23:C26)/4</f>
        <v>1519.625</v>
      </c>
      <c r="O26" s="15">
        <v>1323.98</v>
      </c>
      <c r="P26" s="16">
        <f>C26/C25-1</f>
        <v>0.0499629903774981</v>
      </c>
      <c r="Q26" s="16">
        <f>(E26+D26)/C26</f>
        <v>0.242368699330278</v>
      </c>
      <c r="R26" s="16">
        <f>AVERAGE(Q23:Q26)</f>
        <v>0.272044786018667</v>
      </c>
      <c r="S26" s="25">
        <f>SUM(J23:K26)/4</f>
        <v>252.6</v>
      </c>
      <c r="T26" s="15">
        <f>J26+K26+T25</f>
        <v>2169.9</v>
      </c>
      <c r="U26" s="15">
        <f>-(L26+M26)+U25</f>
        <v>1315.1</v>
      </c>
      <c r="V26" s="15">
        <f>V25</f>
        <v>10903.400448</v>
      </c>
      <c r="W26" s="15">
        <f>F26-G26</f>
        <v>-1268</v>
      </c>
      <c r="X26" s="15">
        <v>1165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1439.775716236250</v>
      </c>
      <c r="P27" s="17"/>
      <c r="Q27" s="17"/>
      <c r="R27" s="17"/>
      <c r="S27" s="25"/>
      <c r="T27" s="17"/>
      <c r="U27" s="17"/>
      <c r="V27" s="17"/>
      <c r="W27" s="26"/>
      <c r="X27" s="15">
        <v>1045</v>
      </c>
      <c r="Y27" s="15">
        <v>1307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1519.625</v>
      </c>
      <c r="O28" s="15">
        <f>SUM(O26)</f>
        <v>1323.98</v>
      </c>
      <c r="P28" s="17"/>
      <c r="Q28" s="17"/>
      <c r="R28" s="17"/>
      <c r="S28" s="17"/>
      <c r="T28" s="17"/>
      <c r="U28" s="17"/>
      <c r="V28" s="17"/>
      <c r="W28" s="26"/>
      <c r="X28" s="15">
        <v>1000</v>
      </c>
      <c r="Y28" s="15">
        <v>1300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AF88</f>
        <v>1305.214179761540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224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-0.0369273090014711</v>
      </c>
      <c r="AD49" s="35"/>
      <c r="AE49" s="35"/>
      <c r="AF49" s="35">
        <f>AVERAGE(AC51:AF51)</f>
        <v>0.01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</v>
      </c>
      <c r="AD50" s="35">
        <f>P24</f>
        <v>-0.0244776119402985</v>
      </c>
      <c r="AE50" s="35">
        <f>P25</f>
        <v>-0.173194614443084</v>
      </c>
      <c r="AF50" s="35">
        <f>P26</f>
        <v>0.0499629903774981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0.01</v>
      </c>
      <c r="AD51" s="35">
        <v>-0.01</v>
      </c>
      <c r="AE51" s="35">
        <v>0.01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1418.5</v>
      </c>
      <c r="AC52" s="23">
        <f>C26*(1+AC51)</f>
        <v>1432.685</v>
      </c>
      <c r="AD52" s="23">
        <f>AC52*(1+AD51)</f>
        <v>1418.35815</v>
      </c>
      <c r="AE52" s="23">
        <f>AD52*(1+AE51)</f>
        <v>1432.5417315</v>
      </c>
      <c r="AF52" s="23">
        <f>AE52*(1+AF51)</f>
        <v>1475.517983445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AVERAGE(Q26)</f>
        <v>0.242368699330278</v>
      </c>
      <c r="AD53" s="35">
        <f>AC53</f>
        <v>0.242368699330278</v>
      </c>
      <c r="AE53" s="35">
        <f>AD53</f>
        <v>0.242368699330278</v>
      </c>
      <c r="AF53" s="35">
        <f>AE53</f>
        <v>0.242368699330278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AVERAGE(K23:K26)</f>
        <v>-151.3</v>
      </c>
      <c r="AD54" s="15">
        <f>AC54</f>
        <v>-151.3</v>
      </c>
      <c r="AE54" s="15">
        <f>AD54</f>
        <v>-151.3</v>
      </c>
      <c r="AF54" s="15">
        <f>AE54</f>
        <v>-151.3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195.937999999999</v>
      </c>
      <c r="AD55" s="15">
        <f>(AD52*AD53)+AD54</f>
        <v>192.465619999999</v>
      </c>
      <c r="AE55" s="15">
        <f>(AE52*AE53)+AE54</f>
        <v>195.903276199999</v>
      </c>
      <c r="AF55" s="15">
        <f>(AF52*AF53)+AF54</f>
        <v>206.319374485999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-134.35</v>
      </c>
      <c r="AD56" s="15">
        <f>-AC71/20</f>
        <v>-127.6325</v>
      </c>
      <c r="AE56" s="15">
        <f>-AD71/20</f>
        <v>-121.250875</v>
      </c>
      <c r="AF56" s="15">
        <f>-AE71/20</f>
        <v>-115.18833125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-0.3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-84.0013999999998</v>
      </c>
      <c r="AD58" s="15">
        <f>IF(AD66&gt;0,AD66*$AC$57,0)</f>
        <v>-82.95968599999981</v>
      </c>
      <c r="AE58" s="15">
        <f>IF(AE66&gt;0,AE66*$AC$57,0)</f>
        <v>-83.9909828599998</v>
      </c>
      <c r="AF58" s="15">
        <f>IF(AF66&gt;0,AF66*$AC$57,0)</f>
        <v>-87.1158123457998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-22.4134000000008</v>
      </c>
      <c r="AD59" s="15">
        <f>AD55+AD56+AD58</f>
        <v>-18.1265660000008</v>
      </c>
      <c r="AE59" s="15">
        <f>AE55+AE56+AE58</f>
        <v>-9.3385816600008</v>
      </c>
      <c r="AF59" s="15">
        <f>AF55+AF56+AF58</f>
        <v>4.0152308901992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22.4134000000008</v>
      </c>
      <c r="AD60" s="15">
        <f>-MIN(AC72,AD59)</f>
        <v>18.1265660000008</v>
      </c>
      <c r="AE60" s="15">
        <f>-MIN(AD72,AE59)</f>
        <v>9.3385816600008</v>
      </c>
      <c r="AF60" s="15">
        <f>-MIN(AE72,AF59)</f>
        <v>-4.0152308901992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1419</v>
      </c>
      <c r="AD61" s="15">
        <f>AC63</f>
        <v>1419</v>
      </c>
      <c r="AE61" s="15">
        <f>AD63</f>
        <v>1419</v>
      </c>
      <c r="AF61" s="15">
        <f>AE63</f>
        <v>1419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1419</v>
      </c>
      <c r="AD63" s="15">
        <f>AD61+AD62</f>
        <v>1419</v>
      </c>
      <c r="AE63" s="15">
        <f>AE61+AE62</f>
        <v>1419</v>
      </c>
      <c r="AF63" s="15">
        <f>AF61+AF62</f>
        <v>1419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-67.23333333333331</v>
      </c>
      <c r="AD65" s="15">
        <f>AC65</f>
        <v>-67.23333333333331</v>
      </c>
      <c r="AE65" s="15">
        <f>AD65</f>
        <v>-67.23333333333331</v>
      </c>
      <c r="AF65" s="15">
        <f>AE65</f>
        <v>-67.23333333333331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280.004666666666</v>
      </c>
      <c r="AD66" s="15">
        <f>(AD52*AD53)+AD65</f>
        <v>276.532286666666</v>
      </c>
      <c r="AE66" s="15">
        <f>(AE52*AE53)+AE65</f>
        <v>279.969942866666</v>
      </c>
      <c r="AF66" s="15">
        <f>(AF52*AF53)+AF65</f>
        <v>290.386041152666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5779.3</v>
      </c>
      <c r="AD68" s="15">
        <f>AC68-AD54</f>
        <v>5930.6</v>
      </c>
      <c r="AE68" s="15">
        <f>AD68-AE54</f>
        <v>6081.9</v>
      </c>
      <c r="AF68" s="15">
        <f>AE68-AF54</f>
        <v>6233.2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67.23333333333331</v>
      </c>
      <c r="AD69" s="15">
        <f>AC69-AD65</f>
        <v>134.466666666667</v>
      </c>
      <c r="AE69" s="15">
        <f>AD69-AE65</f>
        <v>201.7</v>
      </c>
      <c r="AF69" s="15">
        <f>AE69-AF65</f>
        <v>268.933333333333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5712.066666666670</v>
      </c>
      <c r="AD70" s="15">
        <f>AD68-AD69</f>
        <v>5796.133333333330</v>
      </c>
      <c r="AE70" s="15">
        <f>AE68-AE69</f>
        <v>5880.2</v>
      </c>
      <c r="AF70" s="15">
        <f>AF68-AF69</f>
        <v>5964.266666666670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2552.65</v>
      </c>
      <c r="AD71" s="15">
        <f>AC71+AD56</f>
        <v>2425.0175</v>
      </c>
      <c r="AE71" s="15">
        <f>AD71+AE56</f>
        <v>2303.766625</v>
      </c>
      <c r="AF71" s="15">
        <f>AE71+AF56</f>
        <v>2188.57829375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22.4134000000008</v>
      </c>
      <c r="AD72" s="15">
        <f>AC72+AD60</f>
        <v>40.5399660000016</v>
      </c>
      <c r="AE72" s="15">
        <f>AD72+AE60</f>
        <v>49.8785476600024</v>
      </c>
      <c r="AF72" s="15">
        <f>AE72+AF60</f>
        <v>45.8633167698032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4556.003266666670</v>
      </c>
      <c r="AD73" s="15">
        <f>AC73+AD66+AD58</f>
        <v>4749.575867333340</v>
      </c>
      <c r="AE73" s="15">
        <f>AD73+AE66+AE58</f>
        <v>4945.554827340010</v>
      </c>
      <c r="AF73" s="15">
        <f>AE73+AF66+AF58</f>
        <v>5148.825056146880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8e-13</v>
      </c>
      <c r="AD74" s="15">
        <f>AD71+AD72+AD73-AD63-AD70</f>
        <v>1.16e-11</v>
      </c>
      <c r="AE74" s="15">
        <f>AE71+AE72+AE73-AE63-AE70</f>
        <v>1.24e-11</v>
      </c>
      <c r="AF74" s="15">
        <f>AF71+AF72+AF73-AF63-AF70</f>
        <v>1.32e-11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-1156.0634</v>
      </c>
      <c r="AD75" s="15">
        <f>AD63-AD71-AD72</f>
        <v>-1046.557466</v>
      </c>
      <c r="AE75" s="15">
        <f>AE63-AE71-AE72</f>
        <v>-934.645172660002</v>
      </c>
      <c r="AF75" s="15">
        <f>AF63-AF71-AF72</f>
        <v>-815.441610519803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-195.937999999999</v>
      </c>
      <c r="AD76" s="15">
        <f>AD56+AD58+AD60</f>
        <v>-192.465619999999</v>
      </c>
      <c r="AE76" s="15">
        <f>AE56+AE58+AE60</f>
        <v>-195.903276199999</v>
      </c>
      <c r="AF76" s="15">
        <f>AF56+AF58+AF60</f>
        <v>-206.319374485999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768</v>
      </c>
      <c r="AB78" s="14"/>
      <c r="AC78" s="15"/>
      <c r="AD78" s="15"/>
      <c r="AE78" s="15"/>
      <c r="AF78" s="15">
        <v>1000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768</v>
      </c>
      <c r="AB79" s="14"/>
      <c r="AC79" s="15"/>
      <c r="AD79" s="15"/>
      <c r="AE79" s="15"/>
      <c r="AF79" s="15">
        <v>10903400448000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10903.400448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10.903400448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1.47677185997165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0.0310057291592744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1010.4</v>
      </c>
      <c r="AF84" s="15">
        <f>SUM(AC55:AF55)</f>
        <v>790.626270685996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7.54372437117692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13.7908400621947</v>
      </c>
      <c r="AF86" s="15">
        <v>18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14231.2728723479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1305.214179761540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0.30521417976154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-0.153134328358209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-0.12874557867895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768</v>
      </c>
      <c r="AD93" t="s" s="44">
        <f>AC115</f>
        <v>15</v>
      </c>
      <c r="AE93" t="s" s="44">
        <f>AD115</f>
        <v>360</v>
      </c>
      <c r="AF93" t="s" s="44">
        <f>AE115</f>
        <v>59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1000</v>
      </c>
      <c r="AE94" t="s" s="44">
        <v>61</v>
      </c>
      <c r="AF94" s="15">
        <f>AF88</f>
        <v>1305.214179761540</v>
      </c>
      <c r="AG94" t="s" s="44">
        <f>IF(AH94&gt;0,"+","")</f>
        <v>361</v>
      </c>
      <c r="AH94" s="16">
        <f>AF94/AD94-1</f>
        <v>0.30521417976154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</c>
      <c r="AF97" s="16">
        <f>AK104/AC104-1</f>
        <v>-0.153134328358209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  <v>361</v>
      </c>
      <c r="AF98" s="16">
        <f>(AE119+AE120+AG119+AG120+AI119+AI120+AK119+AK120)/AD136</f>
        <v>0.09266833817750279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  <v>361</v>
      </c>
      <c r="AF99" s="16">
        <f>(AE133+AE134+AG133+AG134+AI133+AI134+AK133+AK134)/AD136</f>
        <v>0.0276152381485017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-0.116293995258386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362</v>
      </c>
      <c r="AE101" s="16">
        <f>AE105</f>
        <v>0.0499629903774981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71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0.19472182596291</v>
      </c>
      <c r="AD103" s="16">
        <f>P23</f>
        <v>0</v>
      </c>
      <c r="AE103" s="16">
        <f>P24</f>
        <v>-0.0244776119402985</v>
      </c>
      <c r="AF103" s="16">
        <f>P25</f>
        <v>-0.173194614443084</v>
      </c>
      <c r="AG103" s="16">
        <f>P26</f>
        <v>0.0499629903774981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1675</v>
      </c>
      <c r="AD104" t="s" s="44">
        <v>72</v>
      </c>
      <c r="AE104" s="15">
        <f>C23</f>
        <v>1675</v>
      </c>
      <c r="AF104" t="s" s="44">
        <v>72</v>
      </c>
      <c r="AG104" s="15">
        <f>C24</f>
        <v>1634</v>
      </c>
      <c r="AH104" t="s" s="44">
        <v>72</v>
      </c>
      <c r="AI104" s="15">
        <f>C25</f>
        <v>1351</v>
      </c>
      <c r="AJ104" t="s" s="44">
        <v>72</v>
      </c>
      <c r="AK104" s="15">
        <f>C26</f>
        <v>1418.5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362</v>
      </c>
      <c r="AE105" s="16">
        <f>AK104/AI104-1</f>
        <v>0.0499629903774981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1418.5</v>
      </c>
      <c r="AK105" t="s" s="48">
        <f>AL104</f>
        <v>22</v>
      </c>
      <c r="AL105" t="s" s="44">
        <v>77</v>
      </c>
      <c r="AM105" t="s" s="44">
        <f>IF(AN105&gt;0,"+","")</f>
      </c>
      <c r="AN105" s="16">
        <f>AF91</f>
        <v>-0.12874557867895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-0.0369273090014711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0.01</v>
      </c>
      <c r="AE107" t="s" s="44">
        <v>82</v>
      </c>
      <c r="AF107" t="s" s="44">
        <v>83</v>
      </c>
      <c r="AG107" s="23">
        <f>AF52</f>
        <v>1475.517983445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108</v>
      </c>
      <c r="AE108" t="s" s="44">
        <v>86</v>
      </c>
      <c r="AF108" t="s" s="44">
        <f>IF(AJ112&gt;AH112,"up","down")</f>
        <v>108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0.277462686567164</v>
      </c>
      <c r="AD110" s="16">
        <f>(D23+E23)/C23</f>
        <v>0.277462686567164</v>
      </c>
      <c r="AE110" s="16">
        <f>((E24+D24)/C24)</f>
        <v>0.343329253365973</v>
      </c>
      <c r="AF110" s="16">
        <f>(D25+E25)/C25</f>
        <v>0.225018504811251</v>
      </c>
      <c r="AG110" s="16">
        <f>(D26+E26)/C26</f>
        <v>0.242368699330278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404.5</v>
      </c>
      <c r="AD111" t="s" s="44">
        <v>72</v>
      </c>
      <c r="AE111" s="15">
        <f>E23</f>
        <v>404.5</v>
      </c>
      <c r="AF111" t="s" s="44">
        <v>72</v>
      </c>
      <c r="AG111" s="15">
        <f>E24</f>
        <v>494</v>
      </c>
      <c r="AH111" t="s" s="44">
        <v>72</v>
      </c>
      <c r="AI111" s="15">
        <f>E25</f>
        <v>237</v>
      </c>
      <c r="AJ111" t="s" s="44">
        <v>72</v>
      </c>
      <c r="AK111" s="15">
        <f>E26</f>
        <v>276.1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0.225018504811251</v>
      </c>
      <c r="AE112" t="s" s="44">
        <v>76</v>
      </c>
      <c r="AF112" s="16">
        <f>AG110</f>
        <v>0.242368699330278</v>
      </c>
      <c r="AG112" t="s" s="44">
        <v>90</v>
      </c>
      <c r="AH112" s="15">
        <f>AI111</f>
        <v>237</v>
      </c>
      <c r="AI112" t="s" s="44">
        <v>76</v>
      </c>
      <c r="AJ112" s="15">
        <f>AK111</f>
        <v>276.1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0.272044786018667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0.242368699330278</v>
      </c>
      <c r="AE114" t="s" s="44">
        <v>94</v>
      </c>
      <c r="AF114" s="15">
        <f>AF66</f>
        <v>290.386041152666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360</v>
      </c>
      <c r="AE115" t="s" s="44">
        <f>IF(AF121&lt;0,"negative","positive")</f>
        <v>59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78</v>
      </c>
      <c r="AE116" s="15">
        <f>ABS(AF121)</f>
        <v>225.9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78</v>
      </c>
      <c r="AD117" s="15">
        <f>ABS(AF121)</f>
        <v>225.9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531.5</v>
      </c>
      <c r="AD119" t="s" s="44">
        <v>72</v>
      </c>
      <c r="AE119" s="15">
        <f>J23</f>
        <v>531.5</v>
      </c>
      <c r="AF119" t="s" s="44">
        <v>72</v>
      </c>
      <c r="AG119" s="15">
        <f>J24</f>
        <v>538</v>
      </c>
      <c r="AH119" t="s" s="44">
        <v>72</v>
      </c>
      <c r="AI119" s="15">
        <f>J25</f>
        <v>-40</v>
      </c>
      <c r="AJ119" t="s" s="44">
        <v>72</v>
      </c>
      <c r="AK119" s="15">
        <f>J26</f>
        <v>586.1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-168</v>
      </c>
      <c r="AD120" t="s" s="44">
        <v>72</v>
      </c>
      <c r="AE120" s="15">
        <f>K23</f>
        <v>-168</v>
      </c>
      <c r="AF120" t="s" s="44">
        <v>72</v>
      </c>
      <c r="AG120" s="15">
        <f>K24</f>
        <v>-39</v>
      </c>
      <c r="AH120" t="s" s="44">
        <v>72</v>
      </c>
      <c r="AI120" s="15">
        <f>K25</f>
        <v>-38</v>
      </c>
      <c r="AJ120" t="s" s="44">
        <v>72</v>
      </c>
      <c r="AK120" s="15">
        <f>K26</f>
        <v>-360.2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-78</v>
      </c>
      <c r="AE121" t="s" s="44">
        <v>76</v>
      </c>
      <c r="AF121" s="15">
        <f>AK119+AK120</f>
        <v>225.9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-360.2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252.6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-151.3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197.656567671499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87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0</v>
      </c>
      <c r="AD126" t="s" s="44">
        <v>72</v>
      </c>
      <c r="AE126" s="15">
        <f>F23</f>
        <v>860</v>
      </c>
      <c r="AF126" t="s" s="44">
        <v>72</v>
      </c>
      <c r="AG126" s="15">
        <f>F24</f>
        <v>1809</v>
      </c>
      <c r="AH126" t="s" s="44">
        <v>72</v>
      </c>
      <c r="AI126" s="15">
        <f>F25</f>
        <v>1564</v>
      </c>
      <c r="AJ126" t="s" s="44">
        <v>72</v>
      </c>
      <c r="AK126" s="15">
        <f>F26</f>
        <v>1419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0</v>
      </c>
      <c r="AD127" t="s" s="44">
        <v>72</v>
      </c>
      <c r="AE127" s="15">
        <f>G23</f>
        <v>2761</v>
      </c>
      <c r="AF127" t="s" s="44">
        <v>72</v>
      </c>
      <c r="AG127" s="15">
        <f>G24</f>
        <v>2831</v>
      </c>
      <c r="AH127" t="s" s="44">
        <v>72</v>
      </c>
      <c r="AI127" s="15">
        <f>G25</f>
        <v>2704</v>
      </c>
      <c r="AJ127" t="s" s="44">
        <v>72</v>
      </c>
      <c r="AK127" s="15">
        <f>G26</f>
        <v>2687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370</v>
      </c>
      <c r="AE128" s="15">
        <f>AI126</f>
        <v>1564</v>
      </c>
      <c r="AF128" t="s" s="44">
        <v>76</v>
      </c>
      <c r="AG128" s="15">
        <f>AK126</f>
        <v>1419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370</v>
      </c>
      <c r="AE129" s="15">
        <f>AI127</f>
        <v>2704</v>
      </c>
      <c r="AF129" t="s" s="44">
        <v>76</v>
      </c>
      <c r="AG129" s="15">
        <f>AK127</f>
        <v>2687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87</v>
      </c>
      <c r="AL129" s="15">
        <f>AE128-AE129</f>
        <v>-1140</v>
      </c>
      <c r="AM129" t="s" s="44">
        <v>76</v>
      </c>
      <c r="AN129" s="15">
        <f>AG128-AG129</f>
        <v>-1268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-338.067881205799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-452.558389480197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-815.441610519803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374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88</v>
      </c>
      <c r="AD133" t="s" s="44">
        <v>72</v>
      </c>
      <c r="AE133" s="15">
        <f>-L23</f>
        <v>88</v>
      </c>
      <c r="AF133" t="s" s="44">
        <v>72</v>
      </c>
      <c r="AG133" s="15">
        <f>-L24</f>
        <v>81</v>
      </c>
      <c r="AH133" t="s" s="44">
        <v>72</v>
      </c>
      <c r="AI133" s="15">
        <f>-L25</f>
        <v>5</v>
      </c>
      <c r="AJ133" t="s" s="44">
        <v>72</v>
      </c>
      <c r="AK133" s="15">
        <f>-L26</f>
        <v>255.3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125</v>
      </c>
      <c r="AD134" t="s" s="44">
        <v>72</v>
      </c>
      <c r="AE134" s="15">
        <f>-M23</f>
        <v>125</v>
      </c>
      <c r="AF134" t="s" s="44">
        <v>72</v>
      </c>
      <c r="AG134" s="15">
        <f>-M24</f>
        <v>-531</v>
      </c>
      <c r="AH134" t="s" s="44">
        <v>72</v>
      </c>
      <c r="AI134" s="15">
        <f>-M25</f>
        <v>161</v>
      </c>
      <c r="AJ134" t="s" s="44">
        <v>72</v>
      </c>
      <c r="AK134" s="15">
        <f>-M26</f>
        <v>116.8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768</v>
      </c>
      <c r="AD135" t="s" s="44">
        <f>IF(AE135&gt;0,"paid","(raised)")</f>
        <v>374</v>
      </c>
      <c r="AE135" s="15">
        <f>SUM(AK133:AK134)</f>
        <v>372.1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255.3</v>
      </c>
      <c r="AK135" t="s" s="48">
        <f>AL104</f>
        <v>22</v>
      </c>
      <c r="AL135" t="s" s="44">
        <v>123</v>
      </c>
      <c r="AM135" s="15">
        <f>AK134</f>
        <v>116.8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790.626270685996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10903.400448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1.47677185997165</v>
      </c>
      <c r="AI136" t="s" s="44">
        <v>130</v>
      </c>
      <c r="AJ136" t="s" s="44">
        <v>131</v>
      </c>
      <c r="AK136" t="s" s="44">
        <v>132</v>
      </c>
      <c r="AL136" s="15">
        <f>AF85</f>
        <v>7.54372437117692</v>
      </c>
      <c r="AM136" t="s" s="44">
        <v>133</v>
      </c>
      <c r="AN136" s="16">
        <f>-AD130/AD136</f>
        <v>0.0310057291592744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790.626270685996</v>
      </c>
      <c r="AE137" t="s" s="48">
        <f>AE136</f>
        <v>22</v>
      </c>
      <c r="AF137" t="s" s="44">
        <v>136</v>
      </c>
      <c r="AG137" s="15">
        <f>AD136/AD137</f>
        <v>13.7908400621947</v>
      </c>
      <c r="AH137" t="s" s="44">
        <v>130</v>
      </c>
      <c r="AI137" t="s" s="44">
        <v>137</v>
      </c>
      <c r="AJ137" t="s" s="44">
        <v>138</v>
      </c>
      <c r="AK137" s="15">
        <f>AF86</f>
        <v>18</v>
      </c>
      <c r="AL137" t="s" s="44">
        <v>139</v>
      </c>
      <c r="AM137" t="s" s="44">
        <v>140</v>
      </c>
      <c r="AN137" t="s" s="44">
        <v>141</v>
      </c>
      <c r="AO137" s="16">
        <f>AH94</f>
        <v>0.30521417976154</v>
      </c>
      <c r="AP137" t="s" s="44">
        <f>IF(AO137&gt;0,"higher","lower")</f>
        <v>363</v>
      </c>
      <c r="AQ137" t="s" s="44">
        <v>142</v>
      </c>
      <c r="AR137" s="15">
        <f>AF94</f>
        <v>1305.214179761540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1675</v>
      </c>
      <c r="AC139" s="15">
        <f>AE104</f>
        <v>1675</v>
      </c>
      <c r="AD139" s="15">
        <f>AG104</f>
        <v>1634</v>
      </c>
      <c r="AE139" s="15">
        <f>AI104</f>
        <v>1351</v>
      </c>
      <c r="AF139" s="15">
        <f>AK104</f>
        <v>1418.5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363.5</v>
      </c>
      <c r="AC140" s="15">
        <f>SUM(AE119:AE120)</f>
        <v>363.5</v>
      </c>
      <c r="AD140" s="15">
        <f>SUM(AG119:AG120)</f>
        <v>499</v>
      </c>
      <c r="AE140" s="15">
        <f>SUM(AI119:AI120)</f>
        <v>-78</v>
      </c>
      <c r="AF140" s="15">
        <f>SUM(AK119:AK120)</f>
        <v>225.9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213</v>
      </c>
      <c r="AC141" s="15">
        <f>SUM(AE133:AE134)</f>
        <v>213</v>
      </c>
      <c r="AD141" s="15">
        <f>SUM(AG133:AG134)</f>
        <v>-450</v>
      </c>
      <c r="AE141" s="15">
        <f>SUM(AI133:AI134)</f>
        <v>166</v>
      </c>
      <c r="AF141" s="15">
        <f>SUM(AK133:AK134)</f>
        <v>372.1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0</v>
      </c>
      <c r="AC142" s="15">
        <f>(AE126-AE127)</f>
        <v>-1901</v>
      </c>
      <c r="AD142" s="15">
        <f>(AG126-AG127)</f>
        <v>-1022</v>
      </c>
      <c r="AE142" s="15">
        <f>(AI126-AI127)</f>
        <v>-1140</v>
      </c>
      <c r="AF142" s="15">
        <f>(AK126-AK127)</f>
        <v>-1268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1305.214179761540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Z2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2.25781" style="402" customWidth="1"/>
    <col min="2" max="26" width="10.4844" style="402" customWidth="1"/>
    <col min="27" max="16384" width="16.3516" style="402" customWidth="1"/>
  </cols>
  <sheetData>
    <row r="1" ht="12.3" customHeight="1"/>
    <row r="2" ht="27.65" customHeight="1">
      <c r="B2" t="s" s="2">
        <v>769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276</v>
      </c>
      <c r="Z3" t="s" s="3">
        <v>19</v>
      </c>
    </row>
    <row r="4" ht="20.25" customHeight="1">
      <c r="B4" s="6">
        <v>2019</v>
      </c>
      <c r="C4" s="7">
        <v>863</v>
      </c>
      <c r="D4" s="8">
        <v>17.5</v>
      </c>
      <c r="E4" s="8">
        <v>135</v>
      </c>
      <c r="F4" s="8">
        <v>69</v>
      </c>
      <c r="G4" s="8">
        <v>1035</v>
      </c>
      <c r="H4" s="8">
        <v>2816</v>
      </c>
      <c r="I4" s="8">
        <v>882</v>
      </c>
      <c r="J4" s="8">
        <v>176</v>
      </c>
      <c r="K4" s="8">
        <v>-146</v>
      </c>
      <c r="L4" s="8">
        <v>-25</v>
      </c>
      <c r="M4" s="8">
        <v>0</v>
      </c>
      <c r="N4" s="8">
        <v>215.75</v>
      </c>
      <c r="O4" s="9"/>
      <c r="P4" s="55"/>
      <c r="Q4" s="55"/>
      <c r="R4" s="9"/>
      <c r="S4" s="8">
        <v>7.5</v>
      </c>
      <c r="T4" s="9"/>
      <c r="U4" s="8">
        <v>25</v>
      </c>
      <c r="V4" s="9"/>
      <c r="W4" s="8">
        <v>-966</v>
      </c>
      <c r="X4" s="73"/>
      <c r="Y4" s="10">
        <v>3300</v>
      </c>
      <c r="Z4" s="73"/>
    </row>
    <row r="5" ht="20.05" customHeight="1">
      <c r="B5" s="13"/>
      <c r="C5" s="14">
        <v>794</v>
      </c>
      <c r="D5" s="15">
        <v>17.5</v>
      </c>
      <c r="E5" s="15">
        <v>114</v>
      </c>
      <c r="F5" s="15">
        <v>64</v>
      </c>
      <c r="G5" s="15">
        <v>692</v>
      </c>
      <c r="H5" s="15">
        <v>2587</v>
      </c>
      <c r="I5" s="15">
        <v>879</v>
      </c>
      <c r="J5" s="15">
        <v>49</v>
      </c>
      <c r="K5" s="15">
        <v>216</v>
      </c>
      <c r="L5" s="15">
        <v>-270</v>
      </c>
      <c r="M5" s="15">
        <v>0</v>
      </c>
      <c r="N5" s="15">
        <v>414.25</v>
      </c>
      <c r="O5" s="17"/>
      <c r="P5" s="16">
        <v>-0.07995365005793741</v>
      </c>
      <c r="Q5" s="16"/>
      <c r="R5" s="17"/>
      <c r="S5" s="15">
        <v>73.75</v>
      </c>
      <c r="T5" s="17"/>
      <c r="U5" s="15">
        <v>295</v>
      </c>
      <c r="V5" s="17"/>
      <c r="W5" s="15">
        <v>-628</v>
      </c>
      <c r="X5" s="24"/>
      <c r="Y5" s="18">
        <v>3210</v>
      </c>
      <c r="Z5" s="24"/>
    </row>
    <row r="6" ht="20.05" customHeight="1">
      <c r="B6" s="13"/>
      <c r="C6" s="14">
        <v>934</v>
      </c>
      <c r="D6" s="15">
        <v>17.5</v>
      </c>
      <c r="E6" s="15">
        <v>128</v>
      </c>
      <c r="F6" s="15">
        <v>72</v>
      </c>
      <c r="G6" s="15">
        <v>737</v>
      </c>
      <c r="H6" s="15">
        <v>2764</v>
      </c>
      <c r="I6" s="15">
        <v>966</v>
      </c>
      <c r="J6" s="15">
        <v>112</v>
      </c>
      <c r="K6" s="15">
        <v>-59</v>
      </c>
      <c r="L6" s="15">
        <v>-45</v>
      </c>
      <c r="M6" s="15">
        <v>0</v>
      </c>
      <c r="N6" s="15">
        <v>647.75</v>
      </c>
      <c r="O6" s="17"/>
      <c r="P6" s="16">
        <v>0.17632241813602</v>
      </c>
      <c r="Q6" s="16"/>
      <c r="R6" s="17"/>
      <c r="S6" s="15">
        <v>87</v>
      </c>
      <c r="T6" s="17"/>
      <c r="U6" s="15">
        <v>340</v>
      </c>
      <c r="V6" s="17"/>
      <c r="W6" s="15">
        <v>-665</v>
      </c>
      <c r="X6" s="24"/>
      <c r="Y6" s="18">
        <v>4200</v>
      </c>
      <c r="Z6" s="24"/>
    </row>
    <row r="7" ht="20.05" customHeight="1">
      <c r="B7" s="13"/>
      <c r="C7" s="14">
        <v>922</v>
      </c>
      <c r="D7" s="15">
        <v>17.5</v>
      </c>
      <c r="E7" s="15">
        <v>106</v>
      </c>
      <c r="F7" s="15">
        <v>101</v>
      </c>
      <c r="G7" s="15">
        <v>734</v>
      </c>
      <c r="H7" s="15">
        <v>2882</v>
      </c>
      <c r="I7" s="15">
        <v>351</v>
      </c>
      <c r="J7" s="15">
        <v>163</v>
      </c>
      <c r="K7" s="15">
        <v>-193</v>
      </c>
      <c r="L7" s="15">
        <v>50</v>
      </c>
      <c r="M7" s="15">
        <v>15</v>
      </c>
      <c r="N7" s="15">
        <v>878.25</v>
      </c>
      <c r="O7" s="17"/>
      <c r="P7" s="16">
        <v>-0.012847965738758</v>
      </c>
      <c r="Q7" s="16">
        <v>-0.842584685454028</v>
      </c>
      <c r="R7" s="17"/>
      <c r="S7" s="15">
        <v>79.5</v>
      </c>
      <c r="T7" s="17"/>
      <c r="U7" s="15">
        <v>275</v>
      </c>
      <c r="V7" s="17"/>
      <c r="W7" s="15">
        <v>-633</v>
      </c>
      <c r="X7" s="24"/>
      <c r="Y7" s="18">
        <v>4500</v>
      </c>
      <c r="Z7" s="24"/>
    </row>
    <row r="8" ht="20.05" customHeight="1">
      <c r="B8" s="21">
        <v>2020</v>
      </c>
      <c r="C8" s="14">
        <v>945</v>
      </c>
      <c r="D8" s="15">
        <v>17.5</v>
      </c>
      <c r="E8" s="15">
        <v>175</v>
      </c>
      <c r="F8" s="15">
        <v>71</v>
      </c>
      <c r="G8" s="15">
        <v>780</v>
      </c>
      <c r="H8" s="15">
        <v>3104</v>
      </c>
      <c r="I8" s="15">
        <v>838</v>
      </c>
      <c r="J8" s="15">
        <v>206</v>
      </c>
      <c r="K8" s="15">
        <v>-220</v>
      </c>
      <c r="L8" s="15">
        <v>-15</v>
      </c>
      <c r="M8" s="15">
        <v>0</v>
      </c>
      <c r="N8" s="15">
        <v>898.75</v>
      </c>
      <c r="O8" s="15"/>
      <c r="P8" s="16">
        <v>0.0249457700650759</v>
      </c>
      <c r="Q8" s="16">
        <v>-0.835048678720445</v>
      </c>
      <c r="R8" s="17"/>
      <c r="S8" s="15">
        <v>68.5</v>
      </c>
      <c r="T8" s="17"/>
      <c r="U8" s="15">
        <v>290</v>
      </c>
      <c r="V8" s="17"/>
      <c r="W8" s="15">
        <v>-709</v>
      </c>
      <c r="X8" s="24"/>
      <c r="Y8" s="18">
        <v>6500</v>
      </c>
      <c r="Z8" s="24"/>
    </row>
    <row r="9" ht="20.05" customHeight="1">
      <c r="B9" s="13"/>
      <c r="C9" s="14">
        <v>855</v>
      </c>
      <c r="D9" s="15">
        <v>17.5</v>
      </c>
      <c r="E9" s="15">
        <v>103</v>
      </c>
      <c r="F9" s="15">
        <v>107</v>
      </c>
      <c r="G9" s="15">
        <v>691</v>
      </c>
      <c r="H9" s="15">
        <v>3111</v>
      </c>
      <c r="I9" s="15">
        <v>869</v>
      </c>
      <c r="J9" s="15">
        <v>145</v>
      </c>
      <c r="K9" s="15">
        <v>-100</v>
      </c>
      <c r="L9" s="15">
        <v>-10</v>
      </c>
      <c r="M9" s="15">
        <v>0</v>
      </c>
      <c r="N9" s="15">
        <v>914</v>
      </c>
      <c r="O9" s="15"/>
      <c r="P9" s="16">
        <v>-0.09523809523809521</v>
      </c>
      <c r="Q9" s="16">
        <v>-0.840809628008753</v>
      </c>
      <c r="R9" s="17"/>
      <c r="S9" s="15">
        <v>13.5</v>
      </c>
      <c r="T9" s="17"/>
      <c r="U9" s="15">
        <v>300</v>
      </c>
      <c r="V9" s="17"/>
      <c r="W9" s="15">
        <v>-584</v>
      </c>
      <c r="X9" s="24"/>
      <c r="Y9" s="18">
        <v>8000</v>
      </c>
      <c r="Z9" s="24"/>
    </row>
    <row r="10" ht="20.05" customHeight="1">
      <c r="B10" s="13"/>
      <c r="C10" s="14">
        <v>1018</v>
      </c>
      <c r="D10" s="15">
        <v>17.5</v>
      </c>
      <c r="E10" s="15">
        <v>201</v>
      </c>
      <c r="F10" s="15">
        <v>102</v>
      </c>
      <c r="G10" s="15">
        <v>785</v>
      </c>
      <c r="H10" s="15">
        <v>3308</v>
      </c>
      <c r="I10" s="15">
        <v>906</v>
      </c>
      <c r="J10" s="15">
        <v>297</v>
      </c>
      <c r="K10" s="15">
        <v>-201</v>
      </c>
      <c r="L10" s="15">
        <v>-102</v>
      </c>
      <c r="M10" s="15">
        <v>0</v>
      </c>
      <c r="N10" s="15">
        <v>935</v>
      </c>
      <c r="O10" s="15"/>
      <c r="P10" s="16">
        <v>0.190643274853801</v>
      </c>
      <c r="Q10" s="16">
        <v>-0.824866310160428</v>
      </c>
      <c r="R10" s="17"/>
      <c r="S10" s="15">
        <v>24.25</v>
      </c>
      <c r="T10" s="17"/>
      <c r="U10" s="15">
        <v>402</v>
      </c>
      <c r="V10" s="17"/>
      <c r="W10" s="15">
        <v>-683</v>
      </c>
      <c r="X10" s="24"/>
      <c r="Y10" s="18">
        <v>6625</v>
      </c>
      <c r="Z10" s="24"/>
    </row>
    <row r="11" ht="20.05" customHeight="1">
      <c r="B11" s="13"/>
      <c r="C11" s="14">
        <v>1028</v>
      </c>
      <c r="D11" s="15">
        <v>17.5</v>
      </c>
      <c r="E11" s="15">
        <v>150</v>
      </c>
      <c r="F11" s="15">
        <v>143</v>
      </c>
      <c r="G11" s="15">
        <v>776</v>
      </c>
      <c r="H11" s="15">
        <v>3449</v>
      </c>
      <c r="I11" s="15">
        <v>956</v>
      </c>
      <c r="J11" s="15">
        <v>278</v>
      </c>
      <c r="K11" s="15">
        <v>-324</v>
      </c>
      <c r="L11" s="15">
        <v>95</v>
      </c>
      <c r="M11" s="15">
        <v>0</v>
      </c>
      <c r="N11" s="15">
        <v>961.5</v>
      </c>
      <c r="O11" s="15"/>
      <c r="P11" s="16">
        <v>0.00982318271119843</v>
      </c>
      <c r="Q11" s="16">
        <v>-0.818252730109204</v>
      </c>
      <c r="R11" s="17"/>
      <c r="S11" s="15">
        <v>20.25</v>
      </c>
      <c r="T11" s="17"/>
      <c r="U11" s="15">
        <v>307</v>
      </c>
      <c r="V11" s="17"/>
      <c r="W11" s="15">
        <v>-633</v>
      </c>
      <c r="X11" s="24"/>
      <c r="Y11" s="18">
        <v>9500</v>
      </c>
      <c r="Z11" s="24"/>
    </row>
    <row r="12" ht="20.05" customHeight="1">
      <c r="B12" s="21">
        <v>2021</v>
      </c>
      <c r="C12" s="14">
        <v>1026</v>
      </c>
      <c r="D12" s="15">
        <v>17.5</v>
      </c>
      <c r="E12" s="15">
        <v>155</v>
      </c>
      <c r="F12" s="15">
        <v>127</v>
      </c>
      <c r="G12" s="15">
        <v>905</v>
      </c>
      <c r="H12" s="15">
        <v>3735</v>
      </c>
      <c r="I12" s="15">
        <v>905</v>
      </c>
      <c r="J12" s="15">
        <v>120</v>
      </c>
      <c r="K12" s="15">
        <v>-132</v>
      </c>
      <c r="L12" s="15">
        <v>-5</v>
      </c>
      <c r="M12" s="15">
        <v>0</v>
      </c>
      <c r="N12" s="15">
        <v>981.75</v>
      </c>
      <c r="O12" s="15"/>
      <c r="P12" s="16">
        <v>-0.00194552529182879</v>
      </c>
      <c r="Q12" s="16">
        <v>-0.827094474153298</v>
      </c>
      <c r="R12" s="17"/>
      <c r="S12" s="15">
        <v>20.75</v>
      </c>
      <c r="T12" s="17"/>
      <c r="U12" s="15">
        <v>312</v>
      </c>
      <c r="V12" s="17"/>
      <c r="W12" s="15">
        <v>-778</v>
      </c>
      <c r="X12" s="15"/>
      <c r="Y12" s="18">
        <v>7325</v>
      </c>
      <c r="Z12" s="15"/>
    </row>
    <row r="13" ht="20.05" customHeight="1">
      <c r="B13" s="13"/>
      <c r="C13" s="14">
        <v>898</v>
      </c>
      <c r="D13" s="15">
        <v>17.5</v>
      </c>
      <c r="E13" s="15">
        <v>109</v>
      </c>
      <c r="F13" s="15">
        <v>128</v>
      </c>
      <c r="G13" s="15">
        <v>516</v>
      </c>
      <c r="H13" s="15">
        <v>3455</v>
      </c>
      <c r="I13" s="15">
        <v>849</v>
      </c>
      <c r="J13" s="15">
        <v>54</v>
      </c>
      <c r="K13" s="15">
        <v>146</v>
      </c>
      <c r="L13" s="15">
        <v>-199</v>
      </c>
      <c r="M13" s="15">
        <v>0</v>
      </c>
      <c r="N13" s="15">
        <v>992.5</v>
      </c>
      <c r="O13" s="15"/>
      <c r="P13" s="16">
        <v>-0.124756335282651</v>
      </c>
      <c r="Q13" s="16">
        <v>-0.827455919395466</v>
      </c>
      <c r="R13" s="17"/>
      <c r="S13" s="15">
        <v>59.5</v>
      </c>
      <c r="T13" s="17"/>
      <c r="U13" s="15">
        <v>511</v>
      </c>
      <c r="V13" s="17"/>
      <c r="W13" s="15">
        <v>-388</v>
      </c>
      <c r="X13" s="15"/>
      <c r="Y13" s="18">
        <v>8700</v>
      </c>
      <c r="Z13" s="15"/>
    </row>
    <row r="14" ht="20.05" customHeight="1">
      <c r="B14" s="13"/>
      <c r="C14" s="14">
        <v>1121</v>
      </c>
      <c r="D14" s="15">
        <v>17.5</v>
      </c>
      <c r="E14" s="15">
        <v>169</v>
      </c>
      <c r="F14" s="15">
        <v>156</v>
      </c>
      <c r="G14" s="15">
        <v>599</v>
      </c>
      <c r="H14" s="15">
        <v>3709</v>
      </c>
      <c r="I14" s="15">
        <v>1525</v>
      </c>
      <c r="J14" s="15">
        <v>202</v>
      </c>
      <c r="K14" s="15">
        <v>-172</v>
      </c>
      <c r="L14" s="15">
        <v>-1</v>
      </c>
      <c r="M14" s="15">
        <v>0</v>
      </c>
      <c r="N14" s="15">
        <v>1018.25</v>
      </c>
      <c r="O14" s="23"/>
      <c r="P14" s="16">
        <v>0.248329621380846</v>
      </c>
      <c r="Q14" s="16">
        <v>-0.839675914559293</v>
      </c>
      <c r="R14" s="17"/>
      <c r="S14" s="15">
        <v>43</v>
      </c>
      <c r="T14" s="17"/>
      <c r="U14" s="15">
        <v>512</v>
      </c>
      <c r="V14" s="17"/>
      <c r="W14" s="15">
        <v>-443</v>
      </c>
      <c r="X14" s="15"/>
      <c r="Y14" s="18">
        <v>6825</v>
      </c>
      <c r="Z14" s="15"/>
    </row>
    <row r="15" ht="20.05" customHeight="1">
      <c r="B15" s="13"/>
      <c r="C15" s="14">
        <v>1197</v>
      </c>
      <c r="D15" s="15">
        <v>17.5</v>
      </c>
      <c r="E15" s="15">
        <v>185</v>
      </c>
      <c r="F15" s="15">
        <v>207</v>
      </c>
      <c r="G15" s="15">
        <v>618</v>
      </c>
      <c r="H15" s="15">
        <v>3919</v>
      </c>
      <c r="I15" s="15">
        <v>1327</v>
      </c>
      <c r="J15" s="15">
        <v>248</v>
      </c>
      <c r="K15" s="15">
        <v>-210</v>
      </c>
      <c r="L15" s="15">
        <v>11</v>
      </c>
      <c r="M15" s="15">
        <v>0</v>
      </c>
      <c r="N15" s="15">
        <v>1060.5</v>
      </c>
      <c r="O15" s="23"/>
      <c r="P15" s="16">
        <v>0.0677966101694915</v>
      </c>
      <c r="Q15" s="16">
        <v>-0.837812352663838</v>
      </c>
      <c r="R15" s="17"/>
      <c r="S15" s="15">
        <v>64</v>
      </c>
      <c r="T15" s="17"/>
      <c r="U15" s="15">
        <v>501</v>
      </c>
      <c r="V15" s="17"/>
      <c r="W15" s="15">
        <v>-411</v>
      </c>
      <c r="X15" s="15"/>
      <c r="Y15" s="15">
        <v>7550</v>
      </c>
      <c r="Z15" s="15"/>
    </row>
    <row r="16" ht="20.05" customHeight="1">
      <c r="B16" s="21">
        <v>2022</v>
      </c>
      <c r="C16" s="14">
        <v>1182</v>
      </c>
      <c r="D16" s="15">
        <v>18</v>
      </c>
      <c r="E16" s="15">
        <v>164</v>
      </c>
      <c r="F16" s="15">
        <v>178</v>
      </c>
      <c r="G16" s="15">
        <v>676</v>
      </c>
      <c r="H16" s="15">
        <v>4141</v>
      </c>
      <c r="I16" s="15">
        <v>1277</v>
      </c>
      <c r="J16" s="15">
        <v>178</v>
      </c>
      <c r="K16" s="15">
        <v>-197</v>
      </c>
      <c r="L16" s="15">
        <v>-197</v>
      </c>
      <c r="M16" s="15">
        <v>0</v>
      </c>
      <c r="N16" s="15">
        <v>1099.5</v>
      </c>
      <c r="O16" s="15"/>
      <c r="P16" s="16">
        <v>-0.012531328320802</v>
      </c>
      <c r="Q16" s="16">
        <v>-0.841405184174625</v>
      </c>
      <c r="R16" s="17"/>
      <c r="S16" s="15">
        <v>62.25</v>
      </c>
      <c r="T16" s="15"/>
      <c r="U16" s="15">
        <v>698</v>
      </c>
      <c r="V16" s="15"/>
      <c r="W16" s="15">
        <v>-498</v>
      </c>
      <c r="X16" s="17"/>
      <c r="Y16" s="15">
        <v>6975</v>
      </c>
      <c r="Z16" s="15"/>
    </row>
    <row r="17" ht="20.05" customHeight="1">
      <c r="B17" s="13"/>
      <c r="C17" s="14">
        <v>1060.4</v>
      </c>
      <c r="D17" s="15">
        <v>13.8</v>
      </c>
      <c r="E17" s="15">
        <v>91.90000000000001</v>
      </c>
      <c r="F17" s="15">
        <v>147</v>
      </c>
      <c r="G17" s="15">
        <v>557</v>
      </c>
      <c r="H17" s="15">
        <v>4098</v>
      </c>
      <c r="I17" s="15">
        <v>1141.7</v>
      </c>
      <c r="J17" s="15">
        <v>-71.7</v>
      </c>
      <c r="K17" s="15">
        <v>39.4</v>
      </c>
      <c r="L17" s="15">
        <v>185.1</v>
      </c>
      <c r="M17" s="15">
        <v>0</v>
      </c>
      <c r="N17" s="15">
        <v>1140.1</v>
      </c>
      <c r="O17" s="15">
        <v>1087.44</v>
      </c>
      <c r="P17" s="16">
        <v>-0.102876480541455</v>
      </c>
      <c r="Q17" s="16">
        <v>-0.851613893518112</v>
      </c>
      <c r="R17" s="16">
        <v>-0.840423922960832</v>
      </c>
      <c r="S17" s="15">
        <v>4.175</v>
      </c>
      <c r="T17" s="15">
        <v>81.384756791622</v>
      </c>
      <c r="U17" s="15">
        <v>512.9</v>
      </c>
      <c r="V17" s="15"/>
      <c r="W17" s="15">
        <v>-410</v>
      </c>
      <c r="X17" s="15">
        <v>-563.210197263315</v>
      </c>
      <c r="Y17" s="15">
        <v>8250</v>
      </c>
      <c r="Z17" s="15"/>
    </row>
    <row r="18" ht="20.05" customHeight="1">
      <c r="B18" s="13"/>
      <c r="C18" s="14">
        <v>1332.8</v>
      </c>
      <c r="D18" s="15">
        <v>18.5</v>
      </c>
      <c r="E18" s="15">
        <v>163.4</v>
      </c>
      <c r="F18" s="15">
        <v>196</v>
      </c>
      <c r="G18" s="15">
        <v>659</v>
      </c>
      <c r="H18" s="15">
        <v>4363</v>
      </c>
      <c r="I18" s="15">
        <v>1454.4</v>
      </c>
      <c r="J18" s="15">
        <v>266.6</v>
      </c>
      <c r="K18" s="15">
        <v>-219.2</v>
      </c>
      <c r="L18" s="15">
        <v>-2.1</v>
      </c>
      <c r="M18" s="15">
        <v>0.05</v>
      </c>
      <c r="N18" s="15">
        <v>1193.05</v>
      </c>
      <c r="O18" s="15">
        <v>1304.292</v>
      </c>
      <c r="P18" s="16">
        <v>0.256884194643531</v>
      </c>
      <c r="Q18" s="16">
        <v>-0.859163488537781</v>
      </c>
      <c r="R18" s="16">
        <v>-0.842403211584301</v>
      </c>
      <c r="S18" s="15">
        <v>8.525</v>
      </c>
      <c r="T18" s="15">
        <v>81.384756791622</v>
      </c>
      <c r="U18" s="15">
        <v>514.95</v>
      </c>
      <c r="V18" s="15">
        <v>514.95</v>
      </c>
      <c r="W18" s="15">
        <v>-463</v>
      </c>
      <c r="X18" s="15">
        <v>-384.009917033440</v>
      </c>
      <c r="Y18" s="15">
        <v>7600</v>
      </c>
      <c r="Z18" s="15"/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23">
        <v>1427.52885996</v>
      </c>
      <c r="P19" s="17"/>
      <c r="Q19" s="17"/>
      <c r="R19" s="35">
        <v>-0.851613893518112</v>
      </c>
      <c r="S19" s="17"/>
      <c r="T19" s="15">
        <v>86.225449419990</v>
      </c>
      <c r="U19" s="17"/>
      <c r="V19" s="15">
        <v>827.307612867953</v>
      </c>
      <c r="W19" s="17"/>
      <c r="X19" s="15">
        <v>-430.192254725356</v>
      </c>
      <c r="Y19" s="15">
        <v>7850</v>
      </c>
      <c r="Z19" s="15">
        <v>7952.098237928910</v>
      </c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v>2333.15</v>
      </c>
      <c r="O20" s="15">
        <v>2391.732</v>
      </c>
      <c r="P20" s="17"/>
      <c r="Q20" s="17"/>
      <c r="R20" s="17"/>
      <c r="S20" s="17"/>
      <c r="T20" s="17"/>
      <c r="U20" s="17"/>
      <c r="V20" s="17"/>
      <c r="W20" s="17"/>
      <c r="X20" s="15"/>
      <c r="Y20" s="15"/>
      <c r="Z20" s="15">
        <v>7108.662884396620</v>
      </c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5"/>
      <c r="Y21" s="15"/>
      <c r="Z21" s="15"/>
    </row>
    <row r="22" ht="20.05" customHeight="1">
      <c r="B22" s="13"/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5"/>
      <c r="Y22" s="15"/>
      <c r="Z22" s="15"/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5"/>
      <c r="Y23" s="15"/>
      <c r="Z23" s="15"/>
    </row>
    <row r="24" ht="20.05" customHeight="1">
      <c r="B24" s="13"/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/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</sheetData>
  <mergeCells count="1">
    <mergeCell ref="B2:Z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3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03" customWidth="1"/>
    <col min="2" max="27" width="10.4844" style="403" customWidth="1"/>
    <col min="28" max="28" width="18.9766" style="405" customWidth="1"/>
    <col min="29" max="29" hidden="1" width="16.3333" style="405" customWidth="1"/>
    <col min="30" max="33" width="9" style="405" customWidth="1"/>
    <col min="34" max="47" hidden="1" width="16.3333" style="405" customWidth="1"/>
    <col min="48" max="16384" width="16.3516" style="405" customWidth="1"/>
  </cols>
  <sheetData>
    <row r="1" ht="11.65" customHeight="1"/>
    <row r="2" ht="27.65" customHeight="1">
      <c r="B2" t="s" s="2">
        <v>770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300</v>
      </c>
      <c r="AA3" t="s" s="3">
        <v>19</v>
      </c>
    </row>
    <row r="4" ht="20.25" customHeight="1">
      <c r="B4" s="6">
        <v>2017</v>
      </c>
      <c r="C4" s="7">
        <v>956</v>
      </c>
      <c r="D4" s="8">
        <v>114.4</v>
      </c>
      <c r="E4" s="8">
        <v>203.6</v>
      </c>
      <c r="F4" s="8"/>
      <c r="G4" s="8"/>
      <c r="H4" s="8"/>
      <c r="I4" s="8">
        <v>861.4</v>
      </c>
      <c r="J4" s="8">
        <v>72.5</v>
      </c>
      <c r="K4" s="8">
        <v>-162.1</v>
      </c>
      <c r="L4" s="8">
        <v>-1.5</v>
      </c>
      <c r="M4" s="8">
        <v>-47.7</v>
      </c>
      <c r="N4" s="59"/>
      <c r="O4" s="9"/>
      <c r="P4" s="9"/>
      <c r="Q4" s="9"/>
      <c r="R4" s="9"/>
      <c r="S4" s="9"/>
      <c r="T4" s="9"/>
      <c r="U4" s="9"/>
      <c r="V4" s="8">
        <f>-(L4+M4)</f>
        <v>49.2</v>
      </c>
      <c r="W4" s="9"/>
      <c r="X4" s="9"/>
      <c r="Y4" s="9"/>
      <c r="Z4" s="79">
        <v>1090</v>
      </c>
      <c r="AA4" s="9"/>
    </row>
    <row r="5" ht="20.05" customHeight="1">
      <c r="B5" s="13"/>
      <c r="C5" s="14">
        <v>984.8</v>
      </c>
      <c r="D5" s="15">
        <v>114.6</v>
      </c>
      <c r="E5" s="15">
        <v>174.4</v>
      </c>
      <c r="F5" s="15"/>
      <c r="G5" s="15"/>
      <c r="H5" s="15"/>
      <c r="I5" s="15">
        <v>1637.3</v>
      </c>
      <c r="J5" s="15">
        <v>893.6</v>
      </c>
      <c r="K5" s="15">
        <v>-646.6</v>
      </c>
      <c r="L5" s="15">
        <v>383.9</v>
      </c>
      <c r="M5" s="15">
        <v>-665</v>
      </c>
      <c r="N5" s="26"/>
      <c r="O5" s="17"/>
      <c r="P5" s="17"/>
      <c r="Q5" s="17"/>
      <c r="R5" s="17"/>
      <c r="S5" s="17"/>
      <c r="T5" s="17"/>
      <c r="U5" s="17"/>
      <c r="V5" s="15">
        <f>-(L5+M5)+V4</f>
        <v>330.3</v>
      </c>
      <c r="W5" s="17"/>
      <c r="X5" s="17"/>
      <c r="Y5" s="17"/>
      <c r="Z5" s="80">
        <v>1360</v>
      </c>
      <c r="AA5" s="17"/>
    </row>
    <row r="6" ht="20.05" customHeight="1">
      <c r="B6" s="13"/>
      <c r="C6" s="14">
        <v>1034.3</v>
      </c>
      <c r="D6" s="15">
        <v>125.6</v>
      </c>
      <c r="E6" s="15">
        <v>277.2</v>
      </c>
      <c r="F6" s="15"/>
      <c r="G6" s="15"/>
      <c r="H6" s="15"/>
      <c r="I6" s="15">
        <v>515.1</v>
      </c>
      <c r="J6" s="15">
        <v>-188.1</v>
      </c>
      <c r="K6" s="15">
        <v>-443.7</v>
      </c>
      <c r="L6" s="15">
        <v>646.8</v>
      </c>
      <c r="M6" s="15">
        <v>0</v>
      </c>
      <c r="N6" s="26"/>
      <c r="O6" s="17"/>
      <c r="P6" s="17"/>
      <c r="Q6" s="17"/>
      <c r="R6" s="17"/>
      <c r="S6" s="17"/>
      <c r="T6" s="17"/>
      <c r="U6" s="17"/>
      <c r="V6" s="15">
        <f>-(L6+M6)+V5</f>
        <v>-316.5</v>
      </c>
      <c r="W6" s="17"/>
      <c r="X6" s="17"/>
      <c r="Y6" s="17"/>
      <c r="Z6" s="80">
        <v>1315</v>
      </c>
      <c r="AA6" s="17"/>
    </row>
    <row r="7" ht="20.05" customHeight="1">
      <c r="B7" s="13"/>
      <c r="C7" s="14">
        <v>1048</v>
      </c>
      <c r="D7" s="15">
        <v>128.1</v>
      </c>
      <c r="E7" s="15">
        <v>1683.8</v>
      </c>
      <c r="F7" s="15"/>
      <c r="G7" s="15"/>
      <c r="H7" s="15"/>
      <c r="I7" s="15">
        <v>945</v>
      </c>
      <c r="J7" s="15">
        <v>467.9</v>
      </c>
      <c r="K7" s="15">
        <v>-538</v>
      </c>
      <c r="L7" s="15">
        <v>277</v>
      </c>
      <c r="M7" s="15">
        <v>-8.6</v>
      </c>
      <c r="N7" s="26"/>
      <c r="O7" s="17"/>
      <c r="P7" s="17"/>
      <c r="Q7" s="17"/>
      <c r="R7" s="17"/>
      <c r="S7" s="17"/>
      <c r="T7" s="17"/>
      <c r="U7" s="17"/>
      <c r="V7" s="15">
        <f>-(L7+M7)+V6</f>
        <v>-584.9</v>
      </c>
      <c r="W7" s="17"/>
      <c r="X7" s="17"/>
      <c r="Y7" s="17"/>
      <c r="Z7" s="80">
        <v>1285</v>
      </c>
      <c r="AA7" s="17"/>
    </row>
    <row r="8" ht="20.05" customHeight="1">
      <c r="B8" s="21">
        <v>2018</v>
      </c>
      <c r="C8" s="14">
        <v>1036.3</v>
      </c>
      <c r="D8" s="15">
        <v>135.1</v>
      </c>
      <c r="E8" s="15">
        <v>236.3</v>
      </c>
      <c r="F8" s="15">
        <v>926</v>
      </c>
      <c r="G8" s="15">
        <v>23455.7</v>
      </c>
      <c r="H8" s="15">
        <v>26669</v>
      </c>
      <c r="I8" s="15">
        <v>1999.7</v>
      </c>
      <c r="J8" s="15">
        <v>1228.5</v>
      </c>
      <c r="K8" s="15">
        <v>-468.6</v>
      </c>
      <c r="L8" s="15">
        <v>-223.1</v>
      </c>
      <c r="M8" s="15">
        <v>-19.7</v>
      </c>
      <c r="N8" s="15">
        <f>SUM(C5:C8)/4</f>
        <v>1025.85</v>
      </c>
      <c r="O8" s="17"/>
      <c r="P8" s="16"/>
      <c r="Q8" s="16">
        <f>((D8+E8)/C8)</f>
        <v>0.358390427482389</v>
      </c>
      <c r="R8" s="16"/>
      <c r="S8" s="17"/>
      <c r="T8" s="15">
        <f>SUM(J5:K8)/4</f>
        <v>76.25</v>
      </c>
      <c r="U8" s="17"/>
      <c r="V8" s="15">
        <f>-(L8+M8)+V7</f>
        <v>-342.1</v>
      </c>
      <c r="W8" s="17"/>
      <c r="X8" s="15">
        <f>F8-G8</f>
        <v>-22529.7</v>
      </c>
      <c r="Y8" s="24"/>
      <c r="Z8" s="80">
        <v>1115</v>
      </c>
      <c r="AA8" s="24"/>
    </row>
    <row r="9" ht="20.05" customHeight="1">
      <c r="B9" s="13"/>
      <c r="C9" s="14">
        <v>1042.2</v>
      </c>
      <c r="D9" s="15">
        <v>140</v>
      </c>
      <c r="E9" s="15">
        <v>170.8</v>
      </c>
      <c r="F9" s="15">
        <v>700</v>
      </c>
      <c r="G9" s="15">
        <v>24932</v>
      </c>
      <c r="H9" s="15">
        <v>27890</v>
      </c>
      <c r="I9" s="15">
        <v>784.9</v>
      </c>
      <c r="J9" s="15">
        <v>-82.5</v>
      </c>
      <c r="K9" s="15">
        <v>-602.9</v>
      </c>
      <c r="L9" s="15">
        <v>593.9</v>
      </c>
      <c r="M9" s="15">
        <v>-1154.4</v>
      </c>
      <c r="N9" s="15">
        <f>SUM(C6:C9)/4</f>
        <v>1040.2</v>
      </c>
      <c r="O9" s="17"/>
      <c r="P9" s="16"/>
      <c r="Q9" s="16">
        <f>((D9+E9)/C9)</f>
        <v>0.298215313759355</v>
      </c>
      <c r="R9" s="16"/>
      <c r="S9" s="17"/>
      <c r="T9" s="15">
        <f>SUM(J6:K9)/4</f>
        <v>-156.85</v>
      </c>
      <c r="U9" s="17"/>
      <c r="V9" s="15">
        <f>-(L9+M9)+V8</f>
        <v>218.4</v>
      </c>
      <c r="W9" s="17"/>
      <c r="X9" s="15">
        <f>F9-G9</f>
        <v>-24232</v>
      </c>
      <c r="Y9" s="24"/>
      <c r="Z9" s="80">
        <v>998</v>
      </c>
      <c r="AA9" s="24"/>
    </row>
    <row r="10" ht="20.05" customHeight="1">
      <c r="B10" s="13"/>
      <c r="C10" s="14">
        <v>1089.3</v>
      </c>
      <c r="D10" s="15">
        <v>144.2</v>
      </c>
      <c r="E10" s="15">
        <v>223.5</v>
      </c>
      <c r="F10" s="15">
        <v>293</v>
      </c>
      <c r="G10" s="15">
        <v>25566</v>
      </c>
      <c r="H10" s="15">
        <v>28949</v>
      </c>
      <c r="I10" s="15">
        <v>621.2</v>
      </c>
      <c r="J10" s="15">
        <v>-145.4</v>
      </c>
      <c r="K10" s="15">
        <v>-594.5</v>
      </c>
      <c r="L10" s="15">
        <v>371.2</v>
      </c>
      <c r="M10" s="15">
        <v>-42.2</v>
      </c>
      <c r="N10" s="15">
        <f>SUM(C7:C10)/4</f>
        <v>1053.95</v>
      </c>
      <c r="O10" s="17"/>
      <c r="P10" s="16"/>
      <c r="Q10" s="16">
        <f>((D10+E10)/C10)</f>
        <v>0.33755622877077</v>
      </c>
      <c r="R10" s="16"/>
      <c r="S10" s="17"/>
      <c r="T10" s="15">
        <f>SUM(J7:K10)/4</f>
        <v>-183.875</v>
      </c>
      <c r="U10" s="17"/>
      <c r="V10" s="15">
        <f>-(L10+M10)+V9</f>
        <v>-110.6</v>
      </c>
      <c r="W10" s="17"/>
      <c r="X10" s="15">
        <f>F10-G10</f>
        <v>-25273</v>
      </c>
      <c r="Y10" s="24"/>
      <c r="Z10" s="80">
        <v>1125</v>
      </c>
      <c r="AA10" s="24"/>
    </row>
    <row r="11" ht="20.05" customHeight="1">
      <c r="B11" s="13"/>
      <c r="C11" s="14">
        <v>1150.3</v>
      </c>
      <c r="D11" s="15">
        <v>148</v>
      </c>
      <c r="E11" s="15">
        <v>72</v>
      </c>
      <c r="F11" s="15">
        <v>221</v>
      </c>
      <c r="G11" s="15">
        <v>25434</v>
      </c>
      <c r="H11" s="15">
        <v>29114</v>
      </c>
      <c r="I11" s="15">
        <v>913.9</v>
      </c>
      <c r="J11" s="15">
        <v>251.6</v>
      </c>
      <c r="K11" s="15">
        <v>-538.9</v>
      </c>
      <c r="L11" s="15">
        <v>285.4</v>
      </c>
      <c r="M11" s="15">
        <v>-67.40000000000001</v>
      </c>
      <c r="N11" s="15">
        <f>SUM(C8:C11)/4</f>
        <v>1079.525</v>
      </c>
      <c r="O11" s="17"/>
      <c r="P11" s="16"/>
      <c r="Q11" s="16">
        <f>((D11+E11)/C11)</f>
        <v>0.191254455359471</v>
      </c>
      <c r="R11" s="16"/>
      <c r="S11" s="17"/>
      <c r="T11" s="15">
        <f>SUM(J8:K11)/4</f>
        <v>-238.175</v>
      </c>
      <c r="U11" s="17"/>
      <c r="V11" s="15">
        <f>-(L11+M11)+V10</f>
        <v>-328.6</v>
      </c>
      <c r="W11" s="17"/>
      <c r="X11" s="15">
        <f>F11-G11</f>
        <v>-25213</v>
      </c>
      <c r="Y11" s="24"/>
      <c r="Z11" s="80">
        <v>720</v>
      </c>
      <c r="AA11" s="24"/>
    </row>
    <row r="12" ht="20.05" customHeight="1">
      <c r="B12" s="21">
        <v>2019</v>
      </c>
      <c r="C12" s="14">
        <v>1131.1</v>
      </c>
      <c r="D12" s="15">
        <v>154.3</v>
      </c>
      <c r="E12" s="15">
        <v>229.3</v>
      </c>
      <c r="F12" s="15">
        <v>235</v>
      </c>
      <c r="G12" s="15">
        <v>25253</v>
      </c>
      <c r="H12" s="15">
        <v>29131</v>
      </c>
      <c r="I12" s="15">
        <v>1988</v>
      </c>
      <c r="J12" s="15">
        <v>908.5</v>
      </c>
      <c r="K12" s="15">
        <v>-287</v>
      </c>
      <c r="L12" s="15">
        <v>-568.8</v>
      </c>
      <c r="M12" s="15">
        <v>-36.2</v>
      </c>
      <c r="N12" s="15">
        <f>SUM(C9:C12)/4</f>
        <v>1103.225</v>
      </c>
      <c r="O12" s="17"/>
      <c r="P12" s="16"/>
      <c r="Q12" s="16">
        <f>((D12+E12)/C12)</f>
        <v>0.339138891344709</v>
      </c>
      <c r="R12" s="16">
        <f>AVERAGE(Q9:Q12)</f>
        <v>0.291541222308576</v>
      </c>
      <c r="S12" s="17"/>
      <c r="T12" s="15">
        <f>SUM(J9:K12)/4</f>
        <v>-272.775</v>
      </c>
      <c r="U12" s="17"/>
      <c r="V12" s="15">
        <f>-(L12+M12)+V11</f>
        <v>276.4</v>
      </c>
      <c r="W12" s="17"/>
      <c r="X12" s="15">
        <f>F12-G12</f>
        <v>-25018</v>
      </c>
      <c r="Y12" s="24"/>
      <c r="Z12" s="80">
        <v>778</v>
      </c>
      <c r="AA12" s="24"/>
    </row>
    <row r="13" ht="20.05" customHeight="1">
      <c r="B13" s="13"/>
      <c r="C13" s="14">
        <v>1146.3</v>
      </c>
      <c r="D13" s="15">
        <v>154.1</v>
      </c>
      <c r="E13" s="15">
        <v>173.4</v>
      </c>
      <c r="F13" s="15">
        <v>296</v>
      </c>
      <c r="G13" s="15">
        <v>25940</v>
      </c>
      <c r="H13" s="15">
        <v>29283</v>
      </c>
      <c r="I13" s="15">
        <v>1017.2</v>
      </c>
      <c r="J13" s="15">
        <v>632.7</v>
      </c>
      <c r="K13" s="15">
        <v>-814.5</v>
      </c>
      <c r="L13" s="15">
        <v>859.7</v>
      </c>
      <c r="M13" s="15">
        <v>-615.9</v>
      </c>
      <c r="N13" s="15">
        <f>SUM(C10:C13)/4</f>
        <v>1129.25</v>
      </c>
      <c r="O13" s="17"/>
      <c r="P13" s="16"/>
      <c r="Q13" s="16">
        <f>((D13+E13)/C13)</f>
        <v>0.285701823257437</v>
      </c>
      <c r="R13" s="16">
        <f>AVERAGE(Q10:Q13)</f>
        <v>0.288412849683097</v>
      </c>
      <c r="S13" s="17"/>
      <c r="T13" s="15">
        <f>SUM(J10:K13)/4</f>
        <v>-146.875</v>
      </c>
      <c r="U13" s="17"/>
      <c r="V13" s="15">
        <f>-(L13+M13)+V12</f>
        <v>32.6</v>
      </c>
      <c r="W13" s="17"/>
      <c r="X13" s="15">
        <f>F13-G13</f>
        <v>-25644</v>
      </c>
      <c r="Y13" s="24"/>
      <c r="Z13" s="80">
        <v>758</v>
      </c>
      <c r="AA13" s="24"/>
    </row>
    <row r="14" ht="20.05" customHeight="1">
      <c r="B14" s="13"/>
      <c r="C14" s="14">
        <v>1192</v>
      </c>
      <c r="D14" s="15">
        <v>154.3</v>
      </c>
      <c r="E14" s="15">
        <v>242</v>
      </c>
      <c r="F14" s="15">
        <v>333</v>
      </c>
      <c r="G14" s="15">
        <v>25426</v>
      </c>
      <c r="H14" s="15">
        <v>29438</v>
      </c>
      <c r="I14" s="15">
        <v>1505</v>
      </c>
      <c r="J14" s="15">
        <v>197.8</v>
      </c>
      <c r="K14" s="15">
        <v>-638.2</v>
      </c>
      <c r="L14" s="15">
        <v>-19.1</v>
      </c>
      <c r="M14" s="15">
        <v>31</v>
      </c>
      <c r="N14" s="15">
        <f>SUM(C11:C14)/4</f>
        <v>1154.925</v>
      </c>
      <c r="O14" s="17"/>
      <c r="P14" s="16"/>
      <c r="Q14" s="16">
        <f>((D14+E14)/C14)</f>
        <v>0.33246644295302</v>
      </c>
      <c r="R14" s="16">
        <f>AVERAGE(Q11:Q14)</f>
        <v>0.287140403228659</v>
      </c>
      <c r="S14" s="17"/>
      <c r="T14" s="15">
        <f>SUM(J11:K14)/4</f>
        <v>-72</v>
      </c>
      <c r="U14" s="17"/>
      <c r="V14" s="15">
        <f>-(L14+M14)+V13</f>
        <v>20.7</v>
      </c>
      <c r="W14" s="17"/>
      <c r="X14" s="15">
        <f>F14-G14</f>
        <v>-25093</v>
      </c>
      <c r="Y14" s="24"/>
      <c r="Z14" s="80">
        <v>1225</v>
      </c>
      <c r="AA14" s="24"/>
    </row>
    <row r="15" ht="20.05" customHeight="1">
      <c r="B15" s="13"/>
      <c r="C15" s="14">
        <v>1229.3</v>
      </c>
      <c r="D15" s="15">
        <v>179.1</v>
      </c>
      <c r="E15" s="15">
        <v>221.4</v>
      </c>
      <c r="F15" s="15">
        <v>525</v>
      </c>
      <c r="G15" s="15">
        <v>25349</v>
      </c>
      <c r="H15" s="15">
        <v>30872</v>
      </c>
      <c r="I15" s="15">
        <v>311.9</v>
      </c>
      <c r="J15" s="15">
        <v>-159.7</v>
      </c>
      <c r="K15" s="15">
        <v>3779.2</v>
      </c>
      <c r="L15" s="15">
        <v>668.1</v>
      </c>
      <c r="M15" s="15">
        <v>-0.3</v>
      </c>
      <c r="N15" s="15">
        <f>SUM(C12:C15)/4</f>
        <v>1174.675</v>
      </c>
      <c r="O15" s="17"/>
      <c r="P15" s="16"/>
      <c r="Q15" s="16">
        <f>((D15+E15)/C15)</f>
        <v>0.325795167981778</v>
      </c>
      <c r="R15" s="16">
        <f>AVERAGE(Q12:Q15)</f>
        <v>0.320775581384236</v>
      </c>
      <c r="S15" s="17"/>
      <c r="T15" s="15">
        <f>SUM(J12:K15)/4</f>
        <v>904.7</v>
      </c>
      <c r="U15" s="17"/>
      <c r="V15" s="15">
        <f>-(L15+M15)+V14</f>
        <v>-647.1</v>
      </c>
      <c r="W15" s="17"/>
      <c r="X15" s="15">
        <f>F15-G15</f>
        <v>-24824</v>
      </c>
      <c r="Y15" s="24"/>
      <c r="Z15" s="80">
        <v>1230</v>
      </c>
      <c r="AA15" s="24"/>
    </row>
    <row r="16" ht="20.05" customHeight="1">
      <c r="B16" s="21">
        <v>2020</v>
      </c>
      <c r="C16" s="14">
        <v>1261.9</v>
      </c>
      <c r="D16" s="15">
        <v>141.9</v>
      </c>
      <c r="E16" s="15">
        <v>244.8</v>
      </c>
      <c r="F16" s="15">
        <v>798</v>
      </c>
      <c r="G16" s="15">
        <v>29037</v>
      </c>
      <c r="H16" s="15">
        <v>34060</v>
      </c>
      <c r="I16" s="15">
        <v>2249.1</v>
      </c>
      <c r="J16" s="15">
        <v>1364.2</v>
      </c>
      <c r="K16" s="15">
        <v>-801.2</v>
      </c>
      <c r="L16" s="15">
        <v>-779.2</v>
      </c>
      <c r="M16" s="15">
        <v>0</v>
      </c>
      <c r="N16" s="15">
        <f>SUM(C13:C16)/4</f>
        <v>1207.375</v>
      </c>
      <c r="O16" s="15"/>
      <c r="P16" s="16"/>
      <c r="Q16" s="16">
        <f>((D16+E16)/C16)</f>
        <v>0.30644266582138</v>
      </c>
      <c r="R16" s="16">
        <f>AVERAGE(Q13:Q16)</f>
        <v>0.312601525003404</v>
      </c>
      <c r="S16" s="17"/>
      <c r="T16" s="15">
        <f>SUM(J13:K16)/4</f>
        <v>890.075</v>
      </c>
      <c r="U16" s="17"/>
      <c r="V16" s="15">
        <f>-(L16+M16)+V15</f>
        <v>132.1</v>
      </c>
      <c r="W16" s="17"/>
      <c r="X16" s="15">
        <f>F16-G16</f>
        <v>-28239</v>
      </c>
      <c r="Y16" s="24"/>
      <c r="Z16" s="404">
        <v>905</v>
      </c>
      <c r="AA16" s="24"/>
    </row>
    <row r="17" ht="20.05" customHeight="1">
      <c r="B17" s="13"/>
      <c r="C17" s="14">
        <v>1315.4</v>
      </c>
      <c r="D17" s="15">
        <v>199.5</v>
      </c>
      <c r="E17" s="15">
        <v>293.1</v>
      </c>
      <c r="F17" s="15">
        <v>762</v>
      </c>
      <c r="G17" s="15">
        <v>27798</v>
      </c>
      <c r="H17" s="15">
        <v>34041</v>
      </c>
      <c r="I17" s="15">
        <v>710.4</v>
      </c>
      <c r="J17" s="15">
        <v>13.8</v>
      </c>
      <c r="K17" s="15">
        <v>-475.9</v>
      </c>
      <c r="L17" s="15">
        <v>1078.5</v>
      </c>
      <c r="M17" s="15">
        <v>-611.3</v>
      </c>
      <c r="N17" s="15">
        <f>SUM(C14:C17)/4</f>
        <v>1249.65</v>
      </c>
      <c r="O17" s="15"/>
      <c r="P17" s="16"/>
      <c r="Q17" s="16">
        <f>((D17+E17)/C17)</f>
        <v>0.37448684810704</v>
      </c>
      <c r="R17" s="16">
        <f>AVERAGE(Q14:Q17)</f>
        <v>0.334797781215805</v>
      </c>
      <c r="S17" s="17"/>
      <c r="T17" s="15">
        <f>SUM(J14:K17)/4</f>
        <v>820</v>
      </c>
      <c r="U17" s="17"/>
      <c r="V17" s="15">
        <f>-(L17+M17)+V16</f>
        <v>-335.1</v>
      </c>
      <c r="W17" s="17"/>
      <c r="X17" s="15">
        <f>F17-G17</f>
        <v>-27036</v>
      </c>
      <c r="Y17" s="24"/>
      <c r="Z17" s="80">
        <v>1105</v>
      </c>
      <c r="AA17" s="24"/>
    </row>
    <row r="18" ht="20.05" customHeight="1">
      <c r="B18" s="13"/>
      <c r="C18" s="14">
        <v>1360</v>
      </c>
      <c r="D18" s="15">
        <v>178.6</v>
      </c>
      <c r="E18" s="15">
        <v>254</v>
      </c>
      <c r="F18" s="15">
        <v>574</v>
      </c>
      <c r="G18" s="15">
        <v>27664</v>
      </c>
      <c r="H18" s="15">
        <v>34266</v>
      </c>
      <c r="I18" s="15">
        <v>1550.7</v>
      </c>
      <c r="J18" s="15">
        <v>446.7</v>
      </c>
      <c r="K18" s="15">
        <v>-462.6</v>
      </c>
      <c r="L18" s="15">
        <v>-178.4</v>
      </c>
      <c r="M18" s="15">
        <v>-5.5</v>
      </c>
      <c r="N18" s="15">
        <f>SUM(C15:C18)/4</f>
        <v>1291.65</v>
      </c>
      <c r="O18" s="15"/>
      <c r="P18" s="16"/>
      <c r="Q18" s="16">
        <f>((D18+E18)/C18)</f>
        <v>0.318088235294118</v>
      </c>
      <c r="R18" s="16">
        <f>AVERAGE(Q15:Q18)</f>
        <v>0.331203229301079</v>
      </c>
      <c r="S18" s="17"/>
      <c r="T18" s="15">
        <f>SUM(J15:K18)/4</f>
        <v>926.125</v>
      </c>
      <c r="U18" s="17"/>
      <c r="V18" s="15">
        <f>-(L18+M18)+V17</f>
        <v>-151.2</v>
      </c>
      <c r="W18" s="17"/>
      <c r="X18" s="15">
        <f>F18-G18</f>
        <v>-27090</v>
      </c>
      <c r="Y18" s="24"/>
      <c r="Z18" s="15">
        <v>1335</v>
      </c>
      <c r="AA18" s="24"/>
    </row>
    <row r="19" ht="20.05" customHeight="1">
      <c r="B19" s="13"/>
      <c r="C19" s="14">
        <v>1390.4</v>
      </c>
      <c r="D19" s="15">
        <v>281.1</v>
      </c>
      <c r="E19" s="15">
        <v>274.7</v>
      </c>
      <c r="F19" s="15">
        <v>947</v>
      </c>
      <c r="G19" s="15">
        <v>27217</v>
      </c>
      <c r="H19" s="15">
        <v>36521</v>
      </c>
      <c r="I19" s="15">
        <v>819.7</v>
      </c>
      <c r="J19" s="15">
        <v>155.8</v>
      </c>
      <c r="K19" s="15">
        <v>-312.2</v>
      </c>
      <c r="L19" s="15">
        <v>545.7</v>
      </c>
      <c r="M19" s="15">
        <v>0</v>
      </c>
      <c r="N19" s="15">
        <f>SUM(C16:C19)/4</f>
        <v>1331.925</v>
      </c>
      <c r="O19" s="15"/>
      <c r="P19" s="16"/>
      <c r="Q19" s="16">
        <f>((D19+E19)/C19)</f>
        <v>0.399741081703107</v>
      </c>
      <c r="R19" s="16">
        <f>AVERAGE(Q16:Q19)</f>
        <v>0.349689707731411</v>
      </c>
      <c r="S19" s="17"/>
      <c r="T19" s="15">
        <f>SUM(J16:K19)/4</f>
        <v>-17.85</v>
      </c>
      <c r="U19" s="17"/>
      <c r="V19" s="15">
        <f>-(L19+M19)+V18</f>
        <v>-696.9</v>
      </c>
      <c r="W19" s="17"/>
      <c r="X19" s="15">
        <f>F19-G19</f>
        <v>-26270</v>
      </c>
      <c r="Y19" s="24"/>
      <c r="Z19" s="15">
        <v>1630</v>
      </c>
      <c r="AA19" s="24"/>
    </row>
    <row r="20" ht="20.05" customHeight="1">
      <c r="B20" s="21">
        <v>2021</v>
      </c>
      <c r="C20" s="14">
        <v>1422.1</v>
      </c>
      <c r="D20" s="15">
        <v>280.75</v>
      </c>
      <c r="E20" s="15">
        <v>284.1</v>
      </c>
      <c r="F20" s="15">
        <v>5110</v>
      </c>
      <c r="G20" s="15">
        <v>32409</v>
      </c>
      <c r="H20" s="15">
        <v>42297</v>
      </c>
      <c r="I20" s="15">
        <v>2262</v>
      </c>
      <c r="J20" s="15">
        <v>1107.8</v>
      </c>
      <c r="K20" s="15">
        <v>-904.3</v>
      </c>
      <c r="L20" s="15">
        <v>3946.3</v>
      </c>
      <c r="M20" s="15">
        <v>0</v>
      </c>
      <c r="N20" s="15">
        <f>SUM(C17:C20)/4</f>
        <v>1371.975</v>
      </c>
      <c r="O20" s="15"/>
      <c r="P20" s="16"/>
      <c r="Q20" s="16">
        <f>((D20+E20)/C20)</f>
        <v>0.397194290134308</v>
      </c>
      <c r="R20" s="16">
        <f>AVERAGE(Q17:Q20)</f>
        <v>0.372377613809643</v>
      </c>
      <c r="S20" s="17"/>
      <c r="T20" s="15">
        <f>SUM(J17:K20)/4</f>
        <v>-107.725</v>
      </c>
      <c r="U20" s="17"/>
      <c r="V20" s="15">
        <f>-(L20+M20)+V19</f>
        <v>-4643.2</v>
      </c>
      <c r="W20" s="17"/>
      <c r="X20" s="15">
        <f>F20-G20</f>
        <v>-27299</v>
      </c>
      <c r="Y20" s="15"/>
      <c r="Z20" s="15">
        <v>2070</v>
      </c>
      <c r="AA20" s="17"/>
    </row>
    <row r="21" ht="20.05" customHeight="1">
      <c r="B21" s="13"/>
      <c r="C21" s="14">
        <v>1549.3</v>
      </c>
      <c r="D21" s="15">
        <v>280.75</v>
      </c>
      <c r="E21" s="15">
        <v>405.7</v>
      </c>
      <c r="F21" s="15">
        <v>894</v>
      </c>
      <c r="G21" s="15">
        <v>32619</v>
      </c>
      <c r="H21" s="15">
        <v>41837</v>
      </c>
      <c r="I21" s="15">
        <v>2060.9</v>
      </c>
      <c r="J21" s="15">
        <v>666.3</v>
      </c>
      <c r="K21" s="15">
        <v>-4429.2</v>
      </c>
      <c r="L21" s="15">
        <v>-308.5</v>
      </c>
      <c r="M21" s="15">
        <v>-706.4</v>
      </c>
      <c r="N21" s="15">
        <f>SUM(C18:C21)/4</f>
        <v>1430.45</v>
      </c>
      <c r="O21" s="15"/>
      <c r="P21" s="16">
        <f>C21/C20-1</f>
        <v>0.0894451866957317</v>
      </c>
      <c r="Q21" s="16">
        <f>((D21+E21)/C21)</f>
        <v>0.443071064351643</v>
      </c>
      <c r="R21" s="16">
        <f>AVERAGE(Q18:Q21)</f>
        <v>0.389523667870794</v>
      </c>
      <c r="S21" s="17"/>
      <c r="T21" s="15">
        <f>SUM(J18:K21)/4</f>
        <v>-932.925</v>
      </c>
      <c r="U21" s="17"/>
      <c r="V21" s="15">
        <f>-(L21+M21)+V20</f>
        <v>-3628.3</v>
      </c>
      <c r="W21" s="17"/>
      <c r="X21" s="15">
        <f>F21-G21</f>
        <v>-31725</v>
      </c>
      <c r="Y21" s="15"/>
      <c r="Z21" s="15">
        <v>3210</v>
      </c>
      <c r="AA21" s="17"/>
    </row>
    <row r="22" ht="20.05" customHeight="1">
      <c r="B22" s="13"/>
      <c r="C22" s="14">
        <v>1590.5</v>
      </c>
      <c r="D22" s="15">
        <v>280.75</v>
      </c>
      <c r="E22" s="15">
        <v>430</v>
      </c>
      <c r="F22" s="15">
        <v>842</v>
      </c>
      <c r="G22" s="15">
        <v>31983</v>
      </c>
      <c r="H22" s="15">
        <v>41585</v>
      </c>
      <c r="I22" s="15">
        <v>1142.8</v>
      </c>
      <c r="J22" s="15">
        <v>125.2</v>
      </c>
      <c r="K22" s="15">
        <v>-543.3</v>
      </c>
      <c r="L22" s="15">
        <v>371.5</v>
      </c>
      <c r="M22" s="15">
        <v>-6.7</v>
      </c>
      <c r="N22" s="15">
        <f>SUM(C19:C22)/4</f>
        <v>1488.075</v>
      </c>
      <c r="O22" s="23"/>
      <c r="P22" s="16">
        <f>C22/C21-1</f>
        <v>0.0265926547473052</v>
      </c>
      <c r="Q22" s="16">
        <f>((D22+E22)/C22)</f>
        <v>0.446872052813581</v>
      </c>
      <c r="R22" s="16">
        <f>AVERAGE(Q19:Q22)</f>
        <v>0.42171962225066</v>
      </c>
      <c r="S22" s="17"/>
      <c r="T22" s="15">
        <f>SUM(J19:K22)/4</f>
        <v>-1033.475</v>
      </c>
      <c r="U22" s="17"/>
      <c r="V22" s="15">
        <f>-(L22+M22)+V21</f>
        <v>-3993.1</v>
      </c>
      <c r="W22" s="17"/>
      <c r="X22" s="15">
        <f>F22-G22</f>
        <v>-31141</v>
      </c>
      <c r="Y22" s="15"/>
      <c r="Z22" s="15">
        <v>2960</v>
      </c>
      <c r="AA22" s="17"/>
    </row>
    <row r="23" ht="20.05" customHeight="1">
      <c r="B23" s="13"/>
      <c r="C23" s="14">
        <v>1618.1</v>
      </c>
      <c r="D23" s="15">
        <v>280.75</v>
      </c>
      <c r="E23" s="15">
        <v>481.2</v>
      </c>
      <c r="F23" s="15">
        <v>629</v>
      </c>
      <c r="G23" s="15">
        <v>32081</v>
      </c>
      <c r="H23" s="15">
        <v>41870</v>
      </c>
      <c r="I23" s="15">
        <v>1089.3</v>
      </c>
      <c r="J23" s="15">
        <v>327.7</v>
      </c>
      <c r="K23" s="15">
        <v>-1299.2</v>
      </c>
      <c r="L23" s="15">
        <v>742.7</v>
      </c>
      <c r="M23" s="15">
        <v>7.1</v>
      </c>
      <c r="N23" s="15">
        <f>SUM(C20:C23)/4</f>
        <v>1545</v>
      </c>
      <c r="O23" s="23"/>
      <c r="P23" s="16">
        <f>C23/C22-1</f>
        <v>0.017353033637221</v>
      </c>
      <c r="Q23" s="16">
        <f>((D23+E23)/C23)</f>
        <v>0.470891786663371</v>
      </c>
      <c r="R23" s="16">
        <f>AVERAGE(Q20:Q23)</f>
        <v>0.439507298490726</v>
      </c>
      <c r="S23" s="17"/>
      <c r="T23" s="15">
        <f>SUM(J20:K23)/4</f>
        <v>-1237.25</v>
      </c>
      <c r="U23" s="17"/>
      <c r="V23" s="15">
        <f>-(L23+M23)+V22</f>
        <v>-4742.9</v>
      </c>
      <c r="W23" s="17"/>
      <c r="X23" s="15">
        <f>F23-G23</f>
        <v>-31452</v>
      </c>
      <c r="Y23" s="15"/>
      <c r="Z23" s="15">
        <v>2950</v>
      </c>
      <c r="AA23" s="17"/>
    </row>
    <row r="24" ht="20.05" customHeight="1">
      <c r="B24" s="21">
        <v>2022</v>
      </c>
      <c r="C24" s="14">
        <v>1641.5</v>
      </c>
      <c r="D24" s="15">
        <v>282.5</v>
      </c>
      <c r="E24" s="15">
        <v>430.2</v>
      </c>
      <c r="F24" s="15">
        <v>720</v>
      </c>
      <c r="G24" s="15">
        <v>31912</v>
      </c>
      <c r="H24" s="15">
        <v>42153</v>
      </c>
      <c r="I24" s="15">
        <v>2221.8</v>
      </c>
      <c r="J24" s="15">
        <v>1019.4</v>
      </c>
      <c r="K24" s="15">
        <v>-670.8</v>
      </c>
      <c r="L24" s="15">
        <v>-986.6</v>
      </c>
      <c r="M24" s="15">
        <v>0</v>
      </c>
      <c r="N24" s="15">
        <f>SUM(C21:C24)/4</f>
        <v>1599.85</v>
      </c>
      <c r="O24" s="23">
        <v>1644.3385</v>
      </c>
      <c r="P24" s="16">
        <f>C24/C23-1</f>
        <v>0.014461405351956</v>
      </c>
      <c r="Q24" s="16">
        <f>((D24+E24)/C24)</f>
        <v>0.434176058483095</v>
      </c>
      <c r="R24" s="16">
        <f>AVERAGE(Q21:Q24)</f>
        <v>0.448752740577923</v>
      </c>
      <c r="S24" s="35"/>
      <c r="T24" s="15">
        <f>SUM(J21:K24)/4</f>
        <v>-1200.975</v>
      </c>
      <c r="U24" s="15">
        <v>263.761022955140</v>
      </c>
      <c r="V24" s="15">
        <f>-(L24+M24)+V23</f>
        <v>-3756.3</v>
      </c>
      <c r="W24" s="15"/>
      <c r="X24" s="15">
        <f>F24-G24</f>
        <v>-31192</v>
      </c>
      <c r="Y24" s="15">
        <v>-31121.287039913</v>
      </c>
      <c r="Z24" s="15">
        <v>2870</v>
      </c>
      <c r="AA24" s="15">
        <v>1507.063497851420</v>
      </c>
    </row>
    <row r="25" ht="20.05" customHeight="1">
      <c r="B25" s="13"/>
      <c r="C25" s="14">
        <v>1662.1</v>
      </c>
      <c r="D25" s="15">
        <v>406</v>
      </c>
      <c r="E25" s="15">
        <v>418.8</v>
      </c>
      <c r="F25" s="15">
        <v>718</v>
      </c>
      <c r="G25" s="15">
        <v>29520</v>
      </c>
      <c r="H25" s="15">
        <v>42678</v>
      </c>
      <c r="I25" s="15">
        <v>1764.4</v>
      </c>
      <c r="J25" s="15">
        <v>911.5</v>
      </c>
      <c r="K25" s="15">
        <v>-934.7</v>
      </c>
      <c r="L25" s="15">
        <v>-3010.4</v>
      </c>
      <c r="M25" s="15">
        <v>2538.8</v>
      </c>
      <c r="N25" s="15">
        <f>SUM(C22:C25)/4</f>
        <v>1628.05</v>
      </c>
      <c r="O25" s="23">
        <v>1665.279</v>
      </c>
      <c r="P25" s="16">
        <f>C25/C24-1</f>
        <v>0.0125494974109047</v>
      </c>
      <c r="Q25" s="16">
        <f>((D25+E25)/C25)</f>
        <v>0.496239696769147</v>
      </c>
      <c r="R25" s="16">
        <f>AVERAGE(Q22:Q25)</f>
        <v>0.462044898682299</v>
      </c>
      <c r="S25" s="35"/>
      <c r="T25" s="15">
        <f>SUM(J22:K25)/4</f>
        <v>-266.05</v>
      </c>
      <c r="U25" s="15">
        <v>281.9075270403</v>
      </c>
      <c r="V25" s="15">
        <f>-(L25+M25)+V24</f>
        <v>-3284.7</v>
      </c>
      <c r="W25" s="15"/>
      <c r="X25" s="15">
        <f>F25-G25</f>
        <v>-28802</v>
      </c>
      <c r="Y25" s="15">
        <v>-30340.4562077145</v>
      </c>
      <c r="Z25" s="15">
        <v>2940</v>
      </c>
      <c r="AA25" s="15">
        <v>2265.6119218101</v>
      </c>
    </row>
    <row r="26" ht="20.05" customHeight="1">
      <c r="B26" s="13"/>
      <c r="C26" s="14">
        <v>1618.4</v>
      </c>
      <c r="D26" s="15">
        <v>380.6</v>
      </c>
      <c r="E26" s="15">
        <v>409.6</v>
      </c>
      <c r="F26" s="15">
        <v>710</v>
      </c>
      <c r="G26" s="15">
        <v>30223</v>
      </c>
      <c r="H26" s="15">
        <v>43404</v>
      </c>
      <c r="I26" s="15">
        <v>1249.8</v>
      </c>
      <c r="J26" s="15">
        <v>237.9</v>
      </c>
      <c r="K26" s="15">
        <v>-1248.7</v>
      </c>
      <c r="L26" s="15">
        <v>2355.2</v>
      </c>
      <c r="M26" s="15">
        <v>-146.2</v>
      </c>
      <c r="N26" s="15">
        <f>AVERAGE(C26)</f>
        <v>1618.4</v>
      </c>
      <c r="O26" s="23">
        <v>1672.79475</v>
      </c>
      <c r="P26" s="16">
        <f>C26/C25-1</f>
        <v>-0.0262920401901209</v>
      </c>
      <c r="Q26" s="16">
        <f>((D26+E26)/C26)</f>
        <v>0.488260009886307</v>
      </c>
      <c r="R26" s="16">
        <f>AVERAGE(Q23:Q26)</f>
        <v>0.47239188795048</v>
      </c>
      <c r="S26" s="35">
        <f>S27</f>
        <v>0.47239188795048</v>
      </c>
      <c r="T26" s="15">
        <f>SUM(J23:K26)/4</f>
        <v>-414.225</v>
      </c>
      <c r="U26" s="15">
        <v>130.286388764356</v>
      </c>
      <c r="V26" s="15">
        <f>-(L26+M26)+V25</f>
        <v>-5493.7</v>
      </c>
      <c r="W26" s="15">
        <f>W27</f>
        <v>-5088.398317913990</v>
      </c>
      <c r="X26" s="15">
        <f>F26-G26</f>
        <v>-29513</v>
      </c>
      <c r="Y26" s="15">
        <v>-28280.8544449426</v>
      </c>
      <c r="Z26" s="15">
        <v>2830</v>
      </c>
      <c r="AA26" s="15">
        <v>1840.122057841030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AVERAGE(AD50:AG50)</f>
        <v>1634.501862154</v>
      </c>
      <c r="P27" s="17"/>
      <c r="Q27" s="17"/>
      <c r="R27" s="17"/>
      <c r="S27" s="35">
        <f>AD51</f>
        <v>0.47239188795048</v>
      </c>
      <c r="T27" s="17"/>
      <c r="U27" s="15">
        <f>SUM(AD53:AG53)/4</f>
        <v>101.325420521503</v>
      </c>
      <c r="V27" s="17"/>
      <c r="W27" s="15">
        <f>-SUM(AD74:AG74)+V26</f>
        <v>-5088.398317913990</v>
      </c>
      <c r="X27" s="17"/>
      <c r="Y27" s="15">
        <f>AG73</f>
        <v>-29107.698317914</v>
      </c>
      <c r="Z27" s="15">
        <v>2150</v>
      </c>
      <c r="AA27" s="15">
        <v>2293.9934346934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SUM(N19:N26)</f>
        <v>12013.725</v>
      </c>
      <c r="O28" s="15">
        <f>SUM(O19:O26)</f>
        <v>4982.41225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AG86</f>
        <v>1790.114737204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4" ht="27.65" customHeight="1">
      <c r="AB44" t="s" s="2">
        <v>300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ht="20.25" customHeight="1">
      <c r="AB45" t="s" s="28">
        <v>366</v>
      </c>
      <c r="AC45" t="s" s="29">
        <v>23</v>
      </c>
      <c r="AD45" t="s" s="29">
        <v>24</v>
      </c>
      <c r="AE45" t="s" s="29">
        <v>25</v>
      </c>
      <c r="AF45" t="s" s="29">
        <v>26</v>
      </c>
      <c r="AG45" t="s" s="29">
        <v>23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ht="20.25" customHeight="1">
      <c r="AB46" t="s" s="31">
        <v>15</v>
      </c>
      <c r="AC46" s="174"/>
      <c r="AD46" s="32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ht="20.05" customHeight="1">
      <c r="AB47" t="s" s="33">
        <v>27</v>
      </c>
      <c r="AC47" s="175"/>
      <c r="AD47" s="71">
        <f>AVERAGE(P23:P26)</f>
        <v>0.0045179740524902</v>
      </c>
      <c r="AE47" s="35"/>
      <c r="AF47" s="35"/>
      <c r="AG47" s="35">
        <f>AVERAGE(AD49:AG49)</f>
        <v>0.005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8.35" customHeight="1" hidden="1">
      <c r="AB48" s="36"/>
      <c r="AC48" s="176"/>
      <c r="AD48" s="37">
        <f>P23</f>
        <v>0.017353033637221</v>
      </c>
      <c r="AE48" s="35">
        <f>P24</f>
        <v>0.014461405351956</v>
      </c>
      <c r="AF48" s="35">
        <f>P25</f>
        <v>0.0125494974109047</v>
      </c>
      <c r="AG48" s="35">
        <f>P26</f>
        <v>-0.0262920401901209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20.05" customHeight="1">
      <c r="AB49" t="s" s="33">
        <v>13</v>
      </c>
      <c r="AC49" s="176"/>
      <c r="AD49" s="37">
        <v>0.01</v>
      </c>
      <c r="AE49" s="35">
        <v>-0.01</v>
      </c>
      <c r="AF49" s="35">
        <v>0.01</v>
      </c>
      <c r="AG49" s="35">
        <v>0.01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28</v>
      </c>
      <c r="AC50" s="177">
        <f>C26</f>
        <v>1618.4</v>
      </c>
      <c r="AD50" s="38">
        <f>C26*(1+AD49)</f>
        <v>1634.584</v>
      </c>
      <c r="AE50" s="23">
        <f>AD50*(1+AE49)</f>
        <v>1618.23816</v>
      </c>
      <c r="AF50" s="23">
        <f>AE50*(1+AF49)</f>
        <v>1634.4205416</v>
      </c>
      <c r="AG50" s="23">
        <f>AF50*(1+AG49)</f>
        <v>1650.764747016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ht="20.05" customHeight="1">
      <c r="AB51" t="s" s="33">
        <v>14</v>
      </c>
      <c r="AC51" s="176"/>
      <c r="AD51" s="37">
        <f>AVERAGE(R26)</f>
        <v>0.47239188795048</v>
      </c>
      <c r="AE51" s="35">
        <f>AD51</f>
        <v>0.47239188795048</v>
      </c>
      <c r="AF51" s="35">
        <f>AE51</f>
        <v>0.47239188795048</v>
      </c>
      <c r="AG51" s="35">
        <f>AF51</f>
        <v>0.47239188795048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29</v>
      </c>
      <c r="AC52" s="178"/>
      <c r="AD52" s="14">
        <f>AVERAGE(K24)</f>
        <v>-670.8</v>
      </c>
      <c r="AE52" s="15">
        <f>AD52</f>
        <v>-670.8</v>
      </c>
      <c r="AF52" s="15">
        <f>AE52</f>
        <v>-670.8</v>
      </c>
      <c r="AG52" s="15">
        <f>AF52</f>
        <v>-670.8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30</v>
      </c>
      <c r="AC53" s="178"/>
      <c r="AD53" s="14">
        <f>(AD50*AD51)+AD52</f>
        <v>101.364221773647</v>
      </c>
      <c r="AE53" s="15">
        <f>(AE50*AE51)+AE52</f>
        <v>93.6425795559109</v>
      </c>
      <c r="AF53" s="15">
        <f>(AF50*AF51)+AF52</f>
        <v>101.287005351470</v>
      </c>
      <c r="AG53" s="15">
        <f>(AG50*AG51)+AG52</f>
        <v>109.007875404985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31</v>
      </c>
      <c r="AC54" s="178"/>
      <c r="AD54" s="14">
        <f>-G26/20</f>
        <v>-1511.15</v>
      </c>
      <c r="AE54" s="15">
        <f>-AD69/20</f>
        <v>-1435.5925</v>
      </c>
      <c r="AF54" s="15">
        <f>-AE69/20</f>
        <v>-1363.812875</v>
      </c>
      <c r="AG54" s="15">
        <f>-AF69/20</f>
        <v>-1295.62223125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32</v>
      </c>
      <c r="AC55" s="179"/>
      <c r="AD55" s="39">
        <v>0</v>
      </c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33</v>
      </c>
      <c r="AC56" s="178"/>
      <c r="AD56" s="14">
        <f>IF(AD64&gt;0,AD64*$AD$55,0)</f>
        <v>0</v>
      </c>
      <c r="AE56" s="15">
        <f>IF(AE64&gt;0,AE64*$AD$55,0)</f>
        <v>0</v>
      </c>
      <c r="AF56" s="15">
        <f>IF(AF64&gt;0,AF64*$AD$55,0)</f>
        <v>0</v>
      </c>
      <c r="AG56" s="15">
        <f>IF(AG64&gt;0,AG64*$AD$55,0)</f>
        <v>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34</v>
      </c>
      <c r="AC57" s="178"/>
      <c r="AD57" s="14">
        <f>AD53+AD54+AD56</f>
        <v>-1409.785778226350</v>
      </c>
      <c r="AE57" s="15">
        <f>AE53+AE54+AE56</f>
        <v>-1341.949920444090</v>
      </c>
      <c r="AF57" s="15">
        <f>AF53+AF54+AF56</f>
        <v>-1262.525869648530</v>
      </c>
      <c r="AG57" s="15">
        <f>AG53+AG54+AG56</f>
        <v>-1186.614355845020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35</v>
      </c>
      <c r="AC58" s="178"/>
      <c r="AD58" s="14">
        <f>-MIN(0,AD57)</f>
        <v>1409.785778226350</v>
      </c>
      <c r="AE58" s="15">
        <f>-MIN(AD70,AE57)</f>
        <v>1341.949920444090</v>
      </c>
      <c r="AF58" s="15">
        <f>-MIN(AE70,AF57)</f>
        <v>1262.525869648530</v>
      </c>
      <c r="AG58" s="15">
        <f>-MIN(AF70,AG57)</f>
        <v>1186.614355845020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36</v>
      </c>
      <c r="AC59" s="178"/>
      <c r="AD59" s="14">
        <f>F26</f>
        <v>710</v>
      </c>
      <c r="AE59" s="15">
        <f>AD61</f>
        <v>709.999999999997</v>
      </c>
      <c r="AF59" s="15">
        <f>AE61</f>
        <v>709.999999999998</v>
      </c>
      <c r="AG59" s="15">
        <f>AF61</f>
        <v>709.999999999998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37</v>
      </c>
      <c r="AC60" s="178"/>
      <c r="AD60" s="14">
        <f>AD53+AD54+AD56+AD58</f>
        <v>-3e-12</v>
      </c>
      <c r="AE60" s="15">
        <f>AE53+AE54+AE56+AE58</f>
        <v>9e-13</v>
      </c>
      <c r="AF60" s="15">
        <f>AF53+AF54+AF56+AF58</f>
        <v>0</v>
      </c>
      <c r="AG60" s="15">
        <f>AG53+AG54+AG56+AG58</f>
        <v>5e-12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38</v>
      </c>
      <c r="AC61" s="178"/>
      <c r="AD61" s="14">
        <f>AD59+AD60</f>
        <v>709.999999999997</v>
      </c>
      <c r="AE61" s="15">
        <f>AE59+AE60</f>
        <v>709.999999999998</v>
      </c>
      <c r="AF61" s="15">
        <f>AF59+AF60</f>
        <v>709.999999999998</v>
      </c>
      <c r="AG61" s="15">
        <f>AG59+AG60</f>
        <v>710.000000000003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41">
        <v>4</v>
      </c>
      <c r="AC62" s="178"/>
      <c r="AD62" s="14"/>
      <c r="AE62" s="15"/>
      <c r="AF62" s="1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ht="20.05" customHeight="1">
      <c r="AB63" t="s" s="33">
        <v>3</v>
      </c>
      <c r="AC63" s="178"/>
      <c r="AD63" s="14">
        <f>-AVERAGE(D24:D26)</f>
        <v>-356.366666666667</v>
      </c>
      <c r="AE63" s="15">
        <f>AD63</f>
        <v>-356.366666666667</v>
      </c>
      <c r="AF63" s="15">
        <f>AE63</f>
        <v>-356.366666666667</v>
      </c>
      <c r="AG63" s="15">
        <f>AF63</f>
        <v>-356.366666666667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4</v>
      </c>
      <c r="AC64" s="178"/>
      <c r="AD64" s="14">
        <f>(AD50*AD51)+AD63</f>
        <v>415.797555106980</v>
      </c>
      <c r="AE64" s="15">
        <f>(AE50*AE51)+AE63</f>
        <v>408.075912889244</v>
      </c>
      <c r="AF64" s="15">
        <f>(AF50*AF51)+AF63</f>
        <v>415.720338684803</v>
      </c>
      <c r="AG64" s="15">
        <f>(AG50*AG51)+AG63</f>
        <v>423.441208738318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39</v>
      </c>
      <c r="AC65" s="178"/>
      <c r="AD65" s="14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40</v>
      </c>
      <c r="AC66" s="178"/>
      <c r="AD66" s="14">
        <f>H26-F26-AD52</f>
        <v>43364.8</v>
      </c>
      <c r="AE66" s="15">
        <f>AD66-AE52</f>
        <v>44035.6</v>
      </c>
      <c r="AF66" s="15">
        <f>AE66-AF52</f>
        <v>44706.4</v>
      </c>
      <c r="AG66" s="15">
        <f>AF66-AG52</f>
        <v>45377.2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41</v>
      </c>
      <c r="AC67" s="178"/>
      <c r="AD67" s="14">
        <f>0-AD63</f>
        <v>356.366666666667</v>
      </c>
      <c r="AE67" s="15">
        <f>AD67-AE63</f>
        <v>712.733333333334</v>
      </c>
      <c r="AF67" s="15">
        <f>AE67-AF63</f>
        <v>1069.1</v>
      </c>
      <c r="AG67" s="15">
        <f>AF67-AG63</f>
        <v>1425.466666666670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42</v>
      </c>
      <c r="AC68" s="178"/>
      <c r="AD68" s="14">
        <f>AD66-AD67</f>
        <v>43008.4333333333</v>
      </c>
      <c r="AE68" s="15">
        <f>AE66-AE67</f>
        <v>43322.8666666667</v>
      </c>
      <c r="AF68" s="15">
        <f>AF66-AF67</f>
        <v>43637.3</v>
      </c>
      <c r="AG68" s="15">
        <f>AG66-AG67</f>
        <v>43951.7333333333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6</v>
      </c>
      <c r="AC69" s="178"/>
      <c r="AD69" s="14">
        <f>G26+AD54</f>
        <v>28711.85</v>
      </c>
      <c r="AE69" s="15">
        <f>AD69+AE54</f>
        <v>27276.2575</v>
      </c>
      <c r="AF69" s="15">
        <f>AE69+AF54</f>
        <v>25912.444625</v>
      </c>
      <c r="AG69" s="15">
        <f>AF69+AG54</f>
        <v>24616.82239375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35</v>
      </c>
      <c r="AC70" s="178"/>
      <c r="AD70" s="14">
        <f>AD58</f>
        <v>1409.785778226350</v>
      </c>
      <c r="AE70" s="15">
        <f>AD70+AE58</f>
        <v>2751.735698670440</v>
      </c>
      <c r="AF70" s="15">
        <f>AE70+AF58</f>
        <v>4014.261568318970</v>
      </c>
      <c r="AG70" s="15">
        <f>AF70+AG58</f>
        <v>5200.875924163990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11</v>
      </c>
      <c r="AC71" s="178"/>
      <c r="AD71" s="14">
        <f>(H26-G26)+AD64+AD56</f>
        <v>13596.797555107</v>
      </c>
      <c r="AE71" s="15">
        <f>AD71+AE64+AE56</f>
        <v>14004.8734679962</v>
      </c>
      <c r="AF71" s="15">
        <f>AE71+AF64+AF56</f>
        <v>14420.593806681</v>
      </c>
      <c r="AG71" s="15">
        <f>AF71+AG64+AG56</f>
        <v>14844.0350154193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43</v>
      </c>
      <c r="AC72" s="178"/>
      <c r="AD72" s="14">
        <f>AD69+AD70+AD71-AD61-AD68</f>
        <v>5.3e-11</v>
      </c>
      <c r="AE72" s="15">
        <f>AE69+AE70+AE71-AE61-AE68</f>
        <v>-5.8e-11</v>
      </c>
      <c r="AF72" s="15">
        <f>AF69+AF70+AF71-AF61-AF68</f>
        <v>-2.8e-11</v>
      </c>
      <c r="AG72" s="15">
        <f>AG69+AG70+AG71-AG61-AG68</f>
        <v>-1.3e-11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18</v>
      </c>
      <c r="AC73" s="178"/>
      <c r="AD73" s="14">
        <f>AD61-AD69-AD70</f>
        <v>-29411.6357782264</v>
      </c>
      <c r="AE73" s="15">
        <f>AE61-AE69-AE70</f>
        <v>-29317.9931986704</v>
      </c>
      <c r="AF73" s="15">
        <f>AF61-AF69-AF70</f>
        <v>-29216.706193319</v>
      </c>
      <c r="AG73" s="15">
        <f>AG61-AG69-AG70</f>
        <v>-29107.698317914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44</v>
      </c>
      <c r="AC74" s="178"/>
      <c r="AD74" s="14">
        <f>AD54+AD56+AD58</f>
        <v>-101.364221773650</v>
      </c>
      <c r="AE74" s="15">
        <f>AE54+AE56+AE58</f>
        <v>-93.642579555910</v>
      </c>
      <c r="AF74" s="15">
        <f>AF54+AF56+AF58</f>
        <v>-101.287005351470</v>
      </c>
      <c r="AG74" s="15">
        <f>AG54+AG56+AG58</f>
        <v>-109.007875404980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45</v>
      </c>
      <c r="AC75" s="178"/>
      <c r="AD75" s="14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300</v>
      </c>
      <c r="AC76" s="178"/>
      <c r="AD76" s="14"/>
      <c r="AE76" s="15"/>
      <c r="AF76" s="15"/>
      <c r="AG76" s="15">
        <v>2150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8.35" customHeight="1" hidden="1">
      <c r="AB77" t="s" s="33">
        <f>$AB76</f>
        <v>771</v>
      </c>
      <c r="AC77" s="178"/>
      <c r="AD77" s="14"/>
      <c r="AE77" s="15"/>
      <c r="AF77" s="15"/>
      <c r="AG77" s="15">
        <v>48678366720000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46</v>
      </c>
      <c r="AC78" s="178"/>
      <c r="AD78" s="14"/>
      <c r="AE78" s="15"/>
      <c r="AF78" s="15"/>
      <c r="AG78" s="15">
        <f>AG77/1000000000</f>
        <v>48678.36672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47</v>
      </c>
      <c r="AC79" s="178"/>
      <c r="AD79" s="14"/>
      <c r="AE79" s="15"/>
      <c r="AF79" s="15"/>
      <c r="AG79" s="15">
        <f>AG78/AG76</f>
        <v>22.6411008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48</v>
      </c>
      <c r="AC80" s="178"/>
      <c r="AD80" s="14"/>
      <c r="AE80" s="15"/>
      <c r="AF80" s="15"/>
      <c r="AG80" s="43">
        <f>AG78/(AG61+AG68)</f>
        <v>1.08993456113063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ht="20.05" customHeight="1">
      <c r="AB81" t="s" s="33">
        <v>49</v>
      </c>
      <c r="AC81" s="178"/>
      <c r="AD81" s="14"/>
      <c r="AE81" s="15"/>
      <c r="AF81" s="15"/>
      <c r="AG81" s="16">
        <f>-(AD56+AE56+AF56+AG56)/AG78</f>
        <v>0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ht="20.05" customHeight="1">
      <c r="AB82" t="s" s="33">
        <v>50</v>
      </c>
      <c r="AC82" s="178"/>
      <c r="AD82" s="14"/>
      <c r="AE82" s="15"/>
      <c r="AF82" s="15"/>
      <c r="AG82" s="15">
        <f>SUM(AD53:AG53)</f>
        <v>405.301682086013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51</v>
      </c>
      <c r="AC83" s="178"/>
      <c r="AD83" s="14"/>
      <c r="AE83" s="15"/>
      <c r="AF83" s="15"/>
      <c r="AG83" s="15">
        <f>(H26+F26)/AG82</f>
        <v>108.842380749454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52</v>
      </c>
      <c r="AC84" s="178"/>
      <c r="AD84" s="14"/>
      <c r="AE84" s="15"/>
      <c r="AF84" s="15">
        <f>AG78/AG82</f>
        <v>120.104033295548</v>
      </c>
      <c r="AG84" s="15">
        <v>100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53</v>
      </c>
      <c r="AC85" s="178"/>
      <c r="AD85" s="14"/>
      <c r="AE85" s="15"/>
      <c r="AF85" s="15"/>
      <c r="AG85" s="15">
        <f>AG82*AG84</f>
        <v>40530.1682086013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54</v>
      </c>
      <c r="AC86" s="178"/>
      <c r="AD86" s="14"/>
      <c r="AE86" s="15"/>
      <c r="AF86" s="15"/>
      <c r="AG86" s="15">
        <f>(AG85/AG79)</f>
        <v>1790.114737204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55</v>
      </c>
      <c r="AC87" s="177"/>
      <c r="AD87" s="38"/>
      <c r="AE87" s="23"/>
      <c r="AF87" s="23"/>
      <c r="AG87" s="16">
        <f>AG86/AG76-1</f>
        <v>-0.167388494323721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ht="20.05" customHeight="1">
      <c r="AB88" t="s" s="33">
        <v>56</v>
      </c>
      <c r="AC88" s="177"/>
      <c r="AD88" s="38"/>
      <c r="AE88" s="23"/>
      <c r="AF88" s="23"/>
      <c r="AG88" s="16">
        <f>C26/C22-1</f>
        <v>0.0175416535680604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57</v>
      </c>
      <c r="AC89" s="177"/>
      <c r="AD89" s="38"/>
      <c r="AE89" s="23"/>
      <c r="AF89" s="23"/>
      <c r="AG89" s="16">
        <f>O28/N28-1</f>
        <v>-0.58527332280371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8.35" customHeight="1" hidden="1">
      <c r="AB90" s="36"/>
      <c r="AC90" s="177"/>
      <c r="AD90" s="38"/>
      <c r="AE90" s="23"/>
      <c r="AF90" s="2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8.35" customHeight="1" hidden="1">
      <c r="AB91" s="36"/>
      <c r="AC91" s="177"/>
      <c r="AD91" s="38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8.35" customHeight="1" hidden="1">
      <c r="AB92" s="36"/>
      <c r="AC92" s="180"/>
      <c r="AD92" t="s" s="45">
        <f>$AB76</f>
        <v>771</v>
      </c>
      <c r="AE92" t="s" s="44">
        <v>60</v>
      </c>
      <c r="AF92" s="15">
        <f>AG76</f>
        <v>2150</v>
      </c>
      <c r="AG92" t="s" s="44">
        <v>61</v>
      </c>
      <c r="AH92" s="15">
        <f>AG86</f>
        <v>1790.114737204</v>
      </c>
      <c r="AI92" t="s" s="44">
        <f>IF(AJ92&gt;0,"+","")</f>
      </c>
      <c r="AJ92" s="16">
        <f>AH92/AF92-1</f>
        <v>-0.167388494323721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ht="8.35" customHeight="1" hidden="1">
      <c r="AB93" s="36"/>
      <c r="AC93" s="181"/>
      <c r="AD93" s="46">
        <f>TODAY()</f>
        <v>44942</v>
      </c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8.35" customHeight="1" hidden="1">
      <c r="AB94" s="36"/>
      <c r="AC94" s="175"/>
      <c r="AD94" t="s" s="45">
        <v>62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8.35" customHeight="1" hidden="1">
      <c r="AB95" s="36"/>
      <c r="AC95" s="175"/>
      <c r="AD95" t="s" s="45">
        <v>63</v>
      </c>
      <c r="AE95" t="s" s="44">
        <v>64</v>
      </c>
      <c r="AF95" t="s" s="44">
        <f>IF(AG95&gt;0,"+","")</f>
        <v>361</v>
      </c>
      <c r="AG95" s="16">
        <f>AH102/AD102-1</f>
        <v>0.0175416535680604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8.35" customHeight="1" hidden="1">
      <c r="AB96" s="36"/>
      <c r="AC96" s="175"/>
      <c r="AD96" t="s" s="45">
        <v>63</v>
      </c>
      <c r="AE96" t="s" s="44">
        <v>65</v>
      </c>
      <c r="AF96" t="s" s="44">
        <f>IF(AG96&gt;0,"+","")</f>
      </c>
      <c r="AG96" s="16">
        <f>SUM(AE115:AH116)/AE132</f>
        <v>-0.0340377073357978</v>
      </c>
      <c r="AH96" t="s" s="44">
        <v>66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8.35" customHeight="1" hidden="1">
      <c r="AB97" s="36"/>
      <c r="AC97" s="175"/>
      <c r="AD97" t="s" s="45">
        <v>63</v>
      </c>
      <c r="AE97" t="s" s="44">
        <v>17</v>
      </c>
      <c r="AF97" t="s" s="44">
        <f>IF(AG97&gt;0,"+","")</f>
      </c>
      <c r="AG97" s="16">
        <f>SUM(AE129:AH130)/AE132</f>
        <v>-0.0308268354324933</v>
      </c>
      <c r="AH97" t="s" s="44">
        <f>AH96</f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8.35" customHeight="1" hidden="1">
      <c r="AB98" s="36"/>
      <c r="AC98" s="175"/>
      <c r="AD98" t="s" s="45">
        <v>68</v>
      </c>
      <c r="AE98" t="s" s="44">
        <v>369</v>
      </c>
      <c r="AF98" s="16">
        <f>AO125/AE132</f>
        <v>-0.606285748446738</v>
      </c>
      <c r="AG98" t="s" s="44">
        <f>AH97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8.35" customHeight="1" hidden="1">
      <c r="AB99" s="36"/>
      <c r="AC99" s="175"/>
      <c r="AD99" t="s" s="45">
        <v>28</v>
      </c>
      <c r="AE99" t="s" s="44">
        <f>AE103</f>
        <v>370</v>
      </c>
      <c r="AF99" s="16">
        <f>AF103</f>
        <v>-0.0262920401901209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8.35" customHeight="1" hidden="1">
      <c r="AB100" s="36"/>
      <c r="AC100" s="175"/>
      <c r="AD100" t="s" s="45">
        <v>70</v>
      </c>
      <c r="AE100" t="s" s="44">
        <v>371</v>
      </c>
      <c r="AF100" t="s" s="44">
        <f>AL103</f>
        <v>372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8.35" customHeight="1" hidden="1">
      <c r="AB101" s="36"/>
      <c r="AC101" s="182"/>
      <c r="AD101" s="71">
        <f>P22</f>
        <v>0.0265926547473052</v>
      </c>
      <c r="AE101" s="16">
        <f>P23</f>
        <v>0.017353033637221</v>
      </c>
      <c r="AF101" s="16">
        <f>P24</f>
        <v>0.014461405351956</v>
      </c>
      <c r="AG101" s="16">
        <f>P25</f>
        <v>0.0125494974109047</v>
      </c>
      <c r="AH101" s="16">
        <f>P26</f>
        <v>-0.0262920401901209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8.35" customHeight="1" hidden="1">
      <c r="AB102" s="36"/>
      <c r="AC102" s="175"/>
      <c r="AD102" s="14">
        <f>C22</f>
        <v>1590.5</v>
      </c>
      <c r="AE102" s="15">
        <f>C23</f>
        <v>1618.1</v>
      </c>
      <c r="AF102" s="15">
        <f>C24</f>
        <v>1641.5</v>
      </c>
      <c r="AG102" s="15">
        <f>C25</f>
        <v>1662.1</v>
      </c>
      <c r="AH102" s="15">
        <f>C26</f>
        <v>1618.4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8.35" customHeight="1" hidden="1">
      <c r="AB103" s="36"/>
      <c r="AC103" s="175"/>
      <c r="AD103" t="s" s="45">
        <v>2</v>
      </c>
      <c r="AE103" t="s" s="44">
        <f>IF(AF103&lt;0,"declined","grew")</f>
        <v>370</v>
      </c>
      <c r="AF103" s="16">
        <f>AH102/AG102-1</f>
        <v>-0.0262920401901209</v>
      </c>
      <c r="AG103" t="s" s="44">
        <v>73</v>
      </c>
      <c r="AH103" t="s" s="44">
        <v>74</v>
      </c>
      <c r="AI103" t="s" s="44">
        <v>75</v>
      </c>
      <c r="AJ103" t="s" s="44">
        <v>76</v>
      </c>
      <c r="AK103" s="15">
        <f>AH102</f>
        <v>1618.4</v>
      </c>
      <c r="AL103" t="s" s="44">
        <v>372</v>
      </c>
      <c r="AM103" t="s" s="44">
        <v>378</v>
      </c>
      <c r="AN103" s="16">
        <v>0.0297063450445726</v>
      </c>
      <c r="AO103" t="s" s="44">
        <v>78</v>
      </c>
      <c r="AP103" s="17"/>
      <c r="AQ103" s="17"/>
      <c r="AR103" s="17"/>
      <c r="AS103" s="17"/>
      <c r="AT103" s="17"/>
      <c r="AU103" s="17"/>
    </row>
    <row r="104" ht="8.35" customHeight="1" hidden="1">
      <c r="AB104" s="36"/>
      <c r="AC104" s="175"/>
      <c r="AD104" t="s" s="45">
        <v>79</v>
      </c>
      <c r="AE104" s="16">
        <f>AVERAGE(AE101:AH101)</f>
        <v>0.0045179740524902</v>
      </c>
      <c r="AF104" t="s" s="44">
        <v>80</v>
      </c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8.35" customHeight="1" hidden="1">
      <c r="AB105" s="36"/>
      <c r="AC105" s="175"/>
      <c r="AD105" t="s" s="45">
        <v>81</v>
      </c>
      <c r="AE105" s="35">
        <f>AG47</f>
        <v>0.005</v>
      </c>
      <c r="AF105" t="s" s="44">
        <v>82</v>
      </c>
      <c r="AG105" t="s" s="44">
        <v>83</v>
      </c>
      <c r="AH105" s="23">
        <f>AG50</f>
        <v>1650.764747016</v>
      </c>
      <c r="AI105" t="s" s="44">
        <f>AL103</f>
        <v>372</v>
      </c>
      <c r="AJ105" t="s" s="44">
        <v>84</v>
      </c>
      <c r="AK105" t="s" s="44">
        <f>AH103</f>
        <v>74</v>
      </c>
      <c r="AL105" t="s" s="44">
        <f>AI103</f>
        <v>75</v>
      </c>
      <c r="AM105" t="s" s="44">
        <v>85</v>
      </c>
      <c r="AN105" s="17"/>
      <c r="AO105" s="17"/>
      <c r="AP105" s="17"/>
      <c r="AQ105" s="17"/>
      <c r="AR105" s="17"/>
      <c r="AS105" s="17"/>
      <c r="AT105" s="17"/>
      <c r="AU105" s="17"/>
    </row>
    <row r="106" ht="8.35" customHeight="1" hidden="1">
      <c r="AB106" s="36"/>
      <c r="AC106" s="175"/>
      <c r="AD106" t="s" s="45">
        <v>14</v>
      </c>
      <c r="AE106" t="s" s="44">
        <f>IF(AG110&lt;AE110,"down","up")</f>
        <v>87</v>
      </c>
      <c r="AF106" t="s" s="44">
        <v>86</v>
      </c>
      <c r="AG106" t="s" s="44">
        <f>IF(AK110&gt;AI110,"up","down")</f>
        <v>87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8.35" customHeight="1" hidden="1">
      <c r="AB107" s="36"/>
      <c r="AC107" s="175"/>
      <c r="AD107" t="s" s="45">
        <f>AD100</f>
        <v>70</v>
      </c>
      <c r="AE107" t="s" s="44">
        <v>88</v>
      </c>
      <c r="AF107" t="s" s="44">
        <f>AL103</f>
        <v>372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8.35" customHeight="1" hidden="1">
      <c r="AB108" s="36"/>
      <c r="AC108" s="182"/>
      <c r="AD108" s="71">
        <f>(D22+E22)/C22</f>
        <v>0.446872052813581</v>
      </c>
      <c r="AE108" s="16">
        <f>(D23+E23)/C23</f>
        <v>0.470891786663371</v>
      </c>
      <c r="AF108" s="16">
        <f>((E24+D24)/C24)</f>
        <v>0.434176058483095</v>
      </c>
      <c r="AG108" s="16">
        <f>(D25+E25)/C25</f>
        <v>0.496239696769147</v>
      </c>
      <c r="AH108" s="16">
        <f>(D26+E26)/C26</f>
        <v>0.488260009886307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8.35" customHeight="1" hidden="1">
      <c r="AB109" s="36"/>
      <c r="AC109" s="175"/>
      <c r="AD109" s="14">
        <f>E22</f>
        <v>430</v>
      </c>
      <c r="AE109" s="15">
        <f>E23</f>
        <v>481.2</v>
      </c>
      <c r="AF109" s="15">
        <f>E24</f>
        <v>430.2</v>
      </c>
      <c r="AG109" s="15">
        <f>E25</f>
        <v>418.8</v>
      </c>
      <c r="AH109" s="15">
        <f>E26</f>
        <v>409.6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8.35" customHeight="1" hidden="1">
      <c r="AB110" s="36"/>
      <c r="AC110" s="175"/>
      <c r="AD110" t="s" s="45">
        <v>89</v>
      </c>
      <c r="AE110" s="16">
        <f>AG108</f>
        <v>0.496239696769147</v>
      </c>
      <c r="AF110" t="s" s="44">
        <v>76</v>
      </c>
      <c r="AG110" s="16">
        <f>AH108</f>
        <v>0.488260009886307</v>
      </c>
      <c r="AH110" t="s" s="44">
        <v>90</v>
      </c>
      <c r="AI110" s="15">
        <f>AG109</f>
        <v>418.8</v>
      </c>
      <c r="AJ110" t="s" s="44">
        <v>76</v>
      </c>
      <c r="AK110" s="15">
        <f>AH109</f>
        <v>409.6</v>
      </c>
      <c r="AL110" t="s" s="44">
        <f>AI105</f>
        <v>372</v>
      </c>
      <c r="AM110" t="s" s="44">
        <v>73</v>
      </c>
      <c r="AN110" t="s" s="44">
        <f>AK105</f>
        <v>74</v>
      </c>
      <c r="AO110" t="s" s="44">
        <v>91</v>
      </c>
      <c r="AP110" s="17"/>
      <c r="AQ110" s="17"/>
      <c r="AR110" s="17"/>
      <c r="AS110" s="17"/>
      <c r="AT110" s="17"/>
      <c r="AU110" s="17"/>
    </row>
    <row r="111" ht="8.35" customHeight="1" hidden="1">
      <c r="AB111" s="36"/>
      <c r="AC111" s="175"/>
      <c r="AD111" t="s" s="45">
        <v>92</v>
      </c>
      <c r="AE111" s="16">
        <f>AVERAGE(AE108:AH108)</f>
        <v>0.47239188795048</v>
      </c>
      <c r="AF111" t="s" s="44">
        <v>78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8.35" customHeight="1" hidden="1">
      <c r="AB112" s="36"/>
      <c r="AC112" s="175"/>
      <c r="AD112" t="s" s="45">
        <v>93</v>
      </c>
      <c r="AE112" s="35">
        <f>AD51</f>
        <v>0.47239188795048</v>
      </c>
      <c r="AF112" t="s" s="44">
        <v>94</v>
      </c>
      <c r="AG112" s="15">
        <f>AG64</f>
        <v>423.441208738318</v>
      </c>
      <c r="AH112" t="s" s="44">
        <f>AL110</f>
        <v>372</v>
      </c>
      <c r="AI112" t="s" s="44">
        <v>95</v>
      </c>
      <c r="AJ112" t="s" s="44">
        <f>AN110</f>
        <v>74</v>
      </c>
      <c r="AK112" t="s" s="44">
        <f>AI103</f>
        <v>75</v>
      </c>
      <c r="AL112" t="s" s="44">
        <f>AM105</f>
        <v>85</v>
      </c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8.35" customHeight="1" hidden="1">
      <c r="AB113" s="36"/>
      <c r="AC113" s="175"/>
      <c r="AD113" t="s" s="45">
        <v>15</v>
      </c>
      <c r="AE113" t="s" s="44">
        <f>IF(AG117&lt;AE117,"lower","higher")</f>
        <v>104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8.35" customHeight="1" hidden="1">
      <c r="AB114" s="36"/>
      <c r="AC114" s="175"/>
      <c r="AD114" t="s" s="45">
        <f>AD107</f>
        <v>70</v>
      </c>
      <c r="AE114" t="s" s="44">
        <v>96</v>
      </c>
      <c r="AF114" t="s" s="44">
        <f>AL103</f>
        <v>372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8.35" customHeight="1" hidden="1">
      <c r="AB115" s="36"/>
      <c r="AC115" s="175"/>
      <c r="AD115" s="14">
        <f>J22</f>
        <v>125.2</v>
      </c>
      <c r="AE115" s="15">
        <f>J23</f>
        <v>327.7</v>
      </c>
      <c r="AF115" s="15">
        <f>J24</f>
        <v>1019.4</v>
      </c>
      <c r="AG115" s="15">
        <f>J25</f>
        <v>911.5</v>
      </c>
      <c r="AH115" s="15">
        <f>J26</f>
        <v>237.9</v>
      </c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8.35" customHeight="1" hidden="1">
      <c r="AB116" s="36"/>
      <c r="AC116" s="175"/>
      <c r="AD116" s="14">
        <f>K22</f>
        <v>-543.3</v>
      </c>
      <c r="AE116" s="15">
        <f>K23</f>
        <v>-1299.2</v>
      </c>
      <c r="AF116" s="15">
        <f>K24</f>
        <v>-670.8</v>
      </c>
      <c r="AG116" s="15">
        <f>K25</f>
        <v>-934.7</v>
      </c>
      <c r="AH116" s="15">
        <f>K26</f>
        <v>-1248.7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8.35" customHeight="1" hidden="1">
      <c r="AB117" s="36"/>
      <c r="AC117" s="175"/>
      <c r="AD117" t="s" s="45">
        <v>97</v>
      </c>
      <c r="AE117" s="15">
        <f>AG115+AG116</f>
        <v>-23.2</v>
      </c>
      <c r="AF117" t="s" s="44">
        <v>76</v>
      </c>
      <c r="AG117" s="15">
        <f>AH115+AH116</f>
        <v>-1010.8</v>
      </c>
      <c r="AH117" t="s" s="44">
        <f>AH112</f>
        <v>372</v>
      </c>
      <c r="AI117" t="s" s="44">
        <v>84</v>
      </c>
      <c r="AJ117" t="s" s="44">
        <f>AJ112</f>
        <v>74</v>
      </c>
      <c r="AK117" t="s" s="44">
        <v>98</v>
      </c>
      <c r="AL117" s="15">
        <f>AH116</f>
        <v>-1248.7</v>
      </c>
      <c r="AM117" t="s" s="44">
        <f>AL103</f>
        <v>372</v>
      </c>
      <c r="AN117" t="s" s="44">
        <v>99</v>
      </c>
      <c r="AO117" s="17"/>
      <c r="AP117" s="17"/>
      <c r="AQ117" s="17"/>
      <c r="AR117" s="17"/>
      <c r="AS117" s="17"/>
      <c r="AT117" s="17"/>
      <c r="AU117" s="17"/>
    </row>
    <row r="118" ht="8.35" customHeight="1" hidden="1">
      <c r="AB118" s="36"/>
      <c r="AC118" s="175"/>
      <c r="AD118" t="s" s="45">
        <v>100</v>
      </c>
      <c r="AE118" s="15">
        <f>SUM(AE115:AH116)/4</f>
        <v>-414.225</v>
      </c>
      <c r="AF118" t="s" s="44">
        <f>AL103</f>
        <v>372</v>
      </c>
      <c r="AG118" t="s" s="44">
        <v>78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8.35" customHeight="1" hidden="1">
      <c r="AB119" s="36"/>
      <c r="AC119" s="175"/>
      <c r="AD119" t="s" s="45">
        <v>101</v>
      </c>
      <c r="AE119" s="15">
        <f>AD52</f>
        <v>-670.8</v>
      </c>
      <c r="AF119" t="s" s="44">
        <f>AF118</f>
        <v>372</v>
      </c>
      <c r="AG119" t="s" s="44">
        <v>102</v>
      </c>
      <c r="AH119" t="s" s="44">
        <v>103</v>
      </c>
      <c r="AI119" t="s" s="44">
        <f>IF(AH105&gt;AK103,"higher","lower")</f>
        <v>363</v>
      </c>
      <c r="AJ119" t="s" s="44">
        <v>105</v>
      </c>
      <c r="AK119" s="15">
        <f>SUM(AD53:AG53)/4</f>
        <v>101.325420521503</v>
      </c>
      <c r="AL119" t="s" s="44">
        <f>AF119</f>
        <v>372</v>
      </c>
      <c r="AM119" t="s" s="44">
        <v>106</v>
      </c>
      <c r="AN119" t="s" s="44">
        <v>107</v>
      </c>
      <c r="AO119" s="17"/>
      <c r="AP119" s="17"/>
      <c r="AQ119" s="17"/>
      <c r="AR119" s="17"/>
      <c r="AS119" s="17"/>
      <c r="AT119" s="17"/>
      <c r="AU119" s="17"/>
    </row>
    <row r="120" ht="8.35" customHeight="1" hidden="1">
      <c r="AB120" s="36"/>
      <c r="AC120" s="175"/>
      <c r="AD120" t="s" s="45">
        <v>18</v>
      </c>
      <c r="AE120" t="s" s="44">
        <f>AL125</f>
        <v>87</v>
      </c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8.35" customHeight="1" hidden="1">
      <c r="AB121" s="36"/>
      <c r="AC121" s="175"/>
      <c r="AD121" t="s" s="45">
        <f>AD100</f>
        <v>70</v>
      </c>
      <c r="AE121" t="s" s="44">
        <v>109</v>
      </c>
      <c r="AF121" t="s" s="44">
        <f>AL103</f>
        <v>372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8.35" customHeight="1" hidden="1">
      <c r="AB122" s="36"/>
      <c r="AC122" s="175"/>
      <c r="AD122" s="14">
        <f>F22</f>
        <v>842</v>
      </c>
      <c r="AE122" s="15">
        <f>F23</f>
        <v>629</v>
      </c>
      <c r="AF122" s="15">
        <f>F24</f>
        <v>720</v>
      </c>
      <c r="AG122" s="15">
        <f>F25</f>
        <v>718</v>
      </c>
      <c r="AH122" s="15">
        <f>F26</f>
        <v>710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8.35" customHeight="1" hidden="1">
      <c r="AB123" s="36"/>
      <c r="AC123" s="175"/>
      <c r="AD123" s="14">
        <f>G22</f>
        <v>31983</v>
      </c>
      <c r="AE123" s="15">
        <f>G23</f>
        <v>32081</v>
      </c>
      <c r="AF123" s="15">
        <f>G24</f>
        <v>31912</v>
      </c>
      <c r="AG123" s="15">
        <f>G25</f>
        <v>29520</v>
      </c>
      <c r="AH123" s="15">
        <f>G26</f>
        <v>30223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8.35" customHeight="1" hidden="1">
      <c r="AB124" s="36"/>
      <c r="AC124" s="175"/>
      <c r="AD124" t="s" s="45">
        <v>110</v>
      </c>
      <c r="AE124" t="s" s="44">
        <f>IF(AH124&lt;AF124,"declined","increased")</f>
        <v>370</v>
      </c>
      <c r="AF124" s="15">
        <f>AG122</f>
        <v>718</v>
      </c>
      <c r="AG124" t="s" s="44">
        <v>76</v>
      </c>
      <c r="AH124" s="15">
        <f>AH122</f>
        <v>710</v>
      </c>
      <c r="AI124" t="s" s="44">
        <f>AL119</f>
        <v>372</v>
      </c>
      <c r="AJ124" t="s" s="44">
        <v>84</v>
      </c>
      <c r="AK124" t="s" s="44">
        <f>AH103</f>
        <v>74</v>
      </c>
      <c r="AL124" t="s" s="44">
        <f>AO110</f>
        <v>91</v>
      </c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8.35" customHeight="1" hidden="1">
      <c r="AB125" s="36"/>
      <c r="AC125" s="175"/>
      <c r="AD125" t="s" s="45">
        <v>112</v>
      </c>
      <c r="AE125" t="s" s="44">
        <f>IF(AH125&lt;AF125,"declined","increased")</f>
        <v>111</v>
      </c>
      <c r="AF125" s="15">
        <f>AG123</f>
        <v>29520</v>
      </c>
      <c r="AG125" t="s" s="44">
        <v>76</v>
      </c>
      <c r="AH125" s="15">
        <f>AH123</f>
        <v>30223</v>
      </c>
      <c r="AI125" t="s" s="44">
        <f>AI124</f>
        <v>372</v>
      </c>
      <c r="AJ125" t="s" s="44">
        <v>113</v>
      </c>
      <c r="AK125" t="s" s="44">
        <v>114</v>
      </c>
      <c r="AL125" t="s" s="44">
        <f>IF(AO125&lt;AM125,"down","up")</f>
        <v>87</v>
      </c>
      <c r="AM125" s="15">
        <f>AF124-AF125</f>
        <v>-28802</v>
      </c>
      <c r="AN125" t="s" s="44">
        <v>76</v>
      </c>
      <c r="AO125" s="15">
        <f>AH124-AH125</f>
        <v>-29513</v>
      </c>
      <c r="AP125" t="s" s="44">
        <f>AI125</f>
        <v>372</v>
      </c>
      <c r="AQ125" t="s" s="44">
        <v>115</v>
      </c>
      <c r="AR125" s="17"/>
      <c r="AS125" s="17"/>
      <c r="AT125" s="17"/>
      <c r="AU125" s="17"/>
    </row>
    <row r="126" ht="8.35" customHeight="1" hidden="1">
      <c r="AB126" s="36"/>
      <c r="AC126" s="175"/>
      <c r="AD126" t="s" s="45">
        <v>116</v>
      </c>
      <c r="AE126" s="15">
        <f>SUM(AD56:AG56)</f>
        <v>0</v>
      </c>
      <c r="AF126" t="s" s="44">
        <f>AI125</f>
        <v>372</v>
      </c>
      <c r="AG126" t="s" s="44">
        <v>117</v>
      </c>
      <c r="AH126" t="s" s="44">
        <f>IF(AI126&gt;0,"+","")</f>
      </c>
      <c r="AI126" s="15">
        <f>AD54+AE54+AF54+AG54+AD58+AE58+AF58+AG58</f>
        <v>-405.301682086010</v>
      </c>
      <c r="AJ126" t="s" s="44">
        <f>AP125</f>
        <v>372</v>
      </c>
      <c r="AK126" t="s" s="44">
        <v>118</v>
      </c>
      <c r="AL126" t="s" s="44">
        <v>119</v>
      </c>
      <c r="AM126" s="15">
        <f>AG73</f>
        <v>-29107.698317914</v>
      </c>
      <c r="AN126" t="s" s="44">
        <f>AI125</f>
        <v>372</v>
      </c>
      <c r="AO126" t="s" s="44">
        <v>120</v>
      </c>
      <c r="AP126" s="17"/>
      <c r="AQ126" s="17"/>
      <c r="AR126" s="17"/>
      <c r="AS126" s="17"/>
      <c r="AT126" s="17"/>
      <c r="AU126" s="17"/>
    </row>
    <row r="127" ht="8.35" customHeight="1" hidden="1">
      <c r="AB127" s="36"/>
      <c r="AC127" s="175"/>
      <c r="AD127" t="s" s="45">
        <v>17</v>
      </c>
      <c r="AE127" t="s" s="44">
        <f>AE131</f>
        <v>121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8.35" customHeight="1" hidden="1">
      <c r="AB128" s="36"/>
      <c r="AC128" s="175"/>
      <c r="AD128" t="s" s="45">
        <f>AD100</f>
        <v>70</v>
      </c>
      <c r="AE128" t="s" s="44">
        <v>379</v>
      </c>
      <c r="AF128" t="s" s="44">
        <f>AL103</f>
        <v>372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8.35" customHeight="1" hidden="1">
      <c r="AB129" s="36"/>
      <c r="AC129" s="175"/>
      <c r="AD129" s="14">
        <f>-L22</f>
        <v>-371.5</v>
      </c>
      <c r="AE129" s="15">
        <f>-L23</f>
        <v>-742.7</v>
      </c>
      <c r="AF129" s="15">
        <f>-L24</f>
        <v>986.6</v>
      </c>
      <c r="AG129" s="15">
        <f>-L25</f>
        <v>3010.4</v>
      </c>
      <c r="AH129" s="15">
        <f>-L26</f>
        <v>-2355.2</v>
      </c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8.35" customHeight="1" hidden="1">
      <c r="AB130" s="36"/>
      <c r="AC130" s="175"/>
      <c r="AD130" s="14">
        <f>-M22</f>
        <v>6.7</v>
      </c>
      <c r="AE130" s="15">
        <f>-M23</f>
        <v>-7.1</v>
      </c>
      <c r="AF130" s="15">
        <f>-M24</f>
        <v>0</v>
      </c>
      <c r="AG130" s="15">
        <f>-M25</f>
        <v>-2538.8</v>
      </c>
      <c r="AH130" s="15">
        <f>-M26</f>
        <v>146.2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8.35" customHeight="1" hidden="1">
      <c r="AB131" s="36"/>
      <c r="AC131" s="175"/>
      <c r="AD131" t="s" s="45">
        <f>AD92</f>
        <v>771</v>
      </c>
      <c r="AE131" t="s" s="44">
        <f>IF(AF131&gt;0,"paid","(raised)")</f>
        <v>121</v>
      </c>
      <c r="AF131" s="15">
        <f>SUM(AH129:AH130)</f>
        <v>-2209</v>
      </c>
      <c r="AG131" t="s" s="44">
        <f>AL103</f>
        <v>372</v>
      </c>
      <c r="AH131" t="s" s="44">
        <f>AG103</f>
        <v>73</v>
      </c>
      <c r="AI131" t="s" s="44">
        <f>AH103</f>
        <v>74</v>
      </c>
      <c r="AJ131" t="s" s="44">
        <f>AI103</f>
        <v>75</v>
      </c>
      <c r="AK131" s="15">
        <f>AH129</f>
        <v>-2355.2</v>
      </c>
      <c r="AL131" t="s" s="44">
        <f>AL103</f>
        <v>372</v>
      </c>
      <c r="AM131" t="s" s="44">
        <v>123</v>
      </c>
      <c r="AN131" s="15">
        <f>AH130</f>
        <v>146.2</v>
      </c>
      <c r="AO131" t="s" s="44">
        <f>AL103</f>
        <v>372</v>
      </c>
      <c r="AP131" t="s" s="44">
        <v>389</v>
      </c>
      <c r="AQ131" t="s" s="44">
        <v>390</v>
      </c>
      <c r="AR131" t="s" s="44">
        <f>IF(AS131&gt;0,"pay","raise")</f>
        <v>364</v>
      </c>
      <c r="AS131" s="15">
        <f>-SUM(AD74:AG74)</f>
        <v>405.301682086010</v>
      </c>
      <c r="AT131" t="s" s="44">
        <f>AL103</f>
        <v>372</v>
      </c>
      <c r="AU131" t="s" s="44">
        <v>126</v>
      </c>
    </row>
    <row r="132" ht="8.35" customHeight="1" hidden="1">
      <c r="AB132" s="36"/>
      <c r="AC132" s="175"/>
      <c r="AD132" t="s" s="45">
        <v>375</v>
      </c>
      <c r="AE132" s="15">
        <f>AG78</f>
        <v>48678.36672</v>
      </c>
      <c r="AF132" t="s" s="44">
        <f>AL103</f>
        <v>372</v>
      </c>
      <c r="AG132" t="s" s="44">
        <v>128</v>
      </c>
      <c r="AH132" t="s" s="44">
        <v>129</v>
      </c>
      <c r="AI132" s="26">
        <f>AG80</f>
        <v>1.08993456113063</v>
      </c>
      <c r="AJ132" t="s" s="44">
        <v>130</v>
      </c>
      <c r="AK132" t="s" s="44">
        <v>131</v>
      </c>
      <c r="AL132" t="s" s="44">
        <v>132</v>
      </c>
      <c r="AM132" s="15">
        <f>AG83</f>
        <v>108.842380749454</v>
      </c>
      <c r="AN132" t="s" s="44">
        <v>133</v>
      </c>
      <c r="AO132" s="16">
        <f>-AE126/AE132</f>
        <v>0</v>
      </c>
      <c r="AP132" t="s" s="44">
        <v>134</v>
      </c>
      <c r="AQ132" s="17"/>
      <c r="AR132" s="17"/>
      <c r="AS132" s="17"/>
      <c r="AT132" s="17"/>
      <c r="AU132" s="17"/>
    </row>
    <row r="133" ht="8.35" customHeight="1" hidden="1">
      <c r="AB133" s="36"/>
      <c r="AC133" s="175"/>
      <c r="AD133" t="s" s="45">
        <v>135</v>
      </c>
      <c r="AE133" s="15">
        <f>AG82</f>
        <v>405.301682086013</v>
      </c>
      <c r="AF133" t="s" s="44">
        <f>AF132</f>
        <v>372</v>
      </c>
      <c r="AG133" t="s" s="44">
        <v>136</v>
      </c>
      <c r="AH133" s="15">
        <f>AE132/AE133</f>
        <v>120.104033295548</v>
      </c>
      <c r="AI133" t="s" s="44">
        <v>130</v>
      </c>
      <c r="AJ133" t="s" s="44">
        <v>137</v>
      </c>
      <c r="AK133" t="s" s="44">
        <v>138</v>
      </c>
      <c r="AL133" s="15">
        <f>AG84</f>
        <v>100</v>
      </c>
      <c r="AM133" t="s" s="44">
        <v>139</v>
      </c>
      <c r="AN133" t="s" s="44">
        <v>140</v>
      </c>
      <c r="AO133" t="s" s="44">
        <v>141</v>
      </c>
      <c r="AP133" s="16">
        <f>AJ92</f>
        <v>-0.167388494323721</v>
      </c>
      <c r="AQ133" t="s" s="44">
        <f>IF(AP133&gt;0,"higher","lower")</f>
        <v>104</v>
      </c>
      <c r="AR133" t="s" s="44">
        <v>142</v>
      </c>
      <c r="AS133" s="15">
        <f>AH92</f>
        <v>1790.114737204</v>
      </c>
      <c r="AT133" t="s" s="44">
        <v>143</v>
      </c>
      <c r="AU133" s="17"/>
    </row>
    <row r="134" ht="8.35" customHeight="1" hidden="1">
      <c r="AB134" s="36"/>
      <c r="AC134" s="175"/>
      <c r="AD134" s="34"/>
      <c r="AE134" s="17"/>
      <c r="AF134" s="17"/>
      <c r="AG134" s="17"/>
      <c r="AH134" s="15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ht="8.35" customHeight="1" hidden="1">
      <c r="AB135" t="s" s="33">
        <v>28</v>
      </c>
      <c r="AC135" s="178">
        <f>AD102</f>
        <v>1590.5</v>
      </c>
      <c r="AD135" s="14">
        <f>AE102</f>
        <v>1618.1</v>
      </c>
      <c r="AE135" s="15">
        <f>AF102</f>
        <v>1641.5</v>
      </c>
      <c r="AF135" s="15">
        <f>AG102</f>
        <v>1662.1</v>
      </c>
      <c r="AG135" s="15">
        <f>AH102</f>
        <v>1618.4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8.35" customHeight="1" hidden="1">
      <c r="AB136" t="s" s="33">
        <v>144</v>
      </c>
      <c r="AC136" s="178">
        <f>SUM(AD115:AD116)</f>
        <v>-418.1</v>
      </c>
      <c r="AD136" s="14">
        <f>SUM(AE115:AE116)</f>
        <v>-971.5</v>
      </c>
      <c r="AE136" s="15">
        <f>SUM(AF115:AF116)</f>
        <v>348.6</v>
      </c>
      <c r="AF136" s="15">
        <f>SUM(AG115:AG116)</f>
        <v>-23.2</v>
      </c>
      <c r="AG136" s="15">
        <f>SUM(AH115:AH116)</f>
        <v>-1010.8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8.35" customHeight="1" hidden="1">
      <c r="AB137" t="s" s="33">
        <v>145</v>
      </c>
      <c r="AC137" s="178">
        <f>SUM(AD129:AD130)</f>
        <v>-364.8</v>
      </c>
      <c r="AD137" s="14">
        <f>SUM(AE129:AE130)</f>
        <v>-749.8</v>
      </c>
      <c r="AE137" s="15">
        <f>SUM(AF129:AF130)</f>
        <v>986.6</v>
      </c>
      <c r="AF137" s="15">
        <f>SUM(AG129:AG130)</f>
        <v>471.6</v>
      </c>
      <c r="AG137" s="15">
        <f>SUM(AH129:AH130)</f>
        <v>-2209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8.35" customHeight="1" hidden="1">
      <c r="AB138" t="s" s="33">
        <v>146</v>
      </c>
      <c r="AC138" s="178">
        <f>(AD122-AD123)</f>
        <v>-31141</v>
      </c>
      <c r="AD138" s="14">
        <f>(AE122-AE123)</f>
        <v>-31452</v>
      </c>
      <c r="AE138" s="15">
        <f>(AF122-AF123)</f>
        <v>-31192</v>
      </c>
      <c r="AF138" s="15">
        <f>(AG122-AG123)</f>
        <v>-28802</v>
      </c>
      <c r="AG138" s="15">
        <f>(AH122-AH123)</f>
        <v>-29513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8.35" customHeight="1" hidden="1">
      <c r="AB139" s="36"/>
      <c r="AC139" s="175"/>
      <c r="AD139" s="34"/>
      <c r="AE139" s="17"/>
      <c r="AF139" s="17"/>
      <c r="AG139" s="15">
        <f>AS133</f>
        <v>1790.114737204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8.35" customHeight="1" hidden="1">
      <c r="AB140" s="36"/>
      <c r="AC140" s="175"/>
      <c r="AD140" s="34"/>
      <c r="AE140" s="17"/>
      <c r="AF140" s="17"/>
      <c r="AG140" s="17"/>
      <c r="AH140" s="15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8.35" customHeight="1" hidden="1">
      <c r="AB141" s="36"/>
      <c r="AC141" s="175"/>
      <c r="AD141" s="34"/>
      <c r="AE141" s="17"/>
      <c r="AF141" s="17"/>
      <c r="AG141" s="17"/>
      <c r="AH141" s="15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8.35" customHeight="1" hidden="1">
      <c r="AB142" s="36"/>
      <c r="AC142" s="175"/>
      <c r="AD142" s="34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8.35" customHeight="1" hidden="1">
      <c r="AB143" s="36"/>
      <c r="AC143" s="175"/>
      <c r="AD143" s="34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8.35" customHeight="1" hidden="1">
      <c r="AB144" s="36"/>
      <c r="AC144" s="175"/>
      <c r="AD144" s="34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8.35" customHeight="1" hidden="1">
      <c r="AB145" s="36"/>
      <c r="AC145" s="175"/>
      <c r="AD145" s="34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8.35" customHeight="1" hidden="1">
      <c r="AB146" s="36"/>
      <c r="AC146" s="175"/>
      <c r="AD146" s="34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</sheetData>
  <mergeCells count="2">
    <mergeCell ref="B2:AA2"/>
    <mergeCell ref="AB44:AU4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3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06" customWidth="1"/>
    <col min="2" max="28" width="10.4844" style="406" customWidth="1"/>
    <col min="29" max="29" width="18.9766" style="407" customWidth="1"/>
    <col min="30" max="48" width="9" style="407" customWidth="1"/>
    <col min="49" max="16384" width="16.3516" style="407" customWidth="1"/>
  </cols>
  <sheetData>
    <row r="1" ht="11.65" customHeight="1"/>
    <row r="2" ht="27.65" customHeight="1">
      <c r="B2" t="s" s="2">
        <v>772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235</v>
      </c>
      <c r="AA3" t="s" s="3">
        <v>19</v>
      </c>
      <c r="AB3" t="s" s="3">
        <v>20</v>
      </c>
    </row>
    <row r="4" ht="20.25" customHeight="1">
      <c r="B4" s="6">
        <v>2017</v>
      </c>
      <c r="C4" s="7">
        <v>2236.4</v>
      </c>
      <c r="D4" s="8">
        <v>125</v>
      </c>
      <c r="E4" s="8">
        <v>269</v>
      </c>
      <c r="F4" s="8">
        <v>70</v>
      </c>
      <c r="G4" s="8">
        <v>9265</v>
      </c>
      <c r="H4" s="8">
        <v>12963</v>
      </c>
      <c r="I4" s="8">
        <v>2902</v>
      </c>
      <c r="J4" s="8">
        <v>828</v>
      </c>
      <c r="K4" s="8">
        <v>-289</v>
      </c>
      <c r="L4" s="8">
        <v>2</v>
      </c>
      <c r="M4" s="8">
        <v>-40</v>
      </c>
      <c r="N4" s="8"/>
      <c r="O4" s="8"/>
      <c r="P4" s="9"/>
      <c r="Q4" s="9"/>
      <c r="R4" s="9"/>
      <c r="S4" s="9"/>
      <c r="T4" s="9"/>
      <c r="U4" s="9"/>
      <c r="V4" s="8">
        <f>-(L4+M4)</f>
        <v>38</v>
      </c>
      <c r="W4" s="9"/>
      <c r="X4" s="8">
        <f>F4-G4</f>
        <v>-9195</v>
      </c>
      <c r="Y4" s="9"/>
      <c r="Z4" s="10"/>
      <c r="AA4" s="11"/>
      <c r="AB4" s="12">
        <v>13.3</v>
      </c>
    </row>
    <row r="5" ht="20.05" customHeight="1">
      <c r="B5" s="13"/>
      <c r="C5" s="14">
        <v>2007.2</v>
      </c>
      <c r="D5" s="15">
        <v>129</v>
      </c>
      <c r="E5" s="15">
        <v>236</v>
      </c>
      <c r="F5" s="15">
        <v>76</v>
      </c>
      <c r="G5" s="15">
        <v>9505</v>
      </c>
      <c r="H5" s="15">
        <v>13430</v>
      </c>
      <c r="I5" s="15">
        <v>2050</v>
      </c>
      <c r="J5" s="15">
        <v>20</v>
      </c>
      <c r="K5" s="15">
        <v>-433</v>
      </c>
      <c r="L5" s="15">
        <v>2</v>
      </c>
      <c r="M5" s="15">
        <v>-40</v>
      </c>
      <c r="N5" s="15"/>
      <c r="O5" s="15"/>
      <c r="P5" s="16"/>
      <c r="Q5" s="17"/>
      <c r="R5" s="17"/>
      <c r="S5" s="17"/>
      <c r="T5" s="17"/>
      <c r="U5" s="17"/>
      <c r="V5" s="15">
        <f>-(L5+M5)+V4</f>
        <v>76</v>
      </c>
      <c r="W5" s="17"/>
      <c r="X5" s="15">
        <f>F5-G5</f>
        <v>-9429</v>
      </c>
      <c r="Y5" s="17"/>
      <c r="Z5" s="18"/>
      <c r="AA5" s="19"/>
      <c r="AB5" s="20">
        <v>13.327</v>
      </c>
    </row>
    <row r="6" ht="20.05" customHeight="1">
      <c r="B6" s="13"/>
      <c r="C6" s="14">
        <v>2365.8</v>
      </c>
      <c r="D6" s="15">
        <v>127</v>
      </c>
      <c r="E6" s="15">
        <v>190</v>
      </c>
      <c r="F6" s="15">
        <v>107</v>
      </c>
      <c r="G6" s="15">
        <v>10114</v>
      </c>
      <c r="H6" s="15">
        <v>14030</v>
      </c>
      <c r="I6" s="15">
        <v>1956</v>
      </c>
      <c r="J6" s="15">
        <v>621</v>
      </c>
      <c r="K6" s="15">
        <v>-742</v>
      </c>
      <c r="L6" s="15">
        <v>2</v>
      </c>
      <c r="M6" s="15">
        <v>-40</v>
      </c>
      <c r="N6" s="15"/>
      <c r="O6" s="15"/>
      <c r="P6" s="16"/>
      <c r="Q6" s="17"/>
      <c r="R6" s="17"/>
      <c r="S6" s="17"/>
      <c r="T6" s="17"/>
      <c r="U6" s="17"/>
      <c r="V6" s="15">
        <f>-(L6+M6)+V5</f>
        <v>114</v>
      </c>
      <c r="W6" s="17"/>
      <c r="X6" s="15">
        <f>F6-G6</f>
        <v>-10007</v>
      </c>
      <c r="Y6" s="17"/>
      <c r="Z6" s="18"/>
      <c r="AA6" s="19"/>
      <c r="AB6" s="20">
        <v>13.305</v>
      </c>
    </row>
    <row r="7" ht="20.05" customHeight="1">
      <c r="B7" s="13"/>
      <c r="C7" s="14">
        <v>2365.3</v>
      </c>
      <c r="D7" s="15">
        <v>133</v>
      </c>
      <c r="E7" s="15">
        <v>283.6</v>
      </c>
      <c r="F7" s="15">
        <v>126</v>
      </c>
      <c r="G7" s="15">
        <v>10025</v>
      </c>
      <c r="H7" s="15">
        <v>14105</v>
      </c>
      <c r="I7" s="15">
        <v>2593</v>
      </c>
      <c r="J7" s="15">
        <v>592</v>
      </c>
      <c r="K7" s="15">
        <v>-445</v>
      </c>
      <c r="L7" s="15">
        <v>2</v>
      </c>
      <c r="M7" s="15">
        <v>-40</v>
      </c>
      <c r="N7" s="15"/>
      <c r="O7" s="15"/>
      <c r="P7" s="16"/>
      <c r="Q7" s="17"/>
      <c r="R7" s="17"/>
      <c r="S7" s="17"/>
      <c r="T7" s="17"/>
      <c r="U7" s="17"/>
      <c r="V7" s="15">
        <f>-(L7+M7)+V6</f>
        <v>152</v>
      </c>
      <c r="W7" s="17"/>
      <c r="X7" s="15">
        <f>F7-G7</f>
        <v>-9899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2140.7</v>
      </c>
      <c r="D8" s="15">
        <v>149</v>
      </c>
      <c r="E8" s="15">
        <v>203.4</v>
      </c>
      <c r="F8" s="15">
        <v>335</v>
      </c>
      <c r="G8" s="15">
        <v>9948</v>
      </c>
      <c r="H8" s="15">
        <v>14152</v>
      </c>
      <c r="I8" s="15">
        <v>2413</v>
      </c>
      <c r="J8" s="15">
        <v>-445</v>
      </c>
      <c r="K8" s="15">
        <v>-313</v>
      </c>
      <c r="L8" s="15">
        <v>428.5</v>
      </c>
      <c r="M8" s="15">
        <v>-100.25</v>
      </c>
      <c r="N8" s="15">
        <f>SUM(C5:C8)/4</f>
        <v>2219.75</v>
      </c>
      <c r="O8" s="15"/>
      <c r="P8" s="16"/>
      <c r="Q8" s="16"/>
      <c r="R8" s="16"/>
      <c r="S8" s="17"/>
      <c r="T8" s="15">
        <f>SUM(J5:K8)/4</f>
        <v>-286.25</v>
      </c>
      <c r="U8" s="25"/>
      <c r="V8" s="15">
        <f>-(L8+M8)+V7</f>
        <v>-176.25</v>
      </c>
      <c r="W8" s="17"/>
      <c r="X8" s="15">
        <f>F8-G8</f>
        <v>-9613</v>
      </c>
      <c r="Y8" s="24"/>
      <c r="Z8" s="15">
        <v>1255</v>
      </c>
      <c r="AA8" s="22"/>
      <c r="AB8" s="20">
        <v>13.761</v>
      </c>
    </row>
    <row r="9" ht="20.05" customHeight="1">
      <c r="B9" s="13"/>
      <c r="C9" s="14">
        <v>1861.3</v>
      </c>
      <c r="D9" s="15">
        <v>149</v>
      </c>
      <c r="E9" s="15">
        <v>148.6</v>
      </c>
      <c r="F9" s="15">
        <v>323</v>
      </c>
      <c r="G9" s="15">
        <v>10802</v>
      </c>
      <c r="H9" s="15">
        <v>14914</v>
      </c>
      <c r="I9" s="15">
        <v>1577</v>
      </c>
      <c r="J9" s="15">
        <v>104</v>
      </c>
      <c r="K9" s="15">
        <v>-215</v>
      </c>
      <c r="L9" s="15">
        <v>428.5</v>
      </c>
      <c r="M9" s="15">
        <v>-100.25</v>
      </c>
      <c r="N9" s="15">
        <f>SUM(C6:C9)/4</f>
        <v>2183.275</v>
      </c>
      <c r="O9" s="15"/>
      <c r="P9" s="16"/>
      <c r="Q9" s="16"/>
      <c r="R9" s="16"/>
      <c r="S9" s="17"/>
      <c r="T9" s="15">
        <f>SUM(J6:K9)/4</f>
        <v>-210.75</v>
      </c>
      <c r="U9" s="25"/>
      <c r="V9" s="15">
        <f>-(L9+M9)+V8</f>
        <v>-504.5</v>
      </c>
      <c r="W9" s="17"/>
      <c r="X9" s="15">
        <f>F13-G9</f>
        <v>-10376</v>
      </c>
      <c r="Y9" s="24"/>
      <c r="Z9" s="15">
        <v>885</v>
      </c>
      <c r="AA9" s="22"/>
      <c r="AB9" s="20">
        <v>14</v>
      </c>
    </row>
    <row r="10" ht="20.05" customHeight="1">
      <c r="B10" s="13"/>
      <c r="C10" s="14">
        <v>2288</v>
      </c>
      <c r="D10" s="15">
        <v>149</v>
      </c>
      <c r="E10" s="15">
        <v>189</v>
      </c>
      <c r="F10" s="15">
        <v>252</v>
      </c>
      <c r="G10" s="15">
        <v>11547</v>
      </c>
      <c r="H10" s="15">
        <v>15928</v>
      </c>
      <c r="I10" s="15">
        <v>2286</v>
      </c>
      <c r="J10" s="15">
        <v>-98</v>
      </c>
      <c r="K10" s="15">
        <v>-270</v>
      </c>
      <c r="L10" s="15">
        <v>428.5</v>
      </c>
      <c r="M10" s="15">
        <v>-100.25</v>
      </c>
      <c r="N10" s="15">
        <f>SUM(C7:C10)/4</f>
        <v>2163.825</v>
      </c>
      <c r="O10" s="15"/>
      <c r="P10" s="16"/>
      <c r="Q10" s="16"/>
      <c r="R10" s="16"/>
      <c r="S10" s="17"/>
      <c r="T10" s="15">
        <f>SUM(J7:K10)/4</f>
        <v>-272.5</v>
      </c>
      <c r="U10" s="25"/>
      <c r="V10" s="15">
        <f>-(L10+M10)+V9</f>
        <v>-832.75</v>
      </c>
      <c r="W10" s="17"/>
      <c r="X10" s="15">
        <f>F10-G10</f>
        <v>-11295</v>
      </c>
      <c r="Y10" s="24"/>
      <c r="Z10" s="15">
        <v>1045</v>
      </c>
      <c r="AA10" s="22"/>
      <c r="AB10" s="20">
        <v>14.902</v>
      </c>
    </row>
    <row r="11" ht="20.05" customHeight="1">
      <c r="B11" s="13"/>
      <c r="C11" s="14">
        <v>2324.8</v>
      </c>
      <c r="D11" s="15">
        <v>149</v>
      </c>
      <c r="E11" s="15">
        <v>223</v>
      </c>
      <c r="F11" s="15">
        <v>224</v>
      </c>
      <c r="G11" s="15">
        <v>11556</v>
      </c>
      <c r="H11" s="15">
        <v>16340</v>
      </c>
      <c r="I11" s="15">
        <v>2353</v>
      </c>
      <c r="J11" s="15">
        <v>404</v>
      </c>
      <c r="K11" s="15">
        <v>-383</v>
      </c>
      <c r="L11" s="15">
        <v>428.5</v>
      </c>
      <c r="M11" s="15">
        <v>-100.25</v>
      </c>
      <c r="N11" s="15">
        <f>SUM(C8:C11)/4</f>
        <v>2153.7</v>
      </c>
      <c r="O11" s="15"/>
      <c r="P11" s="16"/>
      <c r="Q11" s="16"/>
      <c r="R11" s="16"/>
      <c r="S11" s="17"/>
      <c r="T11" s="15">
        <f>SUM(J8:K11)/4</f>
        <v>-304</v>
      </c>
      <c r="U11" s="25"/>
      <c r="V11" s="15">
        <f>-(L11+M11)+V10</f>
        <v>-1161</v>
      </c>
      <c r="W11" s="17"/>
      <c r="X11" s="15">
        <f>F11-G11</f>
        <v>-11332</v>
      </c>
      <c r="Y11" s="24"/>
      <c r="Z11" s="15">
        <v>865</v>
      </c>
      <c r="AA11" s="22"/>
      <c r="AB11" s="20">
        <v>14.38</v>
      </c>
    </row>
    <row r="12" ht="20.05" customHeight="1">
      <c r="B12" s="21">
        <v>2019</v>
      </c>
      <c r="C12" s="14">
        <v>2172.8</v>
      </c>
      <c r="D12" s="15">
        <v>166</v>
      </c>
      <c r="E12" s="15">
        <v>203.8</v>
      </c>
      <c r="F12" s="15">
        <v>436</v>
      </c>
      <c r="G12" s="15">
        <v>11590</v>
      </c>
      <c r="H12" s="15">
        <v>16577</v>
      </c>
      <c r="I12" s="15">
        <v>2316</v>
      </c>
      <c r="J12" s="15">
        <v>516</v>
      </c>
      <c r="K12" s="15">
        <v>-402</v>
      </c>
      <c r="L12" s="15">
        <v>140.75</v>
      </c>
      <c r="M12" s="15">
        <v>-33.5</v>
      </c>
      <c r="N12" s="15">
        <f>SUM(C9:C12)/4</f>
        <v>2161.725</v>
      </c>
      <c r="O12" s="23"/>
      <c r="P12" s="16"/>
      <c r="Q12" s="16">
        <f>(E12+D12)/C12</f>
        <v>0.170195139911635</v>
      </c>
      <c r="R12" s="16">
        <f>AVERAGE(Q9:Q12)</f>
        <v>0.170195139911635</v>
      </c>
      <c r="S12" s="17"/>
      <c r="T12" s="15">
        <f>SUM(J9:K12)/4</f>
        <v>-86</v>
      </c>
      <c r="U12" s="25"/>
      <c r="V12" s="15">
        <f>-(L12+M12)+V11</f>
        <v>-1268.25</v>
      </c>
      <c r="W12" s="17"/>
      <c r="X12" s="15">
        <f>F12-G12</f>
        <v>-11154</v>
      </c>
      <c r="Y12" s="24"/>
      <c r="Z12" s="15">
        <v>840</v>
      </c>
      <c r="AA12" s="22"/>
      <c r="AB12" s="20">
        <v>14.24</v>
      </c>
    </row>
    <row r="13" ht="20.05" customHeight="1">
      <c r="B13" s="13"/>
      <c r="C13" s="14">
        <v>1949.2</v>
      </c>
      <c r="D13" s="15">
        <v>166</v>
      </c>
      <c r="E13" s="15">
        <v>156.2</v>
      </c>
      <c r="F13" s="15">
        <v>426</v>
      </c>
      <c r="G13" s="15">
        <v>11442</v>
      </c>
      <c r="H13" s="15">
        <v>16585</v>
      </c>
      <c r="I13" s="15">
        <v>2077</v>
      </c>
      <c r="J13" s="15">
        <v>310</v>
      </c>
      <c r="K13" s="15">
        <v>-298.7</v>
      </c>
      <c r="L13" s="15">
        <v>140.75</v>
      </c>
      <c r="M13" s="15">
        <v>-33.5</v>
      </c>
      <c r="N13" s="15">
        <f>SUM(C10:C13)/4</f>
        <v>2183.7</v>
      </c>
      <c r="O13" s="23"/>
      <c r="P13" s="16">
        <f>C13/C12-1</f>
        <v>-0.102908689248895</v>
      </c>
      <c r="Q13" s="16">
        <f>(E13+D13)/C13</f>
        <v>0.165298584034476</v>
      </c>
      <c r="R13" s="16">
        <f>AVERAGE(Q10:Q13)</f>
        <v>0.167746861973056</v>
      </c>
      <c r="S13" s="17"/>
      <c r="T13" s="15">
        <f>SUM(J10:K13)/4</f>
        <v>-55.425</v>
      </c>
      <c r="U13" s="25"/>
      <c r="V13" s="15">
        <f>-(L13+M13)+V12</f>
        <v>-1375.5</v>
      </c>
      <c r="W13" s="17"/>
      <c r="X13" s="15">
        <f>F13-G13</f>
        <v>-11016</v>
      </c>
      <c r="Y13" s="24"/>
      <c r="Z13" s="15">
        <v>850</v>
      </c>
      <c r="AA13" s="24"/>
      <c r="AB13" s="15">
        <v>14.127</v>
      </c>
    </row>
    <row r="14" ht="20.05" customHeight="1">
      <c r="B14" s="13"/>
      <c r="C14" s="14">
        <v>2223</v>
      </c>
      <c r="D14" s="15">
        <v>166</v>
      </c>
      <c r="E14" s="15">
        <v>143</v>
      </c>
      <c r="F14" s="15">
        <v>132</v>
      </c>
      <c r="G14" s="15">
        <v>11440</v>
      </c>
      <c r="H14" s="15">
        <v>16593</v>
      </c>
      <c r="I14" s="15">
        <v>2242</v>
      </c>
      <c r="J14" s="15">
        <v>-175</v>
      </c>
      <c r="K14" s="15">
        <v>-196.3</v>
      </c>
      <c r="L14" s="15">
        <v>140.75</v>
      </c>
      <c r="M14" s="15">
        <v>-33.5</v>
      </c>
      <c r="N14" s="15">
        <f>SUM(C11:C14)/4</f>
        <v>2167.45</v>
      </c>
      <c r="O14" s="23"/>
      <c r="P14" s="16">
        <f>C14/C13-1</f>
        <v>0.140467884260209</v>
      </c>
      <c r="Q14" s="16">
        <f>(E14+D14)/C14</f>
        <v>0.139001349527665</v>
      </c>
      <c r="R14" s="16">
        <f>AVERAGE(Q11:Q14)</f>
        <v>0.158165024491259</v>
      </c>
      <c r="S14" s="17"/>
      <c r="T14" s="15">
        <f>SUM(J11:K14)/4</f>
        <v>-56.25</v>
      </c>
      <c r="U14" s="25"/>
      <c r="V14" s="15">
        <f>-(L14+M14)+V13</f>
        <v>-1482.75</v>
      </c>
      <c r="W14" s="17"/>
      <c r="X14" s="15">
        <f>F14-G14</f>
        <v>-11308</v>
      </c>
      <c r="Y14" s="24"/>
      <c r="Z14" s="15">
        <v>930</v>
      </c>
      <c r="AA14" s="24"/>
      <c r="AB14" s="15">
        <v>14.195</v>
      </c>
    </row>
    <row r="15" ht="20.05" customHeight="1">
      <c r="B15" s="13"/>
      <c r="C15" s="14">
        <v>2188.2</v>
      </c>
      <c r="D15" s="15">
        <v>166</v>
      </c>
      <c r="E15" s="15">
        <v>158</v>
      </c>
      <c r="F15" s="15">
        <v>400.7</v>
      </c>
      <c r="G15" s="15">
        <v>12000.1</v>
      </c>
      <c r="H15" s="15">
        <v>17363</v>
      </c>
      <c r="I15" s="15">
        <v>2336</v>
      </c>
      <c r="J15" s="15">
        <v>461.4</v>
      </c>
      <c r="K15" s="15">
        <v>-468.3</v>
      </c>
      <c r="L15" s="15">
        <v>140.75</v>
      </c>
      <c r="M15" s="15">
        <v>-33.5</v>
      </c>
      <c r="N15" s="15">
        <f>SUM(C12:C15)/4</f>
        <v>2133.3</v>
      </c>
      <c r="O15" s="15"/>
      <c r="P15" s="16">
        <f>C15/C14-1</f>
        <v>-0.0156545209176788</v>
      </c>
      <c r="Q15" s="16">
        <f>(E15+D15)/C15</f>
        <v>0.148066904304908</v>
      </c>
      <c r="R15" s="16">
        <f>AVERAGE(Q12:Q15)</f>
        <v>0.155640494444671</v>
      </c>
      <c r="S15" s="17"/>
      <c r="T15" s="15">
        <f>SUM(J12:K15)/4</f>
        <v>-63.225</v>
      </c>
      <c r="U15" s="25"/>
      <c r="V15" s="15">
        <f>-(L15+M15)+V14</f>
        <v>-1590</v>
      </c>
      <c r="W15" s="17"/>
      <c r="X15" s="15">
        <f>F15-G15</f>
        <v>-11599.4</v>
      </c>
      <c r="Y15" s="24"/>
      <c r="Z15" s="15">
        <v>995</v>
      </c>
      <c r="AA15" s="24"/>
      <c r="AB15" s="15">
        <v>13.882</v>
      </c>
    </row>
    <row r="16" ht="20.05" customHeight="1">
      <c r="B16" s="21">
        <v>2020</v>
      </c>
      <c r="C16" s="14">
        <v>2765</v>
      </c>
      <c r="D16" s="15">
        <v>188.075</v>
      </c>
      <c r="E16" s="15">
        <v>101.5</v>
      </c>
      <c r="F16" s="15">
        <v>806.14</v>
      </c>
      <c r="G16" s="15">
        <v>13050.37</v>
      </c>
      <c r="H16" s="15">
        <v>18499.27</v>
      </c>
      <c r="I16" s="15">
        <v>2384</v>
      </c>
      <c r="J16" s="15">
        <v>29.5</v>
      </c>
      <c r="K16" s="15">
        <v>-349.9</v>
      </c>
      <c r="L16" s="15">
        <v>403.5</v>
      </c>
      <c r="M16" s="15">
        <v>-42</v>
      </c>
      <c r="N16" s="15">
        <f>SUM(C13:C16)/4</f>
        <v>2281.35</v>
      </c>
      <c r="O16" s="15">
        <v>2415.56</v>
      </c>
      <c r="P16" s="16">
        <f>C16/C15-1</f>
        <v>0.263595649392194</v>
      </c>
      <c r="Q16" s="16">
        <f>(E16+D16)/C16</f>
        <v>0.104728752260398</v>
      </c>
      <c r="R16" s="16">
        <f>AVERAGE(Q13:Q16)</f>
        <v>0.139273897531862</v>
      </c>
      <c r="S16" s="17"/>
      <c r="T16" s="15">
        <f>SUM(J13:K16)/4</f>
        <v>-171.825</v>
      </c>
      <c r="U16" s="25"/>
      <c r="V16" s="15">
        <f>-(L16+M16)+V15</f>
        <v>-1951.5</v>
      </c>
      <c r="W16" s="17"/>
      <c r="X16" s="15">
        <f>F16-G16</f>
        <v>-12244.23</v>
      </c>
      <c r="Y16" s="24"/>
      <c r="Z16" s="15">
        <v>486</v>
      </c>
      <c r="AA16" s="24"/>
      <c r="AB16" s="15">
        <v>16.31</v>
      </c>
    </row>
    <row r="17" ht="20.05" customHeight="1">
      <c r="B17" s="13"/>
      <c r="C17" s="14">
        <v>2921.58</v>
      </c>
      <c r="D17" s="15">
        <v>188.075</v>
      </c>
      <c r="E17" s="15">
        <v>156.2</v>
      </c>
      <c r="F17" s="15">
        <v>1000</v>
      </c>
      <c r="G17" s="15">
        <v>13688</v>
      </c>
      <c r="H17" s="15">
        <v>19342</v>
      </c>
      <c r="I17" s="15">
        <v>2294</v>
      </c>
      <c r="J17" s="15">
        <v>-30.8</v>
      </c>
      <c r="K17" s="15">
        <v>-422.7</v>
      </c>
      <c r="L17" s="15">
        <v>403.5</v>
      </c>
      <c r="M17" s="15">
        <v>-42</v>
      </c>
      <c r="N17" s="15">
        <f>SUM(C14:C17)/4</f>
        <v>2524.445</v>
      </c>
      <c r="O17" s="15">
        <v>2325.08</v>
      </c>
      <c r="P17" s="16">
        <f>C17/C16-1</f>
        <v>0.056629294755877</v>
      </c>
      <c r="Q17" s="16">
        <f>(E17+D17)/C17</f>
        <v>0.117838635259004</v>
      </c>
      <c r="R17" s="16">
        <f>AVERAGE(Q14:Q17)</f>
        <v>0.127408910337994</v>
      </c>
      <c r="S17" s="17"/>
      <c r="T17" s="25">
        <f>SUM(J14:K17)/4</f>
        <v>-288.025</v>
      </c>
      <c r="U17" s="25"/>
      <c r="V17" s="15">
        <f>-(L17+M17)+V16</f>
        <v>-2313</v>
      </c>
      <c r="W17" s="17"/>
      <c r="X17" s="15">
        <f>F17-G17</f>
        <v>-12688</v>
      </c>
      <c r="Y17" s="24"/>
      <c r="Z17" s="15">
        <v>555</v>
      </c>
      <c r="AA17" s="24"/>
      <c r="AB17" s="15">
        <v>14.255</v>
      </c>
    </row>
    <row r="18" ht="20.05" customHeight="1">
      <c r="B18" s="13"/>
      <c r="C18" s="14">
        <v>2378.42</v>
      </c>
      <c r="D18" s="15">
        <v>188.075</v>
      </c>
      <c r="E18" s="15">
        <v>147.3</v>
      </c>
      <c r="F18" s="15">
        <v>1502</v>
      </c>
      <c r="G18" s="15">
        <v>14384</v>
      </c>
      <c r="H18" s="15">
        <v>19984</v>
      </c>
      <c r="I18" s="15">
        <v>3866</v>
      </c>
      <c r="J18" s="15">
        <v>167.3</v>
      </c>
      <c r="K18" s="15">
        <v>-301.4</v>
      </c>
      <c r="L18" s="15">
        <v>403.5</v>
      </c>
      <c r="M18" s="15">
        <v>-42</v>
      </c>
      <c r="N18" s="15">
        <f>SUM(C15:C18)/4</f>
        <v>2563.3</v>
      </c>
      <c r="O18" s="15">
        <v>2459.5971</v>
      </c>
      <c r="P18" s="16">
        <f>C18/C17-1</f>
        <v>-0.185913101814771</v>
      </c>
      <c r="Q18" s="16">
        <f>(E18+D18)/C18</f>
        <v>0.141007475550996</v>
      </c>
      <c r="R18" s="16">
        <f>AVERAGE(Q15:Q18)</f>
        <v>0.127910441843827</v>
      </c>
      <c r="S18" s="17"/>
      <c r="T18" s="25">
        <f>SUM(J15:K18)/4</f>
        <v>-228.725</v>
      </c>
      <c r="U18" s="25"/>
      <c r="V18" s="15">
        <f>-(L18+M18)+V17</f>
        <v>-2674.5</v>
      </c>
      <c r="W18" s="17"/>
      <c r="X18" s="15">
        <f>F18-G18</f>
        <v>-12882</v>
      </c>
      <c r="Y18" s="24"/>
      <c r="Z18" s="15">
        <v>735</v>
      </c>
      <c r="AA18" s="24"/>
      <c r="AB18" s="15">
        <v>14.79</v>
      </c>
    </row>
    <row r="19" ht="20.05" customHeight="1">
      <c r="B19" s="13"/>
      <c r="C19" s="14">
        <v>2798.3</v>
      </c>
      <c r="D19" s="15">
        <v>188.075</v>
      </c>
      <c r="E19" s="15">
        <v>275.7</v>
      </c>
      <c r="F19" s="15">
        <v>480</v>
      </c>
      <c r="G19" s="15">
        <v>13542</v>
      </c>
      <c r="H19" s="15">
        <v>19431</v>
      </c>
      <c r="I19" s="15">
        <v>1259.3</v>
      </c>
      <c r="J19" s="15">
        <v>-150.1</v>
      </c>
      <c r="K19" s="15">
        <v>-298</v>
      </c>
      <c r="L19" s="15">
        <v>403.5</v>
      </c>
      <c r="M19" s="15">
        <v>-42</v>
      </c>
      <c r="N19" s="15">
        <f>SUM(C16:C19)/4</f>
        <v>2715.825</v>
      </c>
      <c r="O19" s="15">
        <v>2562.8631</v>
      </c>
      <c r="P19" s="16">
        <f>C19/C18-1</f>
        <v>0.176537365141565</v>
      </c>
      <c r="Q19" s="16">
        <f>(E19+D19)/C19</f>
        <v>0.165734553121538</v>
      </c>
      <c r="R19" s="16">
        <f>AVERAGE(Q16:Q19)</f>
        <v>0.132327354047984</v>
      </c>
      <c r="S19" s="17"/>
      <c r="T19" s="25">
        <f>SUM(J16:K19)/4</f>
        <v>-339.025</v>
      </c>
      <c r="U19" s="25"/>
      <c r="V19" s="15">
        <f>-(L19+M19)+V18</f>
        <v>-3036</v>
      </c>
      <c r="W19" s="17"/>
      <c r="X19" s="15">
        <f>F19-G19</f>
        <v>-13062</v>
      </c>
      <c r="Y19" s="24"/>
      <c r="Z19" s="15">
        <v>935</v>
      </c>
      <c r="AA19" s="24"/>
      <c r="AB19" s="15">
        <v>14.1</v>
      </c>
    </row>
    <row r="20" ht="20.05" customHeight="1">
      <c r="B20" s="21">
        <v>2021</v>
      </c>
      <c r="C20" s="14">
        <v>3493</v>
      </c>
      <c r="D20" s="15">
        <v>154.3</v>
      </c>
      <c r="E20" s="15">
        <v>196.3</v>
      </c>
      <c r="F20" s="15">
        <v>238</v>
      </c>
      <c r="G20" s="15">
        <v>13545</v>
      </c>
      <c r="H20" s="15">
        <v>19633</v>
      </c>
      <c r="I20" s="15">
        <v>3631</v>
      </c>
      <c r="J20" s="15">
        <v>316.2</v>
      </c>
      <c r="K20" s="15">
        <v>-220.8</v>
      </c>
      <c r="L20" s="15">
        <v>-339.142</v>
      </c>
      <c r="M20" s="15">
        <v>0</v>
      </c>
      <c r="N20" s="15">
        <f>SUM(C17:C20)/4</f>
        <v>2897.825</v>
      </c>
      <c r="O20" s="15">
        <v>2657.92235</v>
      </c>
      <c r="P20" s="16">
        <f>C20/C19-1</f>
        <v>0.248257870850159</v>
      </c>
      <c r="Q20" s="16">
        <f>(E20+D20)/C20</f>
        <v>0.100372172917263</v>
      </c>
      <c r="R20" s="16">
        <f>AVERAGE(Q17:Q20)</f>
        <v>0.1312382092122</v>
      </c>
      <c r="S20" s="17"/>
      <c r="T20" s="25">
        <f>SUM(J17:K20)/4</f>
        <v>-235.075</v>
      </c>
      <c r="U20" s="25"/>
      <c r="V20" s="15">
        <f>-(L20+M20)+V19</f>
        <v>-2696.858</v>
      </c>
      <c r="W20" s="17"/>
      <c r="X20" s="15">
        <f>F20-G20</f>
        <v>-13307</v>
      </c>
      <c r="Y20" s="15"/>
      <c r="Z20" s="15">
        <v>895</v>
      </c>
      <c r="AA20" s="17"/>
      <c r="AB20" s="15">
        <v>14.606</v>
      </c>
    </row>
    <row r="21" ht="20.05" customHeight="1">
      <c r="B21" s="13"/>
      <c r="C21" s="14">
        <v>3337.8</v>
      </c>
      <c r="D21" s="15">
        <v>175.1</v>
      </c>
      <c r="E21" s="15">
        <v>185.3</v>
      </c>
      <c r="F21" s="15">
        <v>354</v>
      </c>
      <c r="G21" s="15">
        <v>13457</v>
      </c>
      <c r="H21" s="15">
        <v>19730</v>
      </c>
      <c r="I21" s="15">
        <v>3358.4</v>
      </c>
      <c r="J21" s="15">
        <v>414.1</v>
      </c>
      <c r="K21" s="15">
        <v>-264.3</v>
      </c>
      <c r="L21" s="15">
        <v>-32.071</v>
      </c>
      <c r="M21" s="15">
        <v>0</v>
      </c>
      <c r="N21" s="15">
        <f>SUM(C18:C21)/4</f>
        <v>3001.88</v>
      </c>
      <c r="O21" s="15">
        <v>3038.80485</v>
      </c>
      <c r="P21" s="16">
        <f>C21/C20-1</f>
        <v>-0.0444317205840252</v>
      </c>
      <c r="Q21" s="16">
        <f>(E21+D21)/C21</f>
        <v>0.107975313080472</v>
      </c>
      <c r="R21" s="16">
        <f>AVERAGE(Q18:Q21)</f>
        <v>0.128772378667567</v>
      </c>
      <c r="S21" s="17"/>
      <c r="T21" s="25">
        <f>SUM(J18:K21)/4</f>
        <v>-84.25</v>
      </c>
      <c r="U21" s="25"/>
      <c r="V21" s="15">
        <f>-(L21+M21)+V20</f>
        <v>-2664.787</v>
      </c>
      <c r="W21" s="17"/>
      <c r="X21" s="15">
        <f>F21-G21</f>
        <v>-13103</v>
      </c>
      <c r="Y21" s="15"/>
      <c r="Z21" s="15">
        <v>800</v>
      </c>
      <c r="AA21" s="17"/>
      <c r="AB21" s="15">
        <v>14.45</v>
      </c>
    </row>
    <row r="22" ht="20.05" customHeight="1">
      <c r="B22" s="13"/>
      <c r="C22" s="14">
        <v>4261.8</v>
      </c>
      <c r="D22" s="15">
        <v>341.8</v>
      </c>
      <c r="E22" s="15">
        <v>171.8</v>
      </c>
      <c r="F22" s="15">
        <v>479</v>
      </c>
      <c r="G22" s="15">
        <v>14428</v>
      </c>
      <c r="H22" s="15">
        <v>20741</v>
      </c>
      <c r="I22" s="15">
        <v>4047.6</v>
      </c>
      <c r="J22" s="15">
        <v>66.40000000000001</v>
      </c>
      <c r="K22" s="15">
        <v>-361.9</v>
      </c>
      <c r="L22" s="15">
        <v>548.88</v>
      </c>
      <c r="M22" s="15">
        <v>-131.92</v>
      </c>
      <c r="N22" s="15">
        <f>SUM(C19:C22)/4</f>
        <v>3472.725</v>
      </c>
      <c r="O22" s="15">
        <v>3199.19025</v>
      </c>
      <c r="P22" s="16">
        <f>C22/C21-1</f>
        <v>0.276829049074241</v>
      </c>
      <c r="Q22" s="16">
        <f>(E22+D22)/C22</f>
        <v>0.120512459524145</v>
      </c>
      <c r="R22" s="16">
        <f>AVERAGE(Q19:Q22)</f>
        <v>0.123648624660855</v>
      </c>
      <c r="S22" s="17"/>
      <c r="T22" s="25">
        <f>SUM(J19:K22)/4</f>
        <v>-124.6</v>
      </c>
      <c r="U22" s="25"/>
      <c r="V22" s="15">
        <f>-(L22+M22)+V21</f>
        <v>-3081.747</v>
      </c>
      <c r="W22" s="17"/>
      <c r="X22" s="15">
        <f>F22-G22</f>
        <v>-13949</v>
      </c>
      <c r="Y22" s="15"/>
      <c r="Z22" s="15">
        <v>835</v>
      </c>
      <c r="AA22" s="23"/>
      <c r="AB22" s="15">
        <v>14.328</v>
      </c>
    </row>
    <row r="23" ht="20.05" customHeight="1">
      <c r="B23" s="13"/>
      <c r="C23" s="14">
        <v>4879.6</v>
      </c>
      <c r="D23" s="15">
        <v>177.1</v>
      </c>
      <c r="E23" s="15">
        <v>238.5</v>
      </c>
      <c r="F23" s="15">
        <v>690</v>
      </c>
      <c r="G23" s="15">
        <v>14592</v>
      </c>
      <c r="H23" s="15">
        <v>21084</v>
      </c>
      <c r="I23" s="15">
        <v>4774.1</v>
      </c>
      <c r="J23" s="15">
        <v>701.8</v>
      </c>
      <c r="K23" s="15">
        <v>-282.7</v>
      </c>
      <c r="L23" s="15">
        <v>-206.32</v>
      </c>
      <c r="M23" s="15">
        <v>0.02</v>
      </c>
      <c r="N23" s="15">
        <f>SUM(C20:C23)/4</f>
        <v>3993.05</v>
      </c>
      <c r="O23" s="15">
        <v>3604.38675</v>
      </c>
      <c r="P23" s="16">
        <f>C23/C22-1</f>
        <v>0.144962222535079</v>
      </c>
      <c r="Q23" s="16">
        <f>(E23+D23)/C23</f>
        <v>0.0851709156488237</v>
      </c>
      <c r="R23" s="16">
        <f>AVERAGE(Q20:Q23)</f>
        <v>0.103507715292676</v>
      </c>
      <c r="S23" s="17"/>
      <c r="T23" s="25">
        <f>SUM(J20:K23)/4</f>
        <v>92.2</v>
      </c>
      <c r="U23" s="25"/>
      <c r="V23" s="15">
        <f>-(L23+M23)+V22</f>
        <v>-2875.447</v>
      </c>
      <c r="W23" s="17"/>
      <c r="X23" s="15">
        <f>F23-G23</f>
        <v>-13902</v>
      </c>
      <c r="Y23" s="15"/>
      <c r="Z23" s="15">
        <v>795</v>
      </c>
      <c r="AA23" s="23">
        <v>705.457499405984</v>
      </c>
      <c r="AB23" s="15">
        <v>14.275</v>
      </c>
    </row>
    <row r="24" ht="20.05" customHeight="1">
      <c r="B24" s="21">
        <v>2022</v>
      </c>
      <c r="C24" s="14">
        <v>3851.2</v>
      </c>
      <c r="D24" s="15">
        <v>211</v>
      </c>
      <c r="E24" s="15">
        <v>202.7</v>
      </c>
      <c r="F24" s="15">
        <v>730</v>
      </c>
      <c r="G24" s="15">
        <v>15119</v>
      </c>
      <c r="H24" s="15">
        <v>21816</v>
      </c>
      <c r="I24" s="15">
        <v>4164.7</v>
      </c>
      <c r="J24" s="15">
        <v>-520.8</v>
      </c>
      <c r="K24" s="15">
        <v>-271.4</v>
      </c>
      <c r="L24" s="15">
        <v>829.4</v>
      </c>
      <c r="M24" s="15">
        <v>0</v>
      </c>
      <c r="N24" s="15">
        <f>SUM(C21:C24)/4</f>
        <v>4082.6</v>
      </c>
      <c r="O24" s="15">
        <v>4030.53</v>
      </c>
      <c r="P24" s="16">
        <f>C24/C23-1</f>
        <v>-0.210754979916387</v>
      </c>
      <c r="Q24" s="16">
        <f>(E24+D24)/C24</f>
        <v>0.107421063564603</v>
      </c>
      <c r="R24" s="16">
        <f>AVERAGE(Q21:Q24)</f>
        <v>0.105269937954511</v>
      </c>
      <c r="S24" s="35"/>
      <c r="T24" s="25">
        <f>SUM(J21:K24)/4</f>
        <v>-129.7</v>
      </c>
      <c r="U24" s="15">
        <v>117.135056681687</v>
      </c>
      <c r="V24" s="15">
        <f>-(L24+M24)+V23</f>
        <v>-3704.847</v>
      </c>
      <c r="W24" s="15"/>
      <c r="X24" s="15">
        <f>F24-G24</f>
        <v>-14389</v>
      </c>
      <c r="Y24" s="15">
        <v>-13499.7498853694</v>
      </c>
      <c r="Z24" s="15">
        <v>825</v>
      </c>
      <c r="AA24" s="23">
        <v>705.457499405984</v>
      </c>
      <c r="AB24" s="15">
        <v>14.327</v>
      </c>
    </row>
    <row r="25" ht="20.05" customHeight="1">
      <c r="B25" s="13"/>
      <c r="C25" s="14">
        <v>4151.8</v>
      </c>
      <c r="D25" s="15">
        <v>211</v>
      </c>
      <c r="E25" s="15">
        <v>179.3</v>
      </c>
      <c r="F25" s="15">
        <v>342</v>
      </c>
      <c r="G25" s="15">
        <v>15612</v>
      </c>
      <c r="H25" s="15">
        <v>22488</v>
      </c>
      <c r="I25" s="15">
        <v>4175.3</v>
      </c>
      <c r="J25" s="15">
        <v>-433.2</v>
      </c>
      <c r="K25" s="15">
        <v>-430.6</v>
      </c>
      <c r="L25" s="15">
        <v>405.6</v>
      </c>
      <c r="M25" s="15">
        <v>0</v>
      </c>
      <c r="N25" s="15">
        <f>SUM(C22:C25)/4</f>
        <v>4286.1</v>
      </c>
      <c r="O25" s="15">
        <v>4124.5575</v>
      </c>
      <c r="P25" s="16">
        <f>C25/C24-1</f>
        <v>0.0780535936850852</v>
      </c>
      <c r="Q25" s="16">
        <f>(E25+D25)/C25</f>
        <v>0.0940074184690977</v>
      </c>
      <c r="R25" s="16">
        <f>AVERAGE(Q22:Q25)</f>
        <v>0.101777964301667</v>
      </c>
      <c r="S25" s="35"/>
      <c r="T25" s="25">
        <f>SUM(J22:K25)/4</f>
        <v>-383.1</v>
      </c>
      <c r="U25" s="25">
        <v>143.202850284440</v>
      </c>
      <c r="V25" s="15">
        <f>-(L25+M25)+V24</f>
        <v>-4110.447</v>
      </c>
      <c r="W25" s="15"/>
      <c r="X25" s="15">
        <f>F25-G25</f>
        <v>-15270</v>
      </c>
      <c r="Y25" s="15">
        <v>-13798.8182520249</v>
      </c>
      <c r="Z25" s="26">
        <v>790</v>
      </c>
      <c r="AA25" s="23">
        <v>709.922420288302</v>
      </c>
      <c r="AB25" s="15">
        <v>14.66</v>
      </c>
    </row>
    <row r="26" ht="20.05" customHeight="1">
      <c r="B26" s="13"/>
      <c r="C26" s="14">
        <v>3782.9</v>
      </c>
      <c r="D26" s="15">
        <v>200.5</v>
      </c>
      <c r="E26" s="15">
        <v>153.6</v>
      </c>
      <c r="F26" s="15">
        <v>513</v>
      </c>
      <c r="G26" s="15">
        <v>15089</v>
      </c>
      <c r="H26" s="15">
        <v>21861</v>
      </c>
      <c r="I26" s="15">
        <v>4090</v>
      </c>
      <c r="J26" s="15">
        <v>1730.2</v>
      </c>
      <c r="K26" s="15">
        <v>-253.8</v>
      </c>
      <c r="L26" s="15">
        <v>-992.4</v>
      </c>
      <c r="M26" s="15">
        <v>-263.8</v>
      </c>
      <c r="N26" s="15">
        <f>SUM(C23:C26)/4</f>
        <v>4166.375</v>
      </c>
      <c r="O26" s="15">
        <v>4358.9915</v>
      </c>
      <c r="P26" s="16">
        <f>C26/C25-1</f>
        <v>-0.0888530276024857</v>
      </c>
      <c r="Q26" s="16">
        <f>(E26+D26)/C26</f>
        <v>0.0936054349837426</v>
      </c>
      <c r="R26" s="16">
        <f>AVERAGE(Q23:Q26)</f>
        <v>0.0950512081665668</v>
      </c>
      <c r="S26" s="35">
        <f>S27</f>
        <v>0.0950512081665668</v>
      </c>
      <c r="T26" s="25">
        <f>SUM(J23:K26)/4</f>
        <v>59.875</v>
      </c>
      <c r="U26" s="25">
        <v>1.554522678995</v>
      </c>
      <c r="V26" s="15">
        <f>-(L26+M26)+V25</f>
        <v>-2854.247</v>
      </c>
      <c r="W26" s="15">
        <f>W27</f>
        <v>-2373.246838755540</v>
      </c>
      <c r="X26" s="15">
        <f>F26-G26</f>
        <v>-14576</v>
      </c>
      <c r="Y26" s="15">
        <v>-15172.581909284</v>
      </c>
      <c r="Z26" s="26">
        <v>740</v>
      </c>
      <c r="AA26" s="23">
        <v>589.185831375403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3935.2476157445</v>
      </c>
      <c r="P27" s="17"/>
      <c r="Q27" s="17"/>
      <c r="R27" s="17"/>
      <c r="S27" s="35">
        <f>AE53</f>
        <v>0.0950512081665668</v>
      </c>
      <c r="T27" s="25"/>
      <c r="U27" s="15">
        <f>SUM(AE55:AH55)/4</f>
        <v>120.250040311116</v>
      </c>
      <c r="V27" s="17"/>
      <c r="W27" s="15">
        <f>-SUM(AE76:AH76)+V26</f>
        <v>-2373.246838755540</v>
      </c>
      <c r="X27" s="26"/>
      <c r="Y27" s="15">
        <f>AH75</f>
        <v>-14094.9998387555</v>
      </c>
      <c r="Z27" s="15">
        <v>685</v>
      </c>
      <c r="AA27" s="23">
        <v>838.957680461656</v>
      </c>
      <c r="AB27" s="17"/>
    </row>
    <row r="28" ht="20.05" customHeight="1">
      <c r="B28" s="21">
        <v>2023</v>
      </c>
      <c r="C28" s="14"/>
      <c r="D28" s="15"/>
      <c r="E28" s="17"/>
      <c r="F28" s="15"/>
      <c r="G28" s="15"/>
      <c r="H28" s="15"/>
      <c r="I28" s="15"/>
      <c r="J28" s="16"/>
      <c r="K28" s="17"/>
      <c r="L28" s="15"/>
      <c r="M28" s="15">
        <f>SUM(M4:M26)</f>
        <v>-1258.7</v>
      </c>
      <c r="N28" s="15">
        <f>SUM(N16:N26)</f>
        <v>35985.475</v>
      </c>
      <c r="O28" s="15">
        <f>SUM(O16:O26)</f>
        <v>34777.4834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729.223146690250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>
        <f>AVERAGE(Z23:Z27)</f>
        <v>767</v>
      </c>
      <c r="AA42" s="15">
        <f>AVERAGE(AA23:AA27)</f>
        <v>709.796186187466</v>
      </c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-0.0191480478246771</v>
      </c>
      <c r="AF49" s="35"/>
      <c r="AG49" s="35"/>
      <c r="AH49" s="35">
        <f>AVERAGE(AE51:AH51)</f>
        <v>0.0175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0.144962222535079</v>
      </c>
      <c r="AF50" s="35">
        <f>P24</f>
        <v>-0.210754979916387</v>
      </c>
      <c r="AG50" s="35">
        <f>P25</f>
        <v>0.0780535936850852</v>
      </c>
      <c r="AH50" s="35">
        <f>P26</f>
        <v>-0.0888530276024857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0.03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3782.9</v>
      </c>
      <c r="AE52" s="23">
        <f>C26*(1+AE51)</f>
        <v>3896.387</v>
      </c>
      <c r="AF52" s="23">
        <f>AE52*(1+AF51)</f>
        <v>3857.42313</v>
      </c>
      <c r="AG52" s="23">
        <f>AF52*(1+AG51)</f>
        <v>3934.5715926</v>
      </c>
      <c r="AH52" s="23">
        <f>AG52*(1+AH51)</f>
        <v>4052.608740378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0.0950512081665668</v>
      </c>
      <c r="AF53" s="35">
        <f>AE53</f>
        <v>0.0950512081665668</v>
      </c>
      <c r="AG53" s="35">
        <f>AF53</f>
        <v>0.0950512081665668</v>
      </c>
      <c r="AH53" s="35">
        <f>AG53</f>
        <v>0.0950512081665668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-253.8</v>
      </c>
      <c r="AF54" s="15">
        <f>AE54</f>
        <v>-253.8</v>
      </c>
      <c r="AG54" s="15">
        <f>AF54</f>
        <v>-253.8</v>
      </c>
      <c r="AH54" s="15">
        <f>AG54</f>
        <v>-253.8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116.556291834505</v>
      </c>
      <c r="AF55" s="15">
        <f>(AF52*AF53)+AF54</f>
        <v>112.852728916160</v>
      </c>
      <c r="AG55" s="15">
        <f>(AG52*AG53)+AG54</f>
        <v>120.185783494483</v>
      </c>
      <c r="AH55" s="15">
        <f>(AH52*AH53)+AH54</f>
        <v>131.405356999317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-754.45</v>
      </c>
      <c r="AF56" s="15">
        <f>-AE71/20</f>
        <v>-716.7275</v>
      </c>
      <c r="AG56" s="15">
        <f>-AF71/20</f>
        <v>-680.891125</v>
      </c>
      <c r="AH56" s="15">
        <f>-AG71/20</f>
        <v>-646.84656875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-637.893708165495</v>
      </c>
      <c r="AF59" s="15">
        <f>AF55+AF56+AF58</f>
        <v>-603.874771083840</v>
      </c>
      <c r="AG59" s="15">
        <f>AG55+AG56+AG58</f>
        <v>-560.705341505517</v>
      </c>
      <c r="AH59" s="15">
        <f>AH55+AH56+AH58</f>
        <v>-515.441211750683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637.893708165495</v>
      </c>
      <c r="AF60" s="15">
        <f>-MIN(AE72,AF59)</f>
        <v>603.874771083840</v>
      </c>
      <c r="AG60" s="15">
        <f>-MIN(AF72,AG59)</f>
        <v>560.705341505517</v>
      </c>
      <c r="AH60" s="15">
        <f>-MIN(AG72,AH59)</f>
        <v>515.441211750683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513</v>
      </c>
      <c r="AF61" s="15">
        <f>AE63</f>
        <v>513</v>
      </c>
      <c r="AG61" s="15">
        <f>AF63</f>
        <v>513</v>
      </c>
      <c r="AH61" s="15">
        <f>AG63</f>
        <v>513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513</v>
      </c>
      <c r="AF63" s="15">
        <f>AF61+AF62</f>
        <v>513</v>
      </c>
      <c r="AG63" s="15">
        <f>AG61+AG62</f>
        <v>513</v>
      </c>
      <c r="AH63" s="15">
        <f>AH61+AH62</f>
        <v>513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-207.5</v>
      </c>
      <c r="AF65" s="15">
        <f>AE65</f>
        <v>-207.5</v>
      </c>
      <c r="AG65" s="15">
        <f>AF65</f>
        <v>-207.5</v>
      </c>
      <c r="AH65" s="15">
        <f>AG65</f>
        <v>-207.5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162.856291834505</v>
      </c>
      <c r="AF66" s="15">
        <f>(AF52*AF53)+AF65</f>
        <v>159.152728916160</v>
      </c>
      <c r="AG66" s="15">
        <f>(AG52*AG53)+AG65</f>
        <v>166.485783494483</v>
      </c>
      <c r="AH66" s="15">
        <f>(AH52*AH53)+AH65</f>
        <v>177.705356999317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21601.8</v>
      </c>
      <c r="AF68" s="15">
        <f>AE68-AF54</f>
        <v>21855.6</v>
      </c>
      <c r="AG68" s="15">
        <f>AF68-AG54</f>
        <v>22109.4</v>
      </c>
      <c r="AH68" s="15">
        <f>AG68-AH54</f>
        <v>22363.2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207.5</v>
      </c>
      <c r="AF69" s="15">
        <f>AE69-AF65</f>
        <v>415</v>
      </c>
      <c r="AG69" s="15">
        <f>AF69-AG65</f>
        <v>622.5</v>
      </c>
      <c r="AH69" s="15">
        <f>AG69-AH65</f>
        <v>830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21394.3</v>
      </c>
      <c r="AF70" s="15">
        <f>AF68-AF69</f>
        <v>21440.6</v>
      </c>
      <c r="AG70" s="15">
        <f>AG68-AG69</f>
        <v>21486.9</v>
      </c>
      <c r="AH70" s="15">
        <f>AH68-AH69</f>
        <v>21533.2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14334.55</v>
      </c>
      <c r="AF71" s="15">
        <f>AE71+AF56</f>
        <v>13617.8225</v>
      </c>
      <c r="AG71" s="15">
        <f>AF71+AG56</f>
        <v>12936.931375</v>
      </c>
      <c r="AH71" s="15">
        <f>AG71+AH56</f>
        <v>12290.08480625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637.893708165495</v>
      </c>
      <c r="AF72" s="15">
        <f>AE72+AF60</f>
        <v>1241.768479249340</v>
      </c>
      <c r="AG72" s="15">
        <f>AF72+AG60</f>
        <v>1802.473820754860</v>
      </c>
      <c r="AH72" s="15">
        <f>AG72+AH60</f>
        <v>2317.915032505540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6934.856291834510</v>
      </c>
      <c r="AF73" s="15">
        <f>AE73+AF66+AF58</f>
        <v>7094.009020750670</v>
      </c>
      <c r="AG73" s="15">
        <f>AF73+AG66+AG58</f>
        <v>7260.494804245150</v>
      </c>
      <c r="AH73" s="15">
        <f>AG73+AH66+AH58</f>
        <v>7438.200161244470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5e-12</v>
      </c>
      <c r="AF74" s="15">
        <f>AF71+AF72+AF73-AF63-AF70</f>
        <v>9.999999999999999e-12</v>
      </c>
      <c r="AG74" s="15">
        <f>AG71+AG72+AG73-AG63-AG70</f>
        <v>9.999999999999999e-12</v>
      </c>
      <c r="AH74" s="15">
        <f>AH71+AH72+AH73-AH63-AH70</f>
        <v>9.999999999999999e-12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-14459.4437081655</v>
      </c>
      <c r="AF75" s="15">
        <f>AF63-AF71-AF72</f>
        <v>-14346.5909792493</v>
      </c>
      <c r="AG75" s="15">
        <f>AG63-AG71-AG72</f>
        <v>-14226.4051957549</v>
      </c>
      <c r="AH75" s="15">
        <f>AH63-AH71-AH72</f>
        <v>-14094.9998387555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-116.556291834505</v>
      </c>
      <c r="AF76" s="15">
        <f>AF56+AF58+AF60</f>
        <v>-112.852728916160</v>
      </c>
      <c r="AG76" s="15">
        <f>AG56+AG58+AG60</f>
        <v>-120.185783494483</v>
      </c>
      <c r="AH76" s="15">
        <f>AH56+AH58+AH60</f>
        <v>-131.405356999317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773</v>
      </c>
      <c r="AD78" s="14"/>
      <c r="AE78" s="15"/>
      <c r="AF78" s="15"/>
      <c r="AG78" s="15"/>
      <c r="AH78" s="15">
        <v>685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773</v>
      </c>
      <c r="AD79" s="14"/>
      <c r="AE79" s="15"/>
      <c r="AF79" s="15"/>
      <c r="AG79" s="15"/>
      <c r="AH79" s="15">
        <v>3614642370560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3614.64237056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5.276850176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0.163957614943165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239.5</v>
      </c>
      <c r="AH84" s="15">
        <f>SUM(AE55:AH55)</f>
        <v>481.000161244465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44.7675525602494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7.51484648405946</v>
      </c>
      <c r="AH86" s="15">
        <v>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3848.001289955720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729.223146690250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0.0645593382339416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774</v>
      </c>
      <c r="AD90" s="38"/>
      <c r="AE90" s="23"/>
      <c r="AF90" s="23"/>
      <c r="AG90" s="23"/>
      <c r="AH90" s="16">
        <f>AA42/Z42-1</f>
        <v>-0.0745812435626258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56</v>
      </c>
      <c r="AD91" s="38"/>
      <c r="AE91" s="23"/>
      <c r="AF91" s="23"/>
      <c r="AG91" s="23"/>
      <c r="AH91" s="16">
        <f>C26/C22-1</f>
        <v>-0.112370359941809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57</v>
      </c>
      <c r="AD92" s="38"/>
      <c r="AE92" s="23"/>
      <c r="AF92" s="23"/>
      <c r="AG92" s="23"/>
      <c r="AH92" s="16">
        <f>O28/N28-1</f>
        <v>-0.0335688663273168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38"/>
      <c r="AE94" t="s" s="44">
        <f>$AC78</f>
        <v>773</v>
      </c>
      <c r="AF94" t="s" s="44">
        <f>AE116</f>
        <v>15</v>
      </c>
      <c r="AG94" t="s" s="44">
        <f>AF116</f>
        <v>59</v>
      </c>
      <c r="AH94" s="17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45"/>
      <c r="AE95" t="s" s="44">
        <v>60</v>
      </c>
      <c r="AF95" s="15">
        <f>AH78</f>
        <v>685</v>
      </c>
      <c r="AG95" t="s" s="44">
        <v>61</v>
      </c>
      <c r="AH95" s="15">
        <f>AH88</f>
        <v>729.223146690250</v>
      </c>
      <c r="AI95" t="s" s="44">
        <f>IF(AJ95&gt;0,"+","")</f>
        <v>361</v>
      </c>
      <c r="AJ95" s="16">
        <f>AH95/AF95-1</f>
        <v>0.0645593382339416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20.05" customHeight="1">
      <c r="AC96" s="36"/>
      <c r="AD96" s="46"/>
      <c r="AE96" s="47">
        <f>TODAY()</f>
        <v>44942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64</v>
      </c>
      <c r="AG98" t="s" s="44">
        <f>IF(AH98&gt;0,"+","")</f>
      </c>
      <c r="AH98" s="16">
        <f>AM105/AE105-1</f>
        <v>-0.112370359941809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65</v>
      </c>
      <c r="AG99" t="s" s="44">
        <f>IF(AH99&gt;0,"+","")</f>
        <v>361</v>
      </c>
      <c r="AH99" s="16">
        <f>(AG119+AG120+AI119+AI120+AK119+AK120+AM119+AM120)/AF136</f>
        <v>0.0662582837933412</v>
      </c>
      <c r="AI99" t="s" s="44"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68.05" customHeight="1">
      <c r="AC100" s="36"/>
      <c r="AD100" s="34"/>
      <c r="AE100" t="s" s="44">
        <v>63</v>
      </c>
      <c r="AF100" t="s" s="44">
        <v>67</v>
      </c>
      <c r="AG100" t="s" s="44">
        <f>IF(AH100&gt;0,"+","")</f>
        <v>361</v>
      </c>
      <c r="AH100" s="16">
        <f>(AG133+AG134+AI133+AI134+AK133+AK134+AM133+AM134)/AF136</f>
        <v>0.0629384532901258</v>
      </c>
      <c r="AI100" t="s" s="44">
        <f>AI99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68</v>
      </c>
      <c r="AF101" t="s" s="44">
        <v>369</v>
      </c>
      <c r="AG101" s="16">
        <f>AP129/AF136</f>
        <v>-4.032487451239</v>
      </c>
      <c r="AH101" t="s" s="44">
        <f>AI100</f>
        <v>66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t="s" s="44">
        <v>28</v>
      </c>
      <c r="AF102" t="s" s="44">
        <f>AF106</f>
        <v>370</v>
      </c>
      <c r="AG102" s="16">
        <f>AG106</f>
        <v>-0.0888530276024857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68.05" customHeight="1">
      <c r="AC103" s="36"/>
      <c r="AD103" s="34"/>
      <c r="AE103" t="s" s="44">
        <v>70</v>
      </c>
      <c r="AF103" t="s" s="44">
        <v>393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6">
        <f>P22</f>
        <v>0.276829049074241</v>
      </c>
      <c r="AF104" s="16">
        <f>P23</f>
        <v>0.144962222535079</v>
      </c>
      <c r="AG104" s="16">
        <f>P24</f>
        <v>-0.210754979916387</v>
      </c>
      <c r="AH104" s="16">
        <f>P25</f>
        <v>0.0780535936850852</v>
      </c>
      <c r="AI104" s="16">
        <f>P26</f>
        <v>-0.0888530276024857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32.05" customHeight="1">
      <c r="AC105" s="36"/>
      <c r="AD105" s="34"/>
      <c r="AE105" s="15">
        <f>C22</f>
        <v>4261.8</v>
      </c>
      <c r="AF105" t="s" s="44">
        <v>72</v>
      </c>
      <c r="AG105" s="15">
        <f>C23</f>
        <v>4879.6</v>
      </c>
      <c r="AH105" t="s" s="44">
        <v>72</v>
      </c>
      <c r="AI105" s="15">
        <f>C24</f>
        <v>3851.2</v>
      </c>
      <c r="AJ105" t="s" s="44">
        <v>72</v>
      </c>
      <c r="AK105" s="15">
        <f>C25</f>
        <v>4151.8</v>
      </c>
      <c r="AL105" t="s" s="44">
        <v>72</v>
      </c>
      <c r="AM105" s="15">
        <f>C26</f>
        <v>3782.9</v>
      </c>
      <c r="AN105" t="s" s="44">
        <v>372</v>
      </c>
      <c r="AO105" s="17"/>
      <c r="AP105" s="17"/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2</v>
      </c>
      <c r="AF106" t="s" s="44">
        <f>IF(AG106&lt;0,"declined","grew")</f>
        <v>370</v>
      </c>
      <c r="AG106" s="16">
        <f>AM105/AK105-1</f>
        <v>-0.0888530276024857</v>
      </c>
      <c r="AH106" t="s" s="44">
        <v>73</v>
      </c>
      <c r="AI106" t="s" s="44">
        <v>74</v>
      </c>
      <c r="AJ106" t="s" s="44">
        <v>75</v>
      </c>
      <c r="AK106" t="s" s="44">
        <v>76</v>
      </c>
      <c r="AL106" s="15">
        <f>AM105</f>
        <v>3782.9</v>
      </c>
      <c r="AM106" t="s" s="44">
        <f>AN105</f>
        <v>372</v>
      </c>
      <c r="AN106" t="s" s="44">
        <v>77</v>
      </c>
      <c r="AO106" t="s" s="44">
        <f>IF(AP106&gt;0,"+","")</f>
      </c>
      <c r="AP106" s="16">
        <f>AH92</f>
        <v>-0.0335688663273168</v>
      </c>
      <c r="AQ106" t="s" s="44">
        <v>78</v>
      </c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79</v>
      </c>
      <c r="AF107" s="16">
        <f>AVERAGE(AF104:AI104)</f>
        <v>-0.0191480478246771</v>
      </c>
      <c r="AG107" t="s" s="44">
        <v>80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81</v>
      </c>
      <c r="AF108" s="35">
        <f>AH49</f>
        <v>0.0175</v>
      </c>
      <c r="AG108" t="s" s="44">
        <v>82</v>
      </c>
      <c r="AH108" t="s" s="44">
        <v>83</v>
      </c>
      <c r="AI108" s="23">
        <f>AH52</f>
        <v>4052.608740378</v>
      </c>
      <c r="AJ108" t="s" s="44">
        <f>AN105</f>
        <v>372</v>
      </c>
      <c r="AK108" t="s" s="44">
        <v>84</v>
      </c>
      <c r="AL108" t="s" s="44">
        <f>AI106</f>
        <v>74</v>
      </c>
      <c r="AM108" t="s" s="44">
        <f>AJ106</f>
        <v>75</v>
      </c>
      <c r="AN108" t="s" s="44">
        <v>85</v>
      </c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t="s" s="44">
        <v>14</v>
      </c>
      <c r="AF109" t="s" s="44">
        <f>IF(AH113&lt;AF113,"down","up")</f>
        <v>87</v>
      </c>
      <c r="AG109" t="s" s="44">
        <v>86</v>
      </c>
      <c r="AH109" t="s" s="44">
        <f>IF(AL113&gt;AJ113,"up","down")</f>
        <v>87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44.05" customHeight="1">
      <c r="AC110" s="36"/>
      <c r="AD110" s="34"/>
      <c r="AE110" t="s" s="44">
        <f>AE103</f>
        <v>70</v>
      </c>
      <c r="AF110" t="s" s="44">
        <v>88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6">
        <f>(D22+E22)/C22</f>
        <v>0.120512459524145</v>
      </c>
      <c r="AF111" s="16">
        <f>(D23+E23)/C23</f>
        <v>0.0851709156488237</v>
      </c>
      <c r="AG111" s="16">
        <f>((E24+D24)/C24)</f>
        <v>0.107421063564603</v>
      </c>
      <c r="AH111" s="16">
        <f>(D25+E25)/C25</f>
        <v>0.0940074184690977</v>
      </c>
      <c r="AI111" s="16">
        <f>(D26+E26)/C26</f>
        <v>0.0936054349837426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32.05" customHeight="1">
      <c r="AC112" s="36"/>
      <c r="AD112" s="34"/>
      <c r="AE112" s="15">
        <f>E22</f>
        <v>171.8</v>
      </c>
      <c r="AF112" t="s" s="44">
        <v>72</v>
      </c>
      <c r="AG112" s="15">
        <f>E23</f>
        <v>238.5</v>
      </c>
      <c r="AH112" t="s" s="44">
        <v>72</v>
      </c>
      <c r="AI112" s="15">
        <f>E24</f>
        <v>202.7</v>
      </c>
      <c r="AJ112" t="s" s="44">
        <v>72</v>
      </c>
      <c r="AK112" s="15">
        <f>E25</f>
        <v>179.3</v>
      </c>
      <c r="AL112" t="s" s="44">
        <v>72</v>
      </c>
      <c r="AM112" s="15">
        <f>E26</f>
        <v>153.6</v>
      </c>
      <c r="AN112" t="s" s="44">
        <f>AN105</f>
        <v>372</v>
      </c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89</v>
      </c>
      <c r="AF113" s="16">
        <f>AH111</f>
        <v>0.0940074184690977</v>
      </c>
      <c r="AG113" t="s" s="44">
        <v>76</v>
      </c>
      <c r="AH113" s="16">
        <f>AI111</f>
        <v>0.0936054349837426</v>
      </c>
      <c r="AI113" t="s" s="44">
        <v>90</v>
      </c>
      <c r="AJ113" s="15">
        <f>AK112</f>
        <v>179.3</v>
      </c>
      <c r="AK113" t="s" s="44">
        <v>76</v>
      </c>
      <c r="AL113" s="15">
        <f>AM112</f>
        <v>153.6</v>
      </c>
      <c r="AM113" t="s" s="44">
        <f>AJ108</f>
        <v>372</v>
      </c>
      <c r="AN113" t="s" s="44">
        <v>73</v>
      </c>
      <c r="AO113" t="s" s="44">
        <f>AL108</f>
        <v>74</v>
      </c>
      <c r="AP113" t="s" s="44">
        <v>91</v>
      </c>
      <c r="AQ113" s="17"/>
      <c r="AR113" s="17"/>
      <c r="AS113" s="17"/>
      <c r="AT113" s="17"/>
      <c r="AU113" s="17"/>
      <c r="AV113" s="17"/>
    </row>
    <row r="114" ht="68.05" customHeight="1">
      <c r="AC114" s="36"/>
      <c r="AD114" s="34"/>
      <c r="AE114" t="s" s="44">
        <v>92</v>
      </c>
      <c r="AF114" s="16">
        <f>AVERAGE(AF111:AI111)</f>
        <v>0.0950512081665668</v>
      </c>
      <c r="AG114" t="s" s="44">
        <v>78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44.05" customHeight="1">
      <c r="AC115" s="36"/>
      <c r="AD115" s="34"/>
      <c r="AE115" t="s" s="44">
        <v>93</v>
      </c>
      <c r="AF115" s="35">
        <f>AE53</f>
        <v>0.0950512081665668</v>
      </c>
      <c r="AG115" t="s" s="44">
        <v>94</v>
      </c>
      <c r="AH115" s="15">
        <f>AH66</f>
        <v>177.705356999317</v>
      </c>
      <c r="AI115" t="s" s="44">
        <f>AM113</f>
        <v>372</v>
      </c>
      <c r="AJ115" t="s" s="44">
        <v>95</v>
      </c>
      <c r="AK115" t="s" s="44">
        <f>AO113</f>
        <v>74</v>
      </c>
      <c r="AL115" t="s" s="44">
        <f>AJ106</f>
        <v>75</v>
      </c>
      <c r="AM115" t="s" s="44">
        <f>AN108</f>
        <v>85</v>
      </c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t="s" s="44">
        <v>15</v>
      </c>
      <c r="AF116" t="s" s="44">
        <f>IF(AH121&lt;0,"negative","positive")</f>
        <v>59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7"/>
      <c r="AF117" s="15">
        <f>ABS(AF121)</f>
        <v>863.8</v>
      </c>
      <c r="AG117" s="15">
        <f>ABS(AH121)</f>
        <v>1476.4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AE110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66.40000000000001</v>
      </c>
      <c r="AF119" t="s" s="44">
        <v>72</v>
      </c>
      <c r="AG119" s="15">
        <f>J23</f>
        <v>701.8</v>
      </c>
      <c r="AH119" t="s" s="44">
        <v>72</v>
      </c>
      <c r="AI119" s="15">
        <f>J24</f>
        <v>-520.8</v>
      </c>
      <c r="AJ119" t="s" s="44">
        <v>72</v>
      </c>
      <c r="AK119" s="15">
        <f>J25</f>
        <v>-433.2</v>
      </c>
      <c r="AL119" t="s" s="44">
        <v>72</v>
      </c>
      <c r="AM119" s="15">
        <f>J26</f>
        <v>1730.2</v>
      </c>
      <c r="AN119" t="s" s="44">
        <f>AN105</f>
        <v>372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-361.9</v>
      </c>
      <c r="AF120" t="s" s="44">
        <v>72</v>
      </c>
      <c r="AG120" s="15">
        <f>K23</f>
        <v>-282.7</v>
      </c>
      <c r="AH120" t="s" s="44">
        <v>72</v>
      </c>
      <c r="AI120" s="15">
        <f>K24</f>
        <v>-271.4</v>
      </c>
      <c r="AJ120" t="s" s="44">
        <v>72</v>
      </c>
      <c r="AK120" s="15">
        <f>K25</f>
        <v>-430.6</v>
      </c>
      <c r="AL120" t="s" s="44">
        <v>72</v>
      </c>
      <c r="AM120" s="15">
        <f>K26</f>
        <v>-253.8</v>
      </c>
      <c r="AN120" t="s" s="44">
        <f>AN119</f>
        <v>372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-863.8</v>
      </c>
      <c r="AG121" t="s" s="44">
        <v>76</v>
      </c>
      <c r="AH121" s="15">
        <f>AM119+AM120</f>
        <v>1476.4</v>
      </c>
      <c r="AI121" t="s" s="44">
        <f>AI115</f>
        <v>372</v>
      </c>
      <c r="AJ121" t="s" s="44">
        <v>84</v>
      </c>
      <c r="AK121" t="s" s="44">
        <f>AK115</f>
        <v>74</v>
      </c>
      <c r="AL121" t="s" s="44">
        <v>98</v>
      </c>
      <c r="AM121" s="15">
        <f>AM120</f>
        <v>-253.8</v>
      </c>
      <c r="AN121" t="s" s="44">
        <f>AN105</f>
        <v>372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59.875</v>
      </c>
      <c r="AG122" t="s" s="44">
        <f>AN105</f>
        <v>372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-253.8</v>
      </c>
      <c r="AG123" t="s" s="44">
        <f>AG122</f>
        <v>372</v>
      </c>
      <c r="AH123" t="s" s="44">
        <v>102</v>
      </c>
      <c r="AI123" t="s" s="44">
        <v>103</v>
      </c>
      <c r="AJ123" t="s" s="44">
        <f>IF(AI108&gt;AL106,"higher","lower")</f>
        <v>363</v>
      </c>
      <c r="AK123" t="s" s="44">
        <v>105</v>
      </c>
      <c r="AL123" s="15">
        <f>SUM(AE55:AH55)/4</f>
        <v>120.250040311116</v>
      </c>
      <c r="AM123" t="s" s="44">
        <f>AG123</f>
        <v>372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108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AE103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479</v>
      </c>
      <c r="AF126" t="s" s="44">
        <v>72</v>
      </c>
      <c r="AG126" s="15">
        <f>F23</f>
        <v>690</v>
      </c>
      <c r="AH126" t="s" s="44">
        <v>72</v>
      </c>
      <c r="AI126" s="15">
        <f>F24</f>
        <v>730</v>
      </c>
      <c r="AJ126" t="s" s="44">
        <v>72</v>
      </c>
      <c r="AK126" s="15">
        <f>F25</f>
        <v>342</v>
      </c>
      <c r="AL126" t="s" s="44">
        <v>72</v>
      </c>
      <c r="AM126" s="15">
        <f>F26</f>
        <v>513</v>
      </c>
      <c r="AN126" t="s" s="44">
        <f>AN105</f>
        <v>372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14428</v>
      </c>
      <c r="AF127" t="s" s="44">
        <v>72</v>
      </c>
      <c r="AG127" s="15">
        <f>G23</f>
        <v>14592</v>
      </c>
      <c r="AH127" t="s" s="44">
        <v>72</v>
      </c>
      <c r="AI127" s="15">
        <f>G24</f>
        <v>15119</v>
      </c>
      <c r="AJ127" t="s" s="44">
        <v>72</v>
      </c>
      <c r="AK127" s="15">
        <f>G25</f>
        <v>15612</v>
      </c>
      <c r="AL127" t="s" s="44">
        <v>72</v>
      </c>
      <c r="AM127" s="15">
        <f>G26</f>
        <v>15089</v>
      </c>
      <c r="AN127" t="s" s="44">
        <f>AN126</f>
        <v>372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342</v>
      </c>
      <c r="AH128" t="s" s="44">
        <v>76</v>
      </c>
      <c r="AI128" s="15">
        <f>AM126</f>
        <v>513</v>
      </c>
      <c r="AJ128" t="s" s="44">
        <f>AM123</f>
        <v>372</v>
      </c>
      <c r="AK128" t="s" s="44">
        <v>84</v>
      </c>
      <c r="AL128" t="s" s="44">
        <f>AI106</f>
        <v>74</v>
      </c>
      <c r="AM128" t="s" s="44">
        <f>AP113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370</v>
      </c>
      <c r="AG129" s="15">
        <f>AK127</f>
        <v>15612</v>
      </c>
      <c r="AH129" t="s" s="44">
        <v>76</v>
      </c>
      <c r="AI129" s="15">
        <f>AM127</f>
        <v>15089</v>
      </c>
      <c r="AJ129" t="s" s="44">
        <f>AJ128</f>
        <v>372</v>
      </c>
      <c r="AK129" t="s" s="44">
        <v>113</v>
      </c>
      <c r="AL129" t="s" s="44">
        <v>114</v>
      </c>
      <c r="AM129" t="s" s="44">
        <f>IF(AP129&lt;AN129,"down","up")</f>
        <v>108</v>
      </c>
      <c r="AN129" s="15">
        <f>AG128-AG129</f>
        <v>-15270</v>
      </c>
      <c r="AO129" t="s" s="44">
        <v>76</v>
      </c>
      <c r="AP129" s="15">
        <f>AI128-AI129</f>
        <v>-14576</v>
      </c>
      <c r="AQ129" t="s" s="44">
        <f>AJ129</f>
        <v>372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0</v>
      </c>
      <c r="AG130" t="s" s="44">
        <f>AJ129</f>
        <v>372</v>
      </c>
      <c r="AH130" t="s" s="44">
        <v>117</v>
      </c>
      <c r="AI130" t="s" s="44">
        <f>IF(AJ130&gt;0,"+","")</f>
      </c>
      <c r="AJ130" s="15">
        <f>AE56+AF56+AG56+AH56+AE60+AF60+AG60+AH60</f>
        <v>-481.000161244465</v>
      </c>
      <c r="AK130" t="s" s="44">
        <f>AQ129</f>
        <v>372</v>
      </c>
      <c r="AL130" t="s" s="44">
        <v>118</v>
      </c>
      <c r="AM130" t="s" s="44">
        <v>119</v>
      </c>
      <c r="AN130" s="15">
        <f>AH75</f>
        <v>-14094.9998387555</v>
      </c>
      <c r="AO130" t="s" s="44">
        <f>AJ129</f>
        <v>372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374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AE103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-548.88</v>
      </c>
      <c r="AF133" t="s" s="44">
        <v>72</v>
      </c>
      <c r="AG133" s="15">
        <f>-L23</f>
        <v>206.32</v>
      </c>
      <c r="AH133" t="s" s="44">
        <v>72</v>
      </c>
      <c r="AI133" s="15">
        <f>-L24</f>
        <v>-829.4</v>
      </c>
      <c r="AJ133" t="s" s="44">
        <v>72</v>
      </c>
      <c r="AK133" s="15">
        <f>-L25</f>
        <v>-405.6</v>
      </c>
      <c r="AL133" t="s" s="44">
        <v>72</v>
      </c>
      <c r="AM133" s="15">
        <f>-L26</f>
        <v>992.4</v>
      </c>
      <c r="AN133" t="s" s="44">
        <f>AN105</f>
        <v>372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131.92</v>
      </c>
      <c r="AF134" t="s" s="44">
        <v>72</v>
      </c>
      <c r="AG134" s="15">
        <f>-M23</f>
        <v>-0.02</v>
      </c>
      <c r="AH134" t="s" s="44">
        <v>72</v>
      </c>
      <c r="AI134" s="15">
        <f>-M24</f>
        <v>0</v>
      </c>
      <c r="AJ134" t="s" s="44">
        <v>72</v>
      </c>
      <c r="AK134" s="15">
        <f>-M25</f>
        <v>0</v>
      </c>
      <c r="AL134" t="s" s="44">
        <v>72</v>
      </c>
      <c r="AM134" s="15">
        <f>-M26</f>
        <v>263.8</v>
      </c>
      <c r="AN134" t="s" s="44">
        <f>AN133</f>
        <v>372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AE94</f>
        <v>773</v>
      </c>
      <c r="AF135" t="s" s="44">
        <f>IF(AG135&gt;0,"paid","(raised)")</f>
        <v>374</v>
      </c>
      <c r="AG135" s="15">
        <f>SUM(AM133:AM134)</f>
        <v>1256.2</v>
      </c>
      <c r="AH135" t="s" s="44">
        <f>AN105</f>
        <v>372</v>
      </c>
      <c r="AI135" t="s" s="44">
        <f>AH106</f>
        <v>73</v>
      </c>
      <c r="AJ135" t="s" s="44">
        <f>AI106</f>
        <v>74</v>
      </c>
      <c r="AK135" t="s" s="44">
        <f>AJ106</f>
        <v>75</v>
      </c>
      <c r="AL135" s="15">
        <f>AM133</f>
        <v>992.4</v>
      </c>
      <c r="AM135" t="s" s="44">
        <f>AN105</f>
        <v>372</v>
      </c>
      <c r="AN135" t="s" s="44">
        <v>123</v>
      </c>
      <c r="AO135" s="15">
        <f>AM134</f>
        <v>263.8</v>
      </c>
      <c r="AP135" t="s" s="44">
        <f>AN105</f>
        <v>372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481.000161244465</v>
      </c>
      <c r="AU135" t="s" s="44">
        <f>AN105</f>
        <v>372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3614.64237056</v>
      </c>
      <c r="AG136" t="s" s="44">
        <f>AN105</f>
        <v>372</v>
      </c>
      <c r="AH136" t="s" s="44">
        <v>128</v>
      </c>
      <c r="AI136" t="s" s="44">
        <v>129</v>
      </c>
      <c r="AJ136" s="43">
        <f>AH82</f>
        <v>0.163957614943165</v>
      </c>
      <c r="AK136" t="s" s="44">
        <v>130</v>
      </c>
      <c r="AL136" t="s" s="44">
        <v>131</v>
      </c>
      <c r="AM136" t="s" s="44">
        <v>132</v>
      </c>
      <c r="AN136" s="15">
        <f>AH85</f>
        <v>44.7675525602494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481.000161244465</v>
      </c>
      <c r="AG137" t="s" s="44">
        <f>AG136</f>
        <v>372</v>
      </c>
      <c r="AH137" t="s" s="44">
        <v>136</v>
      </c>
      <c r="AI137" s="15">
        <f>AF136/AF137</f>
        <v>7.51484648405946</v>
      </c>
      <c r="AJ137" t="s" s="44">
        <v>130</v>
      </c>
      <c r="AK137" t="s" s="44">
        <v>137</v>
      </c>
      <c r="AL137" t="s" s="44">
        <v>138</v>
      </c>
      <c r="AM137" s="15">
        <f>AH86</f>
        <v>8</v>
      </c>
      <c r="AN137" t="s" s="44">
        <v>139</v>
      </c>
      <c r="AO137" t="s" s="44">
        <v>140</v>
      </c>
      <c r="AP137" t="s" s="44">
        <v>141</v>
      </c>
      <c r="AQ137" s="16">
        <f>AJ95</f>
        <v>0.0645593382339416</v>
      </c>
      <c r="AR137" t="s" s="44">
        <f>IF(AQ137&gt;0,"higher","lower")</f>
        <v>363</v>
      </c>
      <c r="AS137" t="s" s="44">
        <v>142</v>
      </c>
      <c r="AT137" s="15">
        <f>AH95</f>
        <v>729.223146690250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8"/>
      <c r="AE139" t="s" s="44">
        <f>AE94</f>
        <v>773</v>
      </c>
      <c r="AF139" t="s" s="44">
        <f>AE161</f>
        <v>428</v>
      </c>
      <c r="AG139" t="s" s="44">
        <f>AF161</f>
        <v>429</v>
      </c>
      <c r="AH139" t="s" s="44">
        <f>AG161</f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32.05" customHeight="1">
      <c r="AC140" s="36"/>
      <c r="AD140" s="38"/>
      <c r="AE140" t="s" s="44">
        <v>396</v>
      </c>
      <c r="AF140" s="15">
        <f>AF95</f>
        <v>685</v>
      </c>
      <c r="AG140" t="s" s="44">
        <f>AG95</f>
        <v>61</v>
      </c>
      <c r="AH140" s="15">
        <f>AH95</f>
        <v>729.223146690250</v>
      </c>
      <c r="AI140" t="s" s="44">
        <f>AI95</f>
        <v>361</v>
      </c>
      <c r="AJ140" s="16">
        <f>AJ95</f>
        <v>0.0645593382339416</v>
      </c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8"/>
      <c r="AE141" s="47">
        <f>AE96</f>
        <v>44942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8"/>
      <c r="AE142" t="s" s="44">
        <v>397</v>
      </c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398</v>
      </c>
      <c r="AF143" t="s" s="44">
        <v>399</v>
      </c>
      <c r="AG143" t="s" s="44">
        <f>AG98</f>
      </c>
      <c r="AH143" s="16">
        <f>AH98</f>
        <v>-0.112370359941809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400</v>
      </c>
      <c r="AF144" t="s" s="44">
        <f>AF143</f>
        <v>399</v>
      </c>
      <c r="AG144" t="s" s="44">
        <f>IF(AH144&gt;0,"+","")</f>
        <v>361</v>
      </c>
      <c r="AH144" s="16">
        <f>AH99</f>
        <v>0.0662582837933412</v>
      </c>
      <c r="AI144" t="s" s="44"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44.05" customHeight="1">
      <c r="AC145" s="36"/>
      <c r="AD145" s="34"/>
      <c r="AE145" t="s" s="44">
        <v>402</v>
      </c>
      <c r="AF145" t="s" s="44">
        <f>AF144</f>
        <v>399</v>
      </c>
      <c r="AG145" t="s" s="44">
        <f>IF(AH145&gt;0,"+","")</f>
        <v>361</v>
      </c>
      <c r="AH145" s="16">
        <f>AH100</f>
        <v>0.0629384532901258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68.05" customHeight="1">
      <c r="AC146" s="36"/>
      <c r="AD146" s="38"/>
      <c r="AE146" t="s" s="44">
        <v>403</v>
      </c>
      <c r="AF146" t="s" s="44">
        <v>404</v>
      </c>
      <c r="AG146" t="s" s="44">
        <f>IF(AH146&gt;0,"+","")</f>
      </c>
      <c r="AH146" s="16">
        <f>AG101</f>
        <v>-4.032487451239</v>
      </c>
      <c r="AI146" t="s" s="44">
        <f>AI145</f>
        <v>401</v>
      </c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8"/>
      <c r="AE147" t="s" s="44">
        <v>394</v>
      </c>
      <c r="AF147" t="s" s="44">
        <f>AF151</f>
        <v>419</v>
      </c>
      <c r="AG147" s="16">
        <f>AG102</f>
        <v>-0.0888530276024857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80.05" customHeight="1">
      <c r="AC148" s="36"/>
      <c r="AD148" s="34"/>
      <c r="AE148" t="s" s="44">
        <v>405</v>
      </c>
      <c r="AF148" t="s" s="44">
        <v>406</v>
      </c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8"/>
      <c r="AE149" s="16">
        <f>AE104</f>
        <v>0.276829049074241</v>
      </c>
      <c r="AF149" s="16">
        <f>AF104</f>
        <v>0.144962222535079</v>
      </c>
      <c r="AG149" s="16">
        <f>AG104</f>
        <v>-0.210754979916387</v>
      </c>
      <c r="AH149" s="16">
        <f>AH104</f>
        <v>0.0780535936850852</v>
      </c>
      <c r="AI149" s="16">
        <f>AI104</f>
        <v>-0.0888530276024857</v>
      </c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32.05" customHeight="1">
      <c r="AC150" s="36"/>
      <c r="AD150" s="38"/>
      <c r="AE150" s="15">
        <f>AE105</f>
        <v>4261.8</v>
      </c>
      <c r="AF150" t="s" s="44">
        <f>AF105</f>
        <v>72</v>
      </c>
      <c r="AG150" s="15">
        <f>AG105</f>
        <v>4879.6</v>
      </c>
      <c r="AH150" t="s" s="44">
        <f>AH105</f>
        <v>72</v>
      </c>
      <c r="AI150" s="15">
        <f>AI105</f>
        <v>3851.2</v>
      </c>
      <c r="AJ150" t="s" s="44">
        <f>AJ105</f>
        <v>72</v>
      </c>
      <c r="AK150" s="15">
        <f>AK105</f>
        <v>4151.8</v>
      </c>
      <c r="AL150" t="s" s="44">
        <f>AL105</f>
        <v>72</v>
      </c>
      <c r="AM150" s="15">
        <f>AM105</f>
        <v>3782.9</v>
      </c>
      <c r="AN150" t="s" s="44">
        <v>407</v>
      </c>
      <c r="AO150" s="17"/>
      <c r="AP150" s="17"/>
      <c r="AQ150" s="17"/>
      <c r="AR150" s="17"/>
      <c r="AS150" s="17"/>
      <c r="AT150" s="17"/>
      <c r="AU150" s="17"/>
      <c r="AV150" s="17"/>
    </row>
    <row r="151" ht="104.05" customHeight="1">
      <c r="AC151" s="36"/>
      <c r="AD151" s="38"/>
      <c r="AE151" t="s" s="44">
        <v>394</v>
      </c>
      <c r="AF151" t="s" s="44">
        <f>IF(AG151&lt;0,"turun","tumbuh")</f>
        <v>419</v>
      </c>
      <c r="AG151" s="16">
        <f>AG106</f>
        <v>-0.0888530276024857</v>
      </c>
      <c r="AH151" t="s" s="44">
        <v>408</v>
      </c>
      <c r="AI151" t="s" s="44">
        <v>409</v>
      </c>
      <c r="AJ151" t="s" s="44">
        <v>410</v>
      </c>
      <c r="AK151" s="15">
        <f>AL106</f>
        <v>3782.9</v>
      </c>
      <c r="AL151" t="s" s="44">
        <f>AN150</f>
        <v>407</v>
      </c>
      <c r="AM151" t="s" s="44">
        <v>411</v>
      </c>
      <c r="AN151" t="s" s="44">
        <f>AO106</f>
      </c>
      <c r="AO151" s="16">
        <f>AP106</f>
        <v>-0.0335688663273168</v>
      </c>
      <c r="AP151" s="17"/>
      <c r="AQ151" s="44"/>
      <c r="AR151" s="17"/>
      <c r="AS151" s="17"/>
      <c r="AT151" s="17"/>
      <c r="AU151" s="17"/>
      <c r="AV151" s="17"/>
    </row>
    <row r="152" ht="92.05" customHeight="1">
      <c r="AC152" s="36"/>
      <c r="AD152" s="38"/>
      <c r="AE152" t="s" s="44">
        <v>412</v>
      </c>
      <c r="AF152" s="16">
        <f>AF107</f>
        <v>-0.0191480478246771</v>
      </c>
      <c r="AG152" t="s" s="44">
        <v>413</v>
      </c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80.05" customHeight="1">
      <c r="AC153" s="36"/>
      <c r="AD153" s="38"/>
      <c r="AE153" t="s" s="44">
        <v>414</v>
      </c>
      <c r="AF153" s="35">
        <f>AF108</f>
        <v>0.0175</v>
      </c>
      <c r="AG153" t="s" s="44">
        <v>415</v>
      </c>
      <c r="AH153" t="s" s="44">
        <v>416</v>
      </c>
      <c r="AI153" s="23">
        <f>AI108</f>
        <v>4052.608740378</v>
      </c>
      <c r="AJ153" t="s" s="44">
        <f>AN150</f>
        <v>407</v>
      </c>
      <c r="AK153" t="s" s="44">
        <f>AH151</f>
        <v>408</v>
      </c>
      <c r="AL153" t="s" s="44">
        <f>AI151</f>
        <v>409</v>
      </c>
      <c r="AM153" t="s" s="44">
        <f>AN108</f>
        <v>85</v>
      </c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32.05" customHeight="1">
      <c r="AC154" s="36"/>
      <c r="AD154" s="38"/>
      <c r="AE154" t="s" s="44">
        <v>417</v>
      </c>
      <c r="AF154" t="s" s="44">
        <f>IF(AI156&lt;AH156,"turun","tumbuh")</f>
        <v>419</v>
      </c>
      <c r="AG154" t="s" s="44">
        <v>418</v>
      </c>
      <c r="AH154" t="s" s="44">
        <f>IF(AK157&lt;AI157,"turun","tumbuh")</f>
        <v>419</v>
      </c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44.05" customHeight="1">
      <c r="AC155" s="36"/>
      <c r="AD155" s="38"/>
      <c r="AE155" t="s" s="44">
        <v>420</v>
      </c>
      <c r="AF155" t="s" s="44">
        <f>AF148</f>
        <v>406</v>
      </c>
      <c r="AG155" s="44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20.05" customHeight="1">
      <c r="AC156" s="36"/>
      <c r="AD156" s="38"/>
      <c r="AE156" s="16">
        <f>AE111</f>
        <v>0.120512459524145</v>
      </c>
      <c r="AF156" s="16">
        <f>AF111</f>
        <v>0.0851709156488237</v>
      </c>
      <c r="AG156" s="16">
        <f>AG111</f>
        <v>0.107421063564603</v>
      </c>
      <c r="AH156" s="16">
        <f>AH111</f>
        <v>0.0940074184690977</v>
      </c>
      <c r="AI156" s="16">
        <f>AI111</f>
        <v>0.0936054349837426</v>
      </c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  <c r="AV156" s="17"/>
    </row>
    <row r="157" ht="32.05" customHeight="1">
      <c r="AC157" s="36"/>
      <c r="AD157" s="38"/>
      <c r="AE157" s="15">
        <f>AE112</f>
        <v>171.8</v>
      </c>
      <c r="AF157" t="s" s="44">
        <f>AF112</f>
        <v>72</v>
      </c>
      <c r="AG157" s="15">
        <f>AG112</f>
        <v>238.5</v>
      </c>
      <c r="AH157" t="s" s="44">
        <f>AH112</f>
        <v>72</v>
      </c>
      <c r="AI157" s="15">
        <f>AI112</f>
        <v>202.7</v>
      </c>
      <c r="AJ157" t="s" s="44">
        <f>AJ112</f>
        <v>72</v>
      </c>
      <c r="AK157" s="15">
        <f>AK112</f>
        <v>179.3</v>
      </c>
      <c r="AL157" t="s" s="44">
        <f>AL112</f>
        <v>72</v>
      </c>
      <c r="AM157" s="15">
        <f>AM112</f>
        <v>153.6</v>
      </c>
      <c r="AN157" t="s" s="44">
        <f>AN150</f>
        <v>407</v>
      </c>
      <c r="AO157" s="17"/>
      <c r="AP157" s="17"/>
      <c r="AQ157" s="17"/>
      <c r="AR157" s="17"/>
      <c r="AS157" s="17"/>
      <c r="AT157" s="17"/>
      <c r="AU157" s="17"/>
      <c r="AV157" s="17"/>
    </row>
    <row r="158" ht="92" customHeight="1">
      <c r="AC158" s="36"/>
      <c r="AD158" s="38"/>
      <c r="AE158" t="s" s="85">
        <v>421</v>
      </c>
      <c r="AF158" s="16">
        <f>AF113</f>
        <v>0.0940074184690977</v>
      </c>
      <c r="AG158" t="s" s="85">
        <v>422</v>
      </c>
      <c r="AH158" s="16">
        <f>AH113</f>
        <v>0.0936054349837426</v>
      </c>
      <c r="AI158" t="s" s="85">
        <v>423</v>
      </c>
      <c r="AJ158" s="15">
        <f>AJ113</f>
        <v>179.3</v>
      </c>
      <c r="AK158" t="s" s="44">
        <v>410</v>
      </c>
      <c r="AL158" s="15">
        <f>AL113</f>
        <v>153.6</v>
      </c>
      <c r="AM158" t="s" s="44">
        <f>AN150</f>
        <v>407</v>
      </c>
      <c r="AN158" t="s" s="44">
        <f>AH151</f>
        <v>408</v>
      </c>
      <c r="AO158" t="s" s="44">
        <f>AI151</f>
        <v>409</v>
      </c>
      <c r="AP158" t="s" s="44">
        <v>413</v>
      </c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424</v>
      </c>
      <c r="AF159" s="16">
        <f>AF114</f>
        <v>0.0950512081665668</v>
      </c>
      <c r="AG159" t="s" s="44">
        <v>425</v>
      </c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68" customHeight="1">
      <c r="AC160" s="36"/>
      <c r="AD160" s="38"/>
      <c r="AE160" t="s" s="85">
        <v>426</v>
      </c>
      <c r="AF160" s="35">
        <f>AF115</f>
        <v>0.0950512081665668</v>
      </c>
      <c r="AG160" t="s" s="85">
        <v>427</v>
      </c>
      <c r="AH160" s="15">
        <f>AH115</f>
        <v>177.705356999317</v>
      </c>
      <c r="AI160" t="s" s="44">
        <f>AN150</f>
        <v>407</v>
      </c>
      <c r="AJ160" t="s" s="44">
        <f>AK153</f>
        <v>408</v>
      </c>
      <c r="AK160" t="s" s="44">
        <f>AL153</f>
        <v>409</v>
      </c>
      <c r="AL160" t="s" s="44">
        <f>AM153</f>
        <v>85</v>
      </c>
      <c r="AM160" s="44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20.05" customHeight="1">
      <c r="AC161" s="36"/>
      <c r="AD161" s="38"/>
      <c r="AE161" t="s" s="44">
        <v>428</v>
      </c>
      <c r="AF161" t="s" s="44">
        <f>IF(AH166&lt;0,"negatif","positif")</f>
        <v>429</v>
      </c>
      <c r="AG161" s="44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8.35" customHeight="1" hidden="1">
      <c r="AC162" s="36"/>
      <c r="AD162" s="38"/>
      <c r="AE162" s="17"/>
      <c r="AF162" s="15">
        <f>ABS(AF166)</f>
        <v>863.8</v>
      </c>
      <c r="AG162" s="15">
        <f>ABS(AH166)</f>
        <v>1476.4</v>
      </c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68.05" customHeight="1">
      <c r="AC163" s="36"/>
      <c r="AD163" s="38"/>
      <c r="AE163" t="s" s="44">
        <v>430</v>
      </c>
      <c r="AF163" t="s" s="44">
        <f>AF148</f>
        <v>406</v>
      </c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66.40000000000001</v>
      </c>
      <c r="AF164" t="s" s="44">
        <f>AF119</f>
        <v>72</v>
      </c>
      <c r="AG164" s="15">
        <f>AG119</f>
        <v>701.8</v>
      </c>
      <c r="AH164" t="s" s="44">
        <f>AH119</f>
        <v>72</v>
      </c>
      <c r="AI164" s="15">
        <f>AI119</f>
        <v>-520.8</v>
      </c>
      <c r="AJ164" t="s" s="44">
        <f>AJ119</f>
        <v>72</v>
      </c>
      <c r="AK164" s="15">
        <f>AK119</f>
        <v>-433.2</v>
      </c>
      <c r="AL164" t="s" s="44">
        <f>AL119</f>
        <v>72</v>
      </c>
      <c r="AM164" s="15">
        <f>AM119</f>
        <v>1730.2</v>
      </c>
      <c r="AN164" t="s" s="44">
        <f>AI160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32.05" customHeight="1">
      <c r="AC165" s="36"/>
      <c r="AD165" s="38"/>
      <c r="AE165" s="15">
        <f>AE120</f>
        <v>-361.9</v>
      </c>
      <c r="AF165" t="s" s="44">
        <f>AF120</f>
        <v>72</v>
      </c>
      <c r="AG165" s="15">
        <f>AG120</f>
        <v>-282.7</v>
      </c>
      <c r="AH165" t="s" s="44">
        <f>AH120</f>
        <v>72</v>
      </c>
      <c r="AI165" s="15">
        <f>AI120</f>
        <v>-271.4</v>
      </c>
      <c r="AJ165" t="s" s="44">
        <f>AJ120</f>
        <v>72</v>
      </c>
      <c r="AK165" s="15">
        <f>AK120</f>
        <v>-430.6</v>
      </c>
      <c r="AL165" t="s" s="44">
        <f>AL120</f>
        <v>72</v>
      </c>
      <c r="AM165" s="15">
        <f>AM120</f>
        <v>-253.8</v>
      </c>
      <c r="AN165" t="s" s="44">
        <f>AN150</f>
        <v>407</v>
      </c>
      <c r="AO165" s="17"/>
      <c r="AP165" s="17"/>
      <c r="AQ165" s="17"/>
      <c r="AR165" s="17"/>
      <c r="AS165" s="17"/>
      <c r="AT165" s="17"/>
      <c r="AU165" s="17"/>
      <c r="AV165" s="17"/>
    </row>
    <row r="166" ht="80.05" customHeight="1">
      <c r="AC166" s="36"/>
      <c r="AD166" s="38"/>
      <c r="AE166" t="s" s="44">
        <v>431</v>
      </c>
      <c r="AF166" s="15">
        <f>AF121</f>
        <v>-863.8</v>
      </c>
      <c r="AG166" t="s" s="44">
        <v>410</v>
      </c>
      <c r="AH166" s="15">
        <f>AH121</f>
        <v>1476.4</v>
      </c>
      <c r="AI166" t="s" s="44">
        <f>AN150</f>
        <v>407</v>
      </c>
      <c r="AJ166" t="s" s="44">
        <f>AH151</f>
        <v>408</v>
      </c>
      <c r="AK166" t="s" s="44">
        <f>AI151</f>
        <v>409</v>
      </c>
      <c r="AL166" t="s" s="44">
        <v>432</v>
      </c>
      <c r="AM166" s="15">
        <f>AM120</f>
        <v>-253.8</v>
      </c>
      <c r="AN166" t="s" s="44">
        <f>AN150</f>
        <v>407</v>
      </c>
      <c r="AO166" s="17"/>
      <c r="AP166" s="17"/>
      <c r="AQ166" s="44"/>
      <c r="AR166" s="17"/>
      <c r="AS166" s="17"/>
      <c r="AT166" s="17"/>
      <c r="AU166" s="17"/>
      <c r="AV166" s="17"/>
    </row>
    <row r="167" ht="68" customHeight="1">
      <c r="AC167" s="36"/>
      <c r="AD167" s="38"/>
      <c r="AE167" t="s" s="85">
        <v>433</v>
      </c>
      <c r="AF167" s="15">
        <f>AF122</f>
        <v>59.875</v>
      </c>
      <c r="AG167" t="s" s="44">
        <f>AN150</f>
        <v>407</v>
      </c>
      <c r="AH167" t="s" s="44">
        <v>425</v>
      </c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140" customHeight="1">
      <c r="AC168" s="36"/>
      <c r="AD168" s="38"/>
      <c r="AE168" t="s" s="85">
        <v>434</v>
      </c>
      <c r="AF168" s="15">
        <f>AF123</f>
        <v>-253.8</v>
      </c>
      <c r="AG168" t="s" s="44">
        <f>AN150</f>
        <v>407</v>
      </c>
      <c r="AH168" t="s" s="85">
        <v>435</v>
      </c>
      <c r="AI168" s="15">
        <f>AL123</f>
        <v>120.250040311116</v>
      </c>
      <c r="AJ168" t="s" s="44">
        <f>AN150</f>
        <v>407</v>
      </c>
      <c r="AK168" t="s" s="44">
        <v>115</v>
      </c>
      <c r="AL168" s="44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436</v>
      </c>
      <c r="AF169" t="s" s="44">
        <f>IF(AF124="down","turun","naik")</f>
        <v>437</v>
      </c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t="s" s="44">
        <v>438</v>
      </c>
      <c r="AF170" t="s" s="44">
        <v>406</v>
      </c>
      <c r="AG170" s="44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479</v>
      </c>
      <c r="AF171" t="s" s="44">
        <f>AF126</f>
        <v>72</v>
      </c>
      <c r="AG171" s="15">
        <f>AG126</f>
        <v>690</v>
      </c>
      <c r="AH171" t="s" s="44">
        <f>AH126</f>
        <v>72</v>
      </c>
      <c r="AI171" s="15">
        <f>AI126</f>
        <v>730</v>
      </c>
      <c r="AJ171" t="s" s="44">
        <f>AJ126</f>
        <v>72</v>
      </c>
      <c r="AK171" s="15">
        <f>AK126</f>
        <v>342</v>
      </c>
      <c r="AL171" t="s" s="44">
        <f>AL126</f>
        <v>72</v>
      </c>
      <c r="AM171" s="15">
        <f>AM126</f>
        <v>513</v>
      </c>
      <c r="AN171" t="s" s="44">
        <f>AG168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s="15">
        <f>AE127</f>
        <v>14428</v>
      </c>
      <c r="AF172" t="s" s="44">
        <f>AF127</f>
        <v>72</v>
      </c>
      <c r="AG172" s="15">
        <f>AG127</f>
        <v>14592</v>
      </c>
      <c r="AH172" t="s" s="44">
        <f>AH127</f>
        <v>72</v>
      </c>
      <c r="AI172" s="15">
        <f>AI127</f>
        <v>15119</v>
      </c>
      <c r="AJ172" t="s" s="44">
        <f>AJ127</f>
        <v>72</v>
      </c>
      <c r="AK172" s="15">
        <f>AK127</f>
        <v>15612</v>
      </c>
      <c r="AL172" t="s" s="44">
        <f>AL127</f>
        <v>72</v>
      </c>
      <c r="AM172" s="15">
        <f>AM127</f>
        <v>15089</v>
      </c>
      <c r="AN172" t="s" s="44">
        <f>AG168</f>
        <v>407</v>
      </c>
      <c r="AO172" t="s" s="44">
        <v>115</v>
      </c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439</v>
      </c>
      <c r="AF173" t="s" s="44">
        <f>IF(AG173&gt;AI173,"turun dari","naik dari")</f>
        <v>440</v>
      </c>
      <c r="AG173" s="15">
        <f>AG128</f>
        <v>342</v>
      </c>
      <c r="AH173" t="s" s="44">
        <f>AG166</f>
        <v>410</v>
      </c>
      <c r="AI173" s="15">
        <f>AI128</f>
        <v>513</v>
      </c>
      <c r="AJ173" t="s" s="44">
        <f>AN150</f>
        <v>407</v>
      </c>
      <c r="AK173" t="s" s="44">
        <f>AJ166</f>
        <v>408</v>
      </c>
      <c r="AL173" t="s" s="44">
        <f>AK166</f>
        <v>409</v>
      </c>
      <c r="AM173" t="s" s="44">
        <v>413</v>
      </c>
      <c r="AN173" s="17"/>
      <c r="AO173" s="17"/>
      <c r="AP173" s="17"/>
      <c r="AQ173" s="17"/>
      <c r="AR173" s="17"/>
      <c r="AS173" s="17"/>
      <c r="AT173" s="17"/>
      <c r="AU173" s="17"/>
      <c r="AV173" s="17"/>
    </row>
    <row r="174" ht="32.05" customHeight="1">
      <c r="AC174" s="36"/>
      <c r="AD174" s="38"/>
      <c r="AE174" t="s" s="44">
        <v>441</v>
      </c>
      <c r="AF174" t="s" s="44">
        <f>IF(AF129="increased","naik dari","turun dari")</f>
        <v>516</v>
      </c>
      <c r="AG174" s="15">
        <f>AG129</f>
        <v>15612</v>
      </c>
      <c r="AH174" t="s" s="44">
        <f>AG166</f>
        <v>410</v>
      </c>
      <c r="AI174" s="15">
        <f>AI129</f>
        <v>15089</v>
      </c>
      <c r="AJ174" t="s" s="44">
        <f>AJ173</f>
        <v>407</v>
      </c>
      <c r="AK174" t="s" s="44">
        <v>442</v>
      </c>
      <c r="AL174" t="s" s="44">
        <v>443</v>
      </c>
      <c r="AM174" t="s" s="44">
        <f>IF(AM129="down","turun dari","naik dari")</f>
        <v>440</v>
      </c>
      <c r="AN174" s="15">
        <f>AN129</f>
        <v>-15270</v>
      </c>
      <c r="AO174" t="s" s="44">
        <f>AH174</f>
        <v>410</v>
      </c>
      <c r="AP174" s="15">
        <f>AP129</f>
        <v>-14576</v>
      </c>
      <c r="AQ174" t="s" s="44">
        <f>AJ174</f>
        <v>407</v>
      </c>
      <c r="AR174" t="s" s="44">
        <v>413</v>
      </c>
      <c r="AS174" s="17"/>
      <c r="AT174" s="17"/>
      <c r="AU174" s="17"/>
      <c r="AV174" s="17"/>
    </row>
    <row r="175" ht="116" customHeight="1">
      <c r="AC175" s="36"/>
      <c r="AD175" s="38"/>
      <c r="AE175" t="s" s="85">
        <v>444</v>
      </c>
      <c r="AF175" s="15">
        <f>AF130</f>
        <v>0</v>
      </c>
      <c r="AG175" t="s" s="44">
        <f>AN150</f>
        <v>407</v>
      </c>
      <c r="AH175" t="s" s="85">
        <v>445</v>
      </c>
      <c r="AI175" s="15">
        <f>AJ130</f>
        <v>-481.000161244465</v>
      </c>
      <c r="AJ175" t="s" s="44">
        <f>AG175</f>
        <v>407</v>
      </c>
      <c r="AK175" t="s" s="85">
        <v>446</v>
      </c>
      <c r="AL175" s="15">
        <f>AN130</f>
        <v>-14094.9998387555</v>
      </c>
      <c r="AM175" t="s" s="44">
        <f>AJ175</f>
        <v>407</v>
      </c>
      <c r="AN175" t="s" s="85">
        <v>447</v>
      </c>
      <c r="AO175" s="17"/>
      <c r="AP175" s="17"/>
      <c r="AQ175" s="17"/>
      <c r="AR175" s="17"/>
      <c r="AS175" s="17"/>
      <c r="AT175" s="17"/>
      <c r="AU175" s="17"/>
      <c r="AV175" s="17"/>
    </row>
    <row r="176" ht="44.05" customHeight="1">
      <c r="AC176" s="36"/>
      <c r="AD176" s="38"/>
      <c r="AE176" t="s" s="44">
        <v>448</v>
      </c>
      <c r="AF176" t="s" s="44">
        <f>IF(AF131="(raised)","(yang dihimpun)","(yang dibayarkan)")</f>
        <v>449</v>
      </c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128.05" customHeight="1">
      <c r="AC177" s="36"/>
      <c r="AD177" s="38"/>
      <c r="AE177" t="s" s="44">
        <v>450</v>
      </c>
      <c r="AF177" t="s" s="44">
        <f>AF163</f>
        <v>406</v>
      </c>
      <c r="AG177" s="44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-548.88</v>
      </c>
      <c r="AF178" t="s" s="44">
        <f>AF133</f>
        <v>72</v>
      </c>
      <c r="AG178" s="15">
        <f>AG133</f>
        <v>206.32</v>
      </c>
      <c r="AH178" t="s" s="44">
        <f>AH133</f>
        <v>72</v>
      </c>
      <c r="AI178" s="15">
        <f>AI133</f>
        <v>-829.4</v>
      </c>
      <c r="AJ178" t="s" s="44">
        <f>AJ133</f>
        <v>72</v>
      </c>
      <c r="AK178" s="15">
        <f>AK133</f>
        <v>-405.6</v>
      </c>
      <c r="AL178" t="s" s="44">
        <f>AL133</f>
        <v>72</v>
      </c>
      <c r="AM178" s="15">
        <f>AM133</f>
        <v>992.4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32.05" customHeight="1">
      <c r="AC179" s="36"/>
      <c r="AD179" s="38"/>
      <c r="AE179" s="15">
        <f>AE134</f>
        <v>131.92</v>
      </c>
      <c r="AF179" t="s" s="44">
        <f>AF134</f>
        <v>72</v>
      </c>
      <c r="AG179" s="15">
        <f>AG134</f>
        <v>-0.02</v>
      </c>
      <c r="AH179" t="s" s="44">
        <f>AH134</f>
        <v>72</v>
      </c>
      <c r="AI179" s="15">
        <f>AI134</f>
        <v>0</v>
      </c>
      <c r="AJ179" t="s" s="44">
        <f>AJ134</f>
        <v>72</v>
      </c>
      <c r="AK179" s="15">
        <f>AK134</f>
        <v>0</v>
      </c>
      <c r="AL179" t="s" s="44">
        <f>AL134</f>
        <v>72</v>
      </c>
      <c r="AM179" s="15">
        <f>AM134</f>
        <v>263.8</v>
      </c>
      <c r="AN179" t="s" s="44">
        <f>AN172</f>
        <v>407</v>
      </c>
      <c r="AO179" s="17"/>
      <c r="AP179" s="17"/>
      <c r="AQ179" s="17"/>
      <c r="AR179" s="17"/>
      <c r="AS179" s="17"/>
      <c r="AT179" s="17"/>
      <c r="AU179" s="17"/>
      <c r="AV179" s="17"/>
    </row>
    <row r="180" ht="68.05" customHeight="1">
      <c r="AC180" s="36"/>
      <c r="AD180" s="38"/>
      <c r="AE180" t="s" s="44">
        <f>AE135</f>
        <v>773</v>
      </c>
      <c r="AF180" t="s" s="44">
        <f>IF(AF176="(yang dihimpun)","(menghimpun)","(membayarkan)")</f>
        <v>451</v>
      </c>
      <c r="AG180" s="15">
        <f>AG135</f>
        <v>1256.2</v>
      </c>
      <c r="AH180" t="s" s="44">
        <f>AN178</f>
        <v>407</v>
      </c>
      <c r="AI180" t="s" s="44">
        <f>AK173</f>
        <v>408</v>
      </c>
      <c r="AJ180" t="s" s="44">
        <f>AL173</f>
        <v>409</v>
      </c>
      <c r="AK180" t="s" s="44">
        <v>452</v>
      </c>
      <c r="AL180" t="s" s="44">
        <v>453</v>
      </c>
      <c r="AM180" s="15">
        <f>AL135</f>
        <v>992.4</v>
      </c>
      <c r="AN180" t="s" s="44">
        <f>AN179</f>
        <v>407</v>
      </c>
      <c r="AO180" t="s" s="44">
        <v>454</v>
      </c>
      <c r="AP180" s="15">
        <f>AO135</f>
        <v>263.8</v>
      </c>
      <c r="AQ180" t="s" s="44">
        <f>AN179</f>
        <v>407</v>
      </c>
      <c r="AR180" t="s" s="44">
        <v>455</v>
      </c>
      <c r="AS180" t="s" s="44">
        <f>IF(AS135="pay","membayar pengembalian sebesar","menghimpun kapital sebesar")</f>
        <v>456</v>
      </c>
      <c r="AT180" s="15">
        <f>AT135</f>
        <v>481.000161244465</v>
      </c>
      <c r="AU180" t="s" s="44">
        <f>AN179</f>
        <v>407</v>
      </c>
      <c r="AV180" t="s" s="85">
        <f>AN175</f>
        <v>447</v>
      </c>
    </row>
    <row r="181" ht="104" customHeight="1">
      <c r="AC181" s="36"/>
      <c r="AD181" s="34"/>
      <c r="AE181" t="s" s="85">
        <v>457</v>
      </c>
      <c r="AF181" s="15">
        <f>AF136</f>
        <v>3614.64237056</v>
      </c>
      <c r="AG181" t="s" s="44">
        <f>AN150</f>
        <v>407</v>
      </c>
      <c r="AH181" t="s" s="85">
        <v>458</v>
      </c>
      <c r="AI181" s="40">
        <f>AJ136</f>
        <v>0.163957614943165</v>
      </c>
      <c r="AJ181" t="s" s="44">
        <v>459</v>
      </c>
      <c r="AK181" t="s" s="85">
        <v>460</v>
      </c>
      <c r="AL181" s="15">
        <f>AN136</f>
        <v>44.7675525602494</v>
      </c>
      <c r="AM181" t="s" s="85">
        <v>461</v>
      </c>
      <c r="AN181" s="16">
        <f>AP136</f>
        <v>0</v>
      </c>
      <c r="AO181" t="s" s="44">
        <v>115</v>
      </c>
      <c r="AP181" s="17"/>
      <c r="AQ181" s="17"/>
      <c r="AR181" s="17"/>
      <c r="AS181" s="17"/>
      <c r="AT181" s="17"/>
      <c r="AU181" s="17"/>
      <c r="AV181" s="17"/>
    </row>
    <row r="182" ht="92" customHeight="1">
      <c r="AC182" s="36"/>
      <c r="AD182" s="34"/>
      <c r="AE182" t="s" s="85">
        <v>462</v>
      </c>
      <c r="AF182" s="15">
        <f>AF137</f>
        <v>481.000161244465</v>
      </c>
      <c r="AG182" t="s" s="44">
        <f>AN150</f>
        <v>407</v>
      </c>
      <c r="AH182" t="s" s="85">
        <v>463</v>
      </c>
      <c r="AI182" s="15">
        <f>AI137</f>
        <v>7.51484648405946</v>
      </c>
      <c r="AJ182" t="s" s="44">
        <v>464</v>
      </c>
      <c r="AK182" t="s" s="85">
        <v>465</v>
      </c>
      <c r="AL182" s="15">
        <f>AM137</f>
        <v>8</v>
      </c>
      <c r="AM182" t="s" s="44">
        <v>466</v>
      </c>
      <c r="AN182" t="s" s="85">
        <v>467</v>
      </c>
      <c r="AO182" t="s" s="44">
        <f>IF(AP182&gt;0,"+","")</f>
        <v>361</v>
      </c>
      <c r="AP182" s="16">
        <f>AQ137</f>
        <v>0.0645593382339416</v>
      </c>
      <c r="AQ182" t="s" s="85">
        <v>468</v>
      </c>
      <c r="AR182" s="15">
        <f>AT137</f>
        <v>729.223146690250</v>
      </c>
      <c r="AS182" t="s" s="44">
        <v>143</v>
      </c>
      <c r="AT182" s="17"/>
      <c r="AU182" s="17"/>
      <c r="AV182" s="17"/>
    </row>
    <row r="183" ht="20.05" customHeight="1">
      <c r="AC183" s="36"/>
      <c r="AD183" s="34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28</v>
      </c>
      <c r="AD184" s="14">
        <f>AE105</f>
        <v>4261.8</v>
      </c>
      <c r="AE184" s="15">
        <f>AG105</f>
        <v>4879.6</v>
      </c>
      <c r="AF184" s="15">
        <f>AI105</f>
        <v>3851.2</v>
      </c>
      <c r="AG184" s="15">
        <f>AK105</f>
        <v>4151.8</v>
      </c>
      <c r="AH184" s="15">
        <f>AM105</f>
        <v>3782.9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144</v>
      </c>
      <c r="AD185" s="14">
        <f>SUM(AE119:AE120)</f>
        <v>-295.5</v>
      </c>
      <c r="AE185" s="15">
        <f>SUM(AG119:AG120)</f>
        <v>419.1</v>
      </c>
      <c r="AF185" s="15">
        <f>SUM(AI119:AI120)</f>
        <v>-792.2</v>
      </c>
      <c r="AG185" s="15">
        <f>SUM(AK119:AK120)</f>
        <v>-863.8</v>
      </c>
      <c r="AH185" s="15">
        <f>SUM(AM119:AM120)</f>
        <v>1476.4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145</v>
      </c>
      <c r="AD186" s="14">
        <f>SUM(AE133:AE134)</f>
        <v>-416.96</v>
      </c>
      <c r="AE186" s="15">
        <f>SUM(AG133:AG134)</f>
        <v>206.3</v>
      </c>
      <c r="AF186" s="15">
        <f>SUM(AI133:AI134)</f>
        <v>-829.4</v>
      </c>
      <c r="AG186" s="15">
        <f>SUM(AK133:AK134)</f>
        <v>-405.6</v>
      </c>
      <c r="AH186" s="15">
        <f>SUM(AM133:AM134)</f>
        <v>1256.2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t="s" s="33">
        <v>146</v>
      </c>
      <c r="AD187" s="14">
        <f>(AE126-AE127)</f>
        <v>-13949</v>
      </c>
      <c r="AE187" s="15">
        <f>(AG126-AG127)</f>
        <v>-13902</v>
      </c>
      <c r="AF187" s="15">
        <f>(AI126-AI127)</f>
        <v>-14389</v>
      </c>
      <c r="AG187" s="15">
        <f>(AK126-AK127)</f>
        <v>-15270</v>
      </c>
      <c r="AH187" s="15">
        <f>(AM126-AM127)</f>
        <v>-14576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5">
        <f>AT137</f>
        <v>729.223146690250</v>
      </c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  <row r="195" ht="20.05" customHeight="1">
      <c r="AC195" s="36"/>
      <c r="AD195" s="34"/>
      <c r="AE195" s="17"/>
      <c r="AF195" s="17"/>
      <c r="AG195" s="17"/>
      <c r="AH195" s="17"/>
      <c r="AI195" s="15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  <c r="AV195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08" customWidth="1"/>
    <col min="2" max="28" width="10.4844" style="408" customWidth="1"/>
    <col min="29" max="29" width="18.9766" style="409" customWidth="1"/>
    <col min="30" max="48" width="9" style="409" customWidth="1"/>
    <col min="49" max="16384" width="16.3516" style="409" customWidth="1"/>
  </cols>
  <sheetData>
    <row r="1" ht="11.65" customHeight="1"/>
    <row r="2" ht="27.65" customHeight="1">
      <c r="B2" t="s" s="2">
        <v>775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216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298</v>
      </c>
      <c r="Y9" s="24"/>
      <c r="Z9" s="18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>
        <v>4134</v>
      </c>
      <c r="D12" s="15">
        <v>6.575</v>
      </c>
      <c r="E12" s="15">
        <v>114</v>
      </c>
      <c r="F12" s="15">
        <v>262</v>
      </c>
      <c r="G12" s="15">
        <v>1911</v>
      </c>
      <c r="H12" s="15">
        <v>3272</v>
      </c>
      <c r="I12" s="15">
        <v>4179</v>
      </c>
      <c r="J12" s="15">
        <v>452</v>
      </c>
      <c r="K12" s="15">
        <v>-7</v>
      </c>
      <c r="L12" s="15">
        <v>-433</v>
      </c>
      <c r="M12" s="15">
        <v>0</v>
      </c>
      <c r="N12" s="15">
        <f>SUM(C9:C12)/4</f>
        <v>1033.5</v>
      </c>
      <c r="O12" s="23"/>
      <c r="P12" s="16"/>
      <c r="Q12" s="16">
        <f>(E12+D12)/C12</f>
        <v>0.0291666666666667</v>
      </c>
      <c r="R12" s="16">
        <f>AVERAGE(Q9:Q12)</f>
        <v>0.0291666666666667</v>
      </c>
      <c r="S12" s="17"/>
      <c r="T12" s="15">
        <f>SUM(J9:K12)/4</f>
        <v>111.25</v>
      </c>
      <c r="U12" s="25"/>
      <c r="V12" s="15">
        <f>-(L12+M12)+V11</f>
        <v>433</v>
      </c>
      <c r="W12" s="17"/>
      <c r="X12" s="15">
        <f>F12-G12</f>
        <v>-1649</v>
      </c>
      <c r="Y12" s="24"/>
      <c r="Z12" s="18">
        <v>3500</v>
      </c>
      <c r="AA12" s="22"/>
      <c r="AB12" s="20">
        <v>14.24</v>
      </c>
    </row>
    <row r="13" ht="20.05" customHeight="1">
      <c r="B13" s="13"/>
      <c r="C13" s="14">
        <v>3151</v>
      </c>
      <c r="D13" s="15">
        <v>6.575</v>
      </c>
      <c r="E13" s="15">
        <v>107</v>
      </c>
      <c r="F13" s="15">
        <v>298</v>
      </c>
      <c r="G13" s="15">
        <v>1621</v>
      </c>
      <c r="H13" s="15">
        <v>2838</v>
      </c>
      <c r="I13" s="15">
        <v>3824</v>
      </c>
      <c r="J13" s="15">
        <v>292.5</v>
      </c>
      <c r="K13" s="15">
        <v>-66</v>
      </c>
      <c r="L13" s="15">
        <v>0</v>
      </c>
      <c r="M13" s="15">
        <v>-189</v>
      </c>
      <c r="N13" s="15">
        <f>SUM(C10:C13)/4</f>
        <v>1821.25</v>
      </c>
      <c r="O13" s="23"/>
      <c r="P13" s="16">
        <f>C13/C12-1</f>
        <v>-0.237784228350266</v>
      </c>
      <c r="Q13" s="16">
        <f>(E13+D13)/C13</f>
        <v>0.0360441129800063</v>
      </c>
      <c r="R13" s="16">
        <f>AVERAGE(Q10:Q13)</f>
        <v>0.0326053898233365</v>
      </c>
      <c r="S13" s="17"/>
      <c r="T13" s="15">
        <f>SUM(J10:K13)/4</f>
        <v>167.875</v>
      </c>
      <c r="U13" s="25"/>
      <c r="V13" s="15">
        <f>-(L13+M13)+V12</f>
        <v>622</v>
      </c>
      <c r="W13" s="17"/>
      <c r="X13" s="15">
        <f>F13-G13</f>
        <v>-1323</v>
      </c>
      <c r="Y13" s="24"/>
      <c r="Z13" s="18">
        <v>4100</v>
      </c>
      <c r="AA13" s="24"/>
      <c r="AB13" s="15">
        <v>14.127</v>
      </c>
    </row>
    <row r="14" ht="20.05" customHeight="1">
      <c r="B14" s="13"/>
      <c r="C14" s="14">
        <v>2997</v>
      </c>
      <c r="D14" s="15">
        <v>6.575</v>
      </c>
      <c r="E14" s="15">
        <v>93</v>
      </c>
      <c r="F14" s="15">
        <v>421</v>
      </c>
      <c r="G14" s="15">
        <v>1698</v>
      </c>
      <c r="H14" s="15">
        <v>2976</v>
      </c>
      <c r="I14" s="15">
        <v>3137</v>
      </c>
      <c r="J14" s="15">
        <v>64.3</v>
      </c>
      <c r="K14" s="15">
        <v>1</v>
      </c>
      <c r="L14" s="15">
        <v>60</v>
      </c>
      <c r="M14" s="15">
        <v>-33</v>
      </c>
      <c r="N14" s="15">
        <f>SUM(C11:C14)/4</f>
        <v>2570.5</v>
      </c>
      <c r="O14" s="23"/>
      <c r="P14" s="16">
        <f>C14/C13-1</f>
        <v>-0.048873373532212</v>
      </c>
      <c r="Q14" s="16">
        <f>(E14+D14)/C14</f>
        <v>0.0332248915582249</v>
      </c>
      <c r="R14" s="16">
        <f>AVERAGE(Q11:Q14)</f>
        <v>0.0328118904016326</v>
      </c>
      <c r="S14" s="17"/>
      <c r="T14" s="15">
        <f>SUM(J11:K14)/4</f>
        <v>184.2</v>
      </c>
      <c r="U14" s="25"/>
      <c r="V14" s="15">
        <f>-(L14+M14)+V13</f>
        <v>595</v>
      </c>
      <c r="W14" s="17"/>
      <c r="X14" s="15">
        <f>F14-G14</f>
        <v>-1277</v>
      </c>
      <c r="Y14" s="24"/>
      <c r="Z14" s="18">
        <v>4730</v>
      </c>
      <c r="AA14" s="24"/>
      <c r="AB14" s="15">
        <v>14.195</v>
      </c>
    </row>
    <row r="15" ht="20.05" customHeight="1">
      <c r="B15" s="13"/>
      <c r="C15" s="14">
        <v>3090</v>
      </c>
      <c r="D15" s="15">
        <v>6.575</v>
      </c>
      <c r="E15" s="15">
        <v>114</v>
      </c>
      <c r="F15" s="15">
        <v>615</v>
      </c>
      <c r="G15" s="15">
        <v>1604</v>
      </c>
      <c r="H15" s="15">
        <v>2996</v>
      </c>
      <c r="I15" s="15">
        <v>3356</v>
      </c>
      <c r="J15" s="15">
        <v>251.2</v>
      </c>
      <c r="K15" s="15">
        <v>7</v>
      </c>
      <c r="L15" s="15">
        <v>-35</v>
      </c>
      <c r="M15" s="15">
        <v>0</v>
      </c>
      <c r="N15" s="15">
        <f>SUM(C12:C15)/4</f>
        <v>3343</v>
      </c>
      <c r="O15" s="15"/>
      <c r="P15" s="16">
        <f>C15/C14-1</f>
        <v>0.031031031031031</v>
      </c>
      <c r="Q15" s="16">
        <f>(E15+D15)/C15</f>
        <v>0.0390210355987055</v>
      </c>
      <c r="R15" s="16">
        <f>AVERAGE(Q12:Q15)</f>
        <v>0.0343641767009009</v>
      </c>
      <c r="S15" s="17"/>
      <c r="T15" s="15">
        <f>SUM(J12:K15)/4</f>
        <v>248.75</v>
      </c>
      <c r="U15" s="25"/>
      <c r="V15" s="15">
        <f>-(L15+M15)+V14</f>
        <v>630</v>
      </c>
      <c r="W15" s="17"/>
      <c r="X15" s="15">
        <f>F15-G15</f>
        <v>-989</v>
      </c>
      <c r="Y15" s="24"/>
      <c r="Z15" s="18">
        <v>4850</v>
      </c>
      <c r="AA15" s="24"/>
      <c r="AB15" s="15">
        <v>13.882</v>
      </c>
    </row>
    <row r="16" ht="20.05" customHeight="1">
      <c r="B16" s="21">
        <v>2020</v>
      </c>
      <c r="C16" s="14">
        <v>3383</v>
      </c>
      <c r="D16" s="15">
        <v>12.75</v>
      </c>
      <c r="E16" s="15">
        <v>120</v>
      </c>
      <c r="F16" s="15">
        <v>909</v>
      </c>
      <c r="G16" s="15">
        <v>2134</v>
      </c>
      <c r="H16" s="15">
        <v>3643</v>
      </c>
      <c r="I16" s="15">
        <v>3368</v>
      </c>
      <c r="J16" s="15">
        <v>319.5</v>
      </c>
      <c r="K16" s="15">
        <v>-0.4</v>
      </c>
      <c r="L16" s="15">
        <v>-25</v>
      </c>
      <c r="M16" s="15">
        <v>0</v>
      </c>
      <c r="N16" s="15">
        <f>SUM(C13:C16)/4</f>
        <v>3155.25</v>
      </c>
      <c r="O16" s="15"/>
      <c r="P16" s="16">
        <f>C16/C15-1</f>
        <v>0.09482200647249189</v>
      </c>
      <c r="Q16" s="16">
        <f>(E16+D16)/C16</f>
        <v>0.0392403192432752</v>
      </c>
      <c r="R16" s="16">
        <f>AVERAGE(Q13:Q16)</f>
        <v>0.036882589845053</v>
      </c>
      <c r="S16" s="17"/>
      <c r="T16" s="15">
        <f>SUM(J13:K16)/4</f>
        <v>217.275</v>
      </c>
      <c r="U16" s="25"/>
      <c r="V16" s="15">
        <f>-(L16+M16)+V15</f>
        <v>655</v>
      </c>
      <c r="W16" s="17"/>
      <c r="X16" s="15">
        <f>F16-G16</f>
        <v>-1225</v>
      </c>
      <c r="Y16" s="24"/>
      <c r="Z16" s="18">
        <v>5200</v>
      </c>
      <c r="AA16" s="24"/>
      <c r="AB16" s="15">
        <v>16.31</v>
      </c>
    </row>
    <row r="17" ht="20.05" customHeight="1">
      <c r="B17" s="13"/>
      <c r="C17" s="14">
        <v>3268</v>
      </c>
      <c r="D17" s="15">
        <v>12.75</v>
      </c>
      <c r="E17" s="15">
        <v>116</v>
      </c>
      <c r="F17" s="15">
        <v>584</v>
      </c>
      <c r="G17" s="15">
        <v>1757</v>
      </c>
      <c r="H17" s="15">
        <v>3122</v>
      </c>
      <c r="I17" s="15">
        <v>3708</v>
      </c>
      <c r="J17" s="15">
        <v>-73.40000000000001</v>
      </c>
      <c r="K17" s="15">
        <v>9.4</v>
      </c>
      <c r="L17" s="15">
        <v>0</v>
      </c>
      <c r="M17" s="15">
        <v>-262</v>
      </c>
      <c r="N17" s="15">
        <f>SUM(C14:C17)/4</f>
        <v>3184.5</v>
      </c>
      <c r="O17" s="15"/>
      <c r="P17" s="16">
        <f>C17/C16-1</f>
        <v>-0.0339934968962459</v>
      </c>
      <c r="Q17" s="16">
        <f>(E17+D17)/C17</f>
        <v>0.0393971848225214</v>
      </c>
      <c r="R17" s="16">
        <f>AVERAGE(Q14:Q17)</f>
        <v>0.0377208578056818</v>
      </c>
      <c r="S17" s="17"/>
      <c r="T17" s="25">
        <f>SUM(J14:K17)/4</f>
        <v>144.65</v>
      </c>
      <c r="U17" s="25"/>
      <c r="V17" s="15">
        <f>-(L17+M17)+V16</f>
        <v>917</v>
      </c>
      <c r="W17" s="17"/>
      <c r="X17" s="15">
        <f>F17-G17</f>
        <v>-1173</v>
      </c>
      <c r="Y17" s="24"/>
      <c r="Z17" s="18">
        <v>6000</v>
      </c>
      <c r="AA17" s="24"/>
      <c r="AB17" s="15">
        <v>14.255</v>
      </c>
    </row>
    <row r="18" ht="20.05" customHeight="1">
      <c r="B18" s="13"/>
      <c r="C18" s="14">
        <v>3092</v>
      </c>
      <c r="D18" s="15">
        <v>12.75</v>
      </c>
      <c r="E18" s="15">
        <v>125</v>
      </c>
      <c r="F18" s="15">
        <v>1101</v>
      </c>
      <c r="G18" s="15">
        <v>2152</v>
      </c>
      <c r="H18" s="15">
        <v>3641</v>
      </c>
      <c r="I18" s="15">
        <v>3440</v>
      </c>
      <c r="J18" s="15">
        <v>519.1</v>
      </c>
      <c r="K18" s="15">
        <v>-2</v>
      </c>
      <c r="L18" s="15">
        <v>0</v>
      </c>
      <c r="M18" s="15">
        <v>0</v>
      </c>
      <c r="N18" s="15">
        <f>SUM(C15:C18)/4</f>
        <v>3208.25</v>
      </c>
      <c r="O18" s="15"/>
      <c r="P18" s="16">
        <f>C18/C17-1</f>
        <v>-0.0538555691554468</v>
      </c>
      <c r="Q18" s="16">
        <f>(E18+D18)/C18</f>
        <v>0.0445504527813713</v>
      </c>
      <c r="R18" s="16">
        <f>AVERAGE(Q15:Q18)</f>
        <v>0.0405522481114684</v>
      </c>
      <c r="S18" s="17"/>
      <c r="T18" s="25">
        <f>SUM(J15:K18)/4</f>
        <v>257.6</v>
      </c>
      <c r="U18" s="25"/>
      <c r="V18" s="15">
        <f>-(L18+M18)+V17</f>
        <v>917</v>
      </c>
      <c r="W18" s="17"/>
      <c r="X18" s="15">
        <f>F18-G18</f>
        <v>-1051</v>
      </c>
      <c r="Y18" s="24"/>
      <c r="Z18" s="18">
        <v>8000</v>
      </c>
      <c r="AA18" s="24"/>
      <c r="AB18" s="15">
        <v>14.79</v>
      </c>
    </row>
    <row r="19" ht="20.05" customHeight="1">
      <c r="B19" s="13"/>
      <c r="C19" s="14">
        <v>2746</v>
      </c>
      <c r="D19" s="15">
        <v>12.75</v>
      </c>
      <c r="E19" s="15">
        <v>118</v>
      </c>
      <c r="F19" s="15">
        <v>1052</v>
      </c>
      <c r="G19" s="15">
        <v>1763</v>
      </c>
      <c r="H19" s="15">
        <v>3362</v>
      </c>
      <c r="I19" s="15">
        <v>3230</v>
      </c>
      <c r="J19" s="15">
        <v>0.8</v>
      </c>
      <c r="K19" s="15">
        <v>-50</v>
      </c>
      <c r="L19" s="15">
        <v>0</v>
      </c>
      <c r="M19" s="15">
        <v>0</v>
      </c>
      <c r="N19" s="15">
        <f>SUM(C16:C19)/4</f>
        <v>3122.25</v>
      </c>
      <c r="O19" s="15"/>
      <c r="P19" s="16">
        <f>C19/C18-1</f>
        <v>-0.111901681759379</v>
      </c>
      <c r="Q19" s="16">
        <f>(E19+D19)/C19</f>
        <v>0.0476147123088128</v>
      </c>
      <c r="R19" s="16">
        <f>AVERAGE(Q16:Q19)</f>
        <v>0.0427006672889952</v>
      </c>
      <c r="S19" s="17"/>
      <c r="T19" s="25">
        <f>SUM(J16:K19)/4</f>
        <v>180.75</v>
      </c>
      <c r="U19" s="25"/>
      <c r="V19" s="15">
        <f>-(L19+M19)+V18</f>
        <v>917</v>
      </c>
      <c r="W19" s="17"/>
      <c r="X19" s="15">
        <f>F19-G19</f>
        <v>-711</v>
      </c>
      <c r="Y19" s="24"/>
      <c r="Z19" s="18">
        <v>7500</v>
      </c>
      <c r="AA19" s="24"/>
      <c r="AB19" s="15">
        <v>14.1</v>
      </c>
    </row>
    <row r="20" ht="20.05" customHeight="1">
      <c r="B20" s="21">
        <v>2021</v>
      </c>
      <c r="C20" s="14">
        <v>3072</v>
      </c>
      <c r="D20" s="15">
        <v>14</v>
      </c>
      <c r="E20" s="15">
        <v>138</v>
      </c>
      <c r="F20" s="15">
        <v>1135</v>
      </c>
      <c r="G20" s="15">
        <v>2264</v>
      </c>
      <c r="H20" s="15">
        <v>4000</v>
      </c>
      <c r="I20" s="15">
        <v>3118</v>
      </c>
      <c r="J20" s="15">
        <v>82</v>
      </c>
      <c r="K20" s="15">
        <v>0.6</v>
      </c>
      <c r="L20" s="15">
        <v>0</v>
      </c>
      <c r="M20" s="15">
        <v>0</v>
      </c>
      <c r="N20" s="15">
        <f>SUM(C17:C20)/4</f>
        <v>3044.5</v>
      </c>
      <c r="O20" s="15"/>
      <c r="P20" s="16">
        <f>C20/C19-1</f>
        <v>0.118718135469774</v>
      </c>
      <c r="Q20" s="16">
        <f>(E20+D20)/C20</f>
        <v>0.0494791666666667</v>
      </c>
      <c r="R20" s="16">
        <f>AVERAGE(Q17:Q20)</f>
        <v>0.0452603791448431</v>
      </c>
      <c r="S20" s="17"/>
      <c r="T20" s="25">
        <f>SUM(J17:K20)/4</f>
        <v>121.625</v>
      </c>
      <c r="U20" s="25"/>
      <c r="V20" s="15">
        <f>-(L20+M20)+V19</f>
        <v>917</v>
      </c>
      <c r="W20" s="17"/>
      <c r="X20" s="15">
        <f>F20-G20</f>
        <v>-1129</v>
      </c>
      <c r="Y20" s="15"/>
      <c r="Z20" s="18">
        <v>7900</v>
      </c>
      <c r="AA20" s="15"/>
      <c r="AB20" s="15">
        <v>14.606</v>
      </c>
    </row>
    <row r="21" ht="20.05" customHeight="1">
      <c r="B21" s="13"/>
      <c r="C21" s="14">
        <v>2872</v>
      </c>
      <c r="D21" s="15">
        <v>14</v>
      </c>
      <c r="E21" s="15">
        <v>113</v>
      </c>
      <c r="F21" s="15">
        <v>286</v>
      </c>
      <c r="G21" s="15">
        <v>1806</v>
      </c>
      <c r="H21" s="15">
        <v>3357</v>
      </c>
      <c r="I21" s="15">
        <v>3238</v>
      </c>
      <c r="J21" s="15">
        <v>-300.1</v>
      </c>
      <c r="K21" s="15">
        <v>-249.6</v>
      </c>
      <c r="L21" s="15">
        <v>0</v>
      </c>
      <c r="M21" s="15">
        <v>-299</v>
      </c>
      <c r="N21" s="15">
        <f>SUM(C18:C21)/4</f>
        <v>2945.5</v>
      </c>
      <c r="O21" s="15"/>
      <c r="P21" s="16">
        <f>C21/C20-1</f>
        <v>-0.0651041666666667</v>
      </c>
      <c r="Q21" s="16">
        <f>(E21+D21)/C21</f>
        <v>0.0442200557103064</v>
      </c>
      <c r="R21" s="16">
        <f>AVERAGE(Q18:Q21)</f>
        <v>0.0464660968667893</v>
      </c>
      <c r="S21" s="17"/>
      <c r="T21" s="25">
        <f>SUM(J18:K21)/4</f>
        <v>0.2</v>
      </c>
      <c r="U21" s="25"/>
      <c r="V21" s="15">
        <f>-(L21+M21)+V20</f>
        <v>1216</v>
      </c>
      <c r="W21" s="17"/>
      <c r="X21" s="15">
        <f>F21-G21</f>
        <v>-1520</v>
      </c>
      <c r="Y21" s="15"/>
      <c r="Z21" s="18">
        <v>7350</v>
      </c>
      <c r="AA21" s="15"/>
      <c r="AB21" s="15">
        <v>14.45</v>
      </c>
    </row>
    <row r="22" ht="20.05" customHeight="1">
      <c r="B22" s="13"/>
      <c r="C22" s="14">
        <v>3022</v>
      </c>
      <c r="D22" s="15">
        <v>14</v>
      </c>
      <c r="E22" s="15">
        <v>99</v>
      </c>
      <c r="F22" s="15">
        <v>339</v>
      </c>
      <c r="G22" s="15">
        <v>1960</v>
      </c>
      <c r="H22" s="15">
        <v>3578</v>
      </c>
      <c r="I22" s="15">
        <v>3089</v>
      </c>
      <c r="J22" s="15">
        <v>327.5</v>
      </c>
      <c r="K22" s="15">
        <v>-243</v>
      </c>
      <c r="L22" s="15">
        <v>0</v>
      </c>
      <c r="M22" s="15">
        <v>-32</v>
      </c>
      <c r="N22" s="15">
        <f>SUM(C19:C22)/4</f>
        <v>2928</v>
      </c>
      <c r="O22" s="15"/>
      <c r="P22" s="16">
        <f>C22/C21-1</f>
        <v>0.0522284122562674</v>
      </c>
      <c r="Q22" s="16">
        <f>(E22+D22)/C22</f>
        <v>0.0373924553275976</v>
      </c>
      <c r="R22" s="16">
        <f>AVERAGE(Q19:Q22)</f>
        <v>0.0446765975033459</v>
      </c>
      <c r="S22" s="17"/>
      <c r="T22" s="25">
        <f>SUM(J19:K22)/4</f>
        <v>-107.95</v>
      </c>
      <c r="U22" s="25"/>
      <c r="V22" s="15">
        <f>-(L22+M22)+V21</f>
        <v>1248</v>
      </c>
      <c r="W22" s="17"/>
      <c r="X22" s="15">
        <f>F22-G22</f>
        <v>-1621</v>
      </c>
      <c r="Y22" s="15"/>
      <c r="Z22" s="18">
        <v>7150</v>
      </c>
      <c r="AA22" s="15"/>
      <c r="AB22" s="15">
        <v>14.328</v>
      </c>
    </row>
    <row r="23" ht="20.05" customHeight="1">
      <c r="B23" s="13"/>
      <c r="C23" s="14">
        <v>2960</v>
      </c>
      <c r="D23" s="15">
        <v>14</v>
      </c>
      <c r="E23" s="15">
        <v>131</v>
      </c>
      <c r="F23" s="15">
        <v>326</v>
      </c>
      <c r="G23" s="15">
        <v>1643</v>
      </c>
      <c r="H23" s="15">
        <v>3404</v>
      </c>
      <c r="I23" s="15">
        <v>2351</v>
      </c>
      <c r="J23" s="15">
        <v>-70.40000000000001</v>
      </c>
      <c r="K23" s="15">
        <v>57</v>
      </c>
      <c r="L23" s="15">
        <v>0</v>
      </c>
      <c r="M23" s="15">
        <v>0</v>
      </c>
      <c r="N23" s="15">
        <f>SUM(C20:C23)/4</f>
        <v>2981.5</v>
      </c>
      <c r="O23" s="15"/>
      <c r="P23" s="16">
        <f>C23/C22-1</f>
        <v>-0.0205162144275314</v>
      </c>
      <c r="Q23" s="16">
        <f>(E23+D23)/C23</f>
        <v>0.0489864864864865</v>
      </c>
      <c r="R23" s="16">
        <f>AVERAGE(Q20:Q23)</f>
        <v>0.0450195410477643</v>
      </c>
      <c r="S23" s="17"/>
      <c r="T23" s="25">
        <f>SUM(J20:K23)/4</f>
        <v>-99</v>
      </c>
      <c r="U23" s="25"/>
      <c r="V23" s="15">
        <f>-(L23+M23)+V22</f>
        <v>1248</v>
      </c>
      <c r="W23" s="17"/>
      <c r="X23" s="15">
        <f>F23-G23</f>
        <v>-1317</v>
      </c>
      <c r="Y23" s="15"/>
      <c r="Z23" s="15">
        <v>7000</v>
      </c>
      <c r="AA23" s="15"/>
      <c r="AB23" s="15">
        <v>14.275</v>
      </c>
    </row>
    <row r="24" ht="20.05" customHeight="1">
      <c r="B24" s="21">
        <v>2022</v>
      </c>
      <c r="C24" s="14">
        <v>3072</v>
      </c>
      <c r="D24" s="15">
        <v>25.8</v>
      </c>
      <c r="E24" s="15">
        <v>123</v>
      </c>
      <c r="F24" s="15">
        <v>261</v>
      </c>
      <c r="G24" s="15">
        <v>2278</v>
      </c>
      <c r="H24" s="15">
        <v>4161</v>
      </c>
      <c r="I24" s="15">
        <v>3099</v>
      </c>
      <c r="J24" s="15">
        <v>379.9</v>
      </c>
      <c r="K24" s="15">
        <v>-444</v>
      </c>
      <c r="L24" s="15">
        <v>0</v>
      </c>
      <c r="M24" s="15">
        <v>0</v>
      </c>
      <c r="N24" s="15">
        <f>SUM(C21:C24)/4</f>
        <v>2981.5</v>
      </c>
      <c r="O24" s="15"/>
      <c r="P24" s="16">
        <f>C24/C23-1</f>
        <v>0.0378378378378378</v>
      </c>
      <c r="Q24" s="16">
        <f>(E24+D24)/C24</f>
        <v>0.0484375</v>
      </c>
      <c r="R24" s="16">
        <f>AVERAGE(Q21:Q24)</f>
        <v>0.0447591243810976</v>
      </c>
      <c r="S24" s="35"/>
      <c r="T24" s="25">
        <f>SUM(J21:K24)/4</f>
        <v>-135.675</v>
      </c>
      <c r="U24" s="15">
        <v>92.5371521999092</v>
      </c>
      <c r="V24" s="15">
        <f>-(L24+M24)+V23</f>
        <v>1248</v>
      </c>
      <c r="W24" s="15"/>
      <c r="X24" s="15">
        <f>F24-G24</f>
        <v>-2017</v>
      </c>
      <c r="Y24" s="15">
        <v>-1159.740556480150</v>
      </c>
      <c r="Z24" s="15">
        <v>7025</v>
      </c>
      <c r="AA24" s="15"/>
      <c r="AB24" s="15">
        <v>14.327</v>
      </c>
    </row>
    <row r="25" ht="20.05" customHeight="1">
      <c r="B25" s="13"/>
      <c r="C25" s="14">
        <v>3252</v>
      </c>
      <c r="D25" s="15">
        <v>26.5</v>
      </c>
      <c r="E25" s="15">
        <v>104.8</v>
      </c>
      <c r="F25" s="15">
        <v>126</v>
      </c>
      <c r="G25" s="15">
        <v>2015</v>
      </c>
      <c r="H25" s="15">
        <v>3733</v>
      </c>
      <c r="I25" s="15">
        <v>3399.8</v>
      </c>
      <c r="J25" s="15">
        <v>-61.8</v>
      </c>
      <c r="K25" s="15">
        <v>197.3</v>
      </c>
      <c r="L25" s="15">
        <v>0</v>
      </c>
      <c r="M25" s="15">
        <v>-271</v>
      </c>
      <c r="N25" s="15">
        <f>SUM(C22:C25)/4</f>
        <v>3076.5</v>
      </c>
      <c r="O25" s="15"/>
      <c r="P25" s="16">
        <f>C25/C24-1</f>
        <v>0.05859375</v>
      </c>
      <c r="Q25" s="16">
        <f>(E25+D25)/C25</f>
        <v>0.0403751537515375</v>
      </c>
      <c r="R25" s="16">
        <f>AVERAGE(Q22:Q25)</f>
        <v>0.0437978988914054</v>
      </c>
      <c r="S25" s="35"/>
      <c r="T25" s="25">
        <f>SUM(J22:K25)/4</f>
        <v>35.625</v>
      </c>
      <c r="U25" s="15">
        <v>108.520405241080</v>
      </c>
      <c r="V25" s="15">
        <f>-(L25+M25)+V24</f>
        <v>1519</v>
      </c>
      <c r="W25" s="15"/>
      <c r="X25" s="15">
        <f>F25-G25</f>
        <v>-1889</v>
      </c>
      <c r="Y25" s="15">
        <v>-1932.407351614270</v>
      </c>
      <c r="Z25" s="15">
        <v>7300</v>
      </c>
      <c r="AA25" s="15">
        <v>9452.039747778381</v>
      </c>
      <c r="AB25" s="15">
        <v>14.66</v>
      </c>
    </row>
    <row r="26" ht="20.05" customHeight="1">
      <c r="B26" s="13"/>
      <c r="C26" s="14">
        <v>3220.8</v>
      </c>
      <c r="D26" s="15">
        <v>27.6</v>
      </c>
      <c r="E26" s="15">
        <v>92.7</v>
      </c>
      <c r="F26" s="15">
        <v>807</v>
      </c>
      <c r="G26" s="15">
        <v>2056</v>
      </c>
      <c r="H26" s="15">
        <v>3938</v>
      </c>
      <c r="I26" s="15">
        <v>3075.3</v>
      </c>
      <c r="J26" s="15">
        <v>280.8</v>
      </c>
      <c r="K26" s="15">
        <v>399.6</v>
      </c>
      <c r="L26" s="15">
        <v>0</v>
      </c>
      <c r="M26" s="15">
        <v>0</v>
      </c>
      <c r="N26" s="15">
        <f>SUM(C23:C26)/4</f>
        <v>3126.2</v>
      </c>
      <c r="O26" s="15">
        <v>3149.2608</v>
      </c>
      <c r="P26" s="16">
        <f>C26/C25-1</f>
        <v>-0.00959409594095941</v>
      </c>
      <c r="Q26" s="16">
        <f>(E26+D26)/C26</f>
        <v>0.0373509687034277</v>
      </c>
      <c r="R26" s="16">
        <f>AVERAGE(Q23:Q26)</f>
        <v>0.0437875272353629</v>
      </c>
      <c r="S26" s="35">
        <f>S27</f>
        <v>0.0437875272353629</v>
      </c>
      <c r="T26" s="25">
        <f>SUM(J23:K26)/4</f>
        <v>184.6</v>
      </c>
      <c r="U26" s="15">
        <v>108.520405241080</v>
      </c>
      <c r="V26" s="15">
        <f>-(L26+M26)+V25</f>
        <v>1519</v>
      </c>
      <c r="W26" s="15">
        <f>W27</f>
        <v>2064.495022190840</v>
      </c>
      <c r="X26" s="15">
        <f>F26-G26</f>
        <v>-1249</v>
      </c>
      <c r="Y26" s="15">
        <v>-1932.407351614270</v>
      </c>
      <c r="Z26" s="15">
        <v>8300</v>
      </c>
      <c r="AA26" s="15">
        <v>9452.039747778381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3285.451875288</v>
      </c>
      <c r="P27" s="17"/>
      <c r="Q27" s="17"/>
      <c r="R27" s="17"/>
      <c r="S27" s="35">
        <f>AE53</f>
        <v>0.0437875272353629</v>
      </c>
      <c r="T27" s="25"/>
      <c r="U27" s="15">
        <f>SUM(AE55:AH55)/4</f>
        <v>141.861813469648</v>
      </c>
      <c r="V27" s="17"/>
      <c r="W27" s="15">
        <f>-SUM(AE76:AH76)+V26</f>
        <v>2064.495022190840</v>
      </c>
      <c r="X27" s="26"/>
      <c r="Y27" s="15">
        <f>AH75</f>
        <v>-845.6726183122501</v>
      </c>
      <c r="Z27" s="15">
        <v>7200</v>
      </c>
      <c r="AA27" s="15">
        <v>8059.911302364530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3126.2</v>
      </c>
      <c r="O28" s="15">
        <f>SUM(O26)</f>
        <v>3149.2608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8031.432318671050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216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0.0165803193673367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-0.0205162144275314</v>
      </c>
      <c r="AF50" s="35">
        <f>P24</f>
        <v>0.0378378378378378</v>
      </c>
      <c r="AG50" s="35">
        <f>P25</f>
        <v>0.05859375</v>
      </c>
      <c r="AH50" s="35">
        <f>P26</f>
        <v>-0.00959409594095941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3220.8</v>
      </c>
      <c r="AE52" s="23">
        <f>C26*(1+AE51)</f>
        <v>3253.008</v>
      </c>
      <c r="AF52" s="23">
        <f>AE52*(1+AF51)</f>
        <v>3220.47792</v>
      </c>
      <c r="AG52" s="23">
        <f>AF52*(1+AG51)</f>
        <v>3284.8874784</v>
      </c>
      <c r="AH52" s="23">
        <f>AG52*(1+AH51)</f>
        <v>3383.434102752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0.0437875272353629</v>
      </c>
      <c r="AF53" s="35">
        <f>AE53</f>
        <v>0.0437875272353629</v>
      </c>
      <c r="AG53" s="35">
        <f>AF53</f>
        <v>0.0437875272353629</v>
      </c>
      <c r="AH53" s="35">
        <f>AG53</f>
        <v>0.0437875272353629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AVERAGE(K18)</f>
        <v>-2</v>
      </c>
      <c r="AF54" s="15">
        <f>AE54</f>
        <v>-2</v>
      </c>
      <c r="AG54" s="15">
        <f>AF54</f>
        <v>-2</v>
      </c>
      <c r="AH54" s="15">
        <f>AG54</f>
        <v>-2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140.441176396853</v>
      </c>
      <c r="AF55" s="15">
        <f>(AF52*AF53)+AF54</f>
        <v>139.016764632885</v>
      </c>
      <c r="AG55" s="15">
        <f>(AG52*AG53)+AG54</f>
        <v>141.837099925543</v>
      </c>
      <c r="AH55" s="15">
        <f>(AH52*AH53)+AH54</f>
        <v>146.152212923309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-102.8</v>
      </c>
      <c r="AF56" s="15">
        <f>-AE71/20</f>
        <v>-97.66</v>
      </c>
      <c r="AG56" s="15">
        <f>-AF71/20</f>
        <v>-92.777</v>
      </c>
      <c r="AH56" s="15">
        <f>-AG71/20</f>
        <v>-88.13815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-0.35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-40.532745072232</v>
      </c>
      <c r="AF58" s="15">
        <f>IF(AF66&gt;0,AF66*$AE$57,0)</f>
        <v>-40.0342009548432</v>
      </c>
      <c r="AG58" s="15">
        <f>IF(AG66&gt;0,AG66*$AE$57,0)</f>
        <v>-41.0213183072732</v>
      </c>
      <c r="AH58" s="15">
        <f>IF(AH66&gt;0,AH66*$AE$57,0)</f>
        <v>-42.5316078564916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-2.891568675379</v>
      </c>
      <c r="AF59" s="15">
        <f>AF55+AF56+AF58</f>
        <v>1.3225636780418</v>
      </c>
      <c r="AG59" s="15">
        <f>AG55+AG56+AG58</f>
        <v>8.0387816182698</v>
      </c>
      <c r="AH59" s="15">
        <f>AH55+AH56+AH58</f>
        <v>15.4824550668174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2.891568675379</v>
      </c>
      <c r="AF60" s="15">
        <f>-MIN(AE72,AF59)</f>
        <v>-1.3225636780418</v>
      </c>
      <c r="AG60" s="15">
        <f>-MIN(AF72,AG59)</f>
        <v>-1.5690049973372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807</v>
      </c>
      <c r="AF61" s="15">
        <f>AE63</f>
        <v>807</v>
      </c>
      <c r="AG61" s="15">
        <f>AF63</f>
        <v>807</v>
      </c>
      <c r="AH61" s="15">
        <f>AG63</f>
        <v>813.469776620933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6.4697766209326</v>
      </c>
      <c r="AH62" s="15">
        <f>AH55+AH56+AH58+AH60</f>
        <v>15.4824550668174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807</v>
      </c>
      <c r="AF63" s="15">
        <f>AF61+AF62</f>
        <v>807</v>
      </c>
      <c r="AG63" s="15">
        <f>AG61+AG62</f>
        <v>813.469776620933</v>
      </c>
      <c r="AH63" s="15">
        <f>AH61+AH62</f>
        <v>828.952231687750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-26.6333333333333</v>
      </c>
      <c r="AF65" s="15">
        <f>AE65</f>
        <v>-26.6333333333333</v>
      </c>
      <c r="AG65" s="15">
        <f>AF65</f>
        <v>-26.6333333333333</v>
      </c>
      <c r="AH65" s="15">
        <f>AG65</f>
        <v>-26.6333333333333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115.807843063520</v>
      </c>
      <c r="AF66" s="15">
        <f>(AF52*AF53)+AF65</f>
        <v>114.383431299552</v>
      </c>
      <c r="AG66" s="15">
        <f>(AG52*AG53)+AG65</f>
        <v>117.203766592209</v>
      </c>
      <c r="AH66" s="15">
        <f>(AH52*AH53)+AH65</f>
        <v>121.518879589976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3133</v>
      </c>
      <c r="AF68" s="15">
        <f>AE68-AF54</f>
        <v>3135</v>
      </c>
      <c r="AG68" s="15">
        <f>AF68-AG54</f>
        <v>3137</v>
      </c>
      <c r="AH68" s="15">
        <f>AG68-AH54</f>
        <v>3139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26.6333333333333</v>
      </c>
      <c r="AF69" s="15">
        <f>AE69-AF65</f>
        <v>53.2666666666666</v>
      </c>
      <c r="AG69" s="15">
        <f>AF69-AG65</f>
        <v>79.89999999999991</v>
      </c>
      <c r="AH69" s="15">
        <f>AG69-AH65</f>
        <v>106.533333333333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3106.366666666670</v>
      </c>
      <c r="AF70" s="15">
        <f>AF68-AF69</f>
        <v>3081.733333333330</v>
      </c>
      <c r="AG70" s="15">
        <f>AG68-AG69</f>
        <v>3057.1</v>
      </c>
      <c r="AH70" s="15">
        <f>AH68-AH69</f>
        <v>3032.466666666670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1953.2</v>
      </c>
      <c r="AF71" s="15">
        <f>AE71+AF56</f>
        <v>1855.54</v>
      </c>
      <c r="AG71" s="15">
        <f>AF71+AG56</f>
        <v>1762.763</v>
      </c>
      <c r="AH71" s="15">
        <f>AG71+AH56</f>
        <v>1674.62485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2.891568675379</v>
      </c>
      <c r="AF72" s="15">
        <f>AE72+AF60</f>
        <v>1.5690049973372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1957.275097991290</v>
      </c>
      <c r="AF73" s="15">
        <f>AE73+AF66+AF58</f>
        <v>2031.624328336</v>
      </c>
      <c r="AG73" s="15">
        <f>AF73+AG66+AG58</f>
        <v>2107.806776620940</v>
      </c>
      <c r="AH73" s="15">
        <f>AG73+AH66+AH58</f>
        <v>2186.794048354420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-1e-12</v>
      </c>
      <c r="AF74" s="15">
        <f>AF71+AF72+AF73-AF63-AF70</f>
        <v>7.2e-12</v>
      </c>
      <c r="AG74" s="15">
        <f>AG71+AG72+AG73-AG63-AG70</f>
        <v>7e-12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-1149.091568675380</v>
      </c>
      <c r="AF75" s="15">
        <f>AF63-AF71-AF72</f>
        <v>-1050.109004997340</v>
      </c>
      <c r="AG75" s="15">
        <f>AG63-AG71-AG72</f>
        <v>-949.2932233790669</v>
      </c>
      <c r="AH75" s="15">
        <f>AH63-AH71-AH72</f>
        <v>-845.6726183122501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-140.441176396853</v>
      </c>
      <c r="AF76" s="15">
        <f>AF56+AF58+AF60</f>
        <v>-139.016764632885</v>
      </c>
      <c r="AG76" s="15">
        <f>AG56+AG58+AG60</f>
        <v>-135.367323304610</v>
      </c>
      <c r="AH76" s="15">
        <f>AH56+AH58+AH60</f>
        <v>-130.669757856492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776</v>
      </c>
      <c r="AD78" s="14"/>
      <c r="AE78" s="15"/>
      <c r="AF78" s="15"/>
      <c r="AG78" s="15"/>
      <c r="AH78" s="15">
        <v>7200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776</v>
      </c>
      <c r="AD79" s="14"/>
      <c r="AE79" s="15"/>
      <c r="AF79" s="15"/>
      <c r="AG79" s="15"/>
      <c r="AH79" s="15">
        <v>6613149542400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6613.1495424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0.918492992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1.71262163377774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0.0248172026261603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738.4</v>
      </c>
      <c r="AH84" s="15">
        <f>SUM(AE55:AH55)</f>
        <v>567.447253878590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5.3440502988415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11.6542101441114</v>
      </c>
      <c r="AH86" s="15">
        <v>13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7376.814300421670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8031.432318671050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0.115476710926535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0.0657842488418266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0.00737662337662338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776</v>
      </c>
      <c r="AF94" t="s" s="44">
        <v>60</v>
      </c>
      <c r="AG94" s="15">
        <f>AH78</f>
        <v>7200</v>
      </c>
      <c r="AH94" t="s" s="44">
        <v>61</v>
      </c>
      <c r="AI94" s="15">
        <f>AH88</f>
        <v>8031.432318671050</v>
      </c>
      <c r="AJ94" t="s" s="44">
        <f>IF(AK94&gt;0,"+","")</f>
        <v>361</v>
      </c>
      <c r="AK94" s="16">
        <f>AI94/AG94-1</f>
        <v>0.115476710926535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0.0657842488418266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0.111656328843885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0.0409789614256402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-0.188866135869464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-0.00959409594095941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0.0522284122562674</v>
      </c>
      <c r="AF103" s="16">
        <f>P23</f>
        <v>-0.0205162144275314</v>
      </c>
      <c r="AG103" s="16">
        <f>P24</f>
        <v>0.0378378378378378</v>
      </c>
      <c r="AH103" s="16">
        <f>P25</f>
        <v>0.05859375</v>
      </c>
      <c r="AI103" s="16">
        <f>P26</f>
        <v>-0.00959409594095941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3022</v>
      </c>
      <c r="AF104" t="s" s="44">
        <v>72</v>
      </c>
      <c r="AG104" s="15">
        <f>C23</f>
        <v>2960</v>
      </c>
      <c r="AH104" t="s" s="44">
        <v>72</v>
      </c>
      <c r="AI104" s="15">
        <f>C24</f>
        <v>3072</v>
      </c>
      <c r="AJ104" t="s" s="44">
        <v>72</v>
      </c>
      <c r="AK104" s="15">
        <f>C25</f>
        <v>3252</v>
      </c>
      <c r="AL104" t="s" s="44">
        <v>72</v>
      </c>
      <c r="AM104" s="15">
        <f>C26</f>
        <v>3220.8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-0.00959409594095941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3220.8</v>
      </c>
      <c r="AM105" t="s" s="44">
        <v>372</v>
      </c>
      <c r="AN105" t="s" s="44">
        <v>373</v>
      </c>
      <c r="AO105" s="16">
        <f>AH91</f>
        <v>0.00737662337662338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0.0165803193673367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3383.434102752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0.0373924553275976</v>
      </c>
      <c r="AF110" s="16">
        <f>(D23+E23)/C23</f>
        <v>0.0489864864864865</v>
      </c>
      <c r="AG110" s="16">
        <f>((E24+D24)/C24)</f>
        <v>0.0484375</v>
      </c>
      <c r="AH110" s="16">
        <f>(D25+E25)/C25</f>
        <v>0.0403751537515375</v>
      </c>
      <c r="AI110" s="16">
        <f>(D26+E26)/C26</f>
        <v>0.0373509687034277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99</v>
      </c>
      <c r="AF111" t="s" s="44">
        <v>72</v>
      </c>
      <c r="AG111" s="15">
        <f>E23</f>
        <v>131</v>
      </c>
      <c r="AH111" t="s" s="44">
        <v>72</v>
      </c>
      <c r="AI111" s="15">
        <f>E24</f>
        <v>123</v>
      </c>
      <c r="AJ111" t="s" s="44">
        <v>72</v>
      </c>
      <c r="AK111" s="15">
        <f>E25</f>
        <v>104.8</v>
      </c>
      <c r="AL111" t="s" s="44">
        <v>72</v>
      </c>
      <c r="AM111" s="15">
        <f>E26</f>
        <v>92.7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0.0403751537515375</v>
      </c>
      <c r="AG112" t="s" s="44">
        <v>76</v>
      </c>
      <c r="AH112" s="16">
        <f>AI110</f>
        <v>0.0373509687034277</v>
      </c>
      <c r="AI112" t="s" s="44">
        <v>90</v>
      </c>
      <c r="AJ112" s="15">
        <f>AK111</f>
        <v>104.8</v>
      </c>
      <c r="AK112" t="s" s="44">
        <v>76</v>
      </c>
      <c r="AL112" s="15">
        <f>AM111</f>
        <v>92.7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0.0437875272353629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0.0437875272353629</v>
      </c>
      <c r="AG114" t="s" s="44">
        <v>94</v>
      </c>
      <c r="AH114" s="15">
        <f>AH66</f>
        <v>121.518879589976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327.5</v>
      </c>
      <c r="AF117" t="s" s="44">
        <v>72</v>
      </c>
      <c r="AG117" s="15">
        <f>J23</f>
        <v>-70.40000000000001</v>
      </c>
      <c r="AH117" t="s" s="44">
        <v>72</v>
      </c>
      <c r="AI117" s="15">
        <f>J24</f>
        <v>379.9</v>
      </c>
      <c r="AJ117" t="s" s="44">
        <v>72</v>
      </c>
      <c r="AK117" s="15">
        <f>J25</f>
        <v>-61.8</v>
      </c>
      <c r="AL117" t="s" s="44">
        <v>72</v>
      </c>
      <c r="AM117" s="15">
        <f>J26</f>
        <v>280.8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-243</v>
      </c>
      <c r="AF118" t="s" s="44">
        <v>72</v>
      </c>
      <c r="AG118" s="15">
        <f>K23</f>
        <v>57</v>
      </c>
      <c r="AH118" t="s" s="44">
        <v>72</v>
      </c>
      <c r="AI118" s="15">
        <f>K24</f>
        <v>-444</v>
      </c>
      <c r="AJ118" t="s" s="44">
        <v>72</v>
      </c>
      <c r="AK118" s="15">
        <f>K25</f>
        <v>197.3</v>
      </c>
      <c r="AL118" t="s" s="44">
        <v>72</v>
      </c>
      <c r="AM118" s="15">
        <f>K26</f>
        <v>399.6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135.5</v>
      </c>
      <c r="AG119" t="s" s="44">
        <v>76</v>
      </c>
      <c r="AH119" s="15">
        <f>AM117+AM118</f>
        <v>680.4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399.6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184.6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141.861813469648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339</v>
      </c>
      <c r="AF124" t="s" s="44">
        <v>72</v>
      </c>
      <c r="AG124" s="15">
        <f>F23</f>
        <v>326</v>
      </c>
      <c r="AH124" t="s" s="44">
        <v>72</v>
      </c>
      <c r="AI124" s="15">
        <f>F24</f>
        <v>261</v>
      </c>
      <c r="AJ124" t="s" s="44">
        <v>72</v>
      </c>
      <c r="AK124" s="15">
        <f>F25</f>
        <v>126</v>
      </c>
      <c r="AL124" t="s" s="44">
        <v>72</v>
      </c>
      <c r="AM124" s="15">
        <f>F26</f>
        <v>807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1960</v>
      </c>
      <c r="AF125" t="s" s="44">
        <v>72</v>
      </c>
      <c r="AG125" s="15">
        <f>G23</f>
        <v>1643</v>
      </c>
      <c r="AH125" t="s" s="44">
        <v>72</v>
      </c>
      <c r="AI125" s="15">
        <f>G24</f>
        <v>2278</v>
      </c>
      <c r="AJ125" t="s" s="44">
        <v>72</v>
      </c>
      <c r="AK125" s="15">
        <f>G25</f>
        <v>2015</v>
      </c>
      <c r="AL125" t="s" s="44">
        <v>72</v>
      </c>
      <c r="AM125" s="15">
        <f>G26</f>
        <v>2056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126</v>
      </c>
      <c r="AH126" t="s" s="44">
        <v>76</v>
      </c>
      <c r="AI126" s="15">
        <f>AM124</f>
        <v>807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2015</v>
      </c>
      <c r="AH127" t="s" s="44">
        <v>76</v>
      </c>
      <c r="AI127" s="15">
        <f>AM125</f>
        <v>2056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-1889</v>
      </c>
      <c r="AO127" t="s" s="44">
        <v>76</v>
      </c>
      <c r="AP127" s="15">
        <f>AI126-AI127</f>
        <v>-1249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-164.119872190840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-381.37515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-845.6726183122501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0</v>
      </c>
      <c r="AH131" t="s" s="44">
        <v>72</v>
      </c>
      <c r="AI131" s="15">
        <f>-L24</f>
        <v>0</v>
      </c>
      <c r="AJ131" t="s" s="44">
        <v>72</v>
      </c>
      <c r="AK131" s="15">
        <f>-L25</f>
        <v>0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32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271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776</v>
      </c>
      <c r="AF133" t="s" s="44">
        <f>IF(AG133&gt;0,"paid","(raised)")</f>
        <v>121</v>
      </c>
      <c r="AG133" s="15">
        <f>SUM(AM131:AM132)</f>
        <v>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545.495022190840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6613.1495424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1.71262163377774</v>
      </c>
      <c r="AK134" t="s" s="44">
        <v>130</v>
      </c>
      <c r="AL134" t="s" s="44">
        <v>131</v>
      </c>
      <c r="AM134" t="s" s="44">
        <v>132</v>
      </c>
      <c r="AN134" s="15">
        <f>AH85</f>
        <v>5.3440502988415</v>
      </c>
      <c r="AO134" t="s" s="44">
        <v>133</v>
      </c>
      <c r="AP134" s="16">
        <f>-AF128/AF134</f>
        <v>0.0248172026261603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567.447253878590</v>
      </c>
      <c r="AG135" t="s" s="44">
        <f>AG134</f>
        <v>372</v>
      </c>
      <c r="AH135" t="s" s="44">
        <v>136</v>
      </c>
      <c r="AI135" s="15">
        <f>AF134/AF135</f>
        <v>11.6542101441114</v>
      </c>
      <c r="AJ135" t="s" s="44">
        <v>130</v>
      </c>
      <c r="AK135" t="s" s="44">
        <v>137</v>
      </c>
      <c r="AL135" t="s" s="44">
        <v>138</v>
      </c>
      <c r="AM135" s="15">
        <f>AH86</f>
        <v>13</v>
      </c>
      <c r="AN135" t="s" s="44">
        <v>139</v>
      </c>
      <c r="AO135" t="s" s="44">
        <v>140</v>
      </c>
      <c r="AP135" t="s" s="44">
        <v>141</v>
      </c>
      <c r="AQ135" s="16">
        <f>AK94</f>
        <v>0.115476710926535</v>
      </c>
      <c r="AR135" t="s" s="44">
        <f>IF(AQ135&gt;0,"higher","lower")</f>
        <v>363</v>
      </c>
      <c r="AS135" t="s" s="44">
        <v>142</v>
      </c>
      <c r="AT135" s="15">
        <f>AI94</f>
        <v>8031.432318671050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3022</v>
      </c>
      <c r="AE137" s="15">
        <f>AG104</f>
        <v>2960</v>
      </c>
      <c r="AF137" s="15">
        <f>AI104</f>
        <v>3072</v>
      </c>
      <c r="AG137" s="15">
        <f>AK104</f>
        <v>3252</v>
      </c>
      <c r="AH137" s="15">
        <f>AM104</f>
        <v>3220.8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84.5</v>
      </c>
      <c r="AE138" s="15">
        <f>SUM(AG117:AG118)</f>
        <v>-13.4</v>
      </c>
      <c r="AF138" s="15">
        <f>SUM(AI117:AI118)</f>
        <v>-64.09999999999999</v>
      </c>
      <c r="AG138" s="15">
        <f>SUM(AK117:AK118)</f>
        <v>135.5</v>
      </c>
      <c r="AH138" s="15">
        <f>SUM(AM117:AM118)</f>
        <v>680.4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32</v>
      </c>
      <c r="AE139" s="15">
        <f>SUM(AG131:AG132)</f>
        <v>0</v>
      </c>
      <c r="AF139" s="15">
        <f>SUM(AI131:AI132)</f>
        <v>0</v>
      </c>
      <c r="AG139" s="15">
        <f>SUM(AK131:AK132)</f>
        <v>271</v>
      </c>
      <c r="AH139" s="15">
        <f>SUM(AM131:AM132)</f>
        <v>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-1621</v>
      </c>
      <c r="AE140" s="15">
        <f>(AG124-AG125)</f>
        <v>-1317</v>
      </c>
      <c r="AF140" s="15">
        <f>(AI124-AI125)</f>
        <v>-2017</v>
      </c>
      <c r="AG140" s="15">
        <f>(AK124-AK125)</f>
        <v>-1889</v>
      </c>
      <c r="AH140" s="15">
        <f>(AM124-AM125)</f>
        <v>-1249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8031.432318671050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10" customWidth="1"/>
    <col min="2" max="26" width="10.4844" style="410" customWidth="1"/>
    <col min="27" max="27" width="18.9766" style="411" customWidth="1"/>
    <col min="28" max="46" width="9" style="411" customWidth="1"/>
    <col min="47" max="16384" width="16.3516" style="411" customWidth="1"/>
  </cols>
  <sheetData>
    <row r="1" ht="11.65" customHeight="1"/>
    <row r="2" ht="27.65" customHeight="1">
      <c r="B2" t="s" s="2">
        <v>777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778</v>
      </c>
      <c r="W3" t="s" s="3">
        <v>18</v>
      </c>
      <c r="X3" t="s" s="3">
        <v>264</v>
      </c>
      <c r="Y3" t="s" s="3">
        <v>19</v>
      </c>
      <c r="Z3" t="s" s="3">
        <v>20</v>
      </c>
    </row>
    <row r="4" ht="20.25" customHeight="1">
      <c r="B4" s="6">
        <v>2017</v>
      </c>
      <c r="C4" s="7">
        <v>3604.3</v>
      </c>
      <c r="D4" s="8">
        <v>279.3</v>
      </c>
      <c r="E4" s="8">
        <v>106.4</v>
      </c>
      <c r="F4" s="8"/>
      <c r="G4" s="8"/>
      <c r="H4" s="8"/>
      <c r="I4" s="8">
        <v>3098.9</v>
      </c>
      <c r="J4" s="8">
        <v>651.7</v>
      </c>
      <c r="K4" s="8">
        <v>-598.5</v>
      </c>
      <c r="L4" s="8">
        <v>132.16875</v>
      </c>
      <c r="M4" s="8">
        <v>106.795675</v>
      </c>
      <c r="N4" s="8"/>
      <c r="O4" s="8"/>
      <c r="P4" s="9"/>
      <c r="Q4" s="9"/>
      <c r="R4" s="9"/>
      <c r="S4" s="9"/>
      <c r="T4" s="8">
        <f>J4+K4</f>
        <v>53.2</v>
      </c>
      <c r="U4" s="8">
        <f>-(L4+M4)</f>
        <v>-238.964425</v>
      </c>
      <c r="V4" s="8">
        <v>21325.5576576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>
        <v>3385.058</v>
      </c>
      <c r="D5" s="15">
        <v>279.867</v>
      </c>
      <c r="E5" s="15">
        <v>-53.308</v>
      </c>
      <c r="F5" s="15"/>
      <c r="G5" s="15"/>
      <c r="H5" s="15"/>
      <c r="I5" s="15">
        <v>3051.883</v>
      </c>
      <c r="J5" s="15">
        <v>279.867</v>
      </c>
      <c r="K5" s="15">
        <v>-79.962</v>
      </c>
      <c r="L5" s="15">
        <v>132.4370625</v>
      </c>
      <c r="M5" s="15">
        <v>107.01247825</v>
      </c>
      <c r="N5" s="15"/>
      <c r="O5" s="15"/>
      <c r="P5" s="16"/>
      <c r="Q5" s="17"/>
      <c r="R5" s="17"/>
      <c r="S5" s="17"/>
      <c r="T5" s="15">
        <f>J5+K5+T4</f>
        <v>253.105</v>
      </c>
      <c r="U5" s="15">
        <f>-(L5+M5)+U4</f>
        <v>-478.41396575</v>
      </c>
      <c r="V5" s="15">
        <f>V4</f>
        <v>21325.5576576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>
        <v>3432.69</v>
      </c>
      <c r="D6" s="15">
        <v>279.405</v>
      </c>
      <c r="E6" s="15">
        <v>239.49</v>
      </c>
      <c r="F6" s="15"/>
      <c r="G6" s="15"/>
      <c r="H6" s="15"/>
      <c r="I6" s="15">
        <v>3179.895</v>
      </c>
      <c r="J6" s="15">
        <v>-959.2905</v>
      </c>
      <c r="K6" s="15">
        <v>-1157.535</v>
      </c>
      <c r="L6" s="15">
        <v>132.2184375</v>
      </c>
      <c r="M6" s="15">
        <v>106.83582375</v>
      </c>
      <c r="N6" s="15"/>
      <c r="O6" s="15"/>
      <c r="P6" s="16"/>
      <c r="Q6" s="17"/>
      <c r="R6" s="17"/>
      <c r="S6" s="17"/>
      <c r="T6" s="15">
        <f>J6+K6+T5</f>
        <v>-1863.7205</v>
      </c>
      <c r="U6" s="15">
        <f>-(L6+M6)+U5</f>
        <v>-717.468227</v>
      </c>
      <c r="V6" s="15">
        <f>V5</f>
        <v>21325.5576576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>
        <v>3104.553</v>
      </c>
      <c r="D7" s="15">
        <v>271.14</v>
      </c>
      <c r="E7" s="15">
        <v>67.785</v>
      </c>
      <c r="F7" s="15"/>
      <c r="G7" s="15"/>
      <c r="H7" s="15"/>
      <c r="I7" s="15">
        <v>3633.276</v>
      </c>
      <c r="J7" s="15">
        <v>652.0916999999999</v>
      </c>
      <c r="K7" s="15">
        <v>460.938</v>
      </c>
      <c r="L7" s="15">
        <v>134.7226875</v>
      </c>
      <c r="M7" s="15">
        <v>108.85932075</v>
      </c>
      <c r="N7" s="15"/>
      <c r="O7" s="15"/>
      <c r="P7" s="16"/>
      <c r="Q7" s="17"/>
      <c r="R7" s="17"/>
      <c r="S7" s="17"/>
      <c r="T7" s="15">
        <f>J7+K7+T6</f>
        <v>-750.6908</v>
      </c>
      <c r="U7" s="15">
        <f>-(L7+M7)+U6</f>
        <v>-961.05023525</v>
      </c>
      <c r="V7" s="15">
        <f>V6</f>
        <v>21325.5576576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v>3798.036</v>
      </c>
      <c r="D8" s="15">
        <v>316.503</v>
      </c>
      <c r="E8" s="15">
        <v>646.7670000000001</v>
      </c>
      <c r="F8" s="15">
        <v>1128.402</v>
      </c>
      <c r="G8" s="15">
        <v>22100.166</v>
      </c>
      <c r="H8" s="15">
        <v>36466.65</v>
      </c>
      <c r="I8" s="15">
        <v>4210.866</v>
      </c>
      <c r="J8" s="15">
        <v>880.704</v>
      </c>
      <c r="K8" s="15">
        <v>-1431.144</v>
      </c>
      <c r="L8" s="15">
        <v>442.705131</v>
      </c>
      <c r="M8" s="15">
        <v>-23.0703165</v>
      </c>
      <c r="N8" s="15">
        <f>SUM(C5:C8)/4</f>
        <v>3430.08425</v>
      </c>
      <c r="O8" s="15"/>
      <c r="P8" s="16"/>
      <c r="Q8" s="16"/>
      <c r="R8" s="16"/>
      <c r="S8" s="15">
        <f>SUM(J5:K8)/4</f>
        <v>-338.5827</v>
      </c>
      <c r="T8" s="15">
        <f>J8+K8+T7</f>
        <v>-1301.1308</v>
      </c>
      <c r="U8" s="15">
        <f>-(L8+M8)+U7</f>
        <v>-1380.68504975</v>
      </c>
      <c r="V8" s="15">
        <f>V7</f>
        <v>21325.5576576</v>
      </c>
      <c r="W8" s="15">
        <f>F8-G8</f>
        <v>-20971.764</v>
      </c>
      <c r="X8" s="15">
        <v>6830.276855</v>
      </c>
      <c r="Y8" s="22"/>
      <c r="Z8" s="20">
        <v>13.761</v>
      </c>
    </row>
    <row r="9" ht="20.05" customHeight="1">
      <c r="B9" s="13"/>
      <c r="C9" s="14">
        <v>3808</v>
      </c>
      <c r="D9" s="15">
        <v>322</v>
      </c>
      <c r="E9" s="15">
        <v>1414</v>
      </c>
      <c r="F9" s="15">
        <v>2450</v>
      </c>
      <c r="G9" s="15">
        <v>23674</v>
      </c>
      <c r="H9" s="15">
        <v>39620</v>
      </c>
      <c r="I9" s="15">
        <v>3682</v>
      </c>
      <c r="J9" s="15">
        <v>0</v>
      </c>
      <c r="K9" s="15">
        <v>-168</v>
      </c>
      <c r="L9" s="15">
        <v>450.394</v>
      </c>
      <c r="M9" s="15">
        <v>-23.471</v>
      </c>
      <c r="N9" s="15">
        <f>SUM(C6:C9)/4</f>
        <v>3535.81975</v>
      </c>
      <c r="O9" s="15"/>
      <c r="P9" s="16"/>
      <c r="Q9" s="16"/>
      <c r="R9" s="16"/>
      <c r="S9" s="15">
        <f>SUM(J6:K9)/4</f>
        <v>-430.55895</v>
      </c>
      <c r="T9" s="15">
        <f>J9+K9+T8</f>
        <v>-1469.1308</v>
      </c>
      <c r="U9" s="15">
        <f>-(L9+M9)+U8</f>
        <v>-1807.60804975</v>
      </c>
      <c r="V9" s="15">
        <f>V8</f>
        <v>21325.5576576</v>
      </c>
      <c r="W9" s="15">
        <f>F13-G9</f>
        <v>-21569.077</v>
      </c>
      <c r="X9" s="15">
        <v>16184.785156</v>
      </c>
      <c r="Y9" s="22"/>
      <c r="Z9" s="20">
        <v>14</v>
      </c>
    </row>
    <row r="10" ht="20.05" customHeight="1">
      <c r="B10" s="13"/>
      <c r="C10" s="14">
        <v>4008.638</v>
      </c>
      <c r="D10" s="15">
        <v>342.746</v>
      </c>
      <c r="E10" s="15">
        <v>1490.2</v>
      </c>
      <c r="F10" s="15">
        <v>2429.026</v>
      </c>
      <c r="G10" s="15">
        <v>25258.89</v>
      </c>
      <c r="H10" s="15">
        <v>43737.37</v>
      </c>
      <c r="I10" s="15">
        <v>3546.676</v>
      </c>
      <c r="J10" s="15">
        <v>-298.04</v>
      </c>
      <c r="K10" s="15">
        <v>59.608</v>
      </c>
      <c r="L10" s="15">
        <v>479.412242</v>
      </c>
      <c r="M10" s="15">
        <v>-24.983203</v>
      </c>
      <c r="N10" s="15">
        <f>SUM(C7:C10)/4</f>
        <v>3679.80675</v>
      </c>
      <c r="O10" s="15"/>
      <c r="P10" s="16"/>
      <c r="Q10" s="16"/>
      <c r="R10" s="16"/>
      <c r="S10" s="15">
        <f>SUM(J7:K10)/4</f>
        <v>39.039425</v>
      </c>
      <c r="T10" s="15">
        <f>J10+K10+T9</f>
        <v>-1707.5628</v>
      </c>
      <c r="U10" s="15">
        <f>-(L10+M10)+U9</f>
        <v>-2262.03708875</v>
      </c>
      <c r="V10" s="15">
        <f>V9</f>
        <v>21325.5576576</v>
      </c>
      <c r="W10" s="15">
        <f>F10-G10</f>
        <v>-22829.864</v>
      </c>
      <c r="X10" s="15">
        <v>13666.007813</v>
      </c>
      <c r="Y10" s="22"/>
      <c r="Z10" s="20">
        <v>14.902</v>
      </c>
    </row>
    <row r="11" ht="20.05" customHeight="1">
      <c r="B11" s="13"/>
      <c r="C11" s="14">
        <v>3436.82</v>
      </c>
      <c r="D11" s="15">
        <v>330.74</v>
      </c>
      <c r="E11" s="15">
        <v>-28.76</v>
      </c>
      <c r="F11" s="15">
        <v>2185.76</v>
      </c>
      <c r="G11" s="15">
        <v>24877.4</v>
      </c>
      <c r="H11" s="15">
        <v>42636.7</v>
      </c>
      <c r="I11" s="15">
        <v>3767.56</v>
      </c>
      <c r="J11" s="15">
        <v>-43.14</v>
      </c>
      <c r="K11" s="15">
        <v>-316.36</v>
      </c>
      <c r="L11" s="15">
        <v>462.61898</v>
      </c>
      <c r="M11" s="15">
        <v>-24.10807</v>
      </c>
      <c r="N11" s="15">
        <f>SUM(C8:C11)/4</f>
        <v>3762.8735</v>
      </c>
      <c r="O11" s="15"/>
      <c r="P11" s="16"/>
      <c r="Q11" s="16">
        <f>J11/I11</f>
        <v>-0.0114503816793893</v>
      </c>
      <c r="R11" s="16"/>
      <c r="S11" s="15">
        <f>SUM(J8:K11)/4</f>
        <v>-329.093</v>
      </c>
      <c r="T11" s="15">
        <f>J11+K11+T10</f>
        <v>-2067.0628</v>
      </c>
      <c r="U11" s="15">
        <f>-(L11+M11)+U10</f>
        <v>-2700.54799875</v>
      </c>
      <c r="V11" s="15">
        <f>V10</f>
        <v>21325.5576576</v>
      </c>
      <c r="W11" s="15">
        <f>F11-G11</f>
        <v>-22691.64</v>
      </c>
      <c r="X11" s="15">
        <v>11012.172852</v>
      </c>
      <c r="Y11" s="22"/>
      <c r="Z11" s="20">
        <v>14.38</v>
      </c>
    </row>
    <row r="12" ht="20.05" customHeight="1">
      <c r="B12" s="21">
        <v>2019</v>
      </c>
      <c r="C12" s="14">
        <v>4371.68</v>
      </c>
      <c r="D12" s="15">
        <v>1041.656</v>
      </c>
      <c r="E12" s="15">
        <v>683.52</v>
      </c>
      <c r="F12" s="15">
        <v>2050.56</v>
      </c>
      <c r="G12" s="15">
        <v>23766.56</v>
      </c>
      <c r="H12" s="15">
        <v>42022.24</v>
      </c>
      <c r="I12" s="15">
        <v>4485.6</v>
      </c>
      <c r="J12" s="15">
        <v>1274.48</v>
      </c>
      <c r="K12" s="15">
        <v>-106.8</v>
      </c>
      <c r="L12" s="15">
        <v>-389.019</v>
      </c>
      <c r="M12" s="15">
        <v>-39.57652</v>
      </c>
      <c r="N12" s="15">
        <f>SUM(C9:C12)/4</f>
        <v>3906.2845</v>
      </c>
      <c r="O12" s="23"/>
      <c r="P12" s="16"/>
      <c r="Q12" s="16">
        <f>J12/I12</f>
        <v>0.284126984126984</v>
      </c>
      <c r="R12" s="16">
        <f>AVERAGE(Q9:Q12)</f>
        <v>0.136338301223797</v>
      </c>
      <c r="S12" s="15">
        <f>SUM(J9:K12)/4</f>
        <v>100.437</v>
      </c>
      <c r="T12" s="15">
        <f>J12+K12+T11</f>
        <v>-899.3828</v>
      </c>
      <c r="U12" s="15">
        <f>-(L12+M12)+U11</f>
        <v>-2271.95247875</v>
      </c>
      <c r="V12" s="15">
        <f>V11</f>
        <v>21325.5576576</v>
      </c>
      <c r="W12" s="15">
        <f>F12-G12</f>
        <v>-21716</v>
      </c>
      <c r="X12" s="15">
        <v>10788.953125</v>
      </c>
      <c r="Y12" s="22"/>
      <c r="Z12" s="20">
        <v>14.24</v>
      </c>
    </row>
    <row r="13" ht="20.05" customHeight="1">
      <c r="B13" s="13"/>
      <c r="C13" s="14">
        <v>3828.417</v>
      </c>
      <c r="D13" s="15">
        <v>1019.26305</v>
      </c>
      <c r="E13" s="15">
        <v>805.239</v>
      </c>
      <c r="F13" s="15">
        <v>2104.923</v>
      </c>
      <c r="G13" s="15">
        <v>23676.852</v>
      </c>
      <c r="H13" s="15">
        <v>42423.381</v>
      </c>
      <c r="I13" s="15">
        <v>3701.274</v>
      </c>
      <c r="J13" s="15">
        <v>-35.3175</v>
      </c>
      <c r="K13" s="15">
        <v>53.6826</v>
      </c>
      <c r="L13" s="15">
        <v>-385.93198125</v>
      </c>
      <c r="M13" s="15">
        <v>-39.26246475</v>
      </c>
      <c r="N13" s="15">
        <f>SUM(C10:C13)/4</f>
        <v>3911.38875</v>
      </c>
      <c r="O13" s="23"/>
      <c r="P13" s="16">
        <f>C13/C12-1</f>
        <v>-0.124268702192292</v>
      </c>
      <c r="Q13" s="16">
        <f>J13/I13</f>
        <v>-0.009541984732824429</v>
      </c>
      <c r="R13" s="16">
        <f>AVERAGE(Q10:Q13)</f>
        <v>0.08771153923825679</v>
      </c>
      <c r="S13" s="15">
        <f>SUM(J10:K13)/4</f>
        <v>147.028275</v>
      </c>
      <c r="T13" s="15">
        <f>J13+K13+T12</f>
        <v>-881.0177</v>
      </c>
      <c r="U13" s="15">
        <f>-(L13+M13)+U12</f>
        <v>-1846.75803275</v>
      </c>
      <c r="V13" s="15">
        <f>V12</f>
        <v>21325.5576576</v>
      </c>
      <c r="W13" s="15">
        <f>F13-G13</f>
        <v>-21571.929</v>
      </c>
      <c r="X13" s="15">
        <v>12475.501953</v>
      </c>
      <c r="Y13" s="24"/>
      <c r="Z13" s="15">
        <v>14.127</v>
      </c>
    </row>
    <row r="14" ht="20.05" customHeight="1">
      <c r="B14" s="13"/>
      <c r="C14" s="14">
        <v>3534.555</v>
      </c>
      <c r="D14" s="15">
        <v>1038.36425</v>
      </c>
      <c r="E14" s="15">
        <v>667.165</v>
      </c>
      <c r="F14" s="15">
        <v>2186.03</v>
      </c>
      <c r="G14" s="15">
        <v>24074.72</v>
      </c>
      <c r="H14" s="15">
        <v>43578.65</v>
      </c>
      <c r="I14" s="15">
        <v>3080.315</v>
      </c>
      <c r="J14" s="15">
        <v>447.1425</v>
      </c>
      <c r="K14" s="15">
        <v>24.1315</v>
      </c>
      <c r="L14" s="15">
        <v>-387.78965625</v>
      </c>
      <c r="M14" s="15">
        <v>-39.45145375</v>
      </c>
      <c r="N14" s="15">
        <f>SUM(C11:C14)/4</f>
        <v>3792.868</v>
      </c>
      <c r="O14" s="23"/>
      <c r="P14" s="16">
        <f>C14/C13-1</f>
        <v>-0.0767580961008166</v>
      </c>
      <c r="Q14" s="16">
        <f>J14/I14</f>
        <v>0.145161290322581</v>
      </c>
      <c r="R14" s="16">
        <f>AVERAGE(Q11:Q14)</f>
        <v>0.102073977009338</v>
      </c>
      <c r="S14" s="15">
        <f>SUM(J11:K14)/4</f>
        <v>324.454775</v>
      </c>
      <c r="T14" s="15">
        <f>J14+K14+T13</f>
        <v>-409.7437</v>
      </c>
      <c r="U14" s="15">
        <f>-(L14+M14)+U13</f>
        <v>-1419.51692275</v>
      </c>
      <c r="V14" s="15">
        <f>V13</f>
        <v>21325.5576576</v>
      </c>
      <c r="W14" s="15">
        <f>F14-G14</f>
        <v>-21888.69</v>
      </c>
      <c r="X14" s="15">
        <v>10510.780273</v>
      </c>
      <c r="Y14" s="24"/>
      <c r="Z14" s="15">
        <v>14.195</v>
      </c>
    </row>
    <row r="15" ht="20.05" customHeight="1">
      <c r="B15" s="13"/>
      <c r="C15" s="14">
        <v>3054.04</v>
      </c>
      <c r="D15" s="15">
        <v>1001.5863</v>
      </c>
      <c r="E15" s="15">
        <v>208.23</v>
      </c>
      <c r="F15" s="15">
        <v>2498.76</v>
      </c>
      <c r="G15" s="15">
        <v>23280.114</v>
      </c>
      <c r="H15" s="15">
        <v>42506.684</v>
      </c>
      <c r="I15" s="15">
        <v>3845.314</v>
      </c>
      <c r="J15" s="15">
        <v>534.457</v>
      </c>
      <c r="K15" s="15">
        <v>-83.292</v>
      </c>
      <c r="L15" s="15">
        <v>-379.2388875</v>
      </c>
      <c r="M15" s="15">
        <v>-38.5815485</v>
      </c>
      <c r="N15" s="15">
        <f>SUM(C12:C15)/4</f>
        <v>3697.173</v>
      </c>
      <c r="O15" s="15"/>
      <c r="P15" s="16">
        <f>C15/C14-1</f>
        <v>-0.135947806725316</v>
      </c>
      <c r="Q15" s="16">
        <f>J15/I15</f>
        <v>0.13898916967509</v>
      </c>
      <c r="R15" s="16">
        <f>AVERAGE(Q12:Q15)</f>
        <v>0.139683864847958</v>
      </c>
      <c r="S15" s="15">
        <f>SUM(J12:K15)/4</f>
        <v>527.121025</v>
      </c>
      <c r="T15" s="15">
        <f>J15+K15+T14</f>
        <v>41.4213</v>
      </c>
      <c r="U15" s="15">
        <f>-(L15+M15)+U14</f>
        <v>-1001.69648675</v>
      </c>
      <c r="V15" s="15">
        <f>V14</f>
        <v>21325.5576576</v>
      </c>
      <c r="W15" s="15">
        <f>F15-G15</f>
        <v>-20781.354</v>
      </c>
      <c r="X15" s="15">
        <v>10236.802734</v>
      </c>
      <c r="Y15" s="24"/>
      <c r="Z15" s="15">
        <v>13.882</v>
      </c>
    </row>
    <row r="16" ht="20.05" customHeight="1">
      <c r="B16" s="21">
        <v>2020</v>
      </c>
      <c r="C16" s="14">
        <v>4354.77</v>
      </c>
      <c r="D16" s="15">
        <v>1651.99097</v>
      </c>
      <c r="E16" s="15">
        <v>2544.36</v>
      </c>
      <c r="F16" s="15">
        <v>2430.19</v>
      </c>
      <c r="G16" s="15">
        <v>25133.71</v>
      </c>
      <c r="H16" s="15">
        <v>50300.04</v>
      </c>
      <c r="I16" s="15">
        <v>4175.36</v>
      </c>
      <c r="J16" s="15">
        <v>1484.21</v>
      </c>
      <c r="K16" s="15">
        <v>-47.299</v>
      </c>
      <c r="L16" s="15">
        <v>-725.493265</v>
      </c>
      <c r="M16" s="15">
        <v>-20.9298075</v>
      </c>
      <c r="N16" s="15">
        <f>SUM(C13:C16)/4</f>
        <v>3692.9455</v>
      </c>
      <c r="O16" s="15"/>
      <c r="P16" s="16">
        <f>C16/C15-1</f>
        <v>0.425904703278281</v>
      </c>
      <c r="Q16" s="16">
        <f>J16/I16</f>
        <v>0.35546875</v>
      </c>
      <c r="R16" s="16">
        <f>AVERAGE(Q13:Q16)</f>
        <v>0.157519306316212</v>
      </c>
      <c r="S16" s="15">
        <f>SUM(J13:K16)/4</f>
        <v>594.428775</v>
      </c>
      <c r="T16" s="15">
        <f>J16+K16+T15</f>
        <v>1478.3323</v>
      </c>
      <c r="U16" s="15">
        <f>-(L16+M16)+U15</f>
        <v>-255.27341425</v>
      </c>
      <c r="V16" s="15">
        <f>V15</f>
        <v>21325.5576576</v>
      </c>
      <c r="W16" s="15">
        <f>F16-G16</f>
        <v>-22703.52</v>
      </c>
      <c r="X16" s="15">
        <v>3975.167236</v>
      </c>
      <c r="Y16" s="24"/>
      <c r="Z16" s="15">
        <v>16.31</v>
      </c>
    </row>
    <row r="17" ht="20.05" customHeight="1">
      <c r="B17" s="13"/>
      <c r="C17" s="14">
        <v>2608.665</v>
      </c>
      <c r="D17" s="15">
        <v>207.082385</v>
      </c>
      <c r="E17" s="15">
        <v>-940.83</v>
      </c>
      <c r="F17" s="15">
        <v>2409.095</v>
      </c>
      <c r="G17" s="15">
        <v>23264.16</v>
      </c>
      <c r="H17" s="15">
        <v>44247.52</v>
      </c>
      <c r="I17" s="15">
        <v>2736.96</v>
      </c>
      <c r="J17" s="15">
        <v>-855.3</v>
      </c>
      <c r="K17" s="15">
        <v>-9.9785</v>
      </c>
      <c r="L17" s="15">
        <v>-634.0837825</v>
      </c>
      <c r="M17" s="15">
        <v>-18.29272875</v>
      </c>
      <c r="N17" s="15">
        <f>SUM(C14:C17)/4</f>
        <v>3388.0075</v>
      </c>
      <c r="O17" s="15"/>
      <c r="P17" s="16">
        <f>C17/C16-1</f>
        <v>-0.400963770761716</v>
      </c>
      <c r="Q17" s="16">
        <f>J17/I17</f>
        <v>-0.3125</v>
      </c>
      <c r="R17" s="16">
        <f>AVERAGE(Q14:Q17)</f>
        <v>0.0817798024994178</v>
      </c>
      <c r="S17" s="25">
        <f>SUM(J14:K17)/4</f>
        <v>373.517875</v>
      </c>
      <c r="T17" s="15">
        <f>J17+K17+T16</f>
        <v>613.0538</v>
      </c>
      <c r="U17" s="15">
        <f>-(L17+M17)+U16</f>
        <v>397.103097</v>
      </c>
      <c r="V17" s="15">
        <f>V16</f>
        <v>21325.5576576</v>
      </c>
      <c r="W17" s="15">
        <f>F17-G17</f>
        <v>-20855.065</v>
      </c>
      <c r="X17" s="15">
        <v>5130.85498</v>
      </c>
      <c r="Y17" s="24"/>
      <c r="Z17" s="15">
        <v>14.255</v>
      </c>
    </row>
    <row r="18" ht="20.05" customHeight="1">
      <c r="B18" s="13"/>
      <c r="C18" s="14">
        <v>2958</v>
      </c>
      <c r="D18" s="15">
        <v>1175.76063</v>
      </c>
      <c r="E18" s="15">
        <v>1153.62</v>
      </c>
      <c r="F18" s="15">
        <v>2499.51</v>
      </c>
      <c r="G18" s="15">
        <v>23190.72</v>
      </c>
      <c r="H18" s="15">
        <v>46041.27</v>
      </c>
      <c r="I18" s="15">
        <v>3017.16</v>
      </c>
      <c r="J18" s="15">
        <v>1552.95</v>
      </c>
      <c r="K18" s="15">
        <v>-5.916</v>
      </c>
      <c r="L18" s="15">
        <v>-657.881385</v>
      </c>
      <c r="M18" s="15">
        <v>-18.9792675</v>
      </c>
      <c r="N18" s="15">
        <f>SUM(C15:C18)/4</f>
        <v>3243.86875</v>
      </c>
      <c r="O18" s="15"/>
      <c r="P18" s="16">
        <f>C18/C17-1</f>
        <v>0.133913323481551</v>
      </c>
      <c r="Q18" s="16">
        <f>J18/I18</f>
        <v>0.514705882352941</v>
      </c>
      <c r="R18" s="16">
        <f>AVERAGE(Q15:Q18)</f>
        <v>0.174165950507008</v>
      </c>
      <c r="S18" s="25">
        <f>SUM(J15:K18)/4</f>
        <v>642.4578749999999</v>
      </c>
      <c r="T18" s="15">
        <f>J18+K18+T17</f>
        <v>2160.0878</v>
      </c>
      <c r="U18" s="15">
        <f>-(L18+M18)+U17</f>
        <v>1073.9637495</v>
      </c>
      <c r="V18" s="15">
        <f>V17</f>
        <v>21325.5576576</v>
      </c>
      <c r="W18" s="15">
        <f>F18-G18</f>
        <v>-20691.21</v>
      </c>
      <c r="X18" s="15">
        <v>6050</v>
      </c>
      <c r="Y18" s="24"/>
      <c r="Z18" s="15">
        <v>14.79</v>
      </c>
    </row>
    <row r="19" ht="20.05" customHeight="1">
      <c r="B19" s="13"/>
      <c r="C19" s="14">
        <v>3051.945</v>
      </c>
      <c r="D19" s="15">
        <v>562.4349</v>
      </c>
      <c r="E19" s="15">
        <v>-277.347</v>
      </c>
      <c r="F19" s="15">
        <v>2270.1</v>
      </c>
      <c r="G19" s="15">
        <v>22005.588</v>
      </c>
      <c r="H19" s="15">
        <v>43329.3</v>
      </c>
      <c r="I19" s="15">
        <v>3525.846</v>
      </c>
      <c r="J19" s="15">
        <v>462.762</v>
      </c>
      <c r="K19" s="15">
        <v>-54.99</v>
      </c>
      <c r="L19" s="15">
        <v>-627.18915</v>
      </c>
      <c r="M19" s="15">
        <v>-18.093825</v>
      </c>
      <c r="N19" s="15">
        <f>SUM(C16:C19)/4</f>
        <v>3243.345</v>
      </c>
      <c r="O19" s="15"/>
      <c r="P19" s="16">
        <f>C19/C18-1</f>
        <v>0.0317596348884381</v>
      </c>
      <c r="Q19" s="16">
        <f>J19/I19</f>
        <v>0.131248500359914</v>
      </c>
      <c r="R19" s="16">
        <f>AVERAGE(Q16:Q19)</f>
        <v>0.172230783178214</v>
      </c>
      <c r="S19" s="25">
        <f>SUM(J16:K19)/4</f>
        <v>631.6096250000001</v>
      </c>
      <c r="T19" s="15">
        <f>J19+K19+T18</f>
        <v>2567.8598</v>
      </c>
      <c r="U19" s="15">
        <f>-(L19+M19)+U18</f>
        <v>1719.2467245</v>
      </c>
      <c r="V19" s="15">
        <f>V18</f>
        <v>21325.5576576</v>
      </c>
      <c r="W19" s="15">
        <f>F19-G19</f>
        <v>-19735.488</v>
      </c>
      <c r="X19" s="15">
        <v>10000</v>
      </c>
      <c r="Y19" s="24"/>
      <c r="Z19" s="15">
        <v>14.1</v>
      </c>
    </row>
    <row r="20" ht="20.05" customHeight="1">
      <c r="B20" s="21">
        <v>2021</v>
      </c>
      <c r="C20" s="14">
        <v>3896.44262</v>
      </c>
      <c r="D20" s="15">
        <v>1055.79471</v>
      </c>
      <c r="E20" s="15">
        <v>1095.30394</v>
      </c>
      <c r="F20" s="15">
        <v>2512.232</v>
      </c>
      <c r="G20" s="15">
        <v>22522.452</v>
      </c>
      <c r="H20" s="15">
        <v>45716.78</v>
      </c>
      <c r="I20" s="15">
        <v>2859.8548</v>
      </c>
      <c r="J20" s="15">
        <v>-393.295762</v>
      </c>
      <c r="K20" s="15">
        <v>635.06888</v>
      </c>
      <c r="L20" s="15">
        <v>-69.334682</v>
      </c>
      <c r="M20" s="15">
        <v>0</v>
      </c>
      <c r="N20" s="15">
        <f>SUM(C17:C20)/4</f>
        <v>3128.763155</v>
      </c>
      <c r="O20" s="15">
        <v>3300.2585635</v>
      </c>
      <c r="P20" s="16">
        <f>C20/C19-1</f>
        <v>0.276708007516518</v>
      </c>
      <c r="Q20" s="16">
        <f>J20/I20</f>
        <v>-0.137522982635342</v>
      </c>
      <c r="R20" s="16">
        <f>AVERAGE(Q17:Q20)</f>
        <v>0.0489828500193783</v>
      </c>
      <c r="S20" s="25">
        <f>SUM(J17:K20)/4</f>
        <v>332.8251545</v>
      </c>
      <c r="T20" s="15">
        <f>J20+K20+T19</f>
        <v>2809.632918</v>
      </c>
      <c r="U20" s="15">
        <f>-(L20+M20)+U19</f>
        <v>1788.5814065</v>
      </c>
      <c r="V20" s="15">
        <f>V19</f>
        <v>21325.5576576</v>
      </c>
      <c r="W20" s="15">
        <f>F20-G20</f>
        <v>-20010.22</v>
      </c>
      <c r="X20" s="15">
        <v>10425</v>
      </c>
      <c r="Y20" s="15"/>
      <c r="Z20" s="15">
        <v>14.606</v>
      </c>
    </row>
    <row r="21" ht="20.05" customHeight="1">
      <c r="B21" s="13"/>
      <c r="C21" s="14">
        <v>3718.4185</v>
      </c>
      <c r="D21" s="15">
        <v>926.0137999999999</v>
      </c>
      <c r="E21" s="15">
        <v>627.2745</v>
      </c>
      <c r="F21" s="15">
        <v>2658.8</v>
      </c>
      <c r="G21" s="15">
        <v>21357.1</v>
      </c>
      <c r="H21" s="15">
        <v>44925.05</v>
      </c>
      <c r="I21" s="15">
        <v>4228.07</v>
      </c>
      <c r="J21" s="15">
        <v>574.83545</v>
      </c>
      <c r="K21" s="15">
        <v>721.3440000000001</v>
      </c>
      <c r="L21" s="15">
        <v>-1000.76365</v>
      </c>
      <c r="M21" s="15">
        <v>0</v>
      </c>
      <c r="N21" s="15">
        <f>SUM(C18:C21)/4</f>
        <v>3406.20153</v>
      </c>
      <c r="O21" s="15">
        <v>3461.615508333330</v>
      </c>
      <c r="P21" s="16">
        <f>C21/C20-1</f>
        <v>-0.0456888853145745</v>
      </c>
      <c r="Q21" s="16">
        <f>J21/I21</f>
        <v>0.135956937799043</v>
      </c>
      <c r="R21" s="16">
        <f>AVERAGE(Q18:Q21)</f>
        <v>0.161097084469139</v>
      </c>
      <c r="S21" s="25">
        <f>SUM(J18:K21)/4</f>
        <v>873.189642</v>
      </c>
      <c r="T21" s="15">
        <f>J21+K21+T20</f>
        <v>4105.812368</v>
      </c>
      <c r="U21" s="15">
        <f>-(L21+M21)+U20</f>
        <v>2789.3450565</v>
      </c>
      <c r="V21" s="15">
        <f>V20</f>
        <v>21325.5576576</v>
      </c>
      <c r="W21" s="15">
        <f>F21-G21</f>
        <v>-18698.3</v>
      </c>
      <c r="X21" s="15">
        <v>7800</v>
      </c>
      <c r="Y21" s="15"/>
      <c r="Z21" s="15">
        <v>14.45</v>
      </c>
    </row>
    <row r="22" ht="20.05" customHeight="1">
      <c r="B22" s="13"/>
      <c r="C22" s="14">
        <v>3156.4584</v>
      </c>
      <c r="D22" s="15">
        <v>1181.945376</v>
      </c>
      <c r="E22" s="15">
        <v>819.5616</v>
      </c>
      <c r="F22" s="15">
        <v>2249.496</v>
      </c>
      <c r="G22" s="15">
        <v>20861.568</v>
      </c>
      <c r="H22" s="15">
        <v>44961.264</v>
      </c>
      <c r="I22" s="15">
        <v>3762.5328</v>
      </c>
      <c r="J22" s="15">
        <v>537.414624</v>
      </c>
      <c r="K22" s="15">
        <v>-63.0432</v>
      </c>
      <c r="L22" s="15">
        <v>-926.620416</v>
      </c>
      <c r="M22" s="15">
        <v>-75.42259199999999</v>
      </c>
      <c r="N22" s="15">
        <f>SUM(C19:C22)/4</f>
        <v>3455.81613</v>
      </c>
      <c r="O22" s="15">
        <v>3477.6129978</v>
      </c>
      <c r="P22" s="16">
        <f>C22/C21-1</f>
        <v>-0.151128793060813</v>
      </c>
      <c r="Q22" s="16">
        <f>J22/I22</f>
        <v>0.142833206397563</v>
      </c>
      <c r="R22" s="16">
        <f>AVERAGE(Q19:Q22)</f>
        <v>0.0681289154802945</v>
      </c>
      <c r="S22" s="25">
        <f>SUM(J19:K22)/4</f>
        <v>605.023998</v>
      </c>
      <c r="T22" s="15">
        <f>J22+K22+T21</f>
        <v>4580.183792</v>
      </c>
      <c r="U22" s="15">
        <f>-(L22+M22)+U21</f>
        <v>3791.3880645</v>
      </c>
      <c r="V22" s="15">
        <f>V21</f>
        <v>21325.5576576</v>
      </c>
      <c r="W22" s="15">
        <f>F22-G22</f>
        <v>-18612.072</v>
      </c>
      <c r="X22" s="15">
        <v>7950</v>
      </c>
      <c r="Y22" s="15"/>
      <c r="Z22" s="15">
        <v>14.328</v>
      </c>
    </row>
    <row r="23" ht="20.05" customHeight="1">
      <c r="B23" s="13"/>
      <c r="C23" s="14">
        <v>3998.4275</v>
      </c>
      <c r="D23" s="15">
        <v>1202.511725</v>
      </c>
      <c r="E23" s="15">
        <v>1047.785</v>
      </c>
      <c r="F23" s="15">
        <v>2926.375</v>
      </c>
      <c r="G23" s="15">
        <v>20070.65</v>
      </c>
      <c r="H23" s="15">
        <v>45137.55</v>
      </c>
      <c r="I23" s="15">
        <v>4251.095</v>
      </c>
      <c r="J23" s="15">
        <v>618.64995</v>
      </c>
      <c r="K23" s="15">
        <v>234.11</v>
      </c>
      <c r="L23" s="15">
        <v>-153.8274</v>
      </c>
      <c r="M23" s="15">
        <v>-0.88505</v>
      </c>
      <c r="N23" s="15">
        <f>SUM(C20:C23)/4</f>
        <v>3692.436755</v>
      </c>
      <c r="O23" s="15">
        <v>3690.811599375</v>
      </c>
      <c r="P23" s="16">
        <f>C23/C22-1</f>
        <v>0.266744874572084</v>
      </c>
      <c r="Q23" s="16">
        <f>J23/I23</f>
        <v>0.145527199462727</v>
      </c>
      <c r="R23" s="16">
        <f>AVERAGE(Q20:Q23)</f>
        <v>0.0716985902559978</v>
      </c>
      <c r="S23" s="25">
        <f>SUM(J20:K23)/4</f>
        <v>716.2709855000001</v>
      </c>
      <c r="T23" s="15">
        <f>J23+K23+T22</f>
        <v>5432.943742</v>
      </c>
      <c r="U23" s="15">
        <f>-(L23+M23)+U22</f>
        <v>3946.1005145</v>
      </c>
      <c r="V23" s="15">
        <f>V22</f>
        <v>21325.5576576</v>
      </c>
      <c r="W23" s="15">
        <f>F23-G23</f>
        <v>-17144.275</v>
      </c>
      <c r="X23" s="15">
        <v>7525</v>
      </c>
      <c r="Y23" s="15"/>
      <c r="Z23" s="15">
        <v>14.275</v>
      </c>
    </row>
    <row r="24" ht="20.05" customHeight="1">
      <c r="B24" s="21">
        <v>2022</v>
      </c>
      <c r="C24" s="14">
        <v>4326.754</v>
      </c>
      <c r="D24" s="15">
        <v>1223.5258</v>
      </c>
      <c r="E24" s="15">
        <v>1060.198</v>
      </c>
      <c r="F24" s="15">
        <v>2020.107</v>
      </c>
      <c r="G24" s="15">
        <v>18066.347</v>
      </c>
      <c r="H24" s="15">
        <v>44284.757</v>
      </c>
      <c r="I24" s="15">
        <v>4140.503</v>
      </c>
      <c r="J24" s="15">
        <v>762.1964</v>
      </c>
      <c r="K24" s="15">
        <v>25.7886</v>
      </c>
      <c r="L24" s="15">
        <v>-1656.2012</v>
      </c>
      <c r="M24" s="15">
        <v>0</v>
      </c>
      <c r="N24" s="15">
        <f>SUM(C21:C24)/4</f>
        <v>3800.0146</v>
      </c>
      <c r="O24" s="15">
        <v>3719.26556045</v>
      </c>
      <c r="P24" s="16">
        <f>C24/C23-1</f>
        <v>0.08211390602930781</v>
      </c>
      <c r="Q24" s="16">
        <f>J24/I24</f>
        <v>0.184083044982699</v>
      </c>
      <c r="R24" s="16">
        <f>AVERAGE(Q21:Q24)</f>
        <v>0.152100097160508</v>
      </c>
      <c r="S24" s="25">
        <f>SUM(J21:K24)/4</f>
        <v>852.823956</v>
      </c>
      <c r="T24" s="15">
        <f>J24+K24+T23</f>
        <v>6220.928742</v>
      </c>
      <c r="U24" s="15">
        <f>-(L24+M24)+U23</f>
        <v>5602.3017145</v>
      </c>
      <c r="V24" s="15">
        <f>V23</f>
        <v>21325.5576576</v>
      </c>
      <c r="W24" s="15">
        <f>F24-G24</f>
        <v>-16046.24</v>
      </c>
      <c r="X24" s="15">
        <v>7025</v>
      </c>
      <c r="Y24" s="15">
        <v>11034.7656213021</v>
      </c>
      <c r="Z24" s="15">
        <v>14.327</v>
      </c>
    </row>
    <row r="25" ht="20.05" customHeight="1">
      <c r="B25" s="13"/>
      <c r="C25" s="14">
        <v>4386.272</v>
      </c>
      <c r="D25" s="15">
        <v>1188.926</v>
      </c>
      <c r="E25" s="15">
        <v>1373.642</v>
      </c>
      <c r="F25" s="15">
        <v>2844.04</v>
      </c>
      <c r="G25" s="15">
        <v>19908.28</v>
      </c>
      <c r="H25" s="15">
        <v>48040.82</v>
      </c>
      <c r="I25" s="15">
        <v>3626.884</v>
      </c>
      <c r="J25" s="15">
        <v>-109.95</v>
      </c>
      <c r="K25" s="15">
        <v>-118.746</v>
      </c>
      <c r="L25" s="15">
        <v>929.444</v>
      </c>
      <c r="M25" s="15">
        <v>0</v>
      </c>
      <c r="N25" s="15">
        <f>SUM(C22:C25)/4</f>
        <v>3966.977975</v>
      </c>
      <c r="O25" s="15">
        <v>3901.624861</v>
      </c>
      <c r="P25" s="16">
        <f>C25/C24-1</f>
        <v>0.0137558086269753</v>
      </c>
      <c r="Q25" s="16">
        <f>J25/I25</f>
        <v>-0.0303152789005659</v>
      </c>
      <c r="R25" s="16">
        <f>AVERAGE(Q22:Q25)</f>
        <v>0.110532042985606</v>
      </c>
      <c r="S25" s="25">
        <f>SUM(J22:K25)/4</f>
        <v>471.6050935</v>
      </c>
      <c r="T25" s="15">
        <f>J25+K25+T24</f>
        <v>5992.232742</v>
      </c>
      <c r="U25" s="15">
        <f>-(L25+M25)+U24</f>
        <v>4672.8577145</v>
      </c>
      <c r="V25" s="15">
        <f>V24</f>
        <v>21325.5576576</v>
      </c>
      <c r="W25" s="15">
        <f>F25-G25</f>
        <v>-17064.24</v>
      </c>
      <c r="X25" s="15">
        <v>6450</v>
      </c>
      <c r="Y25" s="15">
        <v>12624</v>
      </c>
      <c r="Z25" s="15">
        <v>14.66</v>
      </c>
    </row>
    <row r="26" ht="20.05" customHeight="1">
      <c r="B26" s="13"/>
      <c r="C26" s="14">
        <v>4463.361</v>
      </c>
      <c r="D26" s="15">
        <v>2658.8565</v>
      </c>
      <c r="E26" s="15">
        <v>2787.6375</v>
      </c>
      <c r="F26" s="15">
        <v>3031.065</v>
      </c>
      <c r="G26" s="15">
        <v>21374.505</v>
      </c>
      <c r="H26" s="15">
        <v>54307.89</v>
      </c>
      <c r="I26" s="15">
        <v>4230.927</v>
      </c>
      <c r="J26" s="15">
        <v>-753.84</v>
      </c>
      <c r="K26" s="15">
        <v>-158.6205</v>
      </c>
      <c r="L26" s="15">
        <v>970.569</v>
      </c>
      <c r="M26" s="15">
        <v>-81.666</v>
      </c>
      <c r="N26" s="15">
        <f>SUM(C23:C26)/4</f>
        <v>4293.703625</v>
      </c>
      <c r="O26" s="15">
        <v>4339.76265</v>
      </c>
      <c r="P26" s="16">
        <f>C26/C25-1</f>
        <v>0.0175750614644965</v>
      </c>
      <c r="Q26" s="16">
        <f>J26/I26</f>
        <v>-0.178173719376392</v>
      </c>
      <c r="R26" s="16">
        <f>AVERAGE(Q23:Q26)</f>
        <v>0.030280311542117</v>
      </c>
      <c r="S26" s="25">
        <f>SUM(J23:K26)/4</f>
        <v>124.8971125</v>
      </c>
      <c r="T26" s="15">
        <f>J26+K26+T25</f>
        <v>5079.772242</v>
      </c>
      <c r="U26" s="15">
        <f>-(L26+M26)+U25</f>
        <v>3783.9547145</v>
      </c>
      <c r="V26" s="15">
        <f>V25</f>
        <v>21325.5576576</v>
      </c>
      <c r="W26" s="15">
        <f>F26-G26</f>
        <v>-18343.44</v>
      </c>
      <c r="X26" s="15">
        <v>7375</v>
      </c>
      <c r="Y26" s="15">
        <v>12784.1448450696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5325.078117704630</v>
      </c>
      <c r="P27" s="17"/>
      <c r="Q27" s="17"/>
      <c r="R27" s="17"/>
      <c r="S27" s="25"/>
      <c r="T27" s="17"/>
      <c r="U27" s="17"/>
      <c r="V27" s="17"/>
      <c r="W27" s="26"/>
      <c r="X27" s="15">
        <v>6850</v>
      </c>
      <c r="Y27" s="15">
        <v>9615.503161970641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25743.91377</v>
      </c>
      <c r="O28" s="15">
        <f>SUM(O20:O26)</f>
        <v>25890.9517404583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AF88</f>
        <v>8286.685492496030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264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0.0950474126732159</v>
      </c>
      <c r="AD49" s="35"/>
      <c r="AE49" s="35"/>
      <c r="AF49" s="35">
        <f>AVERAGE(AC51:AF51)</f>
        <v>0.0525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0.266744874572084</v>
      </c>
      <c r="AD50" s="35">
        <f>P24</f>
        <v>0.08211390602930781</v>
      </c>
      <c r="AE50" s="35">
        <f>P25</f>
        <v>0.0137558086269753</v>
      </c>
      <c r="AF50" s="35">
        <f>P26</f>
        <v>0.0175750614644965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0.15</v>
      </c>
      <c r="AD51" s="35">
        <v>0.05</v>
      </c>
      <c r="AE51" s="35">
        <v>-0.01</v>
      </c>
      <c r="AF51" s="35">
        <v>0.02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4463.361</v>
      </c>
      <c r="AC52" s="23">
        <f>C26*(1+AC51)</f>
        <v>5132.86515</v>
      </c>
      <c r="AD52" s="23">
        <f>AC52*(1+AD51)</f>
        <v>5389.5084075</v>
      </c>
      <c r="AE52" s="23">
        <f>AD52*(1+AE51)</f>
        <v>5335.613323425</v>
      </c>
      <c r="AF52" s="23">
        <f>AE52*(1+AF51)</f>
        <v>5442.3255898935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AVERAGE(R25)</f>
        <v>0.110532042985606</v>
      </c>
      <c r="AD53" s="35">
        <f>AC53</f>
        <v>0.110532042985606</v>
      </c>
      <c r="AE53" s="35">
        <f>AD53</f>
        <v>0.110532042985606</v>
      </c>
      <c r="AF53" s="35">
        <f>AE53</f>
        <v>0.110532042985606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-158.6205</v>
      </c>
      <c r="AD54" s="15">
        <f>AC54</f>
        <v>-158.6205</v>
      </c>
      <c r="AE54" s="15">
        <f>AD54</f>
        <v>-158.6205</v>
      </c>
      <c r="AF54" s="15">
        <f>AE54</f>
        <v>-158.6205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408.725571399119</v>
      </c>
      <c r="AD55" s="15">
        <f>(AD52*AD53)+AD54</f>
        <v>437.092874969075</v>
      </c>
      <c r="AE55" s="15">
        <f>(AE52*AE53)+AE54</f>
        <v>431.135741219384</v>
      </c>
      <c r="AF55" s="15">
        <f>(AF52*AF53)+AF54</f>
        <v>442.930866043772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-1068.72525</v>
      </c>
      <c r="AD56" s="15">
        <f>-AC71/20</f>
        <v>-1015.2889875</v>
      </c>
      <c r="AE56" s="15">
        <f>-AD71/20</f>
        <v>-964.524538125</v>
      </c>
      <c r="AF56" s="15">
        <f>-AE71/20</f>
        <v>-916.298311218750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-659.999678600881</v>
      </c>
      <c r="AD59" s="15">
        <f>AD55+AD56+AD58</f>
        <v>-578.196112530925</v>
      </c>
      <c r="AE59" s="15">
        <f>AE55+AE56+AE58</f>
        <v>-533.388796905616</v>
      </c>
      <c r="AF59" s="15">
        <f>AF55+AF56+AF58</f>
        <v>-473.367445174978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659.999678600881</v>
      </c>
      <c r="AD60" s="15">
        <f>-MIN(AC72,AD59)</f>
        <v>578.196112530925</v>
      </c>
      <c r="AE60" s="15">
        <f>-MIN(AD72,AE59)</f>
        <v>533.388796905616</v>
      </c>
      <c r="AF60" s="15">
        <f>-MIN(AE72,AF59)</f>
        <v>473.367445174978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3031.065</v>
      </c>
      <c r="AD61" s="15">
        <f>AC63</f>
        <v>3031.065</v>
      </c>
      <c r="AE61" s="15">
        <f>AD63</f>
        <v>3031.065</v>
      </c>
      <c r="AF61" s="15">
        <f>AE63</f>
        <v>3031.065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3031.065</v>
      </c>
      <c r="AD63" s="15">
        <f>AD61+AD62</f>
        <v>3031.065</v>
      </c>
      <c r="AE63" s="15">
        <f>AE61+AE62</f>
        <v>3031.065</v>
      </c>
      <c r="AF63" s="15">
        <f>AF61+AF62</f>
        <v>3031.065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-1690.4361</v>
      </c>
      <c r="AD65" s="15">
        <f>AC65</f>
        <v>-1690.4361</v>
      </c>
      <c r="AE65" s="15">
        <f>AD65</f>
        <v>-1690.4361</v>
      </c>
      <c r="AF65" s="15">
        <f>AE65</f>
        <v>-1690.4361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-1123.090028600880</v>
      </c>
      <c r="AD66" s="15">
        <f>(AD52*AD53)+AD65</f>
        <v>-1094.722725030930</v>
      </c>
      <c r="AE66" s="15">
        <f>(AE52*AE53)+AE65</f>
        <v>-1100.679858780620</v>
      </c>
      <c r="AF66" s="15">
        <f>(AF52*AF53)+AF65</f>
        <v>-1088.884733956230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51435.4455</v>
      </c>
      <c r="AD68" s="15">
        <f>AC68-AD54</f>
        <v>51594.066</v>
      </c>
      <c r="AE68" s="15">
        <f>AD68-AE54</f>
        <v>51752.6865</v>
      </c>
      <c r="AF68" s="15">
        <f>AE68-AF54</f>
        <v>51911.307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1690.4361</v>
      </c>
      <c r="AD69" s="15">
        <f>AC69-AD65</f>
        <v>3380.8722</v>
      </c>
      <c r="AE69" s="15">
        <f>AD69-AE65</f>
        <v>5071.3083</v>
      </c>
      <c r="AF69" s="15">
        <f>AE69-AF65</f>
        <v>6761.7444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49745.0094</v>
      </c>
      <c r="AD70" s="15">
        <f>AD68-AD69</f>
        <v>48213.1938</v>
      </c>
      <c r="AE70" s="15">
        <f>AE68-AE69</f>
        <v>46681.3782</v>
      </c>
      <c r="AF70" s="15">
        <f>AF68-AF69</f>
        <v>45149.5626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20305.77975</v>
      </c>
      <c r="AD71" s="15">
        <f>AC71+AD56</f>
        <v>19290.4907625</v>
      </c>
      <c r="AE71" s="15">
        <f>AD71+AE56</f>
        <v>18325.966224375</v>
      </c>
      <c r="AF71" s="15">
        <f>AE71+AF56</f>
        <v>17409.6679131563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659.999678600881</v>
      </c>
      <c r="AD72" s="15">
        <f>AC72+AD60</f>
        <v>1238.195791131810</v>
      </c>
      <c r="AE72" s="15">
        <f>AD72+AE60</f>
        <v>1771.584588037430</v>
      </c>
      <c r="AF72" s="15">
        <f>AE72+AF60</f>
        <v>2244.952033212410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31810.2949713991</v>
      </c>
      <c r="AD73" s="15">
        <f>AC73+AD66+AD58</f>
        <v>30715.5722463682</v>
      </c>
      <c r="AE73" s="15">
        <f>AD73+AE66+AE58</f>
        <v>29614.8923875876</v>
      </c>
      <c r="AF73" s="15">
        <f>AE73+AF66+AF58</f>
        <v>28526.0076536314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-1.9e-11</v>
      </c>
      <c r="AD74" s="15">
        <f>AD71+AD72+AD73-AD63-AD70</f>
        <v>9.999999999999999e-12</v>
      </c>
      <c r="AE74" s="15">
        <f>AE71+AE72+AE73-AE63-AE70</f>
        <v>3e-11</v>
      </c>
      <c r="AF74" s="15">
        <f>AF71+AF72+AF73-AF63-AF70</f>
        <v>1.1e-10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-17934.7144286009</v>
      </c>
      <c r="AD75" s="15">
        <f>AD63-AD71-AD72</f>
        <v>-17497.6215536318</v>
      </c>
      <c r="AE75" s="15">
        <f>AE63-AE71-AE72</f>
        <v>-17066.4858124124</v>
      </c>
      <c r="AF75" s="15">
        <f>AF63-AF71-AF72</f>
        <v>-16623.5549463687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-408.725571399119</v>
      </c>
      <c r="AD76" s="15">
        <f>AD56+AD58+AD60</f>
        <v>-437.092874969075</v>
      </c>
      <c r="AE76" s="15">
        <f>AE56+AE58+AE60</f>
        <v>-431.135741219384</v>
      </c>
      <c r="AF76" s="15">
        <f>AF56+AF58+AF60</f>
        <v>-442.930866043772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779</v>
      </c>
      <c r="AB78" s="14"/>
      <c r="AC78" s="15"/>
      <c r="AD78" s="15"/>
      <c r="AE78" s="15"/>
      <c r="AF78" s="15">
        <v>6850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779</v>
      </c>
      <c r="AB79" s="14"/>
      <c r="AC79" s="15"/>
      <c r="AD79" s="15"/>
      <c r="AE79" s="15"/>
      <c r="AF79" s="15">
        <v>21325557657600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21325.5576576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3.113220096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0.442616850794198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499.58845</v>
      </c>
      <c r="AF84" s="15">
        <f>SUM(AC55:AF55)</f>
        <v>1719.885053631350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26.2515000666304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12.3994086770935</v>
      </c>
      <c r="AF86" s="15">
        <v>15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25798.2758044703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8286.685492496030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0.209735108393581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0.414040812323077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0.00571156242100402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779</v>
      </c>
      <c r="AD93" t="s" s="44">
        <f>AC115</f>
        <v>15</v>
      </c>
      <c r="AE93" t="s" s="44">
        <f>AD115</f>
        <v>360</v>
      </c>
      <c r="AF93" t="s" s="44">
        <f>AE115</f>
        <v>485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6850</v>
      </c>
      <c r="AE94" t="s" s="44">
        <v>61</v>
      </c>
      <c r="AF94" s="15">
        <f>AF88</f>
        <v>8286.685492496030</v>
      </c>
      <c r="AG94" t="s" s="44">
        <f>IF(AH94&gt;0,"+","")</f>
        <v>361</v>
      </c>
      <c r="AH94" s="16">
        <f>AF94/AD94-1</f>
        <v>0.209735108393581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  <v>361</v>
      </c>
      <c r="AF97" s="16">
        <f>AK104/AC104-1</f>
        <v>0.414040812323077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  <v>361</v>
      </c>
      <c r="AF98" s="16">
        <f>(AE119+AE120+AG119+AG120+AI119+AI120+AK119+AK120)/AD136</f>
        <v>0.0234267472870496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</c>
      <c r="AF99" s="16">
        <f>(AE133+AE134+AG133+AG134+AI133+AI134+AK133+AK134)/AD136</f>
        <v>-0.000348565328013868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-0.860162266071517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362</v>
      </c>
      <c r="AE101" s="16">
        <f>AE105</f>
        <v>0.0175750614644965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393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-0.151128793060813</v>
      </c>
      <c r="AD103" s="16">
        <f>P23</f>
        <v>0.266744874572084</v>
      </c>
      <c r="AE103" s="16">
        <f>P24</f>
        <v>0.08211390602930781</v>
      </c>
      <c r="AF103" s="16">
        <f>P25</f>
        <v>0.0137558086269753</v>
      </c>
      <c r="AG103" s="16">
        <f>P26</f>
        <v>0.0175750614644965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3156.4584</v>
      </c>
      <c r="AD104" t="s" s="44">
        <v>72</v>
      </c>
      <c r="AE104" s="15">
        <f>C23</f>
        <v>3998.4275</v>
      </c>
      <c r="AF104" t="s" s="44">
        <v>72</v>
      </c>
      <c r="AG104" s="15">
        <f>C24</f>
        <v>4326.754</v>
      </c>
      <c r="AH104" t="s" s="44">
        <v>72</v>
      </c>
      <c r="AI104" s="15">
        <f>C25</f>
        <v>4386.272</v>
      </c>
      <c r="AJ104" t="s" s="44">
        <v>72</v>
      </c>
      <c r="AK104" s="15">
        <f>C26</f>
        <v>4463.361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362</v>
      </c>
      <c r="AE105" s="16">
        <f>AK104/AI104-1</f>
        <v>0.0175750614644965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4463.361</v>
      </c>
      <c r="AK105" t="s" s="48">
        <f>AL104</f>
        <v>22</v>
      </c>
      <c r="AL105" t="s" s="44">
        <v>77</v>
      </c>
      <c r="AM105" t="s" s="44">
        <f>IF(AN105&gt;0,"+","")</f>
        <v>361</v>
      </c>
      <c r="AN105" s="16">
        <f>AF91</f>
        <v>0.00571156242100402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0.0950474126732159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0.0525</v>
      </c>
      <c r="AE107" t="s" s="44">
        <v>82</v>
      </c>
      <c r="AF107" t="s" s="44">
        <v>83</v>
      </c>
      <c r="AG107" s="23">
        <f>AF52</f>
        <v>5442.3255898935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108</v>
      </c>
      <c r="AE108" t="s" s="44">
        <v>86</v>
      </c>
      <c r="AF108" t="s" s="44">
        <f>IF(AJ112&gt;AH112,"up","down")</f>
        <v>108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0.634098955969133</v>
      </c>
      <c r="AD110" s="16">
        <f>(D23+E23)/C23</f>
        <v>0.562795430203499</v>
      </c>
      <c r="AE110" s="16">
        <f>((E24+D24)/C24)</f>
        <v>0.527814569536424</v>
      </c>
      <c r="AF110" s="16">
        <f>(D25+E25)/C25</f>
        <v>0.584224598930481</v>
      </c>
      <c r="AG110" s="16">
        <f>(D26+E26)/C26</f>
        <v>1.22026741731175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819.5616</v>
      </c>
      <c r="AD111" t="s" s="44">
        <v>72</v>
      </c>
      <c r="AE111" s="15">
        <f>E23</f>
        <v>1047.785</v>
      </c>
      <c r="AF111" t="s" s="44">
        <v>72</v>
      </c>
      <c r="AG111" s="15">
        <f>E24</f>
        <v>1060.198</v>
      </c>
      <c r="AH111" t="s" s="44">
        <v>72</v>
      </c>
      <c r="AI111" s="15">
        <f>E25</f>
        <v>1373.642</v>
      </c>
      <c r="AJ111" t="s" s="44">
        <v>72</v>
      </c>
      <c r="AK111" s="15">
        <f>E26</f>
        <v>2787.6375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0.584224598930481</v>
      </c>
      <c r="AE112" t="s" s="44">
        <v>76</v>
      </c>
      <c r="AF112" s="16">
        <f>AG110</f>
        <v>1.22026741731175</v>
      </c>
      <c r="AG112" t="s" s="44">
        <v>90</v>
      </c>
      <c r="AH112" s="15">
        <f>AI111</f>
        <v>1373.642</v>
      </c>
      <c r="AI112" t="s" s="44">
        <v>76</v>
      </c>
      <c r="AJ112" s="15">
        <f>AK111</f>
        <v>2787.6375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0.723775503995539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0.110532042985606</v>
      </c>
      <c r="AE114" t="s" s="44">
        <v>94</v>
      </c>
      <c r="AF114" s="15">
        <f>AF66</f>
        <v>-1088.884733956230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360</v>
      </c>
      <c r="AE115" t="s" s="44">
        <f>IF(AF121&lt;0,"negative","positive")</f>
        <v>485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228.696</v>
      </c>
      <c r="AE116" s="15">
        <f>ABS(AF121)</f>
        <v>912.4605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228.696</v>
      </c>
      <c r="AD117" s="15">
        <f>ABS(AF121)</f>
        <v>912.4605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537.414624</v>
      </c>
      <c r="AD119" t="s" s="44">
        <v>72</v>
      </c>
      <c r="AE119" s="15">
        <f>J23</f>
        <v>618.64995</v>
      </c>
      <c r="AF119" t="s" s="44">
        <v>72</v>
      </c>
      <c r="AG119" s="15">
        <f>J24</f>
        <v>762.1964</v>
      </c>
      <c r="AH119" t="s" s="44">
        <v>72</v>
      </c>
      <c r="AI119" s="15">
        <f>J25</f>
        <v>-109.95</v>
      </c>
      <c r="AJ119" t="s" s="44">
        <v>72</v>
      </c>
      <c r="AK119" s="15">
        <f>J26</f>
        <v>-753.84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-63.0432</v>
      </c>
      <c r="AD120" t="s" s="44">
        <v>72</v>
      </c>
      <c r="AE120" s="15">
        <f>K23</f>
        <v>234.11</v>
      </c>
      <c r="AF120" t="s" s="44">
        <v>72</v>
      </c>
      <c r="AG120" s="15">
        <f>K24</f>
        <v>25.7886</v>
      </c>
      <c r="AH120" t="s" s="44">
        <v>72</v>
      </c>
      <c r="AI120" s="15">
        <f>K25</f>
        <v>-118.746</v>
      </c>
      <c r="AJ120" t="s" s="44">
        <v>72</v>
      </c>
      <c r="AK120" s="15">
        <f>K26</f>
        <v>-158.6205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-228.696</v>
      </c>
      <c r="AE121" t="s" s="44">
        <v>76</v>
      </c>
      <c r="AF121" s="15">
        <f>AK119+AK120</f>
        <v>-912.4605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-158.6205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124.8971125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-158.6205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429.971263407838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87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2249.496</v>
      </c>
      <c r="AD126" t="s" s="44">
        <v>72</v>
      </c>
      <c r="AE126" s="15">
        <f>F23</f>
        <v>2926.375</v>
      </c>
      <c r="AF126" t="s" s="44">
        <v>72</v>
      </c>
      <c r="AG126" s="15">
        <f>F24</f>
        <v>2020.107</v>
      </c>
      <c r="AH126" t="s" s="44">
        <v>72</v>
      </c>
      <c r="AI126" s="15">
        <f>F25</f>
        <v>2844.04</v>
      </c>
      <c r="AJ126" t="s" s="44">
        <v>72</v>
      </c>
      <c r="AK126" s="15">
        <f>F26</f>
        <v>3031.065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20861.568</v>
      </c>
      <c r="AD127" t="s" s="44">
        <v>72</v>
      </c>
      <c r="AE127" s="15">
        <f>G23</f>
        <v>20070.65</v>
      </c>
      <c r="AF127" t="s" s="44">
        <v>72</v>
      </c>
      <c r="AG127" s="15">
        <f>G24</f>
        <v>18066.347</v>
      </c>
      <c r="AH127" t="s" s="44">
        <v>72</v>
      </c>
      <c r="AI127" s="15">
        <f>G25</f>
        <v>19908.28</v>
      </c>
      <c r="AJ127" t="s" s="44">
        <v>72</v>
      </c>
      <c r="AK127" s="15">
        <f>G26</f>
        <v>21374.505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111</v>
      </c>
      <c r="AE128" s="15">
        <f>AI126</f>
        <v>2844.04</v>
      </c>
      <c r="AF128" t="s" s="44">
        <v>76</v>
      </c>
      <c r="AG128" s="15">
        <f>AK126</f>
        <v>3031.065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111</v>
      </c>
      <c r="AE129" s="15">
        <f>AI127</f>
        <v>19908.28</v>
      </c>
      <c r="AF129" t="s" s="44">
        <v>76</v>
      </c>
      <c r="AG129" s="15">
        <f>AK127</f>
        <v>21374.505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87</v>
      </c>
      <c r="AL129" s="15">
        <f>AE128-AE129</f>
        <v>-17064.24</v>
      </c>
      <c r="AM129" t="s" s="44">
        <v>76</v>
      </c>
      <c r="AN129" s="15">
        <f>AG128-AG129</f>
        <v>-18343.44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0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-1719.885053631350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-16623.5549463687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121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926.620416</v>
      </c>
      <c r="AD133" t="s" s="44">
        <v>72</v>
      </c>
      <c r="AE133" s="15">
        <f>-L23</f>
        <v>153.8274</v>
      </c>
      <c r="AF133" t="s" s="44">
        <v>72</v>
      </c>
      <c r="AG133" s="15">
        <f>-L24</f>
        <v>1656.2012</v>
      </c>
      <c r="AH133" t="s" s="44">
        <v>72</v>
      </c>
      <c r="AI133" s="15">
        <f>-L25</f>
        <v>-929.444</v>
      </c>
      <c r="AJ133" t="s" s="44">
        <v>72</v>
      </c>
      <c r="AK133" s="15">
        <f>-L26</f>
        <v>-970.569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75.42259199999999</v>
      </c>
      <c r="AD134" t="s" s="44">
        <v>72</v>
      </c>
      <c r="AE134" s="15">
        <f>-M23</f>
        <v>0.88505</v>
      </c>
      <c r="AF134" t="s" s="44">
        <v>72</v>
      </c>
      <c r="AG134" s="15">
        <f>-M24</f>
        <v>0</v>
      </c>
      <c r="AH134" t="s" s="44">
        <v>72</v>
      </c>
      <c r="AI134" s="15">
        <f>-M25</f>
        <v>0</v>
      </c>
      <c r="AJ134" t="s" s="44">
        <v>72</v>
      </c>
      <c r="AK134" s="15">
        <f>-M26</f>
        <v>81.666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779</v>
      </c>
      <c r="AD135" t="s" s="44">
        <f>IF(AE135&gt;0,"paid","(raised)")</f>
        <v>121</v>
      </c>
      <c r="AE135" s="15">
        <f>SUM(AK133:AK134)</f>
        <v>-888.903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-970.569</v>
      </c>
      <c r="AK135" t="s" s="48">
        <f>AL104</f>
        <v>22</v>
      </c>
      <c r="AL135" t="s" s="44">
        <v>123</v>
      </c>
      <c r="AM135" s="15">
        <f>AK134</f>
        <v>81.666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1719.885053631350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21325.5576576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0.442616850794198</v>
      </c>
      <c r="AI136" t="s" s="44">
        <v>130</v>
      </c>
      <c r="AJ136" t="s" s="44">
        <v>131</v>
      </c>
      <c r="AK136" t="s" s="44">
        <v>132</v>
      </c>
      <c r="AL136" s="15">
        <f>AF85</f>
        <v>26.2515000666304</v>
      </c>
      <c r="AM136" t="s" s="44">
        <v>133</v>
      </c>
      <c r="AN136" s="16">
        <f>-AD130/AD136</f>
        <v>0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1719.885053631350</v>
      </c>
      <c r="AE137" t="s" s="48">
        <f>AE136</f>
        <v>22</v>
      </c>
      <c r="AF137" t="s" s="44">
        <v>136</v>
      </c>
      <c r="AG137" s="15">
        <f>AD136/AD137</f>
        <v>12.3994086770935</v>
      </c>
      <c r="AH137" t="s" s="44">
        <v>130</v>
      </c>
      <c r="AI137" t="s" s="44">
        <v>137</v>
      </c>
      <c r="AJ137" t="s" s="44">
        <v>138</v>
      </c>
      <c r="AK137" s="15">
        <f>AF86</f>
        <v>15</v>
      </c>
      <c r="AL137" t="s" s="44">
        <v>139</v>
      </c>
      <c r="AM137" t="s" s="44">
        <v>140</v>
      </c>
      <c r="AN137" t="s" s="44">
        <v>141</v>
      </c>
      <c r="AO137" s="16">
        <f>AH94</f>
        <v>0.209735108393581</v>
      </c>
      <c r="AP137" t="s" s="44">
        <f>IF(AO137&gt;0,"higher","lower")</f>
        <v>363</v>
      </c>
      <c r="AQ137" t="s" s="44">
        <v>142</v>
      </c>
      <c r="AR137" s="15">
        <f>AF94</f>
        <v>8286.685492496030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3156.4584</v>
      </c>
      <c r="AC139" s="15">
        <f>AE104</f>
        <v>3998.4275</v>
      </c>
      <c r="AD139" s="15">
        <f>AG104</f>
        <v>4326.754</v>
      </c>
      <c r="AE139" s="15">
        <f>AI104</f>
        <v>4386.272</v>
      </c>
      <c r="AF139" s="15">
        <f>AK104</f>
        <v>4463.361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474.371424</v>
      </c>
      <c r="AC140" s="15">
        <f>SUM(AE119:AE120)</f>
        <v>852.75995</v>
      </c>
      <c r="AD140" s="15">
        <f>SUM(AG119:AG120)</f>
        <v>787.985</v>
      </c>
      <c r="AE140" s="15">
        <f>SUM(AI119:AI120)</f>
        <v>-228.696</v>
      </c>
      <c r="AF140" s="15">
        <f>SUM(AK119:AK120)</f>
        <v>-912.4605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1002.043008</v>
      </c>
      <c r="AC141" s="15">
        <f>SUM(AE133:AE134)</f>
        <v>154.71245</v>
      </c>
      <c r="AD141" s="15">
        <f>SUM(AG133:AG134)</f>
        <v>1656.2012</v>
      </c>
      <c r="AE141" s="15">
        <f>SUM(AI133:AI134)</f>
        <v>-929.444</v>
      </c>
      <c r="AF141" s="15">
        <f>SUM(AK133:AK134)</f>
        <v>-888.903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-18612.072</v>
      </c>
      <c r="AC142" s="15">
        <f>(AE126-AE127)</f>
        <v>-17144.275</v>
      </c>
      <c r="AD142" s="15">
        <f>(AG126-AG127)</f>
        <v>-16046.24</v>
      </c>
      <c r="AE142" s="15">
        <f>(AI126-AI127)</f>
        <v>-17064.24</v>
      </c>
      <c r="AF142" s="15">
        <f>(AK126-AK127)</f>
        <v>-18343.44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8286.685492496030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37.xml><?xml version="1.0" encoding="utf-8"?>
<worksheet xmlns:r="http://schemas.openxmlformats.org/officeDocument/2006/relationships" xmlns="http://schemas.openxmlformats.org/spreadsheetml/2006/main">
  <sheetPr>
    <pageSetUpPr fitToPage="1"/>
  </sheetPr>
  <dimension ref="A2:L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2" width="10.4844" style="412" customWidth="1"/>
    <col min="13" max="16384" width="16.3516" style="412" customWidth="1"/>
  </cols>
  <sheetData>
    <row r="1" ht="27.65" customHeight="1">
      <c r="A1" t="s" s="2">
        <v>780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32.25" customHeight="1">
      <c r="A2" t="s" s="3">
        <v>366</v>
      </c>
      <c r="B2" t="s" s="3">
        <v>2</v>
      </c>
      <c r="C2" t="s" s="3">
        <v>3</v>
      </c>
      <c r="D2" t="s" s="3">
        <v>4</v>
      </c>
      <c r="E2" t="s" s="3">
        <v>5</v>
      </c>
      <c r="F2" t="s" s="3">
        <v>6</v>
      </c>
      <c r="G2" t="s" s="3">
        <v>7</v>
      </c>
      <c r="H2" t="s" s="3">
        <v>8</v>
      </c>
      <c r="I2" t="s" s="3">
        <v>9</v>
      </c>
      <c r="J2" t="s" s="3">
        <v>10</v>
      </c>
      <c r="K2" t="s" s="3">
        <v>6</v>
      </c>
      <c r="L2" t="s" s="3">
        <v>11</v>
      </c>
    </row>
    <row r="3" ht="20.25" customHeight="1">
      <c r="A3" s="6">
        <v>2017</v>
      </c>
      <c r="B3" s="87">
        <v>31022</v>
      </c>
      <c r="C3" s="88">
        <v>4773</v>
      </c>
      <c r="D3" s="88">
        <v>9376</v>
      </c>
      <c r="E3" s="8">
        <v>33699</v>
      </c>
      <c r="F3" s="8">
        <v>75133</v>
      </c>
      <c r="G3" s="8">
        <v>187590</v>
      </c>
      <c r="H3" s="8">
        <v>25603</v>
      </c>
      <c r="I3" s="8">
        <v>13070</v>
      </c>
      <c r="J3" s="8">
        <v>-6540</v>
      </c>
      <c r="K3" s="8">
        <v>732.75</v>
      </c>
      <c r="L3" s="59">
        <v>-5995.75</v>
      </c>
    </row>
    <row r="4" ht="20.05" customHeight="1">
      <c r="A4" s="13"/>
      <c r="B4" s="38">
        <v>32999</v>
      </c>
      <c r="C4" s="23">
        <v>4857</v>
      </c>
      <c r="D4" s="23">
        <v>8119</v>
      </c>
      <c r="E4" s="15">
        <v>19068</v>
      </c>
      <c r="F4" s="15">
        <v>75819</v>
      </c>
      <c r="G4" s="15">
        <v>177843</v>
      </c>
      <c r="H4" s="15">
        <v>29756</v>
      </c>
      <c r="I4" s="15">
        <v>9190</v>
      </c>
      <c r="J4" s="15">
        <v>-8043</v>
      </c>
      <c r="K4" s="15">
        <v>732.75</v>
      </c>
      <c r="L4" s="26">
        <v>-5995.75</v>
      </c>
    </row>
    <row r="5" ht="20.05" customHeight="1">
      <c r="A5" s="13"/>
      <c r="B5" s="38">
        <v>32982</v>
      </c>
      <c r="C5" s="23">
        <v>5051</v>
      </c>
      <c r="D5" s="23">
        <v>8518</v>
      </c>
      <c r="E5" s="15">
        <v>27093</v>
      </c>
      <c r="F5" s="15">
        <v>79937</v>
      </c>
      <c r="G5" s="15">
        <v>190508</v>
      </c>
      <c r="H5" s="15">
        <v>29415</v>
      </c>
      <c r="I5" s="15">
        <v>14529</v>
      </c>
      <c r="J5" s="15">
        <v>-6207</v>
      </c>
      <c r="K5" s="15">
        <v>732.75</v>
      </c>
      <c r="L5" s="26">
        <v>-5995.75</v>
      </c>
    </row>
    <row r="6" ht="20.05" customHeight="1">
      <c r="A6" s="13"/>
      <c r="B6" s="38">
        <v>31253</v>
      </c>
      <c r="C6" s="23">
        <v>5765</v>
      </c>
      <c r="D6" s="23">
        <v>6688</v>
      </c>
      <c r="E6" s="15">
        <v>25145</v>
      </c>
      <c r="F6" s="15">
        <v>86354</v>
      </c>
      <c r="G6" s="15">
        <v>198484</v>
      </c>
      <c r="H6" s="15">
        <v>40337</v>
      </c>
      <c r="I6" s="15">
        <v>13116</v>
      </c>
      <c r="J6" s="15">
        <v>-12217</v>
      </c>
      <c r="K6" s="15">
        <v>732.75</v>
      </c>
      <c r="L6" s="26">
        <v>-5995.75</v>
      </c>
    </row>
    <row r="7" ht="20.05" customHeight="1">
      <c r="A7" s="21">
        <v>2018</v>
      </c>
      <c r="B7" s="38">
        <v>32343</v>
      </c>
      <c r="C7" s="23">
        <v>5373</v>
      </c>
      <c r="D7" s="23">
        <v>7978</v>
      </c>
      <c r="E7" s="15">
        <v>28968</v>
      </c>
      <c r="F7" s="15">
        <v>86459</v>
      </c>
      <c r="G7" s="15">
        <v>206600</v>
      </c>
      <c r="H7" s="15">
        <v>28636</v>
      </c>
      <c r="I7" s="15">
        <v>9566</v>
      </c>
      <c r="J7" s="15">
        <v>-6400</v>
      </c>
      <c r="K7" s="15">
        <v>2071.25</v>
      </c>
      <c r="L7" s="26">
        <v>-6685.75</v>
      </c>
    </row>
    <row r="8" ht="20.05" customHeight="1">
      <c r="A8" s="13"/>
      <c r="B8" s="38">
        <v>32025</v>
      </c>
      <c r="C8" s="23">
        <v>4958</v>
      </c>
      <c r="D8" s="23">
        <v>4829</v>
      </c>
      <c r="E8" s="15">
        <v>16826</v>
      </c>
      <c r="F8" s="15">
        <v>103643</v>
      </c>
      <c r="G8" s="15">
        <v>201960</v>
      </c>
      <c r="H8" s="15">
        <v>27208</v>
      </c>
      <c r="I8" s="15">
        <v>6225</v>
      </c>
      <c r="J8" s="15">
        <v>-7800</v>
      </c>
      <c r="K8" s="15">
        <v>2071.25</v>
      </c>
      <c r="L8" s="26">
        <v>-6685.75</v>
      </c>
    </row>
    <row r="9" ht="20.05" customHeight="1">
      <c r="A9" s="13"/>
      <c r="B9" s="38">
        <v>34835</v>
      </c>
      <c r="C9" s="23">
        <v>5542</v>
      </c>
      <c r="D9" s="23">
        <v>7880</v>
      </c>
      <c r="E9" s="15">
        <v>13666</v>
      </c>
      <c r="F9" s="15">
        <v>98606</v>
      </c>
      <c r="G9" s="15">
        <v>204893</v>
      </c>
      <c r="H9" s="15">
        <v>31355</v>
      </c>
      <c r="I9" s="15">
        <v>12501</v>
      </c>
      <c r="J9" s="15">
        <v>-10002</v>
      </c>
      <c r="K9" s="15">
        <v>2071.25</v>
      </c>
      <c r="L9" s="26">
        <v>-6685.75</v>
      </c>
    </row>
    <row r="10" ht="20.05" customHeight="1">
      <c r="A10" s="13"/>
      <c r="B10" s="38">
        <v>31581</v>
      </c>
      <c r="C10" s="23">
        <v>5533</v>
      </c>
      <c r="D10" s="23">
        <v>6292</v>
      </c>
      <c r="E10" s="15">
        <v>17439</v>
      </c>
      <c r="F10" s="15">
        <v>88893</v>
      </c>
      <c r="G10" s="15">
        <v>206196</v>
      </c>
      <c r="H10" s="15">
        <v>40656</v>
      </c>
      <c r="I10" s="15">
        <v>17379</v>
      </c>
      <c r="J10" s="15">
        <v>-10888</v>
      </c>
      <c r="K10" s="15">
        <v>2071.25</v>
      </c>
      <c r="L10" s="26">
        <v>-6685.75</v>
      </c>
    </row>
    <row r="11" ht="20.05" customHeight="1">
      <c r="A11" s="21">
        <v>2019</v>
      </c>
      <c r="B11" s="38">
        <v>34480</v>
      </c>
      <c r="C11" s="23">
        <v>5642</v>
      </c>
      <c r="D11" s="23">
        <v>8504</v>
      </c>
      <c r="E11" s="15">
        <v>23380</v>
      </c>
      <c r="F11" s="15">
        <v>93193</v>
      </c>
      <c r="G11" s="15">
        <v>219111</v>
      </c>
      <c r="H11" s="15">
        <v>31366</v>
      </c>
      <c r="I11" s="15">
        <v>13055</v>
      </c>
      <c r="J11" s="15">
        <v>-6208</v>
      </c>
      <c r="K11" s="15">
        <v>1917.5</v>
      </c>
      <c r="L11" s="26">
        <v>-6479.25</v>
      </c>
    </row>
    <row r="12" ht="20.05" customHeight="1">
      <c r="A12" s="13"/>
      <c r="B12" s="38">
        <v>34865</v>
      </c>
      <c r="C12" s="23">
        <v>5825</v>
      </c>
      <c r="D12" s="23">
        <v>6994</v>
      </c>
      <c r="E12" s="15">
        <v>17075</v>
      </c>
      <c r="F12" s="15">
        <v>107354</v>
      </c>
      <c r="G12" s="15">
        <v>215699</v>
      </c>
      <c r="H12" s="15">
        <v>33737</v>
      </c>
      <c r="I12" s="15">
        <v>14647</v>
      </c>
      <c r="J12" s="15">
        <v>-10132</v>
      </c>
      <c r="K12" s="15">
        <v>1917.5</v>
      </c>
      <c r="L12" s="26">
        <v>-6479.25</v>
      </c>
    </row>
    <row r="13" ht="20.05" customHeight="1">
      <c r="A13" s="13"/>
      <c r="B13" s="38">
        <v>33286</v>
      </c>
      <c r="C13" s="23">
        <v>5792</v>
      </c>
      <c r="D13" s="23">
        <v>7702</v>
      </c>
      <c r="E13" s="15">
        <v>15017</v>
      </c>
      <c r="F13" s="15">
        <v>98544</v>
      </c>
      <c r="G13" s="15">
        <v>214990</v>
      </c>
      <c r="H13" s="15">
        <v>33347</v>
      </c>
      <c r="I13" s="15">
        <v>10561</v>
      </c>
      <c r="J13" s="15">
        <v>-5793</v>
      </c>
      <c r="K13" s="15">
        <v>1917.5</v>
      </c>
      <c r="L13" s="26">
        <v>-6479.25</v>
      </c>
    </row>
    <row r="14" ht="20.05" customHeight="1">
      <c r="A14" s="13"/>
      <c r="B14" s="38">
        <v>32936</v>
      </c>
      <c r="C14" s="23">
        <v>5919</v>
      </c>
      <c r="D14" s="23">
        <v>4392</v>
      </c>
      <c r="E14" s="15">
        <v>18242</v>
      </c>
      <c r="F14" s="15">
        <v>103958</v>
      </c>
      <c r="G14" s="15">
        <v>221208</v>
      </c>
      <c r="H14" s="15">
        <v>36922</v>
      </c>
      <c r="I14" s="15">
        <v>16686</v>
      </c>
      <c r="J14" s="15">
        <v>-13658</v>
      </c>
      <c r="K14" s="15">
        <v>1917.5</v>
      </c>
      <c r="L14" s="26">
        <v>-6479.25</v>
      </c>
    </row>
    <row r="15" ht="20.05" customHeight="1">
      <c r="A15" s="21">
        <v>2020</v>
      </c>
      <c r="B15" s="38">
        <v>34194</v>
      </c>
      <c r="C15" s="23">
        <v>6849</v>
      </c>
      <c r="D15" s="23">
        <v>8301</v>
      </c>
      <c r="E15" s="15">
        <v>24365</v>
      </c>
      <c r="F15" s="15">
        <v>115367</v>
      </c>
      <c r="G15" s="15">
        <v>241914</v>
      </c>
      <c r="H15" s="15">
        <v>29273</v>
      </c>
      <c r="I15" s="15">
        <v>16353</v>
      </c>
      <c r="J15" s="15">
        <v>-5089</v>
      </c>
      <c r="K15" s="15">
        <v>22.25</v>
      </c>
      <c r="L15" s="26">
        <v>-5760</v>
      </c>
    </row>
    <row r="16" ht="20.05" customHeight="1">
      <c r="A16" s="13"/>
      <c r="B16" s="38">
        <v>32662</v>
      </c>
      <c r="C16" s="23">
        <v>7078</v>
      </c>
      <c r="D16" s="23">
        <v>7132</v>
      </c>
      <c r="E16" s="15">
        <v>28238</v>
      </c>
      <c r="F16" s="15">
        <v>136066</v>
      </c>
      <c r="G16" s="15">
        <v>246351</v>
      </c>
      <c r="H16" s="15">
        <v>31786</v>
      </c>
      <c r="I16" s="15">
        <v>15318</v>
      </c>
      <c r="J16" s="15">
        <v>-10848</v>
      </c>
      <c r="K16" s="15">
        <v>22.25</v>
      </c>
      <c r="L16" s="26">
        <v>-5760</v>
      </c>
    </row>
    <row r="17" ht="20.05" customHeight="1">
      <c r="A17" s="13"/>
      <c r="B17" s="38">
        <v>33085</v>
      </c>
      <c r="C17" s="23">
        <v>7111</v>
      </c>
      <c r="D17" s="23">
        <v>7518</v>
      </c>
      <c r="E17" s="15">
        <v>17420</v>
      </c>
      <c r="F17" s="15">
        <v>115330</v>
      </c>
      <c r="G17" s="15">
        <v>233219</v>
      </c>
      <c r="H17" s="15">
        <v>35028</v>
      </c>
      <c r="I17" s="15">
        <v>12029</v>
      </c>
      <c r="J17" s="15">
        <v>-3353</v>
      </c>
      <c r="K17" s="15">
        <v>22.25</v>
      </c>
      <c r="L17" s="26">
        <v>-5760</v>
      </c>
    </row>
    <row r="18" ht="20.05" customHeight="1">
      <c r="A18" s="13"/>
      <c r="B18" s="38">
        <v>36520</v>
      </c>
      <c r="C18" s="23">
        <v>7854</v>
      </c>
      <c r="D18" s="23">
        <v>6612</v>
      </c>
      <c r="E18" s="15">
        <v>20589</v>
      </c>
      <c r="F18" s="15">
        <v>126054</v>
      </c>
      <c r="G18" s="15">
        <v>246943</v>
      </c>
      <c r="H18" s="15">
        <v>37523</v>
      </c>
      <c r="I18" s="15">
        <v>16617</v>
      </c>
      <c r="J18" s="15">
        <v>-15966</v>
      </c>
      <c r="K18" s="15">
        <v>22.25</v>
      </c>
      <c r="L18" s="26">
        <v>-5760</v>
      </c>
    </row>
    <row r="19" ht="20.05" customHeight="1">
      <c r="A19" s="21">
        <v>2021</v>
      </c>
      <c r="B19" s="38">
        <v>33945</v>
      </c>
      <c r="C19" s="15">
        <v>7286</v>
      </c>
      <c r="D19" s="15">
        <v>8387</v>
      </c>
      <c r="E19" s="15">
        <v>31729</v>
      </c>
      <c r="F19" s="15">
        <v>129950</v>
      </c>
      <c r="G19" s="15">
        <v>257848</v>
      </c>
      <c r="H19" s="15">
        <v>32141</v>
      </c>
      <c r="I19" s="15">
        <v>15067</v>
      </c>
      <c r="J19" s="15">
        <v>-6763</v>
      </c>
      <c r="K19" s="15">
        <v>4133</v>
      </c>
      <c r="L19" s="26">
        <v>-1400</v>
      </c>
    </row>
    <row r="20" ht="20.05" customHeight="1">
      <c r="A20" s="13"/>
      <c r="B20" s="38">
        <v>35535</v>
      </c>
      <c r="C20" s="15">
        <v>7412</v>
      </c>
      <c r="D20" s="15">
        <v>8533</v>
      </c>
      <c r="E20" s="15">
        <v>36613</v>
      </c>
      <c r="F20" s="15">
        <v>153870</v>
      </c>
      <c r="G20" s="15">
        <v>263977</v>
      </c>
      <c r="H20" s="15">
        <v>36706</v>
      </c>
      <c r="I20" s="15">
        <v>15749</v>
      </c>
      <c r="J20" s="15">
        <v>-12293</v>
      </c>
      <c r="K20" s="15">
        <v>11165</v>
      </c>
      <c r="L20" s="26">
        <v>-9742</v>
      </c>
    </row>
    <row r="21" ht="20.05" customHeight="1">
      <c r="A21" s="13"/>
      <c r="B21" s="38">
        <v>36563</v>
      </c>
      <c r="C21" s="15">
        <v>7485</v>
      </c>
      <c r="D21" s="15">
        <v>8743</v>
      </c>
      <c r="E21" s="15">
        <v>17491</v>
      </c>
      <c r="F21" s="15">
        <v>127687</v>
      </c>
      <c r="G21" s="15">
        <v>246500</v>
      </c>
      <c r="H21" s="15">
        <v>35945</v>
      </c>
      <c r="I21" s="15">
        <v>16054</v>
      </c>
      <c r="J21" s="15">
        <v>-7736</v>
      </c>
      <c r="K21" s="15">
        <v>-27402</v>
      </c>
      <c r="L21" s="26">
        <v>6</v>
      </c>
    </row>
    <row r="22" ht="20.05" customHeight="1">
      <c r="A22" s="13"/>
      <c r="B22" s="38">
        <v>37167</v>
      </c>
      <c r="C22" s="15">
        <v>9633</v>
      </c>
      <c r="D22" s="15">
        <v>8285</v>
      </c>
      <c r="E22" s="15">
        <v>38311</v>
      </c>
      <c r="F22" s="15">
        <v>131785</v>
      </c>
      <c r="G22" s="15">
        <v>277184</v>
      </c>
      <c r="H22" s="15">
        <v>39110</v>
      </c>
      <c r="I22" s="15">
        <v>17047</v>
      </c>
      <c r="J22" s="15">
        <v>-10911</v>
      </c>
      <c r="K22" s="15">
        <v>14976</v>
      </c>
      <c r="L22" s="26">
        <v>-286</v>
      </c>
    </row>
    <row r="23" ht="20.05" customHeight="1">
      <c r="A23" s="21">
        <v>2022</v>
      </c>
      <c r="B23" s="38">
        <v>35208</v>
      </c>
      <c r="C23" s="15">
        <v>7976</v>
      </c>
      <c r="D23" s="15">
        <v>7856</v>
      </c>
      <c r="E23" s="15">
        <v>41629</v>
      </c>
      <c r="F23" s="15">
        <v>126120</v>
      </c>
      <c r="G23" s="15">
        <v>279450</v>
      </c>
      <c r="H23" s="15">
        <v>34008</v>
      </c>
      <c r="I23" s="15">
        <v>16434</v>
      </c>
      <c r="J23" s="15">
        <v>-8959</v>
      </c>
      <c r="K23" s="15">
        <v>-4228</v>
      </c>
      <c r="L23" s="26">
        <v>45</v>
      </c>
    </row>
    <row r="24" ht="20.05" customHeight="1">
      <c r="A24" s="13"/>
      <c r="B24" s="38">
        <v>36775</v>
      </c>
      <c r="C24" s="15">
        <v>9010</v>
      </c>
      <c r="D24" s="15">
        <v>9699</v>
      </c>
      <c r="E24" s="15">
        <v>40160</v>
      </c>
      <c r="F24" s="15">
        <v>134593</v>
      </c>
      <c r="G24" s="15">
        <v>275272</v>
      </c>
      <c r="H24" s="15">
        <v>36236</v>
      </c>
      <c r="I24" s="15">
        <v>16447</v>
      </c>
      <c r="J24" s="15">
        <v>-8610</v>
      </c>
      <c r="K24" s="15">
        <v>12929</v>
      </c>
      <c r="L24" s="26">
        <v>-22390</v>
      </c>
    </row>
    <row r="25" ht="20.05" customHeight="1">
      <c r="A25" s="13"/>
      <c r="B25" s="38">
        <v>36891</v>
      </c>
      <c r="C25" s="15">
        <v>8032</v>
      </c>
      <c r="D25" s="15">
        <v>5261</v>
      </c>
      <c r="E25" s="15">
        <v>31657</v>
      </c>
      <c r="F25" s="15">
        <v>124564</v>
      </c>
      <c r="G25" s="15">
        <v>269963</v>
      </c>
      <c r="H25" s="15">
        <v>37336</v>
      </c>
      <c r="I25" s="15">
        <v>12221</v>
      </c>
      <c r="J25" s="15">
        <v>-9192</v>
      </c>
      <c r="K25" s="15">
        <v>-11624</v>
      </c>
      <c r="L25" s="26">
        <v>-43</v>
      </c>
    </row>
  </sheetData>
  <mergeCells count="1">
    <mergeCell ref="A1:L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3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13" customWidth="1"/>
    <col min="2" max="28" width="10.4844" style="413" customWidth="1"/>
    <col min="29" max="29" width="18.9766" style="414" customWidth="1"/>
    <col min="30" max="48" width="9" style="414" customWidth="1"/>
    <col min="49" max="16384" width="16.3516" style="414" customWidth="1"/>
  </cols>
  <sheetData>
    <row r="1" ht="11.65" customHeight="1"/>
    <row r="2" ht="27.65" customHeight="1">
      <c r="B2" t="s" s="2">
        <v>781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234</v>
      </c>
      <c r="AA3" t="s" s="3">
        <v>19</v>
      </c>
      <c r="AB3" t="s" s="3">
        <v>20</v>
      </c>
    </row>
    <row r="4" ht="20.25" customHeight="1">
      <c r="B4" s="6">
        <v>2017</v>
      </c>
      <c r="C4" s="7">
        <v>833.511</v>
      </c>
      <c r="D4" s="8">
        <v>23.275</v>
      </c>
      <c r="E4" s="8">
        <v>135.66</v>
      </c>
      <c r="F4" s="8">
        <v>492.1</v>
      </c>
      <c r="G4" s="8">
        <v>1409.8</v>
      </c>
      <c r="H4" s="8">
        <v>3471.3</v>
      </c>
      <c r="I4" s="8">
        <v>848.274</v>
      </c>
      <c r="J4" s="8">
        <v>131.67</v>
      </c>
      <c r="K4" s="8">
        <v>-34.447</v>
      </c>
      <c r="L4" s="8">
        <v>172.9</v>
      </c>
      <c r="M4" s="8">
        <v>-76.47499999999999</v>
      </c>
      <c r="N4" s="59"/>
      <c r="O4" s="8"/>
      <c r="P4" s="9"/>
      <c r="Q4" s="9"/>
      <c r="R4" s="9"/>
      <c r="S4" s="9"/>
      <c r="T4" s="9"/>
      <c r="U4" s="9"/>
      <c r="V4" s="8">
        <f>-(L4+M4)</f>
        <v>-96.425</v>
      </c>
      <c r="W4" s="9"/>
      <c r="X4" s="8">
        <f>F4-G4</f>
        <v>-917.7</v>
      </c>
      <c r="Y4" s="9"/>
      <c r="Z4" s="73">
        <v>325</v>
      </c>
      <c r="AA4" s="11"/>
      <c r="AB4" s="12">
        <v>13.3</v>
      </c>
    </row>
    <row r="5" ht="20.05" customHeight="1">
      <c r="B5" s="13"/>
      <c r="C5" s="14">
        <v>867.98751</v>
      </c>
      <c r="D5" s="15">
        <v>23.32225</v>
      </c>
      <c r="E5" s="15">
        <v>58.6388</v>
      </c>
      <c r="F5" s="15">
        <v>666.35</v>
      </c>
      <c r="G5" s="15">
        <v>1612.567</v>
      </c>
      <c r="H5" s="15">
        <v>3678.252</v>
      </c>
      <c r="I5" s="15">
        <v>915.43163</v>
      </c>
      <c r="J5" s="15">
        <v>109.2814</v>
      </c>
      <c r="K5" s="15">
        <v>-27.85343</v>
      </c>
      <c r="L5" s="15">
        <v>173.251</v>
      </c>
      <c r="M5" s="15">
        <v>-76.63025</v>
      </c>
      <c r="N5" s="26"/>
      <c r="O5" s="15"/>
      <c r="P5" s="17"/>
      <c r="Q5" s="17"/>
      <c r="R5" s="17"/>
      <c r="S5" s="17"/>
      <c r="T5" s="17"/>
      <c r="U5" s="17"/>
      <c r="V5" s="15">
        <f>-(L5+M5)+V4</f>
        <v>-193.04575</v>
      </c>
      <c r="W5" s="17"/>
      <c r="X5" s="15">
        <f>F5-G5</f>
        <v>-946.217</v>
      </c>
      <c r="Y5" s="17"/>
      <c r="Z5" s="24">
        <v>388</v>
      </c>
      <c r="AA5" s="19"/>
      <c r="AB5" s="20">
        <v>13.327</v>
      </c>
    </row>
    <row r="6" ht="20.05" customHeight="1">
      <c r="B6" s="13"/>
      <c r="C6" s="14">
        <v>1110.30225</v>
      </c>
      <c r="D6" s="15">
        <v>23.28375</v>
      </c>
      <c r="E6" s="15">
        <v>190.2615</v>
      </c>
      <c r="F6" s="15">
        <v>572.115</v>
      </c>
      <c r="G6" s="15">
        <v>1809.48</v>
      </c>
      <c r="H6" s="15">
        <v>3951.585</v>
      </c>
      <c r="I6" s="15">
        <v>1084.75665</v>
      </c>
      <c r="J6" s="15">
        <v>219.5325</v>
      </c>
      <c r="K6" s="15">
        <v>-238.1595</v>
      </c>
      <c r="L6" s="15">
        <v>172.965</v>
      </c>
      <c r="M6" s="15">
        <v>-76.50375</v>
      </c>
      <c r="N6" s="26"/>
      <c r="O6" s="15"/>
      <c r="P6" s="17"/>
      <c r="Q6" s="17"/>
      <c r="R6" s="17"/>
      <c r="S6" s="17"/>
      <c r="T6" s="17"/>
      <c r="U6" s="17"/>
      <c r="V6" s="15">
        <f>-(L6+M6)+V5</f>
        <v>-289.507</v>
      </c>
      <c r="W6" s="17"/>
      <c r="X6" s="15">
        <f>F6-G6</f>
        <v>-1237.365</v>
      </c>
      <c r="Y6" s="17"/>
      <c r="Z6" s="24">
        <v>468</v>
      </c>
      <c r="AA6" s="19"/>
      <c r="AB6" s="20">
        <v>13.305</v>
      </c>
    </row>
    <row r="7" ht="20.05" customHeight="1">
      <c r="B7" s="13"/>
      <c r="C7" s="14">
        <v>1348.24365</v>
      </c>
      <c r="D7" s="15">
        <v>23.72475</v>
      </c>
      <c r="E7" s="15">
        <v>168.92022</v>
      </c>
      <c r="F7" s="15">
        <v>786.306</v>
      </c>
      <c r="G7" s="15">
        <v>2358.918</v>
      </c>
      <c r="H7" s="15">
        <v>4717.836</v>
      </c>
      <c r="I7" s="15">
        <v>1047.54939</v>
      </c>
      <c r="J7" s="15">
        <v>-202.27044</v>
      </c>
      <c r="K7" s="15">
        <v>-76.59705</v>
      </c>
      <c r="L7" s="15">
        <v>176.241</v>
      </c>
      <c r="M7" s="15">
        <v>-77.95274999999999</v>
      </c>
      <c r="N7" s="26"/>
      <c r="O7" s="15"/>
      <c r="P7" s="17"/>
      <c r="Q7" s="17"/>
      <c r="R7" s="17"/>
      <c r="S7" s="17"/>
      <c r="T7" s="17"/>
      <c r="U7" s="17"/>
      <c r="V7" s="15">
        <f>-(L7+M7)+V6</f>
        <v>-387.79525</v>
      </c>
      <c r="W7" s="17"/>
      <c r="X7" s="15">
        <f>F7-G7</f>
        <v>-1572.612</v>
      </c>
      <c r="Y7" s="17"/>
      <c r="Z7" s="24">
        <v>518</v>
      </c>
      <c r="AA7" s="19"/>
      <c r="AB7" s="20">
        <v>13.557</v>
      </c>
    </row>
    <row r="8" ht="20.05" customHeight="1">
      <c r="B8" s="21">
        <v>2018</v>
      </c>
      <c r="C8" s="14">
        <v>1491.00435</v>
      </c>
      <c r="D8" s="15">
        <v>35.7786</v>
      </c>
      <c r="E8" s="15">
        <v>346.91481</v>
      </c>
      <c r="F8" s="15">
        <v>1100.88</v>
      </c>
      <c r="G8" s="15">
        <v>2435.697</v>
      </c>
      <c r="H8" s="15">
        <v>5229.18</v>
      </c>
      <c r="I8" s="15">
        <v>1305.23085</v>
      </c>
      <c r="J8" s="15">
        <v>412.83</v>
      </c>
      <c r="K8" s="15">
        <v>-44.0352</v>
      </c>
      <c r="L8" s="15">
        <v>209.85525</v>
      </c>
      <c r="M8" s="15">
        <v>-96.327</v>
      </c>
      <c r="N8" s="15">
        <f>SUM(C5:C8)/4</f>
        <v>1204.38444</v>
      </c>
      <c r="O8" s="15"/>
      <c r="P8" s="16"/>
      <c r="Q8" s="16">
        <f>((D8+E8)/C8)</f>
        <v>0.256668204891555</v>
      </c>
      <c r="R8" s="16"/>
      <c r="S8" s="17"/>
      <c r="T8" s="15">
        <f>SUM(J5:K8)/4</f>
        <v>38.18207</v>
      </c>
      <c r="U8" s="17"/>
      <c r="V8" s="15">
        <f>-(L8+M8)+V7</f>
        <v>-501.3235</v>
      </c>
      <c r="W8" s="17"/>
      <c r="X8" s="15">
        <f>F8-G8</f>
        <v>-1334.817</v>
      </c>
      <c r="Y8" s="24"/>
      <c r="Z8" s="24">
        <v>670</v>
      </c>
      <c r="AA8" s="22"/>
      <c r="AB8" s="20">
        <v>13.761</v>
      </c>
    </row>
    <row r="9" ht="20.05" customHeight="1">
      <c r="B9" s="13"/>
      <c r="C9" s="14">
        <v>1105.16</v>
      </c>
      <c r="D9" s="15">
        <v>36.4</v>
      </c>
      <c r="E9" s="15">
        <v>84.14</v>
      </c>
      <c r="F9" s="15">
        <v>714</v>
      </c>
      <c r="G9" s="15">
        <v>2422</v>
      </c>
      <c r="H9" s="15">
        <v>5194</v>
      </c>
      <c r="I9" s="15">
        <v>1108.1</v>
      </c>
      <c r="J9" s="15">
        <v>-163.52</v>
      </c>
      <c r="K9" s="15">
        <v>-135.8</v>
      </c>
      <c r="L9" s="15">
        <v>213.5</v>
      </c>
      <c r="M9" s="15">
        <v>-98</v>
      </c>
      <c r="N9" s="15">
        <f>SUM(C6:C9)/4</f>
        <v>1263.6775625</v>
      </c>
      <c r="O9" s="15"/>
      <c r="P9" s="16"/>
      <c r="Q9" s="16">
        <f>((D9+E9)/C9)</f>
        <v>0.109070179883456</v>
      </c>
      <c r="R9" s="16"/>
      <c r="S9" s="17"/>
      <c r="T9" s="15">
        <f>SUM(J6:K9)/4</f>
        <v>-57.0049225</v>
      </c>
      <c r="U9" s="17"/>
      <c r="V9" s="15">
        <f>-(L9+M9)+V8</f>
        <v>-616.8235</v>
      </c>
      <c r="W9" s="17"/>
      <c r="X9" s="15">
        <f>F9-G9</f>
        <v>-1708</v>
      </c>
      <c r="Y9" s="24"/>
      <c r="Z9" s="24">
        <v>525</v>
      </c>
      <c r="AA9" s="22"/>
      <c r="AB9" s="20">
        <v>14</v>
      </c>
    </row>
    <row r="10" ht="20.05" customHeight="1">
      <c r="B10" s="13"/>
      <c r="C10" s="14">
        <v>1739.21242</v>
      </c>
      <c r="D10" s="15">
        <v>38.7452</v>
      </c>
      <c r="E10" s="15">
        <v>220.25156</v>
      </c>
      <c r="F10" s="15">
        <v>1013.336</v>
      </c>
      <c r="G10" s="15">
        <v>2786.674</v>
      </c>
      <c r="H10" s="15">
        <v>5811.78</v>
      </c>
      <c r="I10" s="15">
        <v>1728.632</v>
      </c>
      <c r="J10" s="15">
        <v>457.19336</v>
      </c>
      <c r="K10" s="15">
        <v>-31.2942</v>
      </c>
      <c r="L10" s="15">
        <v>227.2555</v>
      </c>
      <c r="M10" s="15">
        <v>-104.314</v>
      </c>
      <c r="N10" s="15">
        <f>SUM(C7:C10)/4</f>
        <v>1420.905105</v>
      </c>
      <c r="O10" s="15"/>
      <c r="P10" s="16"/>
      <c r="Q10" s="16">
        <f>((D10+E10)/C10)</f>
        <v>0.148916116870877</v>
      </c>
      <c r="R10" s="16"/>
      <c r="S10" s="17"/>
      <c r="T10" s="15">
        <f>SUM(J7:K10)/4</f>
        <v>54.1266175</v>
      </c>
      <c r="U10" s="17"/>
      <c r="V10" s="15">
        <f>-(L10+M10)+V9</f>
        <v>-739.765</v>
      </c>
      <c r="W10" s="17"/>
      <c r="X10" s="15">
        <f>F10-G10</f>
        <v>-1773.338</v>
      </c>
      <c r="Y10" s="24"/>
      <c r="Z10" s="24">
        <v>445</v>
      </c>
      <c r="AA10" s="22"/>
      <c r="AB10" s="20">
        <v>14.902</v>
      </c>
    </row>
    <row r="11" ht="20.05" customHeight="1">
      <c r="B11" s="13"/>
      <c r="C11" s="14">
        <v>1926.92</v>
      </c>
      <c r="D11" s="15">
        <v>37.388</v>
      </c>
      <c r="E11" s="15">
        <v>316.36</v>
      </c>
      <c r="F11" s="15">
        <v>819.66</v>
      </c>
      <c r="G11" s="15">
        <v>4112.68</v>
      </c>
      <c r="H11" s="15">
        <v>7218.76</v>
      </c>
      <c r="I11" s="15">
        <v>1466.76</v>
      </c>
      <c r="J11" s="15">
        <v>-158.18</v>
      </c>
      <c r="K11" s="15">
        <v>-805.28</v>
      </c>
      <c r="L11" s="15">
        <v>219.295</v>
      </c>
      <c r="M11" s="15">
        <v>-100.66</v>
      </c>
      <c r="N11" s="15">
        <f>SUM(C8:C11)/4</f>
        <v>1565.5741925</v>
      </c>
      <c r="O11" s="15"/>
      <c r="P11" s="16"/>
      <c r="Q11" s="16">
        <f>((D11+E11)/C11)</f>
        <v>0.183582089552239</v>
      </c>
      <c r="R11" s="16"/>
      <c r="S11" s="17"/>
      <c r="T11" s="15">
        <f>SUM(J8:K11)/4</f>
        <v>-117.02151</v>
      </c>
      <c r="U11" s="17"/>
      <c r="V11" s="15">
        <f>-(L11+M11)+V10</f>
        <v>-858.4</v>
      </c>
      <c r="W11" s="17"/>
      <c r="X11" s="15">
        <f>F11-G11</f>
        <v>-3293.02</v>
      </c>
      <c r="Y11" s="24"/>
      <c r="Z11" s="24">
        <v>405</v>
      </c>
      <c r="AA11" s="22"/>
      <c r="AB11" s="20">
        <v>14.38</v>
      </c>
    </row>
    <row r="12" ht="20.05" customHeight="1">
      <c r="B12" s="21">
        <v>2019</v>
      </c>
      <c r="C12" s="14">
        <v>1566.4</v>
      </c>
      <c r="D12" s="15">
        <v>-8.544</v>
      </c>
      <c r="E12" s="15">
        <v>142.4</v>
      </c>
      <c r="F12" s="15">
        <v>640.8</v>
      </c>
      <c r="G12" s="15">
        <v>4215.04</v>
      </c>
      <c r="H12" s="15">
        <v>7419.04</v>
      </c>
      <c r="I12" s="15">
        <v>1210.4</v>
      </c>
      <c r="J12" s="15">
        <v>-284.8</v>
      </c>
      <c r="K12" s="15">
        <v>-313.28</v>
      </c>
      <c r="L12" s="15">
        <v>316.84</v>
      </c>
      <c r="M12" s="15">
        <v>-32.04</v>
      </c>
      <c r="N12" s="15">
        <f>SUM(C9:C12)/4</f>
        <v>1584.423105</v>
      </c>
      <c r="O12" s="23"/>
      <c r="P12" s="16"/>
      <c r="Q12" s="16">
        <f>((D12+E12)/C12)</f>
        <v>0.08545454545454551</v>
      </c>
      <c r="R12" s="16">
        <f>AVERAGE(Q9:Q12)</f>
        <v>0.131755732940279</v>
      </c>
      <c r="S12" s="17"/>
      <c r="T12" s="15">
        <f>SUM(J9:K12)/4</f>
        <v>-358.74021</v>
      </c>
      <c r="U12" s="17"/>
      <c r="V12" s="15">
        <f>-(L12+M12)+V11</f>
        <v>-1143.2</v>
      </c>
      <c r="W12" s="17"/>
      <c r="X12" s="15">
        <f>F12-G12</f>
        <v>-3574.24</v>
      </c>
      <c r="Y12" s="24"/>
      <c r="Z12" s="24">
        <v>413</v>
      </c>
      <c r="AA12" s="22"/>
      <c r="AB12" s="20">
        <v>14.24</v>
      </c>
    </row>
    <row r="13" ht="20.05" customHeight="1">
      <c r="B13" s="13"/>
      <c r="C13" s="14">
        <v>1709.367</v>
      </c>
      <c r="D13" s="15">
        <v>-8.4762</v>
      </c>
      <c r="E13" s="15">
        <v>183.651</v>
      </c>
      <c r="F13" s="15">
        <v>452.064</v>
      </c>
      <c r="G13" s="15">
        <v>4125.084</v>
      </c>
      <c r="H13" s="15">
        <v>7360.167</v>
      </c>
      <c r="I13" s="15">
        <v>1313.811</v>
      </c>
      <c r="J13" s="15">
        <v>-466.191</v>
      </c>
      <c r="K13" s="15">
        <v>196.3653</v>
      </c>
      <c r="L13" s="15">
        <v>314.32575</v>
      </c>
      <c r="M13" s="15">
        <v>-31.78575</v>
      </c>
      <c r="N13" s="15">
        <f>SUM(C10:C13)/4</f>
        <v>1735.474855</v>
      </c>
      <c r="O13" s="23"/>
      <c r="P13" s="16"/>
      <c r="Q13" s="16">
        <f>((D13+E13)/C13)</f>
        <v>0.102479338842975</v>
      </c>
      <c r="R13" s="16">
        <f>AVERAGE(Q10:Q13)</f>
        <v>0.130108022680159</v>
      </c>
      <c r="S13" s="17"/>
      <c r="T13" s="15">
        <f>SUM(J10:K13)/4</f>
        <v>-351.366635</v>
      </c>
      <c r="U13" s="17"/>
      <c r="V13" s="15">
        <f>-(L13+M13)+V12</f>
        <v>-1425.74</v>
      </c>
      <c r="W13" s="17"/>
      <c r="X13" s="15">
        <f>F13-G13</f>
        <v>-3673.02</v>
      </c>
      <c r="Y13" s="24"/>
      <c r="Z13" s="24">
        <v>460</v>
      </c>
      <c r="AA13" s="24"/>
      <c r="AB13" s="15">
        <v>14.127</v>
      </c>
    </row>
    <row r="14" ht="20.05" customHeight="1">
      <c r="B14" s="13"/>
      <c r="C14" s="14">
        <v>1760.18</v>
      </c>
      <c r="D14" s="15">
        <v>-8.516999999999999</v>
      </c>
      <c r="E14" s="15">
        <v>156.145</v>
      </c>
      <c r="F14" s="15">
        <v>397.46</v>
      </c>
      <c r="G14" s="15">
        <v>4499.815</v>
      </c>
      <c r="H14" s="15">
        <v>7906.615</v>
      </c>
      <c r="I14" s="15">
        <v>951.0650000000001</v>
      </c>
      <c r="J14" s="15">
        <v>-198.73</v>
      </c>
      <c r="K14" s="15">
        <v>44.0045</v>
      </c>
      <c r="L14" s="15">
        <v>315.83875</v>
      </c>
      <c r="M14" s="15">
        <v>-31.93875</v>
      </c>
      <c r="N14" s="15">
        <f>SUM(C11:C14)/4</f>
        <v>1740.71675</v>
      </c>
      <c r="O14" s="23"/>
      <c r="P14" s="16"/>
      <c r="Q14" s="16">
        <f>((D14+E14)/C14)</f>
        <v>0.0838709677419355</v>
      </c>
      <c r="R14" s="16">
        <f>AVERAGE(Q11:Q14)</f>
        <v>0.113846735397924</v>
      </c>
      <c r="S14" s="17"/>
      <c r="T14" s="15">
        <f>SUM(J11:K14)/4</f>
        <v>-496.5228</v>
      </c>
      <c r="U14" s="17"/>
      <c r="V14" s="15">
        <f>-(L14+M14)+V13</f>
        <v>-1709.64</v>
      </c>
      <c r="W14" s="17"/>
      <c r="X14" s="15">
        <f>F14-G14</f>
        <v>-4102.355</v>
      </c>
      <c r="Y14" s="24"/>
      <c r="Z14" s="24">
        <v>372</v>
      </c>
      <c r="AA14" s="24"/>
      <c r="AB14" s="15">
        <v>14.195</v>
      </c>
    </row>
    <row r="15" ht="20.05" customHeight="1">
      <c r="B15" s="13"/>
      <c r="C15" s="14">
        <v>2373.822</v>
      </c>
      <c r="D15" s="15">
        <v>-8.3292</v>
      </c>
      <c r="E15" s="15">
        <v>138.82</v>
      </c>
      <c r="F15" s="15">
        <v>291.522</v>
      </c>
      <c r="G15" s="15">
        <v>5150.222</v>
      </c>
      <c r="H15" s="15">
        <v>8815.07</v>
      </c>
      <c r="I15" s="15">
        <v>1013.386</v>
      </c>
      <c r="J15" s="15">
        <v>-832.92</v>
      </c>
      <c r="K15" s="15">
        <v>166.584</v>
      </c>
      <c r="L15" s="15">
        <v>308.8745</v>
      </c>
      <c r="M15" s="15">
        <v>-31.2345</v>
      </c>
      <c r="N15" s="15">
        <f>SUM(C12:C15)/4</f>
        <v>1852.44225</v>
      </c>
      <c r="O15" s="15"/>
      <c r="P15" s="16"/>
      <c r="Q15" s="16">
        <f>((D15+E15)/C15)</f>
        <v>0.0549707602339181</v>
      </c>
      <c r="R15" s="16">
        <f>AVERAGE(Q12:Q15)</f>
        <v>0.0816939030683435</v>
      </c>
      <c r="S15" s="17"/>
      <c r="T15" s="15">
        <f>SUM(J12:K15)/4</f>
        <v>-422.2418</v>
      </c>
      <c r="U15" s="17"/>
      <c r="V15" s="15">
        <f>-(L15+M15)+V14</f>
        <v>-1987.28</v>
      </c>
      <c r="W15" s="17"/>
      <c r="X15" s="15">
        <f>F15-G15</f>
        <v>-4858.7</v>
      </c>
      <c r="Y15" s="24"/>
      <c r="Z15" s="24">
        <v>358</v>
      </c>
      <c r="AA15" s="24"/>
      <c r="AB15" s="15">
        <v>13.882</v>
      </c>
    </row>
    <row r="16" ht="20.05" customHeight="1">
      <c r="B16" s="21">
        <v>2020</v>
      </c>
      <c r="C16" s="14">
        <v>2723.77</v>
      </c>
      <c r="D16" s="15">
        <v>-97.86</v>
      </c>
      <c r="E16" s="15">
        <v>456.68</v>
      </c>
      <c r="F16" s="15">
        <v>472.99</v>
      </c>
      <c r="G16" s="15">
        <v>7225.33</v>
      </c>
      <c r="H16" s="15">
        <v>11873.68</v>
      </c>
      <c r="I16" s="15">
        <v>1370.04</v>
      </c>
      <c r="J16" s="15">
        <v>-375.13</v>
      </c>
      <c r="K16" s="15">
        <v>-97.86</v>
      </c>
      <c r="L16" s="15">
        <v>685.02</v>
      </c>
      <c r="M16" s="15">
        <v>-48.93</v>
      </c>
      <c r="N16" s="15">
        <f>SUM(C13:C16)/4</f>
        <v>2141.78475</v>
      </c>
      <c r="O16" s="15"/>
      <c r="P16" s="16"/>
      <c r="Q16" s="16">
        <f>((D16+E16)/C16)</f>
        <v>0.131736526946108</v>
      </c>
      <c r="R16" s="16">
        <f>AVERAGE(Q13:Q16)</f>
        <v>0.0932643984412342</v>
      </c>
      <c r="S16" s="17"/>
      <c r="T16" s="15">
        <f>SUM(J13:K16)/4</f>
        <v>-390.9693</v>
      </c>
      <c r="U16" s="17"/>
      <c r="V16" s="15">
        <f>-(L16+M16)+V15</f>
        <v>-2623.37</v>
      </c>
      <c r="W16" s="17"/>
      <c r="X16" s="15">
        <f>F16-G16</f>
        <v>-6752.34</v>
      </c>
      <c r="Y16" s="24"/>
      <c r="Z16" s="24">
        <v>370</v>
      </c>
      <c r="AA16" s="24"/>
      <c r="AB16" s="15">
        <v>16.31</v>
      </c>
    </row>
    <row r="17" ht="20.05" customHeight="1">
      <c r="B17" s="13"/>
      <c r="C17" s="14">
        <v>741.26</v>
      </c>
      <c r="D17" s="15">
        <v>-85.53</v>
      </c>
      <c r="E17" s="15">
        <v>71.27500000000001</v>
      </c>
      <c r="F17" s="15">
        <v>356.375</v>
      </c>
      <c r="G17" s="15">
        <v>6443.26</v>
      </c>
      <c r="H17" s="15">
        <v>10520.19</v>
      </c>
      <c r="I17" s="15">
        <v>755.515</v>
      </c>
      <c r="J17" s="15">
        <v>-441.905</v>
      </c>
      <c r="K17" s="15">
        <v>51.318</v>
      </c>
      <c r="L17" s="15">
        <v>354.9495</v>
      </c>
      <c r="M17" s="15">
        <v>-27.0845</v>
      </c>
      <c r="N17" s="15">
        <f>SUM(C14:C17)/4</f>
        <v>1899.758</v>
      </c>
      <c r="O17" s="15"/>
      <c r="P17" s="16"/>
      <c r="Q17" s="16">
        <f>((D17+E17)/C17)</f>
        <v>-0.0192307692307692</v>
      </c>
      <c r="R17" s="16">
        <f>AVERAGE(Q14:Q17)</f>
        <v>0.0628368714227981</v>
      </c>
      <c r="S17" s="17"/>
      <c r="T17" s="15">
        <f>SUM(J14:K17)/4</f>
        <v>-421.159625</v>
      </c>
      <c r="U17" s="17"/>
      <c r="V17" s="15">
        <f>-(L17+M17)+V16</f>
        <v>-2951.235</v>
      </c>
      <c r="W17" s="17"/>
      <c r="X17" s="15">
        <f>F17-G17</f>
        <v>-6086.885</v>
      </c>
      <c r="Y17" s="24"/>
      <c r="Z17" s="24">
        <v>354</v>
      </c>
      <c r="AA17" s="24"/>
      <c r="AB17" s="15">
        <v>14.255</v>
      </c>
    </row>
    <row r="18" ht="20.05" customHeight="1">
      <c r="B18" s="13"/>
      <c r="C18" s="14">
        <v>828.24</v>
      </c>
      <c r="D18" s="15">
        <v>-88.73999999999999</v>
      </c>
      <c r="E18" s="15">
        <v>177.48</v>
      </c>
      <c r="F18" s="15">
        <v>295.8</v>
      </c>
      <c r="G18" s="15">
        <v>6714.66</v>
      </c>
      <c r="H18" s="15">
        <v>11136.87</v>
      </c>
      <c r="I18" s="15">
        <v>414.12</v>
      </c>
      <c r="J18" s="15">
        <v>-473.28</v>
      </c>
      <c r="K18" s="15">
        <v>109.446</v>
      </c>
      <c r="L18" s="15">
        <v>289.884</v>
      </c>
      <c r="M18" s="15">
        <v>-8.874000000000001</v>
      </c>
      <c r="N18" s="15">
        <f>SUM(C15:C18)/4</f>
        <v>1666.773</v>
      </c>
      <c r="O18" s="15"/>
      <c r="P18" s="16"/>
      <c r="Q18" s="16">
        <f>((D18+E18)/C18)</f>
        <v>0.107142857142857</v>
      </c>
      <c r="R18" s="16">
        <f>AVERAGE(Q15:Q18)</f>
        <v>0.0686548437730285</v>
      </c>
      <c r="S18" s="17"/>
      <c r="T18" s="15">
        <f>SUM(J15:K18)/4</f>
        <v>-473.43675</v>
      </c>
      <c r="U18" s="17"/>
      <c r="V18" s="15">
        <f>-(L18+M18)+V17</f>
        <v>-3232.245</v>
      </c>
      <c r="W18" s="17"/>
      <c r="X18" s="15">
        <f>F18-G18</f>
        <v>-6418.86</v>
      </c>
      <c r="Y18" s="24"/>
      <c r="Z18" s="24">
        <v>390</v>
      </c>
      <c r="AA18" s="24"/>
      <c r="AB18" s="15">
        <v>14.79</v>
      </c>
    </row>
    <row r="19" ht="20.05" customHeight="1">
      <c r="B19" s="13"/>
      <c r="C19" s="14">
        <v>802.29</v>
      </c>
      <c r="D19" s="15">
        <v>-84.59999999999999</v>
      </c>
      <c r="E19" s="15">
        <v>-129.72</v>
      </c>
      <c r="F19" s="15">
        <v>352.5</v>
      </c>
      <c r="G19" s="15">
        <v>6782.1</v>
      </c>
      <c r="H19" s="15">
        <v>10885.2</v>
      </c>
      <c r="I19" s="15">
        <v>555.54</v>
      </c>
      <c r="J19" s="15">
        <v>-365.19</v>
      </c>
      <c r="K19" s="15">
        <v>25.38</v>
      </c>
      <c r="L19" s="15">
        <v>428.64</v>
      </c>
      <c r="M19" s="15">
        <v>-21.15</v>
      </c>
      <c r="N19" s="15">
        <f>SUM(C16:C19)/4</f>
        <v>1273.89</v>
      </c>
      <c r="O19" s="15"/>
      <c r="P19" s="16"/>
      <c r="Q19" s="16">
        <f>((D19+E19)/C19)</f>
        <v>-0.26713532513181</v>
      </c>
      <c r="R19" s="16">
        <f>AVERAGE(Q16:Q19)</f>
        <v>-0.0118716775684036</v>
      </c>
      <c r="S19" s="17"/>
      <c r="T19" s="15">
        <f>SUM(J16:K19)/4</f>
        <v>-391.80525</v>
      </c>
      <c r="U19" s="17"/>
      <c r="V19" s="15">
        <f>-(L19+M19)+V18</f>
        <v>-3639.735</v>
      </c>
      <c r="W19" s="17"/>
      <c r="X19" s="15">
        <f>F19-G19</f>
        <v>-6429.6</v>
      </c>
      <c r="Y19" s="24"/>
      <c r="Z19" s="24">
        <v>520</v>
      </c>
      <c r="AA19" s="24"/>
      <c r="AB19" s="15">
        <v>14.1</v>
      </c>
    </row>
    <row r="20" ht="20.05" customHeight="1">
      <c r="B20" s="21">
        <v>2021</v>
      </c>
      <c r="C20" s="14">
        <v>1232.7464</v>
      </c>
      <c r="D20" s="15">
        <v>68.6482</v>
      </c>
      <c r="E20" s="15">
        <v>189.878</v>
      </c>
      <c r="F20" s="15">
        <v>540.422</v>
      </c>
      <c r="G20" s="15">
        <v>7273.788</v>
      </c>
      <c r="H20" s="15">
        <v>11626.376</v>
      </c>
      <c r="I20" s="15">
        <v>981.5232</v>
      </c>
      <c r="J20" s="15">
        <v>144.5994</v>
      </c>
      <c r="K20" s="15">
        <v>51.121</v>
      </c>
      <c r="L20" s="15">
        <v>55.5028</v>
      </c>
      <c r="M20" s="15">
        <v>-78.8724</v>
      </c>
      <c r="N20" s="15">
        <f>SUM(C17:C20)/4</f>
        <v>901.1341</v>
      </c>
      <c r="O20" s="15">
        <v>1187.02962</v>
      </c>
      <c r="P20" s="16"/>
      <c r="Q20" s="16">
        <f>((D20+E20)/C20)</f>
        <v>0.209715639810427</v>
      </c>
      <c r="R20" s="16">
        <f>AVERAGE(Q17:Q20)</f>
        <v>0.0076231006476762</v>
      </c>
      <c r="S20" s="17"/>
      <c r="T20" s="15">
        <f>SUM(J17:K20)/4</f>
        <v>-224.62765</v>
      </c>
      <c r="U20" s="17"/>
      <c r="V20" s="15">
        <f>-(L20+M20)+V19</f>
        <v>-3616.3654</v>
      </c>
      <c r="W20" s="17"/>
      <c r="X20" s="15">
        <f>F20-G20</f>
        <v>-6733.366</v>
      </c>
      <c r="Y20" s="15"/>
      <c r="Z20" s="15">
        <v>494</v>
      </c>
      <c r="AA20" s="17"/>
      <c r="AB20" s="15">
        <v>14.606</v>
      </c>
    </row>
    <row r="21" ht="20.05" customHeight="1">
      <c r="B21" s="13"/>
      <c r="C21" s="14">
        <v>1508.58</v>
      </c>
      <c r="D21" s="15">
        <v>70.80500000000001</v>
      </c>
      <c r="E21" s="15">
        <v>245.65</v>
      </c>
      <c r="F21" s="15">
        <v>274.55</v>
      </c>
      <c r="G21" s="15">
        <v>7340.6</v>
      </c>
      <c r="H21" s="15">
        <v>11733.4</v>
      </c>
      <c r="I21" s="15">
        <v>1131.435</v>
      </c>
      <c r="J21" s="15">
        <v>-101.15</v>
      </c>
      <c r="K21" s="15">
        <v>63.58</v>
      </c>
      <c r="L21" s="15">
        <v>-182.07</v>
      </c>
      <c r="M21" s="15">
        <v>-41.905</v>
      </c>
      <c r="N21" s="15">
        <f>SUM(C18:C21)/4</f>
        <v>1092.9641</v>
      </c>
      <c r="O21" s="15">
        <v>1250.406666666670</v>
      </c>
      <c r="P21" s="16">
        <f>C21/C20-1</f>
        <v>0.223755348220851</v>
      </c>
      <c r="Q21" s="16">
        <f>((D21+E21)/C21)</f>
        <v>0.209770114942529</v>
      </c>
      <c r="R21" s="16">
        <f>AVERAGE(Q18:Q21)</f>
        <v>0.0648733216910008</v>
      </c>
      <c r="S21" s="17"/>
      <c r="T21" s="15">
        <f>SUM(J18:K21)/4</f>
        <v>-136.3734</v>
      </c>
      <c r="U21" s="17"/>
      <c r="V21" s="15">
        <f>-(L21+M21)+V20</f>
        <v>-3392.3904</v>
      </c>
      <c r="W21" s="17"/>
      <c r="X21" s="15">
        <f>F21-G21</f>
        <v>-7066.05</v>
      </c>
      <c r="Y21" s="15"/>
      <c r="Z21" s="15">
        <v>492</v>
      </c>
      <c r="AA21" s="17"/>
      <c r="AB21" s="15">
        <v>14.45</v>
      </c>
    </row>
    <row r="22" ht="20.05" customHeight="1">
      <c r="B22" s="13"/>
      <c r="C22" s="14">
        <v>1404.144</v>
      </c>
      <c r="D22" s="15">
        <v>70.2072</v>
      </c>
      <c r="E22" s="15">
        <v>214.92</v>
      </c>
      <c r="F22" s="15">
        <v>888.336</v>
      </c>
      <c r="G22" s="15">
        <v>6805.8</v>
      </c>
      <c r="H22" s="15">
        <v>11405.088</v>
      </c>
      <c r="I22" s="15">
        <v>1336.8024</v>
      </c>
      <c r="J22" s="15">
        <v>-54.4464</v>
      </c>
      <c r="K22" s="15">
        <v>1011.5568</v>
      </c>
      <c r="L22" s="15">
        <v>-339.5736</v>
      </c>
      <c r="M22" s="15">
        <v>0</v>
      </c>
      <c r="N22" s="15">
        <f>SUM(C19:C22)/4</f>
        <v>1236.9401</v>
      </c>
      <c r="O22" s="15">
        <v>1241.209566</v>
      </c>
      <c r="P22" s="16">
        <f>C22/C21-1</f>
        <v>-0.0692280157499105</v>
      </c>
      <c r="Q22" s="16">
        <f>((D22+E22)/C22)</f>
        <v>0.203061224489796</v>
      </c>
      <c r="R22" s="16">
        <f>AVERAGE(Q19:Q22)</f>
        <v>0.0888529135277355</v>
      </c>
      <c r="S22" s="17"/>
      <c r="T22" s="15">
        <f>SUM(J19:K22)/4</f>
        <v>193.8627</v>
      </c>
      <c r="U22" s="17"/>
      <c r="V22" s="15">
        <f>-(L22+M22)+V21</f>
        <v>-3052.8168</v>
      </c>
      <c r="W22" s="17"/>
      <c r="X22" s="15">
        <f>F22-G22</f>
        <v>-5917.464</v>
      </c>
      <c r="Y22" s="15"/>
      <c r="Z22" s="15">
        <v>555</v>
      </c>
      <c r="AA22" s="17"/>
      <c r="AB22" s="15">
        <v>14.328</v>
      </c>
    </row>
    <row r="23" ht="20.05" customHeight="1">
      <c r="B23" s="13"/>
      <c r="C23" s="14">
        <v>2510.9725</v>
      </c>
      <c r="D23" s="15">
        <v>85.65000000000001</v>
      </c>
      <c r="E23" s="15">
        <v>294.065</v>
      </c>
      <c r="F23" s="15">
        <v>984.975</v>
      </c>
      <c r="G23" s="15">
        <v>7194.6</v>
      </c>
      <c r="H23" s="15">
        <v>12247.95</v>
      </c>
      <c r="I23" s="15">
        <v>2675.135</v>
      </c>
      <c r="J23" s="15">
        <v>324.0425</v>
      </c>
      <c r="K23" s="15">
        <v>-493.915</v>
      </c>
      <c r="L23" s="15">
        <v>304.0575</v>
      </c>
      <c r="M23" s="15">
        <v>-35.6875</v>
      </c>
      <c r="N23" s="15">
        <f>SUM(C20:C23)/4</f>
        <v>1664.110725</v>
      </c>
      <c r="O23" s="15">
        <v>1383.0262375</v>
      </c>
      <c r="P23" s="16">
        <f>C23/C22-1</f>
        <v>0.788258540434599</v>
      </c>
      <c r="Q23" s="16">
        <f>((D23+E23)/C23)</f>
        <v>0.151222285389426</v>
      </c>
      <c r="R23" s="16">
        <f>AVERAGE(Q20:Q23)</f>
        <v>0.193442316158045</v>
      </c>
      <c r="S23" s="17"/>
      <c r="T23" s="15">
        <f>SUM(J20:K23)/4</f>
        <v>236.347075</v>
      </c>
      <c r="U23" s="17"/>
      <c r="V23" s="15">
        <f>-(L23+M23)+V22</f>
        <v>-3321.1868</v>
      </c>
      <c r="W23" s="17"/>
      <c r="X23" s="15">
        <f>F23-G23</f>
        <v>-6209.625</v>
      </c>
      <c r="Y23" s="15"/>
      <c r="Z23" s="15">
        <v>1100</v>
      </c>
      <c r="AA23" s="17"/>
      <c r="AB23" s="15">
        <v>14.275</v>
      </c>
    </row>
    <row r="24" ht="20.05" customHeight="1">
      <c r="B24" s="21">
        <v>2022</v>
      </c>
      <c r="C24" s="14">
        <v>1588.8643</v>
      </c>
      <c r="D24" s="15">
        <v>91.69280000000001</v>
      </c>
      <c r="E24" s="15">
        <v>203.4434</v>
      </c>
      <c r="F24" s="15">
        <v>859.62</v>
      </c>
      <c r="G24" s="15">
        <v>7249.462</v>
      </c>
      <c r="H24" s="15">
        <v>12435.836</v>
      </c>
      <c r="I24" s="15">
        <v>1714.9419</v>
      </c>
      <c r="J24" s="15">
        <v>-31.5194</v>
      </c>
      <c r="K24" s="15">
        <v>-213.4723</v>
      </c>
      <c r="L24" s="15">
        <v>-81.6639</v>
      </c>
      <c r="M24" s="15">
        <v>-41.5483</v>
      </c>
      <c r="N24" s="15">
        <f>SUM(C21:C24)/4</f>
        <v>1753.1402</v>
      </c>
      <c r="O24" s="15">
        <v>1494.38848025</v>
      </c>
      <c r="P24" s="16">
        <f>C24/C23-1</f>
        <v>-0.367231500942364</v>
      </c>
      <c r="Q24" s="16">
        <f>((D24+E24)/C24)</f>
        <v>0.185752930568079</v>
      </c>
      <c r="R24" s="16">
        <f>AVERAGE(Q21:Q24)</f>
        <v>0.187451638847458</v>
      </c>
      <c r="S24" s="35"/>
      <c r="T24" s="15">
        <f>SUM(J21:K24)/4</f>
        <v>126.16905</v>
      </c>
      <c r="U24" s="15">
        <v>270.776488794141</v>
      </c>
      <c r="V24" s="15">
        <f>-(L24+M24)+V23</f>
        <v>-3197.9746</v>
      </c>
      <c r="W24" s="15"/>
      <c r="X24" s="15">
        <f>F24-G24</f>
        <v>-6389.842</v>
      </c>
      <c r="Y24" s="15">
        <v>-4996.679680640010</v>
      </c>
      <c r="Z24" s="15">
        <v>1085</v>
      </c>
      <c r="AA24" s="15">
        <v>670.409669164360</v>
      </c>
      <c r="AB24" s="15">
        <v>14.327</v>
      </c>
    </row>
    <row r="25" ht="20.05" customHeight="1">
      <c r="B25" s="13"/>
      <c r="C25" s="14">
        <v>2479.006</v>
      </c>
      <c r="D25" s="15">
        <v>114.348</v>
      </c>
      <c r="E25" s="15">
        <v>539.4880000000001</v>
      </c>
      <c r="F25" s="15">
        <v>762.3200000000001</v>
      </c>
      <c r="G25" s="15">
        <v>7139.42</v>
      </c>
      <c r="H25" s="15">
        <v>12930.12</v>
      </c>
      <c r="I25" s="15">
        <v>2086.118</v>
      </c>
      <c r="J25" s="15">
        <v>98.22199999999999</v>
      </c>
      <c r="K25" s="15">
        <v>-60.106</v>
      </c>
      <c r="L25" s="15">
        <v>208.172</v>
      </c>
      <c r="M25" s="15">
        <v>-96.756</v>
      </c>
      <c r="N25" s="15">
        <f>SUM(C22:C25)/4</f>
        <v>1995.7467</v>
      </c>
      <c r="O25" s="15">
        <v>1655.967945</v>
      </c>
      <c r="P25" s="16">
        <f>C25/C24-1</f>
        <v>0.560237711930465</v>
      </c>
      <c r="Q25" s="16">
        <f>((D25+E25)/C25)</f>
        <v>0.263749260792431</v>
      </c>
      <c r="R25" s="16">
        <f>AVERAGE(Q22:Q25)</f>
        <v>0.200946425309933</v>
      </c>
      <c r="S25" s="35"/>
      <c r="T25" s="15">
        <f>SUM(J22:K25)/4</f>
        <v>145.09055</v>
      </c>
      <c r="U25" s="15">
        <v>162.605272784943</v>
      </c>
      <c r="V25" s="15">
        <f>-(L25+M25)+V24</f>
        <v>-3309.3906</v>
      </c>
      <c r="W25" s="15"/>
      <c r="X25" s="15">
        <f>F25-G25</f>
        <v>-6377.1</v>
      </c>
      <c r="Y25" s="15">
        <v>-5991.326630554690</v>
      </c>
      <c r="Z25" s="26">
        <v>800</v>
      </c>
      <c r="AA25" s="391">
        <v>670.409669164360</v>
      </c>
      <c r="AB25" s="15">
        <v>14.66</v>
      </c>
    </row>
    <row r="26" ht="20.05" customHeight="1">
      <c r="B26" s="13"/>
      <c r="C26" s="14">
        <v>2969.8155</v>
      </c>
      <c r="D26" s="15">
        <v>-48.6855</v>
      </c>
      <c r="E26" s="15">
        <v>515.124</v>
      </c>
      <c r="F26" s="15">
        <v>989.415</v>
      </c>
      <c r="G26" s="15">
        <v>7444.17</v>
      </c>
      <c r="H26" s="15">
        <v>14040.27</v>
      </c>
      <c r="I26" s="15">
        <v>3825.738</v>
      </c>
      <c r="J26" s="15">
        <v>893.6145</v>
      </c>
      <c r="K26" s="15">
        <v>-208.8765</v>
      </c>
      <c r="L26" s="15">
        <v>-372.2085</v>
      </c>
      <c r="M26" s="15">
        <v>-114.6465</v>
      </c>
      <c r="N26" s="15">
        <f>AVERAGE(C26)</f>
        <v>2969.8155</v>
      </c>
      <c r="O26" s="15">
        <v>1957.9502025</v>
      </c>
      <c r="P26" s="16">
        <f>C26/C25-1</f>
        <v>0.197986410682346</v>
      </c>
      <c r="Q26" s="16">
        <f>((D26+E26)/C26)</f>
        <v>0.157059756742464</v>
      </c>
      <c r="R26" s="16">
        <f>AVERAGE(Q23:Q26)</f>
        <v>0.1894460583731</v>
      </c>
      <c r="S26" s="35">
        <f>S27</f>
        <v>0.1894460583731</v>
      </c>
      <c r="T26" s="15">
        <f>SUM(J23:K26)/4</f>
        <v>76.99745</v>
      </c>
      <c r="U26" s="15">
        <v>260.430154438371</v>
      </c>
      <c r="V26" s="15">
        <f>-(L26+M26)+V25</f>
        <v>-2822.5356</v>
      </c>
      <c r="W26" s="15">
        <f>W27</f>
        <v>-1271.470855888890</v>
      </c>
      <c r="X26" s="15">
        <f>F26-G26</f>
        <v>-6454.755</v>
      </c>
      <c r="Y26" s="15">
        <v>-5789.954382246520</v>
      </c>
      <c r="Z26" s="26">
        <v>730</v>
      </c>
      <c r="AA26" s="391">
        <v>955.823247874023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3149.406702633710</v>
      </c>
      <c r="P27" s="17"/>
      <c r="Q27" s="17"/>
      <c r="R27" s="17"/>
      <c r="S27" s="35">
        <f>AE53</f>
        <v>0.1894460583731</v>
      </c>
      <c r="T27" s="17"/>
      <c r="U27" s="15">
        <f>SUM(AE55:AH55)/4</f>
        <v>387.766186027779</v>
      </c>
      <c r="V27" s="17"/>
      <c r="W27" s="15">
        <f>-SUM(AE76:AH76)+V26</f>
        <v>-1271.470855888890</v>
      </c>
      <c r="X27" s="17"/>
      <c r="Y27" s="15">
        <f>AH75</f>
        <v>-5121.366623633330</v>
      </c>
      <c r="Z27" s="15">
        <v>555</v>
      </c>
      <c r="AA27" s="15">
        <v>789.8530316541641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11613.851425</v>
      </c>
      <c r="O28" s="15">
        <f>SUM(O20:O26)</f>
        <v>10169.9787179167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1153.455247827630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0.294812790526262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0.788258540434599</v>
      </c>
      <c r="AF50" s="35">
        <f>P24</f>
        <v>-0.367231500942364</v>
      </c>
      <c r="AG50" s="35">
        <f>P25</f>
        <v>0.560237711930465</v>
      </c>
      <c r="AH50" s="35">
        <f>P26</f>
        <v>0.197986410682346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2969.8155</v>
      </c>
      <c r="AE52" s="23">
        <f>C26*(1+AE51)</f>
        <v>3118.306275</v>
      </c>
      <c r="AF52" s="23">
        <f>AE52*(1+AF51)</f>
        <v>3087.12321225</v>
      </c>
      <c r="AG52" s="23">
        <f>AF52*(1+AG51)</f>
        <v>3148.865676495</v>
      </c>
      <c r="AH52" s="23">
        <f>AG52*(1+AH51)</f>
        <v>3243.331646789850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0.1894460583731</v>
      </c>
      <c r="AF53" s="35">
        <f>AE53</f>
        <v>0.1894460583731</v>
      </c>
      <c r="AG53" s="35">
        <f>AF53</f>
        <v>0.1894460583731</v>
      </c>
      <c r="AH53" s="35">
        <f>AG53</f>
        <v>0.1894460583731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-208.8765</v>
      </c>
      <c r="AF54" s="15">
        <f>AE54</f>
        <v>-208.8765</v>
      </c>
      <c r="AG54" s="15">
        <f>AF54</f>
        <v>-208.8765</v>
      </c>
      <c r="AH54" s="15">
        <f>AG54</f>
        <v>-208.8765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381.874332598854</v>
      </c>
      <c r="AF55" s="15">
        <f>(AF52*AF53)+AF54</f>
        <v>375.966824272865</v>
      </c>
      <c r="AG55" s="15">
        <f>(AG52*AG53)+AG54</f>
        <v>387.663690758323</v>
      </c>
      <c r="AH55" s="15">
        <f>(AH52*AH53)+AH54</f>
        <v>405.559896481072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-372.2085</v>
      </c>
      <c r="AF56" s="15">
        <f>-AE71/20</f>
        <v>-353.598075</v>
      </c>
      <c r="AG56" s="15">
        <f>-AF71/20</f>
        <v>-335.91817125</v>
      </c>
      <c r="AH56" s="15">
        <f>-AG71/20</f>
        <v>-319.1222626875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-0.1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-53.8299065932187</v>
      </c>
      <c r="AF58" s="15">
        <f>IF(AF66&gt;0,AF66*$AE$57,0)</f>
        <v>-53.2391557606199</v>
      </c>
      <c r="AG58" s="15">
        <f>IF(AG66&gt;0,AG66*$AE$57,0)</f>
        <v>-54.4088424091656</v>
      </c>
      <c r="AH58" s="15">
        <f>IF(AH66&gt;0,AH66*$AE$57,0)</f>
        <v>-56.1984629814406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-44.1640739943647</v>
      </c>
      <c r="AF59" s="15">
        <f>AF55+AF56+AF58</f>
        <v>-30.8704064877549</v>
      </c>
      <c r="AG59" s="15">
        <f>AG55+AG56+AG58</f>
        <v>-2.6633229008426</v>
      </c>
      <c r="AH59" s="15">
        <f>AH55+AH56+AH58</f>
        <v>30.2391708121314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44.1640739943647</v>
      </c>
      <c r="AF60" s="15">
        <f>-MIN(AE72,AF59)</f>
        <v>30.8704064877549</v>
      </c>
      <c r="AG60" s="15">
        <f>-MIN(AF72,AG59)</f>
        <v>2.6633229008426</v>
      </c>
      <c r="AH60" s="15">
        <f>-MIN(AG72,AH59)</f>
        <v>-30.2391708121314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989.415</v>
      </c>
      <c r="AF61" s="15">
        <f>AE63</f>
        <v>989.415</v>
      </c>
      <c r="AG61" s="15">
        <f>AF63</f>
        <v>989.415</v>
      </c>
      <c r="AH61" s="15">
        <f>AG63</f>
        <v>989.415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989.415</v>
      </c>
      <c r="AF63" s="15">
        <f>AF61+AF62</f>
        <v>989.415</v>
      </c>
      <c r="AG63" s="15">
        <f>AG61+AG62</f>
        <v>989.415</v>
      </c>
      <c r="AH63" s="15">
        <f>AH61+AH62</f>
        <v>989.415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-52.4517666666667</v>
      </c>
      <c r="AF65" s="15">
        <f>AE65</f>
        <v>-52.4517666666667</v>
      </c>
      <c r="AG65" s="15">
        <f>AF65</f>
        <v>-52.4517666666667</v>
      </c>
      <c r="AH65" s="15">
        <f>AG65</f>
        <v>-52.4517666666667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538.299065932187</v>
      </c>
      <c r="AF66" s="15">
        <f>(AF52*AF53)+AF65</f>
        <v>532.3915576061989</v>
      </c>
      <c r="AG66" s="15">
        <f>(AG52*AG53)+AG65</f>
        <v>544.088424091656</v>
      </c>
      <c r="AH66" s="15">
        <f>(AH52*AH53)+AH65</f>
        <v>561.984629814406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13259.7315</v>
      </c>
      <c r="AF68" s="15">
        <f>AE68-AF54</f>
        <v>13468.608</v>
      </c>
      <c r="AG68" s="15">
        <f>AF68-AG54</f>
        <v>13677.4845</v>
      </c>
      <c r="AH68" s="15">
        <f>AG68-AH54</f>
        <v>13886.361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52.4517666666667</v>
      </c>
      <c r="AF69" s="15">
        <f>AE69-AF65</f>
        <v>104.903533333333</v>
      </c>
      <c r="AG69" s="15">
        <f>AF69-AG65</f>
        <v>157.3553</v>
      </c>
      <c r="AH69" s="15">
        <f>AG69-AH65</f>
        <v>209.807066666667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13207.2797333333</v>
      </c>
      <c r="AF70" s="15">
        <f>AF68-AF69</f>
        <v>13363.7044666667</v>
      </c>
      <c r="AG70" s="15">
        <f>AG68-AG69</f>
        <v>13520.1292</v>
      </c>
      <c r="AH70" s="15">
        <f>AH68-AH69</f>
        <v>13676.5539333333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7071.9615</v>
      </c>
      <c r="AF71" s="15">
        <f>AE71+AF56</f>
        <v>6718.363425</v>
      </c>
      <c r="AG71" s="15">
        <f>AF71+AG56</f>
        <v>6382.44525375</v>
      </c>
      <c r="AH71" s="15">
        <f>AG71+AH56</f>
        <v>6063.3229910625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44.1640739943647</v>
      </c>
      <c r="AF72" s="15">
        <f>AE72+AF60</f>
        <v>75.0344804821196</v>
      </c>
      <c r="AG72" s="15">
        <f>AF72+AG60</f>
        <v>77.69780338296221</v>
      </c>
      <c r="AH72" s="15">
        <f>AG72+AH60</f>
        <v>47.4586325708308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7080.569159338970</v>
      </c>
      <c r="AF73" s="15">
        <f>AE73+AF66+AF58</f>
        <v>7559.721561184550</v>
      </c>
      <c r="AG73" s="15">
        <f>AF73+AG66+AG58</f>
        <v>8049.401142867040</v>
      </c>
      <c r="AH73" s="15">
        <f>AG73+AH66+AH58</f>
        <v>8555.187309700010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3.47e-11</v>
      </c>
      <c r="AF74" s="15">
        <f>AF71+AF72+AF73-AF63-AF70</f>
        <v>-3.04e-11</v>
      </c>
      <c r="AG74" s="15">
        <f>AG71+AG72+AG73-AG63-AG70</f>
        <v>2.2e-12</v>
      </c>
      <c r="AH74" s="15">
        <f>AH71+AH72+AH73-AH63-AH70</f>
        <v>4.08e-11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-6126.710573994360</v>
      </c>
      <c r="AF75" s="15">
        <f>AF63-AF71-AF72</f>
        <v>-5803.982905482120</v>
      </c>
      <c r="AG75" s="15">
        <f>AG63-AG71-AG72</f>
        <v>-5470.728057132960</v>
      </c>
      <c r="AH75" s="15">
        <f>AH63-AH71-AH72</f>
        <v>-5121.366623633330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-381.874332598854</v>
      </c>
      <c r="AF76" s="15">
        <f>AF56+AF58+AF60</f>
        <v>-375.966824272865</v>
      </c>
      <c r="AG76" s="15">
        <f>AG56+AG58+AG60</f>
        <v>-387.663690758323</v>
      </c>
      <c r="AH76" s="15">
        <f>AH56+AH58+AH60</f>
        <v>-405.559896481072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782</v>
      </c>
      <c r="AD78" s="14"/>
      <c r="AE78" s="15"/>
      <c r="AF78" s="15"/>
      <c r="AG78" s="15"/>
      <c r="AH78" s="15">
        <v>555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782</v>
      </c>
      <c r="AD79" s="14"/>
      <c r="AE79" s="15"/>
      <c r="AF79" s="15"/>
      <c r="AG79" s="15"/>
      <c r="AH79" s="15">
        <v>4477889894400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4477.8898944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8.06827008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0.305325199770641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0.0486113711765599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1551.064744111110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8.8175261447072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2.88697806548766</v>
      </c>
      <c r="AH86" s="15">
        <v>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9306.388464666659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1153.455247827630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1.07829774383357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1.11503627833043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-0.124323332049454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782</v>
      </c>
      <c r="AF94" t="s" s="44">
        <v>60</v>
      </c>
      <c r="AG94" s="15">
        <f>AH78</f>
        <v>555</v>
      </c>
      <c r="AH94" t="s" s="44">
        <v>61</v>
      </c>
      <c r="AI94" s="15">
        <f>AH88</f>
        <v>1153.455247827630</v>
      </c>
      <c r="AJ94" t="s" s="44">
        <f>IF(AK94&gt;0,"+","")</f>
        <v>361</v>
      </c>
      <c r="AK94" s="16">
        <f>AI94/AG94-1</f>
        <v>1.07829774383357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1.11503627833043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0.06878011904338439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0.05142627564112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-1.44147246855539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0.197986410682346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-0.0692280157499105</v>
      </c>
      <c r="AF103" s="16">
        <f>P23</f>
        <v>0.788258540434599</v>
      </c>
      <c r="AG103" s="16">
        <f>P24</f>
        <v>-0.367231500942364</v>
      </c>
      <c r="AH103" s="16">
        <f>P25</f>
        <v>0.560237711930465</v>
      </c>
      <c r="AI103" s="16">
        <f>P26</f>
        <v>0.197986410682346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1404.144</v>
      </c>
      <c r="AF104" s="15">
        <f>C23</f>
        <v>2510.9725</v>
      </c>
      <c r="AG104" s="15">
        <f>C24</f>
        <v>1588.8643</v>
      </c>
      <c r="AH104" s="15">
        <f>C25</f>
        <v>2479.006</v>
      </c>
      <c r="AI104" s="15">
        <f>C26</f>
        <v>2969.8155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0.197986410682346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2969.8155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0.294812790526262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3243.331646789850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0.203061224489796</v>
      </c>
      <c r="AF110" s="16">
        <f>(D23+E23)/C23</f>
        <v>0.151222285389426</v>
      </c>
      <c r="AG110" s="16">
        <f>((E24+D24)/C24)</f>
        <v>0.185752930568079</v>
      </c>
      <c r="AH110" s="16">
        <f>(D25+E25)/C25</f>
        <v>0.263749260792431</v>
      </c>
      <c r="AI110" s="16">
        <f>(D26+E26)/C26</f>
        <v>0.157059756742464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214.92</v>
      </c>
      <c r="AF111" s="15">
        <f>E23</f>
        <v>294.065</v>
      </c>
      <c r="AG111" s="15">
        <f>E24</f>
        <v>203.4434</v>
      </c>
      <c r="AH111" s="15">
        <f>E25</f>
        <v>539.4880000000001</v>
      </c>
      <c r="AI111" s="15">
        <f>E26</f>
        <v>515.124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0.263749260792431</v>
      </c>
      <c r="AG112" t="s" s="44">
        <v>76</v>
      </c>
      <c r="AH112" s="16">
        <f>AI110</f>
        <v>0.157059756742464</v>
      </c>
      <c r="AI112" t="s" s="44">
        <v>90</v>
      </c>
      <c r="AJ112" s="15">
        <f>AH111</f>
        <v>539.4880000000001</v>
      </c>
      <c r="AK112" t="s" s="44">
        <v>76</v>
      </c>
      <c r="AL112" s="15">
        <f>AI111</f>
        <v>515.124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0.1894460583731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0.1894460583731</v>
      </c>
      <c r="AG114" t="s" s="44">
        <v>94</v>
      </c>
      <c r="AH114" s="15">
        <f>AH66</f>
        <v>561.984629814406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-54.4464</v>
      </c>
      <c r="AF117" s="15">
        <f>J23</f>
        <v>324.0425</v>
      </c>
      <c r="AG117" s="15">
        <f>J24</f>
        <v>-31.5194</v>
      </c>
      <c r="AH117" s="15">
        <f>J25</f>
        <v>98.22199999999999</v>
      </c>
      <c r="AI117" s="15">
        <f>J26</f>
        <v>893.6145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1011.5568</v>
      </c>
      <c r="AF118" s="15">
        <f>K23</f>
        <v>-493.915</v>
      </c>
      <c r="AG118" s="15">
        <f>K24</f>
        <v>-213.4723</v>
      </c>
      <c r="AH118" s="15">
        <f>K25</f>
        <v>-60.106</v>
      </c>
      <c r="AI118" s="15">
        <f>K26</f>
        <v>-208.8765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38.116</v>
      </c>
      <c r="AG119" t="s" s="44">
        <v>76</v>
      </c>
      <c r="AH119" s="15">
        <f>AI117+AI118</f>
        <v>684.7380000000001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-208.8765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76.99745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-208.8765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387.766186027779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888.336</v>
      </c>
      <c r="AF124" s="15">
        <f>F23</f>
        <v>984.975</v>
      </c>
      <c r="AG124" s="15">
        <f>F24</f>
        <v>859.62</v>
      </c>
      <c r="AH124" s="15">
        <f>F25</f>
        <v>762.3200000000001</v>
      </c>
      <c r="AI124" s="15">
        <f>F26</f>
        <v>989.415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6805.8</v>
      </c>
      <c r="AF125" s="15">
        <f>G23</f>
        <v>7194.6</v>
      </c>
      <c r="AG125" s="15">
        <f>G24</f>
        <v>7249.462</v>
      </c>
      <c r="AH125" s="15">
        <f>G25</f>
        <v>7139.42</v>
      </c>
      <c r="AI125" s="15">
        <f>G26</f>
        <v>7444.17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762.3200000000001</v>
      </c>
      <c r="AH126" t="s" s="44">
        <v>76</v>
      </c>
      <c r="AI126" s="15">
        <f>AI124</f>
        <v>989.415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7139.42</v>
      </c>
      <c r="AH127" t="s" s="44">
        <v>76</v>
      </c>
      <c r="AI127" s="15">
        <f>AI125</f>
        <v>7444.17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-6377.1</v>
      </c>
      <c r="AO127" t="s" s="44">
        <v>76</v>
      </c>
      <c r="AP127" s="15">
        <f>AI126-AI127</f>
        <v>-6454.755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-217.676367744445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-1333.388376366670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-5121.366623633330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339.5736</v>
      </c>
      <c r="AF131" s="15">
        <f>-L23</f>
        <v>-304.0575</v>
      </c>
      <c r="AG131" s="15">
        <f>-L24</f>
        <v>81.6639</v>
      </c>
      <c r="AH131" s="15">
        <f>-L25</f>
        <v>-208.172</v>
      </c>
      <c r="AI131" s="15">
        <f>-L26</f>
        <v>372.2085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35.6875</v>
      </c>
      <c r="AG132" s="15">
        <f>-M24</f>
        <v>41.5483</v>
      </c>
      <c r="AH132" s="15">
        <f>-M25</f>
        <v>96.756</v>
      </c>
      <c r="AI132" s="15">
        <f>-M26</f>
        <v>114.6465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782</v>
      </c>
      <c r="AF133" t="s" s="44">
        <f>IF(AG133&gt;0,"paid","(raised)")</f>
        <v>374</v>
      </c>
      <c r="AG133" s="15">
        <f>SUM(AI131:AI132)</f>
        <v>486.855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372.2085</v>
      </c>
      <c r="AM133" t="s" s="44">
        <f>AM105</f>
        <v>372</v>
      </c>
      <c r="AN133" t="s" s="44">
        <v>123</v>
      </c>
      <c r="AO133" s="15">
        <f>AI132</f>
        <v>114.6465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1551.064744111110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4477.8898944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0.305325199770641</v>
      </c>
      <c r="AK134" t="s" s="44">
        <v>130</v>
      </c>
      <c r="AL134" t="s" s="44">
        <v>131</v>
      </c>
      <c r="AM134" t="s" s="44">
        <v>132</v>
      </c>
      <c r="AN134" s="15">
        <f>AH85</f>
        <v>8.8175261447072</v>
      </c>
      <c r="AO134" t="s" s="44">
        <v>133</v>
      </c>
      <c r="AP134" s="16">
        <f>-AF128/AF134</f>
        <v>0.0486113711765599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1551.064744111110</v>
      </c>
      <c r="AG135" t="s" s="44">
        <f>AG134</f>
        <v>372</v>
      </c>
      <c r="AH135" t="s" s="44">
        <v>136</v>
      </c>
      <c r="AI135" s="15">
        <f>AF134/AF135</f>
        <v>2.88697806548766</v>
      </c>
      <c r="AJ135" t="s" s="44">
        <v>130</v>
      </c>
      <c r="AK135" t="s" s="44">
        <v>137</v>
      </c>
      <c r="AL135" t="s" s="44">
        <v>138</v>
      </c>
      <c r="AM135" s="15">
        <f>AH86</f>
        <v>6</v>
      </c>
      <c r="AN135" t="s" s="44">
        <v>139</v>
      </c>
      <c r="AO135" t="s" s="44">
        <v>140</v>
      </c>
      <c r="AP135" t="s" s="44">
        <v>141</v>
      </c>
      <c r="AQ135" s="16">
        <f>AK94</f>
        <v>1.07829774383357</v>
      </c>
      <c r="AR135" t="s" s="44">
        <f>IF(AQ135&gt;0,"higher","lower")</f>
        <v>363</v>
      </c>
      <c r="AS135" t="s" s="44">
        <v>142</v>
      </c>
      <c r="AT135" s="15">
        <f>AI94</f>
        <v>1153.455247827630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1404.144</v>
      </c>
      <c r="AE137" s="15">
        <f>AF104</f>
        <v>2510.9725</v>
      </c>
      <c r="AF137" s="15">
        <f>AG104</f>
        <v>1588.8643</v>
      </c>
      <c r="AG137" s="15">
        <f>AH104</f>
        <v>2479.006</v>
      </c>
      <c r="AH137" s="15">
        <f>AI104</f>
        <v>2969.8155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957.1104</v>
      </c>
      <c r="AE138" s="15">
        <f>SUM(AF117:AF118)</f>
        <v>-169.8725</v>
      </c>
      <c r="AF138" s="15">
        <f>SUM(AG117:AG118)</f>
        <v>-244.9917</v>
      </c>
      <c r="AG138" s="15">
        <f>SUM(AH117:AH118)</f>
        <v>38.116</v>
      </c>
      <c r="AH138" s="15">
        <f>SUM(AI117:AI118)</f>
        <v>684.7380000000001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339.5736</v>
      </c>
      <c r="AE139" s="15">
        <f>SUM(AF131:AF132)</f>
        <v>-268.37</v>
      </c>
      <c r="AF139" s="15">
        <f>SUM(AG131:AG132)</f>
        <v>123.2122</v>
      </c>
      <c r="AG139" s="15">
        <f>SUM(AH131:AH132)</f>
        <v>-111.416</v>
      </c>
      <c r="AH139" s="15">
        <f>SUM(AI131:AI132)</f>
        <v>486.855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-5917.464</v>
      </c>
      <c r="AE140" s="15">
        <f>(AF124-AF125)</f>
        <v>-6209.625</v>
      </c>
      <c r="AF140" s="15">
        <f>(AG124-AG125)</f>
        <v>-6389.842</v>
      </c>
      <c r="AG140" s="15">
        <f>(AH124-AH125)</f>
        <v>-6377.1</v>
      </c>
      <c r="AH140" s="15">
        <f>(AI124-AI125)</f>
        <v>-6454.755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1153.455247827630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3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15" customWidth="1"/>
    <col min="2" max="28" width="10.4844" style="415" customWidth="1"/>
    <col min="29" max="29" width="18.9766" style="416" customWidth="1"/>
    <col min="30" max="48" width="9" style="416" customWidth="1"/>
    <col min="49" max="16384" width="16.3516" style="416" customWidth="1"/>
  </cols>
  <sheetData>
    <row r="1" ht="11.65" customHeight="1"/>
    <row r="2" ht="27.65" customHeight="1">
      <c r="B2" t="s" s="2">
        <v>783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345</v>
      </c>
      <c r="AA3" t="s" s="3">
        <v>19</v>
      </c>
      <c r="AB3" t="s" s="3">
        <v>20</v>
      </c>
    </row>
    <row r="4" ht="20.25" customHeight="1">
      <c r="B4" s="6">
        <v>2017</v>
      </c>
      <c r="C4" s="7">
        <v>1313</v>
      </c>
      <c r="D4" s="8">
        <v>221</v>
      </c>
      <c r="E4" s="8">
        <v>562</v>
      </c>
      <c r="F4" s="8">
        <v>2422</v>
      </c>
      <c r="G4" s="8">
        <v>13646</v>
      </c>
      <c r="H4" s="8">
        <v>25035</v>
      </c>
      <c r="I4" s="8">
        <v>1226.24</v>
      </c>
      <c r="J4" s="8">
        <v>767.91</v>
      </c>
      <c r="K4" s="8">
        <v>-221.9</v>
      </c>
      <c r="L4" s="8">
        <v>-285.5</v>
      </c>
      <c r="M4" s="8">
        <v>-249.25</v>
      </c>
      <c r="N4" s="59"/>
      <c r="O4" s="8"/>
      <c r="P4" s="9"/>
      <c r="Q4" s="9"/>
      <c r="R4" s="9"/>
      <c r="S4" s="9"/>
      <c r="T4" s="9"/>
      <c r="U4" s="9"/>
      <c r="V4" s="8">
        <f>-(L4+M4)</f>
        <v>534.75</v>
      </c>
      <c r="W4" s="9"/>
      <c r="X4" s="8">
        <f>F4-G4</f>
        <v>-11224</v>
      </c>
      <c r="Y4" s="9"/>
      <c r="Z4" s="79">
        <v>776</v>
      </c>
      <c r="AA4" s="11"/>
      <c r="AB4" s="12">
        <v>13.3</v>
      </c>
    </row>
    <row r="5" ht="20.05" customHeight="1">
      <c r="B5" s="13"/>
      <c r="C5" s="14">
        <v>1330</v>
      </c>
      <c r="D5" s="15">
        <v>219</v>
      </c>
      <c r="E5" s="15">
        <v>533</v>
      </c>
      <c r="F5" s="15">
        <v>4743</v>
      </c>
      <c r="G5" s="15">
        <v>15845</v>
      </c>
      <c r="H5" s="15">
        <v>27174</v>
      </c>
      <c r="I5" s="15">
        <v>2428.08</v>
      </c>
      <c r="J5" s="15">
        <v>1566.59</v>
      </c>
      <c r="K5" s="15">
        <v>-262.1</v>
      </c>
      <c r="L5" s="15">
        <v>-285.5</v>
      </c>
      <c r="M5" s="15">
        <v>-249.25</v>
      </c>
      <c r="N5" s="26"/>
      <c r="O5" s="15"/>
      <c r="P5" s="17"/>
      <c r="Q5" s="17"/>
      <c r="R5" s="17"/>
      <c r="S5" s="17"/>
      <c r="T5" s="17"/>
      <c r="U5" s="17"/>
      <c r="V5" s="15">
        <f>-(L5+M5)+V4</f>
        <v>1069.5</v>
      </c>
      <c r="W5" s="17"/>
      <c r="X5" s="15">
        <f>F5-G5</f>
        <v>-11102</v>
      </c>
      <c r="Y5" s="17"/>
      <c r="Z5" s="80">
        <v>758</v>
      </c>
      <c r="AA5" s="19"/>
      <c r="AB5" s="20">
        <v>13.327</v>
      </c>
    </row>
    <row r="6" ht="20.05" customHeight="1">
      <c r="B6" s="13"/>
      <c r="C6" s="14">
        <v>1335</v>
      </c>
      <c r="D6" s="15">
        <v>224</v>
      </c>
      <c r="E6" s="15">
        <v>532</v>
      </c>
      <c r="F6" s="15">
        <v>3285</v>
      </c>
      <c r="G6" s="15">
        <v>14869</v>
      </c>
      <c r="H6" s="15">
        <v>26809</v>
      </c>
      <c r="I6" s="15">
        <v>568.98</v>
      </c>
      <c r="J6" s="15">
        <v>15.3</v>
      </c>
      <c r="K6" s="15">
        <v>-396.8</v>
      </c>
      <c r="L6" s="15">
        <v>-285.5</v>
      </c>
      <c r="M6" s="15">
        <v>-249.25</v>
      </c>
      <c r="N6" s="26"/>
      <c r="O6" s="15"/>
      <c r="P6" s="17"/>
      <c r="Q6" s="17"/>
      <c r="R6" s="17"/>
      <c r="S6" s="17"/>
      <c r="T6" s="17"/>
      <c r="U6" s="17"/>
      <c r="V6" s="15">
        <f>-(L6+M6)+V5</f>
        <v>1604.25</v>
      </c>
      <c r="W6" s="17"/>
      <c r="X6" s="15">
        <f>F6-G6</f>
        <v>-11584</v>
      </c>
      <c r="Y6" s="17"/>
      <c r="Z6" s="80">
        <v>894</v>
      </c>
      <c r="AA6" s="19"/>
      <c r="AB6" s="20">
        <v>13.305</v>
      </c>
    </row>
    <row r="7" ht="20.05" customHeight="1">
      <c r="B7" s="13"/>
      <c r="C7" s="14">
        <v>1360</v>
      </c>
      <c r="D7" s="15">
        <v>231</v>
      </c>
      <c r="E7" s="15">
        <v>473</v>
      </c>
      <c r="F7" s="15">
        <v>2348</v>
      </c>
      <c r="G7" s="15">
        <v>11661</v>
      </c>
      <c r="H7" s="15">
        <v>18763</v>
      </c>
      <c r="I7" s="15">
        <v>1144.1</v>
      </c>
      <c r="J7" s="15">
        <v>500.49</v>
      </c>
      <c r="K7" s="15">
        <v>-423.7</v>
      </c>
      <c r="L7" s="15">
        <v>-285.5</v>
      </c>
      <c r="M7" s="15">
        <v>-249.25</v>
      </c>
      <c r="N7" s="26"/>
      <c r="O7" s="15"/>
      <c r="P7" s="17"/>
      <c r="Q7" s="17"/>
      <c r="R7" s="17"/>
      <c r="S7" s="17"/>
      <c r="T7" s="17"/>
      <c r="U7" s="17"/>
      <c r="V7" s="15">
        <f>-(L7+M7)+V6</f>
        <v>2139</v>
      </c>
      <c r="W7" s="17"/>
      <c r="X7" s="15">
        <f>F7-G7</f>
        <v>-9313</v>
      </c>
      <c r="Y7" s="17"/>
      <c r="Z7" s="80">
        <v>800</v>
      </c>
      <c r="AA7" s="19"/>
      <c r="AB7" s="20">
        <v>13.557</v>
      </c>
    </row>
    <row r="8" ht="20.05" customHeight="1">
      <c r="B8" s="21">
        <v>2018</v>
      </c>
      <c r="C8" s="14">
        <v>1362</v>
      </c>
      <c r="D8" s="15">
        <v>232</v>
      </c>
      <c r="E8" s="15">
        <v>519</v>
      </c>
      <c r="F8" s="15">
        <v>1281</v>
      </c>
      <c r="G8" s="15">
        <v>11614</v>
      </c>
      <c r="H8" s="15">
        <v>19206</v>
      </c>
      <c r="I8" s="15">
        <v>851.04</v>
      </c>
      <c r="J8" s="15">
        <v>214.87</v>
      </c>
      <c r="K8" s="15">
        <v>-477.8</v>
      </c>
      <c r="L8" s="15">
        <v>306.75</v>
      </c>
      <c r="M8" s="15">
        <v>-333.25</v>
      </c>
      <c r="N8" s="15">
        <f>SUM(C5:C8)/4</f>
        <v>1346.75</v>
      </c>
      <c r="O8" s="15"/>
      <c r="P8" s="16"/>
      <c r="Q8" s="16">
        <f>((D8+E8)/C8)</f>
        <v>0.551395007342144</v>
      </c>
      <c r="R8" s="16"/>
      <c r="S8" s="17"/>
      <c r="T8" s="15">
        <f>SUM(J5:K8)/4</f>
        <v>184.2125</v>
      </c>
      <c r="U8" s="17"/>
      <c r="V8" s="15">
        <f>-(L8+M8)+V7</f>
        <v>2165.5</v>
      </c>
      <c r="W8" s="17"/>
      <c r="X8" s="15">
        <f>F8-G8</f>
        <v>-10333</v>
      </c>
      <c r="Y8" s="24"/>
      <c r="Z8" s="80">
        <v>716</v>
      </c>
      <c r="AA8" s="22"/>
      <c r="AB8" s="20">
        <v>13.761</v>
      </c>
    </row>
    <row r="9" ht="20.05" customHeight="1">
      <c r="B9" s="13"/>
      <c r="C9" s="14">
        <v>1443</v>
      </c>
      <c r="D9" s="15">
        <v>257</v>
      </c>
      <c r="E9" s="15">
        <v>561</v>
      </c>
      <c r="F9" s="15">
        <v>1945</v>
      </c>
      <c r="G9" s="15">
        <v>16520</v>
      </c>
      <c r="H9" s="15">
        <v>23828</v>
      </c>
      <c r="I9" s="15">
        <v>2791.66</v>
      </c>
      <c r="J9" s="15">
        <v>1875.35</v>
      </c>
      <c r="K9" s="15">
        <v>-1992.2</v>
      </c>
      <c r="L9" s="15">
        <v>306.75</v>
      </c>
      <c r="M9" s="15">
        <v>-333.25</v>
      </c>
      <c r="N9" s="15">
        <f>SUM(C6:C9)/4</f>
        <v>1375</v>
      </c>
      <c r="O9" s="15"/>
      <c r="P9" s="16"/>
      <c r="Q9" s="16">
        <f>((D9+E9)/C9)</f>
        <v>0.5668745668745671</v>
      </c>
      <c r="R9" s="16"/>
      <c r="S9" s="17"/>
      <c r="T9" s="15">
        <f>SUM(J6:K9)/4</f>
        <v>-171.1225</v>
      </c>
      <c r="U9" s="17"/>
      <c r="V9" s="15">
        <f>-(L9+M9)+V8</f>
        <v>2192</v>
      </c>
      <c r="W9" s="17"/>
      <c r="X9" s="15">
        <f>F9-G9</f>
        <v>-14575</v>
      </c>
      <c r="Y9" s="24"/>
      <c r="Z9" s="80">
        <v>620</v>
      </c>
      <c r="AA9" s="22"/>
      <c r="AB9" s="20">
        <v>14</v>
      </c>
    </row>
    <row r="10" ht="20.05" customHeight="1">
      <c r="B10" s="13"/>
      <c r="C10" s="14">
        <v>1540</v>
      </c>
      <c r="D10" s="15">
        <v>313</v>
      </c>
      <c r="E10" s="15">
        <v>626</v>
      </c>
      <c r="F10" s="15">
        <v>1298</v>
      </c>
      <c r="G10" s="15">
        <v>15078</v>
      </c>
      <c r="H10" s="15">
        <v>22990</v>
      </c>
      <c r="I10" s="15">
        <v>1475.56</v>
      </c>
      <c r="J10" s="15">
        <v>757.6799999999999</v>
      </c>
      <c r="K10" s="15">
        <v>-780.7</v>
      </c>
      <c r="L10" s="15">
        <v>306.75</v>
      </c>
      <c r="M10" s="15">
        <v>-333.25</v>
      </c>
      <c r="N10" s="15">
        <f>SUM(C7:C10)/4</f>
        <v>1426.25</v>
      </c>
      <c r="O10" s="15"/>
      <c r="P10" s="16"/>
      <c r="Q10" s="16">
        <f>((D10+E10)/C10)</f>
        <v>0.60974025974026</v>
      </c>
      <c r="R10" s="16"/>
      <c r="S10" s="17"/>
      <c r="T10" s="15">
        <f>SUM(J7:K10)/4</f>
        <v>-81.5025</v>
      </c>
      <c r="U10" s="17"/>
      <c r="V10" s="15">
        <f>-(L10+M10)+V9</f>
        <v>2218.5</v>
      </c>
      <c r="W10" s="17"/>
      <c r="X10" s="15">
        <f>F10-G10</f>
        <v>-13780</v>
      </c>
      <c r="Y10" s="24"/>
      <c r="Z10" s="80">
        <v>488</v>
      </c>
      <c r="AA10" s="22"/>
      <c r="AB10" s="20">
        <v>14.902</v>
      </c>
    </row>
    <row r="11" ht="20.05" customHeight="1">
      <c r="B11" s="13"/>
      <c r="C11" s="14">
        <v>1523</v>
      </c>
      <c r="D11" s="15">
        <v>312</v>
      </c>
      <c r="E11" s="15">
        <v>494</v>
      </c>
      <c r="F11" s="15">
        <v>963</v>
      </c>
      <c r="G11" s="15">
        <v>14926</v>
      </c>
      <c r="H11" s="15">
        <v>22959</v>
      </c>
      <c r="I11" s="15">
        <v>795.24</v>
      </c>
      <c r="J11" s="15">
        <v>7</v>
      </c>
      <c r="K11" s="15">
        <v>-1041.2</v>
      </c>
      <c r="L11" s="15">
        <v>306.75</v>
      </c>
      <c r="M11" s="15">
        <v>-333.25</v>
      </c>
      <c r="N11" s="15">
        <f>SUM(C8:C11)/4</f>
        <v>1467</v>
      </c>
      <c r="O11" s="15"/>
      <c r="P11" s="16"/>
      <c r="Q11" s="16">
        <f>((D11+E11)/C11)</f>
        <v>0.529218647406435</v>
      </c>
      <c r="R11" s="16"/>
      <c r="S11" s="17"/>
      <c r="T11" s="15">
        <f>SUM(J8:K11)/4</f>
        <v>-359.25</v>
      </c>
      <c r="U11" s="17"/>
      <c r="V11" s="15">
        <f>-(L11+M11)+V10</f>
        <v>2245</v>
      </c>
      <c r="W11" s="17"/>
      <c r="X11" s="15">
        <f>F11-G11</f>
        <v>-13963</v>
      </c>
      <c r="Y11" s="24"/>
      <c r="Z11" s="80">
        <v>690</v>
      </c>
      <c r="AA11" s="22"/>
      <c r="AB11" s="20">
        <v>14.38</v>
      </c>
    </row>
    <row r="12" ht="20.05" customHeight="1">
      <c r="B12" s="21">
        <v>2019</v>
      </c>
      <c r="C12" s="14">
        <v>1482</v>
      </c>
      <c r="D12" s="15">
        <v>329</v>
      </c>
      <c r="E12" s="15">
        <v>472</v>
      </c>
      <c r="F12" s="15">
        <v>451</v>
      </c>
      <c r="G12" s="15">
        <v>15767</v>
      </c>
      <c r="H12" s="15">
        <v>24207</v>
      </c>
      <c r="I12" s="15">
        <v>1226.6</v>
      </c>
      <c r="J12" s="15">
        <v>377.5</v>
      </c>
      <c r="K12" s="15">
        <v>-1004.7</v>
      </c>
      <c r="L12" s="15">
        <v>1102.25</v>
      </c>
      <c r="M12" s="15">
        <v>-393.5</v>
      </c>
      <c r="N12" s="15">
        <f>SUM(C9:C12)/4</f>
        <v>1497</v>
      </c>
      <c r="O12" s="23"/>
      <c r="P12" s="16"/>
      <c r="Q12" s="16">
        <f>((D12+E12)/C12)</f>
        <v>0.540485829959514</v>
      </c>
      <c r="R12" s="16">
        <f>AVERAGE(Q9:Q12)</f>
        <v>0.561579825995194</v>
      </c>
      <c r="S12" s="17"/>
      <c r="T12" s="15">
        <f>SUM(J9:K12)/4</f>
        <v>-450.3175</v>
      </c>
      <c r="U12" s="17"/>
      <c r="V12" s="15">
        <f>-(L12+M12)+V11</f>
        <v>1536.25</v>
      </c>
      <c r="W12" s="17"/>
      <c r="X12" s="15">
        <f>F12-G12</f>
        <v>-15316</v>
      </c>
      <c r="Y12" s="24"/>
      <c r="Z12" s="80">
        <v>785</v>
      </c>
      <c r="AA12" s="22"/>
      <c r="AB12" s="20">
        <v>14.24</v>
      </c>
    </row>
    <row r="13" ht="20.05" customHeight="1">
      <c r="B13" s="13"/>
      <c r="C13" s="14">
        <v>1546</v>
      </c>
      <c r="D13" s="15">
        <v>348</v>
      </c>
      <c r="E13" s="15">
        <v>521</v>
      </c>
      <c r="F13" s="15">
        <v>1869</v>
      </c>
      <c r="G13" s="15">
        <v>18249</v>
      </c>
      <c r="H13" s="15">
        <v>26051</v>
      </c>
      <c r="I13" s="15">
        <v>3225.7</v>
      </c>
      <c r="J13" s="15">
        <v>2142.39</v>
      </c>
      <c r="K13" s="15">
        <v>-919.2</v>
      </c>
      <c r="L13" s="15">
        <v>1102.25</v>
      </c>
      <c r="M13" s="15">
        <v>-393.5</v>
      </c>
      <c r="N13" s="15">
        <f>SUM(C10:C13)/4</f>
        <v>1522.75</v>
      </c>
      <c r="O13" s="23"/>
      <c r="P13" s="16"/>
      <c r="Q13" s="16">
        <f>((D13+E13)/C13)</f>
        <v>0.562095730918499</v>
      </c>
      <c r="R13" s="16">
        <f>AVERAGE(Q10:Q13)</f>
        <v>0.560385117006177</v>
      </c>
      <c r="S13" s="17"/>
      <c r="T13" s="15">
        <f>SUM(J10:K13)/4</f>
        <v>-115.3075</v>
      </c>
      <c r="U13" s="17"/>
      <c r="V13" s="15">
        <f>-(L13+M13)+V12</f>
        <v>827.5</v>
      </c>
      <c r="W13" s="17"/>
      <c r="X13" s="15">
        <f>F13-G13</f>
        <v>-16380</v>
      </c>
      <c r="Y13" s="24"/>
      <c r="Z13" s="80">
        <v>705</v>
      </c>
      <c r="AA13" s="24"/>
      <c r="AB13" s="15">
        <v>14.127</v>
      </c>
    </row>
    <row r="14" ht="20.05" customHeight="1">
      <c r="B14" s="13"/>
      <c r="C14" s="14">
        <v>1627</v>
      </c>
      <c r="D14" s="15">
        <v>368</v>
      </c>
      <c r="E14" s="15">
        <v>604</v>
      </c>
      <c r="F14" s="15">
        <v>2241</v>
      </c>
      <c r="G14" s="15">
        <v>17638</v>
      </c>
      <c r="H14" s="15">
        <v>25944</v>
      </c>
      <c r="I14" s="15">
        <v>1394.3</v>
      </c>
      <c r="J14" s="15">
        <v>703.24</v>
      </c>
      <c r="K14" s="15">
        <v>-514.5</v>
      </c>
      <c r="L14" s="15">
        <v>1102.25</v>
      </c>
      <c r="M14" s="15">
        <v>-393.5</v>
      </c>
      <c r="N14" s="15">
        <f>SUM(C11:C14)/4</f>
        <v>1544.5</v>
      </c>
      <c r="O14" s="23"/>
      <c r="P14" s="16"/>
      <c r="Q14" s="16">
        <f>((D14+E14)/C14)</f>
        <v>0.597418561770129</v>
      </c>
      <c r="R14" s="16">
        <f>AVERAGE(Q11:Q14)</f>
        <v>0.557304692513644</v>
      </c>
      <c r="S14" s="17"/>
      <c r="T14" s="15">
        <f>SUM(J11:K14)/4</f>
        <v>-62.3675</v>
      </c>
      <c r="U14" s="17"/>
      <c r="V14" s="15">
        <f>-(L14+M14)+V13</f>
        <v>118.75</v>
      </c>
      <c r="W14" s="17"/>
      <c r="X14" s="15">
        <f>F14-G14</f>
        <v>-15397</v>
      </c>
      <c r="Y14" s="24"/>
      <c r="Z14" s="80">
        <v>655</v>
      </c>
      <c r="AA14" s="24"/>
      <c r="AB14" s="15">
        <v>14.195</v>
      </c>
    </row>
    <row r="15" ht="20.05" customHeight="1">
      <c r="B15" s="13"/>
      <c r="C15" s="14">
        <v>1799</v>
      </c>
      <c r="D15" s="15">
        <v>305</v>
      </c>
      <c r="E15" s="15">
        <v>756</v>
      </c>
      <c r="F15" s="15">
        <v>594</v>
      </c>
      <c r="G15" s="15">
        <v>18905</v>
      </c>
      <c r="H15" s="15">
        <v>27666</v>
      </c>
      <c r="I15" s="15">
        <v>680</v>
      </c>
      <c r="J15" s="15">
        <v>-210.73</v>
      </c>
      <c r="K15" s="15">
        <v>-3091</v>
      </c>
      <c r="L15" s="15">
        <v>1102.25</v>
      </c>
      <c r="M15" s="15">
        <v>-393.5</v>
      </c>
      <c r="N15" s="15">
        <f>SUM(C12:C15)/4</f>
        <v>1613.5</v>
      </c>
      <c r="O15" s="15"/>
      <c r="P15" s="16"/>
      <c r="Q15" s="16">
        <f>((D15+E15)/C15)</f>
        <v>0.5897720956086711</v>
      </c>
      <c r="R15" s="16">
        <f>AVERAGE(Q12:Q15)</f>
        <v>0.572443054564203</v>
      </c>
      <c r="S15" s="17"/>
      <c r="T15" s="15">
        <f>SUM(J12:K15)/4</f>
        <v>-629.25</v>
      </c>
      <c r="U15" s="17"/>
      <c r="V15" s="15">
        <f>-(L15+M15)+V14</f>
        <v>-590</v>
      </c>
      <c r="W15" s="17"/>
      <c r="X15" s="15">
        <f>F15-G15</f>
        <v>-18311</v>
      </c>
      <c r="Y15" s="24"/>
      <c r="Z15" s="80">
        <v>805</v>
      </c>
      <c r="AA15" s="24"/>
      <c r="AB15" s="15">
        <v>13.882</v>
      </c>
    </row>
    <row r="16" ht="20.05" customHeight="1">
      <c r="B16" s="21">
        <v>2020</v>
      </c>
      <c r="C16" s="14">
        <v>1820</v>
      </c>
      <c r="D16" s="15">
        <v>397.2</v>
      </c>
      <c r="E16" s="15">
        <v>526</v>
      </c>
      <c r="F16" s="15">
        <v>894</v>
      </c>
      <c r="G16" s="15">
        <v>23169</v>
      </c>
      <c r="H16" s="15">
        <v>32520</v>
      </c>
      <c r="I16" s="15">
        <v>2498.9</v>
      </c>
      <c r="J16" s="15">
        <v>1359.8</v>
      </c>
      <c r="K16" s="15">
        <v>-2740</v>
      </c>
      <c r="L16" s="15">
        <v>693.75</v>
      </c>
      <c r="M16" s="15">
        <v>-367.75</v>
      </c>
      <c r="N16" s="15">
        <f>SUM(C13:C16)/4</f>
        <v>1698</v>
      </c>
      <c r="O16" s="15"/>
      <c r="P16" s="16"/>
      <c r="Q16" s="16">
        <f>((D16+E16)/C16)</f>
        <v>0.507252747252747</v>
      </c>
      <c r="R16" s="16">
        <f>AVERAGE(Q13:Q16)</f>
        <v>0.564134783887512</v>
      </c>
      <c r="S16" s="17"/>
      <c r="T16" s="15">
        <f>SUM(J13:K16)/4</f>
        <v>-817.5</v>
      </c>
      <c r="U16" s="17"/>
      <c r="V16" s="15">
        <f>-(L16+M16)+V15</f>
        <v>-916</v>
      </c>
      <c r="W16" s="17"/>
      <c r="X16" s="15">
        <f>F16-G16</f>
        <v>-22275</v>
      </c>
      <c r="Y16" s="24"/>
      <c r="Z16" s="80">
        <v>675</v>
      </c>
      <c r="AA16" s="24"/>
      <c r="AB16" s="15">
        <v>16.31</v>
      </c>
    </row>
    <row r="17" ht="20.05" customHeight="1">
      <c r="B17" s="13"/>
      <c r="C17" s="14">
        <v>1865</v>
      </c>
      <c r="D17" s="15">
        <v>440.1</v>
      </c>
      <c r="E17" s="15">
        <v>790</v>
      </c>
      <c r="F17" s="15">
        <v>1366</v>
      </c>
      <c r="G17" s="15">
        <v>24826</v>
      </c>
      <c r="H17" s="15">
        <v>34088</v>
      </c>
      <c r="I17" s="15">
        <v>2628.1</v>
      </c>
      <c r="J17" s="15">
        <v>1391.2</v>
      </c>
      <c r="K17" s="15">
        <v>-1207</v>
      </c>
      <c r="L17" s="15">
        <v>693.75</v>
      </c>
      <c r="M17" s="15">
        <v>-367.75</v>
      </c>
      <c r="N17" s="15">
        <f>SUM(C14:C17)/4</f>
        <v>1777.75</v>
      </c>
      <c r="O17" s="15"/>
      <c r="P17" s="16"/>
      <c r="Q17" s="16">
        <f>((D17+E17)/C17)</f>
        <v>0.659571045576408</v>
      </c>
      <c r="R17" s="16">
        <f>AVERAGE(Q14:Q17)</f>
        <v>0.588503612551989</v>
      </c>
      <c r="S17" s="17"/>
      <c r="T17" s="15">
        <f>SUM(J14:K17)/4</f>
        <v>-1077.2475</v>
      </c>
      <c r="U17" s="17"/>
      <c r="V17" s="15">
        <f>-(L17+M17)+V16</f>
        <v>-1242</v>
      </c>
      <c r="W17" s="17"/>
      <c r="X17" s="15">
        <f>F17-G17</f>
        <v>-23460</v>
      </c>
      <c r="Y17" s="24"/>
      <c r="Z17" s="80">
        <v>1020</v>
      </c>
      <c r="AA17" s="24"/>
      <c r="AB17" s="15">
        <v>14.255</v>
      </c>
    </row>
    <row r="18" ht="20.05" customHeight="1">
      <c r="B18" s="13"/>
      <c r="C18" s="14">
        <v>1870</v>
      </c>
      <c r="D18" s="15">
        <v>457</v>
      </c>
      <c r="E18" s="15">
        <v>612</v>
      </c>
      <c r="F18" s="15">
        <v>1568</v>
      </c>
      <c r="G18" s="15">
        <v>23517</v>
      </c>
      <c r="H18" s="15">
        <v>33239</v>
      </c>
      <c r="I18" s="15">
        <v>1885</v>
      </c>
      <c r="J18" s="15">
        <v>890</v>
      </c>
      <c r="K18" s="15">
        <v>-653</v>
      </c>
      <c r="L18" s="15">
        <v>693.75</v>
      </c>
      <c r="M18" s="15">
        <v>-367.75</v>
      </c>
      <c r="N18" s="15">
        <f>SUM(C15:C18)/4</f>
        <v>1838.5</v>
      </c>
      <c r="O18" s="15">
        <v>1839.935</v>
      </c>
      <c r="P18" s="16"/>
      <c r="Q18" s="16">
        <f>((D18+E18)/C18)</f>
        <v>0.571657754010695</v>
      </c>
      <c r="R18" s="16">
        <f>AVERAGE(Q15:Q18)</f>
        <v>0.58206341061213</v>
      </c>
      <c r="S18" s="17"/>
      <c r="T18" s="15">
        <f>SUM(J15:K18)/4</f>
        <v>-1065.1825</v>
      </c>
      <c r="U18" s="17"/>
      <c r="V18" s="15">
        <f>-(L18+M18)+V17</f>
        <v>-1568</v>
      </c>
      <c r="W18" s="17"/>
      <c r="X18" s="15">
        <f>F18-G18</f>
        <v>-21949</v>
      </c>
      <c r="Y18" s="24"/>
      <c r="Z18" s="15">
        <v>1035</v>
      </c>
      <c r="AA18" s="24"/>
      <c r="AB18" s="15">
        <v>14.79</v>
      </c>
    </row>
    <row r="19" ht="20.05" customHeight="1">
      <c r="B19" s="13"/>
      <c r="C19" s="14">
        <v>1890.4</v>
      </c>
      <c r="D19" s="15">
        <v>257.3</v>
      </c>
      <c r="E19" s="15">
        <v>925.6</v>
      </c>
      <c r="F19" s="15">
        <v>1443</v>
      </c>
      <c r="G19" s="15">
        <v>24065</v>
      </c>
      <c r="H19" s="15">
        <v>34249</v>
      </c>
      <c r="I19" s="15">
        <v>950.3</v>
      </c>
      <c r="J19" s="15">
        <v>37.1</v>
      </c>
      <c r="K19" s="15">
        <v>443.1</v>
      </c>
      <c r="L19" s="15">
        <v>693.75</v>
      </c>
      <c r="M19" s="15">
        <v>-367.75</v>
      </c>
      <c r="N19" s="15">
        <f>SUM(C16:C19)/4</f>
        <v>1861.35</v>
      </c>
      <c r="O19" s="15">
        <v>1843.723333333330</v>
      </c>
      <c r="P19" s="16"/>
      <c r="Q19" s="16">
        <f>((D19+E19)/C19)</f>
        <v>0.6257405840033859</v>
      </c>
      <c r="R19" s="16">
        <f>AVERAGE(Q16:Q19)</f>
        <v>0.591055532710809</v>
      </c>
      <c r="S19" s="17"/>
      <c r="T19" s="15">
        <f>SUM(J16:K19)/4</f>
        <v>-119.7</v>
      </c>
      <c r="U19" s="17"/>
      <c r="V19" s="15">
        <f>-(L19+M19)+V18</f>
        <v>-1894</v>
      </c>
      <c r="W19" s="17"/>
      <c r="X19" s="15">
        <f>F19-G19</f>
        <v>-22622</v>
      </c>
      <c r="Y19" s="24"/>
      <c r="Z19" s="15">
        <v>960</v>
      </c>
      <c r="AA19" s="24"/>
      <c r="AB19" s="15">
        <v>14.1</v>
      </c>
    </row>
    <row r="20" ht="20.05" customHeight="1">
      <c r="B20" s="21">
        <v>2021</v>
      </c>
      <c r="C20" s="14">
        <v>1956.5</v>
      </c>
      <c r="D20" s="15">
        <v>405.1</v>
      </c>
      <c r="E20" s="15">
        <v>794.5</v>
      </c>
      <c r="F20" s="15">
        <v>1275</v>
      </c>
      <c r="G20" s="15">
        <v>25813</v>
      </c>
      <c r="H20" s="15">
        <v>36714</v>
      </c>
      <c r="I20" s="15">
        <v>1894.6</v>
      </c>
      <c r="J20" s="15">
        <v>808.1</v>
      </c>
      <c r="K20" s="15">
        <v>-325.2</v>
      </c>
      <c r="L20" s="15">
        <v>-846.9589999999999</v>
      </c>
      <c r="M20" s="15">
        <v>-29.633</v>
      </c>
      <c r="N20" s="15">
        <f>SUM(C17:C20)/4</f>
        <v>1895.475</v>
      </c>
      <c r="O20" s="15">
        <v>1859.50225</v>
      </c>
      <c r="P20" s="16"/>
      <c r="Q20" s="16">
        <f>((D20+E20)/C20)</f>
        <v>0.613135701507795</v>
      </c>
      <c r="R20" s="16">
        <f>AVERAGE(Q17:Q20)</f>
        <v>0.617526271274571</v>
      </c>
      <c r="S20" s="17"/>
      <c r="T20" s="15">
        <f>SUM(J17:K20)/4</f>
        <v>346.075</v>
      </c>
      <c r="U20" s="17"/>
      <c r="V20" s="15">
        <f>-(L20+M20)+V19</f>
        <v>-1017.408</v>
      </c>
      <c r="W20" s="17"/>
      <c r="X20" s="15">
        <f>F20-G20</f>
        <v>-24538</v>
      </c>
      <c r="Y20" s="15"/>
      <c r="Z20" s="15">
        <v>1100</v>
      </c>
      <c r="AA20" s="15"/>
      <c r="AB20" s="15">
        <v>14.606</v>
      </c>
    </row>
    <row r="21" ht="20.05" customHeight="1">
      <c r="B21" s="13"/>
      <c r="C21" s="14">
        <v>2015.3</v>
      </c>
      <c r="D21" s="15">
        <v>409.2</v>
      </c>
      <c r="E21" s="15">
        <v>906.2</v>
      </c>
      <c r="F21" s="15">
        <v>1649</v>
      </c>
      <c r="G21" s="15">
        <v>24048</v>
      </c>
      <c r="H21" s="15">
        <v>34651</v>
      </c>
      <c r="I21" s="15">
        <v>3648.8</v>
      </c>
      <c r="J21" s="15">
        <v>2221.1</v>
      </c>
      <c r="K21" s="15">
        <v>-505.9</v>
      </c>
      <c r="L21" s="15">
        <v>49.724</v>
      </c>
      <c r="M21" s="15">
        <v>-1184.213</v>
      </c>
      <c r="N21" s="15">
        <f>SUM(C18:C21)/4</f>
        <v>1933.05</v>
      </c>
      <c r="O21" s="15">
        <v>2111.97425</v>
      </c>
      <c r="P21" s="16">
        <f>C21/C20-1</f>
        <v>0.0300536672629696</v>
      </c>
      <c r="Q21" s="16">
        <f>((D21+E21)/C21)</f>
        <v>0.652706793033295</v>
      </c>
      <c r="R21" s="16">
        <f>AVERAGE(Q18:Q21)</f>
        <v>0.6158102081387929</v>
      </c>
      <c r="S21" s="17"/>
      <c r="T21" s="15">
        <f>SUM(J18:K21)/4</f>
        <v>728.825</v>
      </c>
      <c r="U21" s="17"/>
      <c r="V21" s="15">
        <f>-(L21+M21)+V20</f>
        <v>117.081</v>
      </c>
      <c r="W21" s="17"/>
      <c r="X21" s="15">
        <f>F21-G21</f>
        <v>-22399</v>
      </c>
      <c r="Y21" s="15"/>
      <c r="Z21" s="15">
        <v>1240</v>
      </c>
      <c r="AA21" s="15"/>
      <c r="AB21" s="15">
        <v>14.45</v>
      </c>
    </row>
    <row r="22" ht="20.05" customHeight="1">
      <c r="B22" s="13"/>
      <c r="C22" s="14">
        <v>2095.3</v>
      </c>
      <c r="D22" s="15">
        <v>409</v>
      </c>
      <c r="E22" s="15">
        <v>907.8</v>
      </c>
      <c r="F22" s="15">
        <v>18774</v>
      </c>
      <c r="G22" s="15">
        <v>40743</v>
      </c>
      <c r="H22" s="15">
        <v>52217</v>
      </c>
      <c r="I22" s="15">
        <v>1938.5</v>
      </c>
      <c r="J22" s="15">
        <v>864.461</v>
      </c>
      <c r="K22" s="15">
        <v>-561.2</v>
      </c>
      <c r="L22" s="15">
        <v>16900.337</v>
      </c>
      <c r="M22" s="15">
        <v>-77.617</v>
      </c>
      <c r="N22" s="15">
        <f>SUM(C19:C22)/4</f>
        <v>1989.375</v>
      </c>
      <c r="O22" s="15">
        <v>2148.03675</v>
      </c>
      <c r="P22" s="16">
        <f>C22/C21-1</f>
        <v>0.0396963231280703</v>
      </c>
      <c r="Q22" s="16">
        <f>((D22+E22)/C22)</f>
        <v>0.62845415930893</v>
      </c>
      <c r="R22" s="16">
        <f>AVERAGE(Q19:Q22)</f>
        <v>0.630009309463352</v>
      </c>
      <c r="S22" s="17"/>
      <c r="T22" s="15">
        <f>SUM(J19:K22)/4</f>
        <v>745.39025</v>
      </c>
      <c r="U22" s="17"/>
      <c r="V22" s="15">
        <f>-(L22+M22)+V21</f>
        <v>-16705.639</v>
      </c>
      <c r="W22" s="17"/>
      <c r="X22" s="15">
        <f>F22-G22</f>
        <v>-21969</v>
      </c>
      <c r="Y22" s="15"/>
      <c r="Z22" s="15">
        <v>1325</v>
      </c>
      <c r="AA22" s="15"/>
      <c r="AB22" s="15">
        <v>14.328</v>
      </c>
    </row>
    <row r="23" ht="20.05" customHeight="1">
      <c r="B23" s="13"/>
      <c r="C23" s="14">
        <v>2568.2</v>
      </c>
      <c r="D23" s="15">
        <v>636.5</v>
      </c>
      <c r="E23" s="15">
        <v>836.4</v>
      </c>
      <c r="F23" s="15">
        <v>4750</v>
      </c>
      <c r="G23" s="15">
        <v>53767</v>
      </c>
      <c r="H23" s="15">
        <v>65829</v>
      </c>
      <c r="I23" s="15">
        <v>1751.4</v>
      </c>
      <c r="J23" s="15">
        <v>325.239</v>
      </c>
      <c r="K23" s="15">
        <v>-17224.8</v>
      </c>
      <c r="L23" s="15">
        <v>3177.798</v>
      </c>
      <c r="M23" s="15">
        <v>-284.637</v>
      </c>
      <c r="N23" s="15">
        <f>SUM(C20:C23)/4</f>
        <v>2158.825</v>
      </c>
      <c r="O23" s="15">
        <v>2219.51325</v>
      </c>
      <c r="P23" s="16">
        <f>C23/C22-1</f>
        <v>0.22569560444805</v>
      </c>
      <c r="Q23" s="16">
        <f>((D23+E23)/C23)</f>
        <v>0.573514523790982</v>
      </c>
      <c r="R23" s="16">
        <f>AVERAGE(Q20:Q23)</f>
        <v>0.616952794410251</v>
      </c>
      <c r="S23" s="17"/>
      <c r="T23" s="15">
        <f>SUM(J20:K23)/4</f>
        <v>-3599.55</v>
      </c>
      <c r="U23" s="17"/>
      <c r="V23" s="15">
        <f>-(L23+M23)+V22</f>
        <v>-19598.8</v>
      </c>
      <c r="W23" s="17"/>
      <c r="X23" s="15">
        <f>F23-G23</f>
        <v>-49017</v>
      </c>
      <c r="Y23" s="15"/>
      <c r="Z23" s="15">
        <v>1125</v>
      </c>
      <c r="AA23" s="15"/>
      <c r="AB23" s="15">
        <v>14.275</v>
      </c>
    </row>
    <row r="24" ht="20.05" customHeight="1">
      <c r="B24" s="21">
        <v>2022</v>
      </c>
      <c r="C24" s="14">
        <v>2619.3</v>
      </c>
      <c r="D24" s="15">
        <v>539.5</v>
      </c>
      <c r="E24" s="15">
        <v>863.6</v>
      </c>
      <c r="F24" s="15">
        <v>1775</v>
      </c>
      <c r="G24" s="15">
        <v>50579</v>
      </c>
      <c r="H24" s="15">
        <v>63492</v>
      </c>
      <c r="I24" s="15">
        <v>3198.4</v>
      </c>
      <c r="J24" s="15">
        <v>1500.9</v>
      </c>
      <c r="K24" s="15">
        <v>-1970.5</v>
      </c>
      <c r="L24" s="15">
        <v>-2481.9</v>
      </c>
      <c r="M24" s="15">
        <v>-34.5</v>
      </c>
      <c r="N24" s="15">
        <f>SUM(C21:C24)/4</f>
        <v>2324.525</v>
      </c>
      <c r="O24" s="15">
        <v>2372.0125</v>
      </c>
      <c r="P24" s="16">
        <f>C24/C23-1</f>
        <v>0.0198972042675804</v>
      </c>
      <c r="Q24" s="16">
        <f>((D24+E24)/C24)</f>
        <v>0.53567747108006</v>
      </c>
      <c r="R24" s="16">
        <f>AVERAGE(Q21:Q24)</f>
        <v>0.597588236803317</v>
      </c>
      <c r="S24" s="35"/>
      <c r="T24" s="15">
        <f>SUM(J21:K24)/4</f>
        <v>-3837.675</v>
      </c>
      <c r="U24" s="15">
        <v>972.3297898112399</v>
      </c>
      <c r="V24" s="15">
        <f>-(L24+M24)+V23</f>
        <v>-17082.4</v>
      </c>
      <c r="W24" s="15"/>
      <c r="X24" s="15">
        <f>F24-G24</f>
        <v>-48804</v>
      </c>
      <c r="Y24" s="15">
        <v>-44417.3857644832</v>
      </c>
      <c r="Z24" s="15">
        <v>1070</v>
      </c>
      <c r="AA24" s="15"/>
      <c r="AB24" s="15">
        <v>14.327</v>
      </c>
    </row>
    <row r="25" ht="20.05" customHeight="1">
      <c r="B25" s="13"/>
      <c r="C25" s="14">
        <v>2697</v>
      </c>
      <c r="D25" s="15">
        <v>604.8</v>
      </c>
      <c r="E25" s="15">
        <v>842</v>
      </c>
      <c r="F25" s="15">
        <v>769</v>
      </c>
      <c r="G25" s="15">
        <v>50452</v>
      </c>
      <c r="H25" s="15">
        <v>63373</v>
      </c>
      <c r="I25" s="15">
        <v>4211.5</v>
      </c>
      <c r="J25" s="15">
        <v>2132.7</v>
      </c>
      <c r="K25" s="15">
        <v>-991.3</v>
      </c>
      <c r="L25" s="15">
        <v>-1299.3</v>
      </c>
      <c r="M25" s="15">
        <v>-856</v>
      </c>
      <c r="N25" s="15">
        <f>SUM(C22:C25)/4</f>
        <v>2494.95</v>
      </c>
      <c r="O25" s="15">
        <v>2335.257</v>
      </c>
      <c r="P25" s="16">
        <f>C25/C24-1</f>
        <v>0.029664414156454</v>
      </c>
      <c r="Q25" s="16">
        <f>((D25+E25)/C25)</f>
        <v>0.536447905079718</v>
      </c>
      <c r="R25" s="16">
        <f>AVERAGE(Q22:Q25)</f>
        <v>0.568523514814923</v>
      </c>
      <c r="S25" s="35"/>
      <c r="T25" s="15">
        <f>SUM(J22:K25)/4</f>
        <v>-3981.125</v>
      </c>
      <c r="U25" s="15">
        <v>453.761133658390</v>
      </c>
      <c r="V25" s="15">
        <f>-(L25+M25)+V24</f>
        <v>-14927.1</v>
      </c>
      <c r="W25" s="15"/>
      <c r="X25" s="15">
        <f>F25-G25</f>
        <v>-49683</v>
      </c>
      <c r="Y25" s="15">
        <v>-45869.106445589</v>
      </c>
      <c r="Z25" s="15">
        <v>1100</v>
      </c>
      <c r="AA25" s="15"/>
      <c r="AB25" s="15">
        <v>14.66</v>
      </c>
    </row>
    <row r="26" ht="20.05" customHeight="1">
      <c r="B26" s="13"/>
      <c r="C26" s="14">
        <v>2790.8</v>
      </c>
      <c r="D26" s="15">
        <v>507.2</v>
      </c>
      <c r="E26" s="15">
        <v>879.8</v>
      </c>
      <c r="F26" s="15">
        <v>280</v>
      </c>
      <c r="G26" s="15">
        <v>50340</v>
      </c>
      <c r="H26" s="15">
        <v>64253</v>
      </c>
      <c r="I26" s="15">
        <v>2250.9</v>
      </c>
      <c r="J26" s="15">
        <v>681.4</v>
      </c>
      <c r="K26" s="15">
        <v>-1579.2</v>
      </c>
      <c r="L26" s="15">
        <v>927.3</v>
      </c>
      <c r="M26" s="15">
        <v>-27.7</v>
      </c>
      <c r="N26" s="15">
        <f>AVERAGE(C26)</f>
        <v>2790.8</v>
      </c>
      <c r="O26" s="15">
        <v>2512.4245</v>
      </c>
      <c r="P26" s="16">
        <f>C26/C25-1</f>
        <v>0.0347793845012977</v>
      </c>
      <c r="Q26" s="16">
        <f>((D26+E26)/C26)</f>
        <v>0.49699011036262</v>
      </c>
      <c r="R26" s="16">
        <f>AVERAGE(Q23:Q26)</f>
        <v>0.535657502578345</v>
      </c>
      <c r="S26" s="35">
        <f>S27</f>
        <v>0.516323806470483</v>
      </c>
      <c r="T26" s="15">
        <f>SUM(J23:K26)/4</f>
        <v>-4281.39025</v>
      </c>
      <c r="U26" s="15">
        <v>453.761133658390</v>
      </c>
      <c r="V26" s="15">
        <f>-(L26+M26)+V25</f>
        <v>-15826.7</v>
      </c>
      <c r="W26" s="15">
        <f>W27</f>
        <v>-13912.3754514899</v>
      </c>
      <c r="X26" s="15">
        <f>F26-G26</f>
        <v>-50060</v>
      </c>
      <c r="Y26" s="15">
        <v>-47453.9457335981</v>
      </c>
      <c r="Z26" s="15">
        <v>1235</v>
      </c>
      <c r="AA26" s="15"/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2846.820384238</v>
      </c>
      <c r="P27" s="17"/>
      <c r="Q27" s="17"/>
      <c r="R27" s="17"/>
      <c r="S27" s="35">
        <f>AE53</f>
        <v>0.516323806470483</v>
      </c>
      <c r="T27" s="17"/>
      <c r="U27" s="15">
        <f>SUM(AE55:AH55)/4</f>
        <v>478.581137127527</v>
      </c>
      <c r="V27" s="17"/>
      <c r="W27" s="15">
        <f>-SUM(AE76:AH76)+V26</f>
        <v>-13912.3754514899</v>
      </c>
      <c r="X27" s="17"/>
      <c r="Y27" s="15">
        <f>AH75</f>
        <v>-48145.6754514899</v>
      </c>
      <c r="Z27" s="15">
        <v>1140</v>
      </c>
      <c r="AA27" s="15">
        <v>1040.003300016270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SUM(N18:N26)</f>
        <v>19286.85</v>
      </c>
      <c r="O28" s="15">
        <f>SUM(O18:O26)</f>
        <v>19242.3788333333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768.8219944029991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345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0.0775091518433455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0.22569560444805</v>
      </c>
      <c r="AF50" s="35">
        <f>P24</f>
        <v>0.0198972042675804</v>
      </c>
      <c r="AG50" s="35">
        <f>P25</f>
        <v>0.029664414156454</v>
      </c>
      <c r="AH50" s="35">
        <f>P26</f>
        <v>0.0347793845012977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2790.8</v>
      </c>
      <c r="AE52" s="23">
        <f>C26*(1+AE51)</f>
        <v>2818.708</v>
      </c>
      <c r="AF52" s="23">
        <f>AE52*(1+AF51)</f>
        <v>2790.52092</v>
      </c>
      <c r="AG52" s="23">
        <f>AF52*(1+AG51)</f>
        <v>2846.3313384</v>
      </c>
      <c r="AH52" s="23">
        <f>AG52*(1+AH51)</f>
        <v>2931.721278552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AVERAGE(Q26:R26)</f>
        <v>0.516323806470483</v>
      </c>
      <c r="AF53" s="35">
        <f>AE53</f>
        <v>0.516323806470483</v>
      </c>
      <c r="AG53" s="35">
        <f>AF53</f>
        <v>0.516323806470483</v>
      </c>
      <c r="AH53" s="35">
        <f>AG53</f>
        <v>0.516323806470483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-991.3</v>
      </c>
      <c r="AF54" s="15">
        <f>AE54</f>
        <v>-991.3</v>
      </c>
      <c r="AG54" s="15">
        <f>AF54</f>
        <v>-991.3</v>
      </c>
      <c r="AH54" s="15">
        <f>AG54</f>
        <v>-991.3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464.066043888802</v>
      </c>
      <c r="AF55" s="15">
        <f>(AF52*AF53)+AF54</f>
        <v>449.512383449914</v>
      </c>
      <c r="AG55" s="15">
        <f>(AG52*AG53)+AG54</f>
        <v>478.328631118912</v>
      </c>
      <c r="AH55" s="15">
        <f>(AH52*AH53)+AH54</f>
        <v>522.417490052480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-2517</v>
      </c>
      <c r="AF56" s="15">
        <f>-AE71/20</f>
        <v>-2391.15</v>
      </c>
      <c r="AG56" s="15">
        <f>-AF71/20</f>
        <v>-2271.5925</v>
      </c>
      <c r="AH56" s="15">
        <f>-AG71/20</f>
        <v>-2158.012875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-2052.9339561112</v>
      </c>
      <c r="AF59" s="15">
        <f>AF55+AF56+AF58</f>
        <v>-1941.637616550090</v>
      </c>
      <c r="AG59" s="15">
        <f>AG55+AG56+AG58</f>
        <v>-1793.263868881090</v>
      </c>
      <c r="AH59" s="15">
        <f>AH55+AH56+AH58</f>
        <v>-1635.595384947520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2052.9339561112</v>
      </c>
      <c r="AF60" s="15">
        <f>-MIN(AE72,AF59)</f>
        <v>1941.637616550090</v>
      </c>
      <c r="AG60" s="15">
        <f>-MIN(AF72,AG59)</f>
        <v>1793.263868881090</v>
      </c>
      <c r="AH60" s="15">
        <f>-MIN(AG72,AH59)</f>
        <v>1635.595384947520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280</v>
      </c>
      <c r="AF61" s="15">
        <f>AE63</f>
        <v>280.000000000002</v>
      </c>
      <c r="AG61" s="15">
        <f>AF63</f>
        <v>280.000000000006</v>
      </c>
      <c r="AH61" s="15">
        <f>AG63</f>
        <v>280.000000000008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2e-12</v>
      </c>
      <c r="AF62" s="15">
        <f>AF55+AF56+AF58+AF60</f>
        <v>4e-12</v>
      </c>
      <c r="AG62" s="15">
        <f>AG55+AG56+AG58+AG60</f>
        <v>2e-12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280.000000000002</v>
      </c>
      <c r="AF63" s="15">
        <f>AF61+AF62</f>
        <v>280.000000000006</v>
      </c>
      <c r="AG63" s="15">
        <f>AG61+AG62</f>
        <v>280.000000000008</v>
      </c>
      <c r="AH63" s="15">
        <f>AH61+AH62</f>
        <v>280.000000000008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-AVERAGE(D23:D26)</f>
        <v>-572</v>
      </c>
      <c r="AF65" s="15">
        <f>AE65</f>
        <v>-572</v>
      </c>
      <c r="AG65" s="15">
        <f>AF65</f>
        <v>-572</v>
      </c>
      <c r="AH65" s="15">
        <f>AG65</f>
        <v>-572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883.366043888802</v>
      </c>
      <c r="AF66" s="15">
        <f>(AF52*AF53)+AF65</f>
        <v>868.812383449914</v>
      </c>
      <c r="AG66" s="15">
        <f>(AG52*AG53)+AG65</f>
        <v>897.628631118912</v>
      </c>
      <c r="AH66" s="15">
        <f>(AH52*AH53)+AH65</f>
        <v>941.717490052480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64964.3</v>
      </c>
      <c r="AF68" s="15">
        <f>AE68-AF54</f>
        <v>65955.600000000006</v>
      </c>
      <c r="AG68" s="15">
        <f>AF68-AG54</f>
        <v>66946.899999999994</v>
      </c>
      <c r="AH68" s="15">
        <f>AG68-AH54</f>
        <v>67938.2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572</v>
      </c>
      <c r="AF69" s="15">
        <f>AE69-AF65</f>
        <v>1144</v>
      </c>
      <c r="AG69" s="15">
        <f>AF69-AG65</f>
        <v>1716</v>
      </c>
      <c r="AH69" s="15">
        <f>AG69-AH65</f>
        <v>2288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64392.3</v>
      </c>
      <c r="AF70" s="15">
        <f>AF68-AF69</f>
        <v>64811.6</v>
      </c>
      <c r="AG70" s="15">
        <f>AG68-AG69</f>
        <v>65230.9</v>
      </c>
      <c r="AH70" s="15">
        <f>AH68-AH69</f>
        <v>65650.2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47823</v>
      </c>
      <c r="AF71" s="15">
        <f>AE71+AF56</f>
        <v>45431.85</v>
      </c>
      <c r="AG71" s="15">
        <f>AF71+AG56</f>
        <v>43160.2575</v>
      </c>
      <c r="AH71" s="15">
        <f>AG71+AH56</f>
        <v>41002.244625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2052.9339561112</v>
      </c>
      <c r="AF72" s="15">
        <f>AE72+AF60</f>
        <v>3994.571572661290</v>
      </c>
      <c r="AG72" s="15">
        <f>AF72+AG60</f>
        <v>5787.835441542380</v>
      </c>
      <c r="AH72" s="15">
        <f>AG72+AH60</f>
        <v>7423.4308264899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14796.3660438888</v>
      </c>
      <c r="AF73" s="15">
        <f>AE73+AF66+AF58</f>
        <v>15665.1784273387</v>
      </c>
      <c r="AG73" s="15">
        <f>AF73+AG66+AG58</f>
        <v>16562.8070584576</v>
      </c>
      <c r="AH73" s="15">
        <f>AG73+AH66+AH58</f>
        <v>17504.5245485101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-2e-12</v>
      </c>
      <c r="AF74" s="15">
        <f>AF71+AF72+AF73-AF63-AF70</f>
        <v>-1.6e-11</v>
      </c>
      <c r="AG74" s="15">
        <f>AG71+AG72+AG73-AG63-AG70</f>
        <v>-2.8e-11</v>
      </c>
      <c r="AH74" s="15">
        <f>AH71+AH72+AH73-AH63-AH70</f>
        <v>-8e-12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-49595.9339561112</v>
      </c>
      <c r="AF75" s="15">
        <f>AF63-AF71-AF72</f>
        <v>-49146.4215726613</v>
      </c>
      <c r="AG75" s="15">
        <f>AG63-AG71-AG72</f>
        <v>-48668.0929415424</v>
      </c>
      <c r="AH75" s="15">
        <f>AH63-AH71-AH72</f>
        <v>-48145.6754514899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-464.0660438888</v>
      </c>
      <c r="AF76" s="15">
        <f>AF56+AF58+AF60</f>
        <v>-449.512383449910</v>
      </c>
      <c r="AG76" s="15">
        <f>AG56+AG58+AG60</f>
        <v>-478.328631118910</v>
      </c>
      <c r="AH76" s="15">
        <f>AH56+AH58+AH60</f>
        <v>-522.417490052480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784</v>
      </c>
      <c r="AD78" s="14"/>
      <c r="AE78" s="15"/>
      <c r="AF78" s="15"/>
      <c r="AG78" s="15"/>
      <c r="AH78" s="15">
        <v>1140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784</v>
      </c>
      <c r="AD79" s="14"/>
      <c r="AE79" s="15"/>
      <c r="AF79" s="15"/>
      <c r="AG79" s="15"/>
      <c r="AH79" s="15">
        <v>56770748006400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56770.7480064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49.79890176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0.8610734990398941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1914.324548510110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34.2941848868284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29.655759286263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38286.4909702022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768.8219944029991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-0.325594741751755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0.331933374695748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-0.00230577656106103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784</v>
      </c>
      <c r="AF94" t="s" s="44">
        <v>60</v>
      </c>
      <c r="AG94" s="15">
        <f>AH78</f>
        <v>1140</v>
      </c>
      <c r="AH94" t="s" s="44">
        <v>61</v>
      </c>
      <c r="AI94" s="15">
        <f>AH88</f>
        <v>768.8219944029991</v>
      </c>
      <c r="AJ94" t="s" s="44">
        <f>IF(AK94&gt;0,"+","")</f>
      </c>
      <c r="AK94" s="16">
        <f>AI94/AG94-1</f>
        <v>-0.325594741751755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0.331933374695748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-0.301661711381174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0.0154822515268059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-0.881792151027436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0.0347793845012977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0.0396963231280703</v>
      </c>
      <c r="AF103" s="16">
        <f>P23</f>
        <v>0.22569560444805</v>
      </c>
      <c r="AG103" s="16">
        <f>P24</f>
        <v>0.0198972042675804</v>
      </c>
      <c r="AH103" s="16">
        <f>P25</f>
        <v>0.029664414156454</v>
      </c>
      <c r="AI103" s="16">
        <f>P26</f>
        <v>0.0347793845012977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2095.3</v>
      </c>
      <c r="AF104" s="15">
        <f>C23</f>
        <v>2568.2</v>
      </c>
      <c r="AG104" s="15">
        <f>C24</f>
        <v>2619.3</v>
      </c>
      <c r="AH104" s="15">
        <f>C25</f>
        <v>2697</v>
      </c>
      <c r="AI104" s="15">
        <f>C26</f>
        <v>2790.8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0.0347793845012977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2790.8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0.0775091518433455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2931.721278552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0.62845415930893</v>
      </c>
      <c r="AF110" s="16">
        <f>(D23+E23)/C23</f>
        <v>0.573514523790982</v>
      </c>
      <c r="AG110" s="16">
        <f>((E24+D24)/C24)</f>
        <v>0.53567747108006</v>
      </c>
      <c r="AH110" s="16">
        <f>(D25+E25)/C25</f>
        <v>0.536447905079718</v>
      </c>
      <c r="AI110" s="16">
        <f>(D26+E26)/C26</f>
        <v>0.49699011036262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907.8</v>
      </c>
      <c r="AF111" s="15">
        <f>E23</f>
        <v>836.4</v>
      </c>
      <c r="AG111" s="15">
        <f>E24</f>
        <v>863.6</v>
      </c>
      <c r="AH111" s="15">
        <f>E25</f>
        <v>842</v>
      </c>
      <c r="AI111" s="15">
        <f>E26</f>
        <v>879.8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0.536447905079718</v>
      </c>
      <c r="AG112" t="s" s="44">
        <v>76</v>
      </c>
      <c r="AH112" s="16">
        <f>AI110</f>
        <v>0.49699011036262</v>
      </c>
      <c r="AI112" t="s" s="44">
        <v>90</v>
      </c>
      <c r="AJ112" s="15">
        <f>AH111</f>
        <v>842</v>
      </c>
      <c r="AK112" t="s" s="44">
        <v>76</v>
      </c>
      <c r="AL112" s="15">
        <f>AI111</f>
        <v>879.8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0.535657502578345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0.516323806470483</v>
      </c>
      <c r="AG114" t="s" s="44">
        <v>94</v>
      </c>
      <c r="AH114" s="15">
        <f>AH66</f>
        <v>941.717490052480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864.461</v>
      </c>
      <c r="AF117" s="15">
        <f>J23</f>
        <v>325.239</v>
      </c>
      <c r="AG117" s="15">
        <f>J24</f>
        <v>1500.9</v>
      </c>
      <c r="AH117" s="15">
        <f>J25</f>
        <v>2132.7</v>
      </c>
      <c r="AI117" s="15">
        <f>J26</f>
        <v>681.4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-561.2</v>
      </c>
      <c r="AF118" s="15">
        <f>K23</f>
        <v>-17224.8</v>
      </c>
      <c r="AG118" s="15">
        <f>K24</f>
        <v>-1970.5</v>
      </c>
      <c r="AH118" s="15">
        <f>K25</f>
        <v>-991.3</v>
      </c>
      <c r="AI118" s="15">
        <f>K26</f>
        <v>-1579.2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1141.4</v>
      </c>
      <c r="AG119" t="s" s="44">
        <v>76</v>
      </c>
      <c r="AH119" s="15">
        <f>AI117+AI118</f>
        <v>-897.8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-1579.2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-4281.39025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-991.3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478.581137127527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18774</v>
      </c>
      <c r="AF124" s="15">
        <f>F23</f>
        <v>4750</v>
      </c>
      <c r="AG124" s="15">
        <f>F24</f>
        <v>1775</v>
      </c>
      <c r="AH124" s="15">
        <f>F25</f>
        <v>769</v>
      </c>
      <c r="AI124" s="15">
        <f>F26</f>
        <v>280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40743</v>
      </c>
      <c r="AF125" s="15">
        <f>G23</f>
        <v>53767</v>
      </c>
      <c r="AG125" s="15">
        <f>G24</f>
        <v>50579</v>
      </c>
      <c r="AH125" s="15">
        <f>G25</f>
        <v>50452</v>
      </c>
      <c r="AI125" s="15">
        <f>G26</f>
        <v>50340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AH124</f>
        <v>769</v>
      </c>
      <c r="AH126" t="s" s="44">
        <v>76</v>
      </c>
      <c r="AI126" s="15">
        <f>AI124</f>
        <v>280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AH125</f>
        <v>50452</v>
      </c>
      <c r="AH127" t="s" s="44">
        <v>76</v>
      </c>
      <c r="AI127" s="15">
        <f>AI125</f>
        <v>50340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-49683</v>
      </c>
      <c r="AO127" t="s" s="44">
        <v>76</v>
      </c>
      <c r="AP127" s="15">
        <f>AI126-AI127</f>
        <v>-50060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-1914.3245485101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-48145.6754514899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-16900.337</v>
      </c>
      <c r="AF131" s="15">
        <f>-L23</f>
        <v>-3177.798</v>
      </c>
      <c r="AG131" s="15">
        <f>-L24</f>
        <v>2481.9</v>
      </c>
      <c r="AH131" s="15">
        <f>-L25</f>
        <v>1299.3</v>
      </c>
      <c r="AI131" s="15">
        <f>-L26</f>
        <v>-927.3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77.617</v>
      </c>
      <c r="AF132" s="15">
        <f>-M23</f>
        <v>284.637</v>
      </c>
      <c r="AG132" s="15">
        <f>-M24</f>
        <v>34.5</v>
      </c>
      <c r="AH132" s="15">
        <f>-M25</f>
        <v>856</v>
      </c>
      <c r="AI132" s="15">
        <f>-M26</f>
        <v>27.7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784</v>
      </c>
      <c r="AF133" t="s" s="44">
        <f>IF(AG133&gt;0,"paid","(raised)")</f>
        <v>121</v>
      </c>
      <c r="AG133" s="15">
        <f>SUM(AI131:AI132)</f>
        <v>-899.6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-927.3</v>
      </c>
      <c r="AM133" t="s" s="44">
        <f>AM105</f>
        <v>372</v>
      </c>
      <c r="AN133" t="s" s="44">
        <v>123</v>
      </c>
      <c r="AO133" s="15">
        <f>AI132</f>
        <v>27.7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1914.3245485101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56770.7480064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0.8610734990398941</v>
      </c>
      <c r="AK134" t="s" s="44">
        <v>130</v>
      </c>
      <c r="AL134" t="s" s="44">
        <v>131</v>
      </c>
      <c r="AM134" t="s" s="44">
        <v>132</v>
      </c>
      <c r="AN134" s="15">
        <f>AH85</f>
        <v>34.2941848868284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1914.324548510110</v>
      </c>
      <c r="AG135" t="s" s="44">
        <f>AG134</f>
        <v>372</v>
      </c>
      <c r="AH135" t="s" s="44">
        <v>136</v>
      </c>
      <c r="AI135" s="15">
        <f>AF134/AF135</f>
        <v>29.655759286263</v>
      </c>
      <c r="AJ135" t="s" s="44">
        <v>130</v>
      </c>
      <c r="AK135" t="s" s="44">
        <v>137</v>
      </c>
      <c r="AL135" t="s" s="44">
        <v>138</v>
      </c>
      <c r="AM135" s="15">
        <f>AH86</f>
        <v>20</v>
      </c>
      <c r="AN135" t="s" s="44">
        <v>139</v>
      </c>
      <c r="AO135" t="s" s="44">
        <v>140</v>
      </c>
      <c r="AP135" t="s" s="44">
        <v>141</v>
      </c>
      <c r="AQ135" s="16">
        <f>AK94</f>
        <v>-0.325594741751755</v>
      </c>
      <c r="AR135" t="s" s="44">
        <f>IF(AQ135&gt;0,"higher","lower")</f>
        <v>104</v>
      </c>
      <c r="AS135" t="s" s="44">
        <v>142</v>
      </c>
      <c r="AT135" s="15">
        <f>AI94</f>
        <v>768.8219944029991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2095.3</v>
      </c>
      <c r="AE137" s="15">
        <f>AF104</f>
        <v>2568.2</v>
      </c>
      <c r="AF137" s="15">
        <f>AG104</f>
        <v>2619.3</v>
      </c>
      <c r="AG137" s="15">
        <f>AH104</f>
        <v>2697</v>
      </c>
      <c r="AH137" s="15">
        <f>AI104</f>
        <v>2790.8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303.261</v>
      </c>
      <c r="AE138" s="15">
        <f>SUM(AF117:AF118)</f>
        <v>-16899.561</v>
      </c>
      <c r="AF138" s="15">
        <f>SUM(AG117:AG118)</f>
        <v>-469.6</v>
      </c>
      <c r="AG138" s="15">
        <f>SUM(AH117:AH118)</f>
        <v>1141.4</v>
      </c>
      <c r="AH138" s="15">
        <f>SUM(AI117:AI118)</f>
        <v>-897.8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-16822.72</v>
      </c>
      <c r="AE139" s="15">
        <f>SUM(AF131:AF132)</f>
        <v>-2893.161</v>
      </c>
      <c r="AF139" s="15">
        <f>SUM(AG131:AG132)</f>
        <v>2516.4</v>
      </c>
      <c r="AG139" s="15">
        <f>SUM(AH131:AH132)</f>
        <v>2155.3</v>
      </c>
      <c r="AH139" s="15">
        <f>SUM(AI131:AI132)</f>
        <v>-899.6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-21969</v>
      </c>
      <c r="AE140" s="15">
        <f>(AF124-AF125)</f>
        <v>-49017</v>
      </c>
      <c r="AF140" s="15">
        <f>(AG124-AG125)</f>
        <v>-48804</v>
      </c>
      <c r="AG140" s="15">
        <f>(AH124-AH125)</f>
        <v>-49683</v>
      </c>
      <c r="AH140" s="15">
        <f>(AI124-AI125)</f>
        <v>-50060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768.8219944029991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06" customWidth="1"/>
    <col min="2" max="28" width="10.4844" style="106" customWidth="1"/>
    <col min="29" max="29" width="18.9766" style="107" customWidth="1"/>
    <col min="30" max="48" width="9" style="107" customWidth="1"/>
    <col min="49" max="16384" width="16.3516" style="107" customWidth="1"/>
  </cols>
  <sheetData>
    <row r="1" ht="11.65" customHeight="1"/>
    <row r="2" ht="27.65" customHeight="1">
      <c r="B2" t="s" s="2">
        <v>480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239</v>
      </c>
      <c r="AA3" t="s" s="3">
        <v>19</v>
      </c>
      <c r="AB3" t="s" s="3">
        <v>20</v>
      </c>
    </row>
    <row r="4" ht="20.25" customHeight="1">
      <c r="B4" s="6">
        <v>2017</v>
      </c>
      <c r="C4" s="7">
        <v>3471.8</v>
      </c>
      <c r="D4" s="8">
        <v>43.4</v>
      </c>
      <c r="E4" s="8">
        <v>148.3</v>
      </c>
      <c r="F4" s="8">
        <v>854</v>
      </c>
      <c r="G4" s="8">
        <v>4236</v>
      </c>
      <c r="H4" s="8">
        <v>14908</v>
      </c>
      <c r="I4" s="8">
        <v>3134.2</v>
      </c>
      <c r="J4" s="8">
        <v>152.5</v>
      </c>
      <c r="K4" s="8">
        <v>-119</v>
      </c>
      <c r="L4" s="8">
        <v>-70.25</v>
      </c>
      <c r="M4" s="8">
        <v>-57.5</v>
      </c>
      <c r="N4" s="8"/>
      <c r="O4" s="8"/>
      <c r="P4" s="9"/>
      <c r="Q4" s="9"/>
      <c r="R4" s="9"/>
      <c r="S4" s="9"/>
      <c r="T4" s="9"/>
      <c r="U4" s="9"/>
      <c r="V4" s="8">
        <f>-(L4+M4)</f>
        <v>127.75</v>
      </c>
      <c r="W4" s="9"/>
      <c r="X4" s="8">
        <f>F4-G4</f>
        <v>-3382</v>
      </c>
      <c r="Y4" s="9"/>
      <c r="Z4" s="10"/>
      <c r="AA4" s="11"/>
      <c r="AB4" s="12">
        <v>13.3</v>
      </c>
    </row>
    <row r="5" ht="20.05" customHeight="1">
      <c r="B5" s="13"/>
      <c r="C5" s="14">
        <v>3000.1</v>
      </c>
      <c r="D5" s="15">
        <v>62.1</v>
      </c>
      <c r="E5" s="15">
        <v>42.3</v>
      </c>
      <c r="F5" s="15">
        <v>807</v>
      </c>
      <c r="G5" s="15">
        <v>4283</v>
      </c>
      <c r="H5" s="15">
        <v>14847</v>
      </c>
      <c r="I5" s="15">
        <v>3241.1</v>
      </c>
      <c r="J5" s="15">
        <v>189.1</v>
      </c>
      <c r="K5" s="15">
        <v>-72.3</v>
      </c>
      <c r="L5" s="15">
        <v>-70.25</v>
      </c>
      <c r="M5" s="15">
        <v>-57.5</v>
      </c>
      <c r="N5" s="15"/>
      <c r="O5" s="15"/>
      <c r="P5" s="16"/>
      <c r="Q5" s="17"/>
      <c r="R5" s="17"/>
      <c r="S5" s="17"/>
      <c r="T5" s="17"/>
      <c r="U5" s="17"/>
      <c r="V5" s="15">
        <f>-(L5+M5)+V4</f>
        <v>255.5</v>
      </c>
      <c r="W5" s="17"/>
      <c r="X5" s="15">
        <f>F5-G5</f>
        <v>-3476</v>
      </c>
      <c r="Y5" s="17"/>
      <c r="Z5" s="18"/>
      <c r="AA5" s="19"/>
      <c r="AB5" s="20">
        <v>13.327</v>
      </c>
    </row>
    <row r="6" ht="20.05" customHeight="1">
      <c r="B6" s="13"/>
      <c r="C6" s="14">
        <v>3502.7</v>
      </c>
      <c r="D6" s="15">
        <v>17.7</v>
      </c>
      <c r="E6" s="15">
        <v>175</v>
      </c>
      <c r="F6" s="15">
        <v>689</v>
      </c>
      <c r="G6" s="15">
        <v>4211</v>
      </c>
      <c r="H6" s="15">
        <v>14952</v>
      </c>
      <c r="I6" s="15">
        <v>3284.8</v>
      </c>
      <c r="J6" s="15">
        <v>31.7</v>
      </c>
      <c r="K6" s="15">
        <v>40.6</v>
      </c>
      <c r="L6" s="15">
        <v>-70.25</v>
      </c>
      <c r="M6" s="15">
        <v>-57.5</v>
      </c>
      <c r="N6" s="15"/>
      <c r="O6" s="15"/>
      <c r="P6" s="16"/>
      <c r="Q6" s="17"/>
      <c r="R6" s="17"/>
      <c r="S6" s="17"/>
      <c r="T6" s="17"/>
      <c r="U6" s="17"/>
      <c r="V6" s="15">
        <f>-(L6+M6)+V5</f>
        <v>383.25</v>
      </c>
      <c r="W6" s="17"/>
      <c r="X6" s="15">
        <f>F6-G6</f>
        <v>-3522</v>
      </c>
      <c r="Y6" s="17"/>
      <c r="Z6" s="18"/>
      <c r="AA6" s="19"/>
      <c r="AB6" s="20">
        <v>13.305</v>
      </c>
    </row>
    <row r="7" ht="20.05" customHeight="1">
      <c r="B7" s="13"/>
      <c r="C7" s="14">
        <v>3575.4</v>
      </c>
      <c r="D7" s="15">
        <v>21.9</v>
      </c>
      <c r="E7" s="15">
        <v>182.2</v>
      </c>
      <c r="F7" s="15">
        <v>680</v>
      </c>
      <c r="G7" s="15">
        <v>4003</v>
      </c>
      <c r="H7" s="15">
        <v>14762</v>
      </c>
      <c r="I7" s="15">
        <v>3733.9</v>
      </c>
      <c r="J7" s="15">
        <v>-58.3</v>
      </c>
      <c r="K7" s="15">
        <v>122.7</v>
      </c>
      <c r="L7" s="15">
        <v>-70.25</v>
      </c>
      <c r="M7" s="15">
        <v>-57.5</v>
      </c>
      <c r="N7" s="15"/>
      <c r="O7" s="15"/>
      <c r="P7" s="16"/>
      <c r="Q7" s="17"/>
      <c r="R7" s="17"/>
      <c r="S7" s="17"/>
      <c r="T7" s="17"/>
      <c r="U7" s="17"/>
      <c r="V7" s="15">
        <f>-(L7+M7)+V6</f>
        <v>511</v>
      </c>
      <c r="W7" s="17"/>
      <c r="X7" s="15">
        <f>F7-G7</f>
        <v>-3323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3838.4</v>
      </c>
      <c r="D8" s="15">
        <v>60.2</v>
      </c>
      <c r="E8" s="15">
        <v>156.8</v>
      </c>
      <c r="F8" s="15">
        <v>731</v>
      </c>
      <c r="G8" s="15">
        <v>4372</v>
      </c>
      <c r="H8" s="15">
        <v>15289</v>
      </c>
      <c r="I8" s="15">
        <v>3596.3</v>
      </c>
      <c r="J8" s="15">
        <v>343</v>
      </c>
      <c r="K8" s="15">
        <v>-138.7</v>
      </c>
      <c r="L8" s="15">
        <v>26.5</v>
      </c>
      <c r="M8" s="15">
        <v>-66.5</v>
      </c>
      <c r="N8" s="15">
        <f>SUM(C5:C8)/4</f>
        <v>3479.15</v>
      </c>
      <c r="O8" s="15"/>
      <c r="P8" s="16"/>
      <c r="Q8" s="16"/>
      <c r="R8" s="16"/>
      <c r="S8" s="17"/>
      <c r="T8" s="15">
        <f>SUM(J5:K8)/4</f>
        <v>114.45</v>
      </c>
      <c r="U8" s="25"/>
      <c r="V8" s="15">
        <f>-(L8+M8)+V7</f>
        <v>551</v>
      </c>
      <c r="W8" s="17"/>
      <c r="X8" s="15">
        <f>F8-G8</f>
        <v>-3641</v>
      </c>
      <c r="Y8" s="24"/>
      <c r="Z8" s="18">
        <v>1585</v>
      </c>
      <c r="AA8" s="22"/>
      <c r="AB8" s="20">
        <v>13.761</v>
      </c>
    </row>
    <row r="9" ht="20.05" customHeight="1">
      <c r="B9" s="13"/>
      <c r="C9" s="14">
        <v>3579.9</v>
      </c>
      <c r="D9" s="15">
        <v>13.8</v>
      </c>
      <c r="E9" s="15">
        <v>62.3</v>
      </c>
      <c r="F9" s="15">
        <v>714</v>
      </c>
      <c r="G9" s="15">
        <v>4331</v>
      </c>
      <c r="H9" s="15">
        <v>15134</v>
      </c>
      <c r="I9" s="15">
        <v>3825.9</v>
      </c>
      <c r="J9" s="15">
        <v>97.3</v>
      </c>
      <c r="K9" s="15">
        <v>15.8</v>
      </c>
      <c r="L9" s="15">
        <v>26.5</v>
      </c>
      <c r="M9" s="15">
        <v>-66.5</v>
      </c>
      <c r="N9" s="15">
        <f>SUM(C6:C9)/4</f>
        <v>3624.1</v>
      </c>
      <c r="O9" s="15"/>
      <c r="P9" s="16"/>
      <c r="Q9" s="16"/>
      <c r="R9" s="16"/>
      <c r="S9" s="17"/>
      <c r="T9" s="15">
        <f>SUM(J6:K9)/4</f>
        <v>113.525</v>
      </c>
      <c r="U9" s="25"/>
      <c r="V9" s="15">
        <f>-(L9+M9)+V8</f>
        <v>591</v>
      </c>
      <c r="W9" s="17"/>
      <c r="X9" s="15">
        <f>F13-G9</f>
        <v>-3581</v>
      </c>
      <c r="Y9" s="24"/>
      <c r="Z9" s="18">
        <v>1450</v>
      </c>
      <c r="AA9" s="22"/>
      <c r="AB9" s="20">
        <v>14</v>
      </c>
    </row>
    <row r="10" ht="20.05" customHeight="1">
      <c r="B10" s="13"/>
      <c r="C10" s="14">
        <v>4082.3</v>
      </c>
      <c r="D10" s="15">
        <v>-38.9</v>
      </c>
      <c r="E10" s="15">
        <v>227.1</v>
      </c>
      <c r="F10" s="15">
        <v>933</v>
      </c>
      <c r="G10" s="15">
        <v>4928</v>
      </c>
      <c r="H10" s="15">
        <v>15891</v>
      </c>
      <c r="I10" s="15">
        <v>3773.3</v>
      </c>
      <c r="J10" s="15">
        <v>204.6</v>
      </c>
      <c r="K10" s="15">
        <v>12.6</v>
      </c>
      <c r="L10" s="15">
        <v>26.5</v>
      </c>
      <c r="M10" s="15">
        <v>-66.5</v>
      </c>
      <c r="N10" s="15">
        <f>SUM(C7:C10)/4</f>
        <v>3769</v>
      </c>
      <c r="O10" s="15"/>
      <c r="P10" s="16"/>
      <c r="Q10" s="16"/>
      <c r="R10" s="16"/>
      <c r="S10" s="17"/>
      <c r="T10" s="15">
        <f>SUM(J7:K10)/4</f>
        <v>149.75</v>
      </c>
      <c r="U10" s="25"/>
      <c r="V10" s="15">
        <f>-(L10+M10)+V9</f>
        <v>631</v>
      </c>
      <c r="W10" s="17"/>
      <c r="X10" s="15">
        <f>F10-G10</f>
        <v>-3995</v>
      </c>
      <c r="Y10" s="24"/>
      <c r="Z10" s="18">
        <v>1430</v>
      </c>
      <c r="AA10" s="22"/>
      <c r="AB10" s="20">
        <v>14.902</v>
      </c>
    </row>
    <row r="11" ht="20.05" customHeight="1">
      <c r="B11" s="13"/>
      <c r="C11" s="14">
        <v>3855.4</v>
      </c>
      <c r="D11" s="15">
        <v>-40.1</v>
      </c>
      <c r="E11" s="15">
        <v>234.6</v>
      </c>
      <c r="F11" s="15">
        <v>890</v>
      </c>
      <c r="G11" s="15">
        <v>4626</v>
      </c>
      <c r="H11" s="15">
        <v>15890</v>
      </c>
      <c r="I11" s="15">
        <v>4211.5</v>
      </c>
      <c r="J11" s="15">
        <v>-23.9</v>
      </c>
      <c r="K11" s="15">
        <v>-102.7</v>
      </c>
      <c r="L11" s="15">
        <v>26.5</v>
      </c>
      <c r="M11" s="15">
        <v>-66.5</v>
      </c>
      <c r="N11" s="15">
        <f>SUM(C8:C11)/4</f>
        <v>3839</v>
      </c>
      <c r="O11" s="15"/>
      <c r="P11" s="16"/>
      <c r="Q11" s="16"/>
      <c r="R11" s="16"/>
      <c r="S11" s="17"/>
      <c r="T11" s="15">
        <f>SUM(J8:K11)/4</f>
        <v>102</v>
      </c>
      <c r="U11" s="25"/>
      <c r="V11" s="15">
        <f>-(L11+M11)+V10</f>
        <v>671</v>
      </c>
      <c r="W11" s="17"/>
      <c r="X11" s="15">
        <f>F11-G11</f>
        <v>-3736</v>
      </c>
      <c r="Y11" s="24"/>
      <c r="Z11" s="18">
        <v>1470</v>
      </c>
      <c r="AA11" s="22"/>
      <c r="AB11" s="20">
        <v>14.38</v>
      </c>
    </row>
    <row r="12" ht="20.05" customHeight="1">
      <c r="B12" s="21">
        <v>2019</v>
      </c>
      <c r="C12" s="14">
        <v>3943</v>
      </c>
      <c r="D12" s="15">
        <v>61.75</v>
      </c>
      <c r="E12" s="15">
        <v>189</v>
      </c>
      <c r="F12" s="15">
        <v>721</v>
      </c>
      <c r="G12" s="15">
        <v>4818</v>
      </c>
      <c r="H12" s="15">
        <v>16227</v>
      </c>
      <c r="I12" s="15">
        <v>3663</v>
      </c>
      <c r="J12" s="15">
        <v>198</v>
      </c>
      <c r="K12" s="15">
        <v>-540</v>
      </c>
      <c r="L12" s="15">
        <v>-20.5</v>
      </c>
      <c r="M12" s="15">
        <v>-86</v>
      </c>
      <c r="N12" s="15">
        <f>SUM(C9:C12)/4</f>
        <v>3865.15</v>
      </c>
      <c r="O12" s="23"/>
      <c r="P12" s="16"/>
      <c r="Q12" s="16">
        <f>(E12+D12)/C12</f>
        <v>0.0635937103728126</v>
      </c>
      <c r="R12" s="16">
        <f>AVERAGE(Q9:Q12)</f>
        <v>0.0635937103728126</v>
      </c>
      <c r="S12" s="17"/>
      <c r="T12" s="15">
        <f>SUM(J9:K12)/4</f>
        <v>-34.575</v>
      </c>
      <c r="U12" s="25"/>
      <c r="V12" s="15">
        <f>-(L12+M12)+V11</f>
        <v>777.5</v>
      </c>
      <c r="W12" s="17"/>
      <c r="X12" s="15">
        <f>F12-G12</f>
        <v>-4097</v>
      </c>
      <c r="Y12" s="24"/>
      <c r="Z12" s="18">
        <v>1555</v>
      </c>
      <c r="AA12" s="22"/>
      <c r="AB12" s="20">
        <v>14.24</v>
      </c>
    </row>
    <row r="13" ht="20.05" customHeight="1">
      <c r="B13" s="13"/>
      <c r="C13" s="14">
        <v>3645</v>
      </c>
      <c r="D13" s="15">
        <v>52.75</v>
      </c>
      <c r="E13" s="15">
        <v>81</v>
      </c>
      <c r="F13" s="15">
        <v>750</v>
      </c>
      <c r="G13" s="15">
        <v>4666</v>
      </c>
      <c r="H13" s="15">
        <v>15947</v>
      </c>
      <c r="I13" s="15">
        <v>3973</v>
      </c>
      <c r="J13" s="15">
        <v>321</v>
      </c>
      <c r="K13" s="15">
        <v>-133</v>
      </c>
      <c r="L13" s="15">
        <v>-20.5</v>
      </c>
      <c r="M13" s="15">
        <v>-86</v>
      </c>
      <c r="N13" s="15">
        <f>SUM(C10:C13)/4</f>
        <v>3881.425</v>
      </c>
      <c r="O13" s="23"/>
      <c r="P13" s="16">
        <f>C13/C12-1</f>
        <v>-0.0755769718488461</v>
      </c>
      <c r="Q13" s="16">
        <f>(E13+D13)/C13</f>
        <v>0.0366941015089163</v>
      </c>
      <c r="R13" s="16">
        <f>AVERAGE(Q10:Q13)</f>
        <v>0.0501439059408645</v>
      </c>
      <c r="S13" s="17"/>
      <c r="T13" s="15">
        <f>SUM(J10:K13)/4</f>
        <v>-15.85</v>
      </c>
      <c r="U13" s="25"/>
      <c r="V13" s="15">
        <f>-(L13+M13)+V12</f>
        <v>884</v>
      </c>
      <c r="W13" s="17"/>
      <c r="X13" s="15">
        <f>F13-G13</f>
        <v>-3916</v>
      </c>
      <c r="Y13" s="24"/>
      <c r="Z13" s="18">
        <v>1440</v>
      </c>
      <c r="AA13" s="24"/>
      <c r="AB13" s="15">
        <v>14.127</v>
      </c>
    </row>
    <row r="14" ht="20.05" customHeight="1">
      <c r="B14" s="13"/>
      <c r="C14" s="14">
        <v>4041</v>
      </c>
      <c r="D14" s="15">
        <v>-62.25</v>
      </c>
      <c r="E14" s="15">
        <v>294</v>
      </c>
      <c r="F14" s="15">
        <v>941</v>
      </c>
      <c r="G14" s="15">
        <v>4945</v>
      </c>
      <c r="H14" s="15">
        <v>16433</v>
      </c>
      <c r="I14" s="15">
        <v>3617</v>
      </c>
      <c r="J14" s="15">
        <v>436</v>
      </c>
      <c r="K14" s="15">
        <v>30</v>
      </c>
      <c r="L14" s="15">
        <v>-20.5</v>
      </c>
      <c r="M14" s="15">
        <v>-86</v>
      </c>
      <c r="N14" s="15">
        <f>SUM(C11:C14)/4</f>
        <v>3871.1</v>
      </c>
      <c r="O14" s="23"/>
      <c r="P14" s="16">
        <f>C14/C13-1</f>
        <v>0.108641975308642</v>
      </c>
      <c r="Q14" s="16">
        <f>(E14+D14)/C14</f>
        <v>0.0573496659242762</v>
      </c>
      <c r="R14" s="16">
        <f>AVERAGE(Q11:Q14)</f>
        <v>0.052545825935335</v>
      </c>
      <c r="S14" s="17"/>
      <c r="T14" s="15">
        <f>SUM(J11:K14)/4</f>
        <v>46.35</v>
      </c>
      <c r="U14" s="25"/>
      <c r="V14" s="15">
        <f>-(L14+M14)+V13</f>
        <v>990.5</v>
      </c>
      <c r="W14" s="17"/>
      <c r="X14" s="15">
        <f>F14-G14</f>
        <v>-4004</v>
      </c>
      <c r="Y14" s="24"/>
      <c r="Z14" s="18">
        <v>1250</v>
      </c>
      <c r="AA14" s="24"/>
      <c r="AB14" s="15">
        <v>14.195</v>
      </c>
    </row>
    <row r="15" ht="20.05" customHeight="1">
      <c r="B15" s="13"/>
      <c r="C15" s="14">
        <v>3816</v>
      </c>
      <c r="D15" s="15">
        <v>-92.25</v>
      </c>
      <c r="E15" s="15">
        <v>253</v>
      </c>
      <c r="F15" s="15">
        <v>788</v>
      </c>
      <c r="G15" s="15">
        <v>4365</v>
      </c>
      <c r="H15" s="15">
        <v>16016</v>
      </c>
      <c r="I15" s="15">
        <v>4173</v>
      </c>
      <c r="J15" s="15">
        <v>30</v>
      </c>
      <c r="K15" s="15">
        <v>-30</v>
      </c>
      <c r="L15" s="15">
        <v>-20.5</v>
      </c>
      <c r="M15" s="15">
        <v>-86</v>
      </c>
      <c r="N15" s="15">
        <f>SUM(C12:C15)/4</f>
        <v>3861.25</v>
      </c>
      <c r="O15" s="15"/>
      <c r="P15" s="16">
        <f>C15/C14-1</f>
        <v>-0.0556792873051225</v>
      </c>
      <c r="Q15" s="16">
        <f>(E15+D15)/C15</f>
        <v>0.0421252620545073</v>
      </c>
      <c r="R15" s="16">
        <f>AVERAGE(Q12:Q15)</f>
        <v>0.0499406849651281</v>
      </c>
      <c r="S15" s="17"/>
      <c r="T15" s="15">
        <f>SUM(J12:K15)/4</f>
        <v>78</v>
      </c>
      <c r="U15" s="25"/>
      <c r="V15" s="15">
        <f>-(L15+M15)+V14</f>
        <v>1097</v>
      </c>
      <c r="W15" s="17"/>
      <c r="X15" s="15">
        <f>F15-G15</f>
        <v>-3577</v>
      </c>
      <c r="Y15" s="24"/>
      <c r="Z15" s="18">
        <v>1240</v>
      </c>
      <c r="AA15" s="24"/>
      <c r="AB15" s="15">
        <v>13.882</v>
      </c>
    </row>
    <row r="16" ht="20.05" customHeight="1">
      <c r="B16" s="21">
        <v>2020</v>
      </c>
      <c r="C16" s="14">
        <v>3842</v>
      </c>
      <c r="D16" s="15">
        <v>104.5</v>
      </c>
      <c r="E16" s="15">
        <v>111</v>
      </c>
      <c r="F16" s="15">
        <v>1222</v>
      </c>
      <c r="G16" s="15">
        <v>5007</v>
      </c>
      <c r="H16" s="15">
        <v>16788</v>
      </c>
      <c r="I16" s="15">
        <v>3678</v>
      </c>
      <c r="J16" s="15">
        <v>344</v>
      </c>
      <c r="K16" s="15">
        <v>-88</v>
      </c>
      <c r="L16" s="15">
        <v>-6.25</v>
      </c>
      <c r="M16" s="15">
        <v>-60.25</v>
      </c>
      <c r="N16" s="15">
        <f>SUM(C13:C16)/4</f>
        <v>3836</v>
      </c>
      <c r="O16" s="15"/>
      <c r="P16" s="16">
        <f>C16/C15-1</f>
        <v>0.00681341719077568</v>
      </c>
      <c r="Q16" s="16">
        <f>(E16+D16)/C16</f>
        <v>0.05609057782405</v>
      </c>
      <c r="R16" s="16">
        <f>AVERAGE(Q13:Q16)</f>
        <v>0.0480649018279375</v>
      </c>
      <c r="S16" s="17"/>
      <c r="T16" s="15">
        <f>SUM(J13:K16)/4</f>
        <v>227.5</v>
      </c>
      <c r="U16" s="25"/>
      <c r="V16" s="15">
        <f>-(L16+M16)+V15</f>
        <v>1163.5</v>
      </c>
      <c r="W16" s="17"/>
      <c r="X16" s="15">
        <f>F16-G16</f>
        <v>-3785</v>
      </c>
      <c r="Y16" s="24"/>
      <c r="Z16" s="24">
        <v>785</v>
      </c>
      <c r="AA16" s="24"/>
      <c r="AB16" s="15">
        <v>16.31</v>
      </c>
    </row>
    <row r="17" ht="20.05" customHeight="1">
      <c r="B17" s="13"/>
      <c r="C17" s="14">
        <v>1811</v>
      </c>
      <c r="D17" s="15">
        <v>356.5</v>
      </c>
      <c r="E17" s="15">
        <v>-448</v>
      </c>
      <c r="F17" s="15">
        <v>1179</v>
      </c>
      <c r="G17" s="15">
        <v>4166</v>
      </c>
      <c r="H17" s="15">
        <v>15252</v>
      </c>
      <c r="I17" s="15">
        <v>2783</v>
      </c>
      <c r="J17" s="15">
        <v>-178</v>
      </c>
      <c r="K17" s="15">
        <v>-56</v>
      </c>
      <c r="L17" s="15">
        <v>-6.25</v>
      </c>
      <c r="M17" s="15">
        <v>-60.25</v>
      </c>
      <c r="N17" s="15">
        <f>SUM(C14:C17)/4</f>
        <v>3377.5</v>
      </c>
      <c r="O17" s="15"/>
      <c r="P17" s="16">
        <f>C17/C16-1</f>
        <v>-0.528630921395107</v>
      </c>
      <c r="Q17" s="16">
        <f>(E17+D17)/C17</f>
        <v>-0.0505245720596356</v>
      </c>
      <c r="R17" s="16">
        <f>AVERAGE(Q14:Q17)</f>
        <v>0.0262602334357995</v>
      </c>
      <c r="S17" s="17"/>
      <c r="T17" s="25">
        <f>SUM(J14:K17)/4</f>
        <v>122</v>
      </c>
      <c r="U17" s="25"/>
      <c r="V17" s="15">
        <f>-(L17+M17)+V16</f>
        <v>1230</v>
      </c>
      <c r="W17" s="17"/>
      <c r="X17" s="15">
        <f>F17-G17</f>
        <v>-2987</v>
      </c>
      <c r="Y17" s="24"/>
      <c r="Z17" s="24">
        <v>885</v>
      </c>
      <c r="AA17" s="24"/>
      <c r="AB17" s="15">
        <v>14.255</v>
      </c>
    </row>
    <row r="18" ht="20.05" customHeight="1">
      <c r="B18" s="13"/>
      <c r="C18" s="14">
        <v>2978</v>
      </c>
      <c r="D18" s="15">
        <v>146.5</v>
      </c>
      <c r="E18" s="15">
        <v>49</v>
      </c>
      <c r="F18" s="15">
        <v>1573</v>
      </c>
      <c r="G18" s="15">
        <v>4442</v>
      </c>
      <c r="H18" s="15">
        <v>15587</v>
      </c>
      <c r="I18" s="15">
        <v>2416</v>
      </c>
      <c r="J18" s="15">
        <v>632</v>
      </c>
      <c r="K18" s="15">
        <v>45</v>
      </c>
      <c r="L18" s="15">
        <v>-6.25</v>
      </c>
      <c r="M18" s="15">
        <v>-60.25</v>
      </c>
      <c r="N18" s="15">
        <f>SUM(C15:C18)/4</f>
        <v>3111.75</v>
      </c>
      <c r="O18" s="15"/>
      <c r="P18" s="16">
        <f>C18/C17-1</f>
        <v>0.644395361678631</v>
      </c>
      <c r="Q18" s="16">
        <f>(E18+D18)/C18</f>
        <v>0.065648085963734</v>
      </c>
      <c r="R18" s="16">
        <f>AVERAGE(Q15:Q18)</f>
        <v>0.0283348384456639</v>
      </c>
      <c r="S18" s="17"/>
      <c r="T18" s="25">
        <f>SUM(J15:K18)/4</f>
        <v>174.75</v>
      </c>
      <c r="U18" s="25"/>
      <c r="V18" s="15">
        <f>-(L18+M18)+V17</f>
        <v>1296.5</v>
      </c>
      <c r="W18" s="17"/>
      <c r="X18" s="15">
        <f>F18-G18</f>
        <v>-2869</v>
      </c>
      <c r="Y18" s="24"/>
      <c r="Z18" s="24">
        <v>825</v>
      </c>
      <c r="AA18" s="24"/>
      <c r="AB18" s="15">
        <v>14.79</v>
      </c>
    </row>
    <row r="19" ht="20.05" customHeight="1">
      <c r="B19" s="13"/>
      <c r="C19" s="14">
        <v>3238</v>
      </c>
      <c r="D19" s="15">
        <v>-20.5</v>
      </c>
      <c r="E19" s="15">
        <v>250</v>
      </c>
      <c r="F19" s="15">
        <v>1503</v>
      </c>
      <c r="G19" s="15">
        <v>3909</v>
      </c>
      <c r="H19" s="15">
        <v>15180</v>
      </c>
      <c r="I19" s="15">
        <v>3324</v>
      </c>
      <c r="J19" s="15">
        <v>247</v>
      </c>
      <c r="K19" s="15">
        <v>79</v>
      </c>
      <c r="L19" s="15">
        <v>-6.25</v>
      </c>
      <c r="M19" s="15">
        <v>-60.25</v>
      </c>
      <c r="N19" s="15">
        <f>SUM(C16:C19)/4</f>
        <v>2967.25</v>
      </c>
      <c r="O19" s="15"/>
      <c r="P19" s="16">
        <f>C19/C18-1</f>
        <v>0.0873069173942243</v>
      </c>
      <c r="Q19" s="16">
        <f>(E19+D19)/C19</f>
        <v>0.07087708462013589</v>
      </c>
      <c r="R19" s="16">
        <f>AVERAGE(Q16:Q19)</f>
        <v>0.0355227940870711</v>
      </c>
      <c r="S19" s="17"/>
      <c r="T19" s="25">
        <f>SUM(J16:K19)/4</f>
        <v>256.25</v>
      </c>
      <c r="U19" s="25"/>
      <c r="V19" s="15">
        <f>-(L19+M19)+V18</f>
        <v>1363</v>
      </c>
      <c r="W19" s="17"/>
      <c r="X19" s="15">
        <f>F19-G19</f>
        <v>-2406</v>
      </c>
      <c r="Y19" s="24"/>
      <c r="Z19" s="18">
        <v>1115</v>
      </c>
      <c r="AA19" s="24"/>
      <c r="AB19" s="15">
        <v>14.1</v>
      </c>
    </row>
    <row r="20" ht="20.05" customHeight="1">
      <c r="B20" s="21">
        <v>2021</v>
      </c>
      <c r="C20" s="14">
        <v>3616</v>
      </c>
      <c r="D20" s="15">
        <v>0.8</v>
      </c>
      <c r="E20" s="15">
        <v>171.5</v>
      </c>
      <c r="F20" s="15">
        <v>1795.4</v>
      </c>
      <c r="G20" s="15">
        <v>4557.7</v>
      </c>
      <c r="H20" s="15">
        <v>16010</v>
      </c>
      <c r="I20" s="15">
        <v>3275</v>
      </c>
      <c r="J20" s="15">
        <v>485.4</v>
      </c>
      <c r="K20" s="15">
        <v>-45.3</v>
      </c>
      <c r="L20" s="15">
        <v>-121.3</v>
      </c>
      <c r="M20" s="15">
        <v>0</v>
      </c>
      <c r="N20" s="15">
        <f>SUM(C17:C20)/4</f>
        <v>2910.75</v>
      </c>
      <c r="O20" s="15"/>
      <c r="P20" s="16">
        <f>C20/C19-1</f>
        <v>0.116738727609636</v>
      </c>
      <c r="Q20" s="16">
        <f>(E20+D20)/C20</f>
        <v>0.0476493362831858</v>
      </c>
      <c r="R20" s="16">
        <f>AVERAGE(Q17:Q20)</f>
        <v>0.033412483701855</v>
      </c>
      <c r="S20" s="17"/>
      <c r="T20" s="25">
        <f>SUM(J17:K20)/4</f>
        <v>302.275</v>
      </c>
      <c r="U20" s="25"/>
      <c r="V20" s="15">
        <f>-(L20+M20)+V19</f>
        <v>1484.3</v>
      </c>
      <c r="W20" s="17"/>
      <c r="X20" s="15">
        <f>F20-G20</f>
        <v>-2762.3</v>
      </c>
      <c r="Y20" s="15"/>
      <c r="Z20" s="15">
        <v>1144.365234</v>
      </c>
      <c r="AA20" s="15"/>
      <c r="AB20" s="15">
        <v>14.606</v>
      </c>
    </row>
    <row r="21" ht="20.05" customHeight="1">
      <c r="B21" s="13"/>
      <c r="C21" s="14">
        <v>3535.4</v>
      </c>
      <c r="D21" s="15">
        <v>20.9</v>
      </c>
      <c r="E21" s="15">
        <v>101.6</v>
      </c>
      <c r="F21" s="15">
        <v>1702</v>
      </c>
      <c r="G21" s="15">
        <v>4608</v>
      </c>
      <c r="H21" s="15">
        <v>16083</v>
      </c>
      <c r="I21" s="15">
        <v>3662</v>
      </c>
      <c r="J21" s="15">
        <v>4.6</v>
      </c>
      <c r="K21" s="15">
        <v>-30.7</v>
      </c>
      <c r="L21" s="15">
        <v>-52</v>
      </c>
      <c r="M21" s="15">
        <v>-83</v>
      </c>
      <c r="N21" s="15">
        <f>SUM(C18:C21)/4</f>
        <v>3341.85</v>
      </c>
      <c r="O21" s="15">
        <v>3423.22</v>
      </c>
      <c r="P21" s="16">
        <f>C21/C20-1</f>
        <v>-0.0222898230088496</v>
      </c>
      <c r="Q21" s="16">
        <f>(E21+D21)/C21</f>
        <v>0.0346495446059852</v>
      </c>
      <c r="R21" s="16">
        <f>AVERAGE(Q18:Q21)</f>
        <v>0.0547060128682602</v>
      </c>
      <c r="S21" s="17"/>
      <c r="T21" s="25">
        <f>SUM(J18:K21)/4</f>
        <v>354.25</v>
      </c>
      <c r="U21" s="25"/>
      <c r="V21" s="15">
        <f>-(L21+M21)+V20</f>
        <v>1619.3</v>
      </c>
      <c r="W21" s="17"/>
      <c r="X21" s="15">
        <f>F21-G21</f>
        <v>-2906</v>
      </c>
      <c r="Y21" s="15"/>
      <c r="Z21" s="15">
        <v>1085</v>
      </c>
      <c r="AA21" s="15"/>
      <c r="AB21" s="15">
        <v>14.45</v>
      </c>
    </row>
    <row r="22" ht="20.05" customHeight="1">
      <c r="B22" s="13"/>
      <c r="C22" s="14">
        <v>3889.1</v>
      </c>
      <c r="D22" s="15">
        <v>8.199999999999999</v>
      </c>
      <c r="E22" s="15">
        <v>183.8</v>
      </c>
      <c r="F22" s="15">
        <v>1888</v>
      </c>
      <c r="G22" s="15">
        <v>5047</v>
      </c>
      <c r="H22" s="15">
        <v>16652</v>
      </c>
      <c r="I22" s="15">
        <v>3618.4</v>
      </c>
      <c r="J22" s="15">
        <v>239.3</v>
      </c>
      <c r="K22" s="15">
        <v>-25</v>
      </c>
      <c r="L22" s="15">
        <v>3.8</v>
      </c>
      <c r="M22" s="15">
        <v>-1.3</v>
      </c>
      <c r="N22" s="15">
        <f>SUM(C19:C22)/4</f>
        <v>3569.625</v>
      </c>
      <c r="O22" s="15">
        <v>3460.613333333330</v>
      </c>
      <c r="P22" s="16">
        <f>C22/C21-1</f>
        <v>0.100045256548057</v>
      </c>
      <c r="Q22" s="16">
        <f>(E22+D22)/C22</f>
        <v>0.0493687485536499</v>
      </c>
      <c r="R22" s="16">
        <f>AVERAGE(Q19:Q22)</f>
        <v>0.0506361785157392</v>
      </c>
      <c r="S22" s="17"/>
      <c r="T22" s="25">
        <f>SUM(J19:K22)/4</f>
        <v>238.575</v>
      </c>
      <c r="U22" s="25"/>
      <c r="V22" s="15">
        <f>-(L22+M22)+V21</f>
        <v>1616.8</v>
      </c>
      <c r="W22" s="17"/>
      <c r="X22" s="15">
        <f>F22-G22</f>
        <v>-3159</v>
      </c>
      <c r="Y22" s="15"/>
      <c r="Z22" s="15">
        <v>1020</v>
      </c>
      <c r="AA22" s="15"/>
      <c r="AB22" s="15">
        <v>14.328</v>
      </c>
    </row>
    <row r="23" ht="20.05" customHeight="1">
      <c r="B23" s="13"/>
      <c r="C23" s="14">
        <v>4111.5</v>
      </c>
      <c r="D23" s="15">
        <v>-44.5</v>
      </c>
      <c r="E23" s="15">
        <v>178</v>
      </c>
      <c r="F23" s="15">
        <v>1837</v>
      </c>
      <c r="G23" s="15">
        <v>5101</v>
      </c>
      <c r="H23" s="15">
        <v>16947</v>
      </c>
      <c r="I23" s="15">
        <v>4234.5</v>
      </c>
      <c r="J23" s="15">
        <v>86.8</v>
      </c>
      <c r="K23" s="15">
        <v>-37.2</v>
      </c>
      <c r="L23" s="15">
        <v>-49</v>
      </c>
      <c r="M23" s="15">
        <v>-51.7</v>
      </c>
      <c r="N23" s="15">
        <f>SUM(C20:C23)/4</f>
        <v>3788</v>
      </c>
      <c r="O23" s="15">
        <v>3645.4075</v>
      </c>
      <c r="P23" s="16">
        <f>C23/C22-1</f>
        <v>0.0571854670746445</v>
      </c>
      <c r="Q23" s="16">
        <f>(E23+D23)/C23</f>
        <v>0.0324699014958045</v>
      </c>
      <c r="R23" s="16">
        <f>AVERAGE(Q20:Q23)</f>
        <v>0.0410343827346564</v>
      </c>
      <c r="S23" s="17"/>
      <c r="T23" s="25">
        <f>SUM(J20:K23)/4</f>
        <v>169.475</v>
      </c>
      <c r="U23" s="25"/>
      <c r="V23" s="15">
        <f>-(L23+M23)+V22</f>
        <v>1717.5</v>
      </c>
      <c r="W23" s="17"/>
      <c r="X23" s="15">
        <f>F23-G23</f>
        <v>-3264</v>
      </c>
      <c r="Y23" s="15"/>
      <c r="Z23" s="15">
        <v>1155</v>
      </c>
      <c r="AA23" s="15"/>
      <c r="AB23" s="15">
        <v>14.275</v>
      </c>
    </row>
    <row r="24" ht="20.05" customHeight="1">
      <c r="B24" s="21">
        <v>2022</v>
      </c>
      <c r="C24" s="14">
        <v>4581.3</v>
      </c>
      <c r="D24" s="15">
        <v>-43.6</v>
      </c>
      <c r="E24" s="15">
        <v>239</v>
      </c>
      <c r="F24" s="15">
        <v>1851</v>
      </c>
      <c r="G24" s="15">
        <v>5642</v>
      </c>
      <c r="H24" s="15">
        <v>17727</v>
      </c>
      <c r="I24" s="15">
        <v>4104</v>
      </c>
      <c r="J24" s="15">
        <v>104.2</v>
      </c>
      <c r="K24" s="15">
        <v>-96.59999999999999</v>
      </c>
      <c r="L24" s="15">
        <v>0</v>
      </c>
      <c r="M24" s="15">
        <v>0</v>
      </c>
      <c r="N24" s="15">
        <f>SUM(C21:C24)/4</f>
        <v>4029.325</v>
      </c>
      <c r="O24" s="15">
        <v>3919.54375</v>
      </c>
      <c r="P24" s="16">
        <f>C24/C23-1</f>
        <v>0.114264866836921</v>
      </c>
      <c r="Q24" s="16">
        <f>(E24+D24)/C24</f>
        <v>0.042651649095235</v>
      </c>
      <c r="R24" s="16">
        <f>AVERAGE(Q21:Q24)</f>
        <v>0.0397849609376687</v>
      </c>
      <c r="S24" s="35"/>
      <c r="T24" s="25">
        <f>SUM(J21:K24)/4</f>
        <v>61.35</v>
      </c>
      <c r="U24" s="15"/>
      <c r="V24" s="15">
        <f>-(L24+M24)+V23</f>
        <v>1717.5</v>
      </c>
      <c r="W24" s="15"/>
      <c r="X24" s="15">
        <f>F24-G24</f>
        <v>-3791</v>
      </c>
      <c r="Y24" s="15"/>
      <c r="Z24" s="15">
        <v>1125</v>
      </c>
      <c r="AA24" s="25"/>
      <c r="AB24" s="15">
        <v>14.327</v>
      </c>
    </row>
    <row r="25" ht="20.05" customHeight="1">
      <c r="B25" s="13"/>
      <c r="C25" s="14">
        <v>3999.8</v>
      </c>
      <c r="D25" s="15">
        <v>4.9</v>
      </c>
      <c r="E25" s="15">
        <v>215.2</v>
      </c>
      <c r="F25" s="15">
        <v>1690</v>
      </c>
      <c r="G25" s="15">
        <v>5488</v>
      </c>
      <c r="H25" s="15">
        <v>17569</v>
      </c>
      <c r="I25" s="15">
        <v>4334.3</v>
      </c>
      <c r="J25" s="15">
        <v>-10.3</v>
      </c>
      <c r="K25" s="15">
        <v>25.2</v>
      </c>
      <c r="L25" s="15">
        <v>25</v>
      </c>
      <c r="M25" s="15">
        <v>-213.6</v>
      </c>
      <c r="N25" s="15">
        <f>SUM(C22:C25)/4</f>
        <v>4145.425</v>
      </c>
      <c r="O25" s="15">
        <v>4156.04225</v>
      </c>
      <c r="P25" s="16">
        <f>C25/C24-1</f>
        <v>-0.126929037609412</v>
      </c>
      <c r="Q25" s="16">
        <f>(E25+D25)/C25</f>
        <v>0.0550277513875694</v>
      </c>
      <c r="R25" s="16">
        <f>AVERAGE(Q22:Q25)</f>
        <v>0.0448795126330647</v>
      </c>
      <c r="S25" s="35"/>
      <c r="T25" s="25">
        <f>SUM(J22:K25)/4</f>
        <v>71.59999999999999</v>
      </c>
      <c r="U25" s="15">
        <v>142.588061963940</v>
      </c>
      <c r="V25" s="15">
        <f>-(L25+M25)+V24</f>
        <v>1906.1</v>
      </c>
      <c r="W25" s="15"/>
      <c r="X25" s="15">
        <f>F25-G25</f>
        <v>-3798</v>
      </c>
      <c r="Y25" s="15">
        <v>-3514.950006315610</v>
      </c>
      <c r="Z25" s="15">
        <v>1140</v>
      </c>
      <c r="AA25" s="15"/>
      <c r="AB25" s="15">
        <v>14.66</v>
      </c>
    </row>
    <row r="26" ht="20.05" customHeight="1">
      <c r="B26" s="13"/>
      <c r="C26" s="14">
        <v>4914.6</v>
      </c>
      <c r="D26" s="15">
        <v>-101.4</v>
      </c>
      <c r="E26" s="15">
        <v>456.5</v>
      </c>
      <c r="F26" s="15">
        <v>2005</v>
      </c>
      <c r="G26" s="15">
        <v>5906</v>
      </c>
      <c r="H26" s="15">
        <v>18446</v>
      </c>
      <c r="I26" s="15">
        <v>4532.5</v>
      </c>
      <c r="J26" s="15">
        <v>248.7</v>
      </c>
      <c r="K26" s="15">
        <v>92.90000000000001</v>
      </c>
      <c r="L26" s="15">
        <v>-25.6</v>
      </c>
      <c r="M26" s="15">
        <v>-7.3</v>
      </c>
      <c r="N26" s="15">
        <f>SUM(C23:C26)/4</f>
        <v>4401.8</v>
      </c>
      <c r="O26" s="15">
        <v>4336.37557038</v>
      </c>
      <c r="P26" s="16">
        <f>C26/C25-1</f>
        <v>0.228711435571779</v>
      </c>
      <c r="Q26" s="16">
        <f>(E26+D26)/C26</f>
        <v>0.0722541000284866</v>
      </c>
      <c r="R26" s="16">
        <f>AVERAGE(Q23:Q26)</f>
        <v>0.0506008505017739</v>
      </c>
      <c r="S26" s="35">
        <f>S27</f>
        <v>0.0722541000284866</v>
      </c>
      <c r="T26" s="25">
        <f>SUM(J23:K26)/4</f>
        <v>103.425</v>
      </c>
      <c r="U26" s="15">
        <v>161.214422192580</v>
      </c>
      <c r="V26" s="15">
        <f>-(L26+M26)+V25</f>
        <v>1939</v>
      </c>
      <c r="W26" s="15">
        <f>W27</f>
        <v>3034.5260875</v>
      </c>
      <c r="X26" s="15">
        <f>F26-G26</f>
        <v>-3901</v>
      </c>
      <c r="Y26" s="15">
        <v>-3380.799617860780</v>
      </c>
      <c r="Z26" s="15">
        <v>1245</v>
      </c>
      <c r="AA26" s="15">
        <v>1370.153811503170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5326.018489965</v>
      </c>
      <c r="P27" s="17"/>
      <c r="Q27" s="17"/>
      <c r="R27" s="17"/>
      <c r="S27" s="35">
        <f>AE53</f>
        <v>0.0722541000284866</v>
      </c>
      <c r="T27" s="25"/>
      <c r="U27" s="15">
        <f>SUM(AE55:AH55)/4</f>
        <v>317.9266727275</v>
      </c>
      <c r="V27" s="17"/>
      <c r="W27" s="15">
        <f>-SUM(AE76:AH76)+V26</f>
        <v>3034.5260875</v>
      </c>
      <c r="X27" s="26"/>
      <c r="Y27" s="15">
        <f>AH75</f>
        <v>-2629.29330909</v>
      </c>
      <c r="Z27" s="15">
        <v>1400</v>
      </c>
      <c r="AA27" s="15">
        <v>1370.153811503170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23276.025</v>
      </c>
      <c r="O28" s="15">
        <f>SUM(O21:O26)</f>
        <v>22941.2024037133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1846.980429220810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0.06830818296848309</v>
      </c>
      <c r="AF49" s="35"/>
      <c r="AG49" s="35"/>
      <c r="AH49" s="35">
        <f>AVERAGE(AE51:AH51)</f>
        <v>0.0425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0.0571854670746445</v>
      </c>
      <c r="AF50" s="35">
        <f>P24</f>
        <v>0.114264866836921</v>
      </c>
      <c r="AG50" s="35">
        <f>P25</f>
        <v>-0.126929037609412</v>
      </c>
      <c r="AH50" s="35">
        <f>P26</f>
        <v>0.228711435571779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0.06</v>
      </c>
      <c r="AF51" s="35">
        <v>0.03</v>
      </c>
      <c r="AG51" s="35">
        <v>-0.07000000000000001</v>
      </c>
      <c r="AH51" s="35">
        <v>0.15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4914.6</v>
      </c>
      <c r="AE52" s="23">
        <f>C26*(1+AE51)</f>
        <v>5209.476</v>
      </c>
      <c r="AF52" s="23">
        <f>AE52*(1+AF51)</f>
        <v>5365.76028</v>
      </c>
      <c r="AG52" s="23">
        <f>AF52*(1+AG51)</f>
        <v>4990.1570604</v>
      </c>
      <c r="AH52" s="23">
        <f>AG52*(1+AH51)</f>
        <v>5738.68061946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0.0722541000284866</v>
      </c>
      <c r="AF53" s="35">
        <f>AE53</f>
        <v>0.0722541000284866</v>
      </c>
      <c r="AG53" s="35">
        <f>AF53</f>
        <v>0.0722541000284866</v>
      </c>
      <c r="AH53" s="35">
        <f>AG53</f>
        <v>0.0722541000284866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AVERAGE(K23:K24)</f>
        <v>-66.90000000000001</v>
      </c>
      <c r="AF54" s="15">
        <f>AE54</f>
        <v>-66.90000000000001</v>
      </c>
      <c r="AG54" s="15">
        <f>AF54</f>
        <v>-66.90000000000001</v>
      </c>
      <c r="AH54" s="15">
        <f>AG54</f>
        <v>-66.90000000000001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309.506</v>
      </c>
      <c r="AF55" s="15">
        <f>(AF52*AF53)+AF54</f>
        <v>320.79818</v>
      </c>
      <c r="AG55" s="15">
        <f>(AG52*AG53)+AG54</f>
        <v>293.6593074</v>
      </c>
      <c r="AH55" s="15">
        <f>(AH52*AH53)+AH54</f>
        <v>347.74320351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-295.3</v>
      </c>
      <c r="AF56" s="15">
        <f>-AE71/20</f>
        <v>-280.535</v>
      </c>
      <c r="AG56" s="15">
        <f>-AF71/20</f>
        <v>-266.50825</v>
      </c>
      <c r="AH56" s="15">
        <f>-AG71/20</f>
        <v>-253.1828375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14.206</v>
      </c>
      <c r="AF59" s="15">
        <f>AF55+AF56+AF58</f>
        <v>40.26318</v>
      </c>
      <c r="AG59" s="15">
        <f>AG55+AG56+AG58</f>
        <v>27.1510574</v>
      </c>
      <c r="AH59" s="15">
        <f>AH55+AH56+AH58</f>
        <v>94.56036601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2005</v>
      </c>
      <c r="AF61" s="15">
        <f>AE63</f>
        <v>2019.206</v>
      </c>
      <c r="AG61" s="15">
        <f>AF63</f>
        <v>2059.46918</v>
      </c>
      <c r="AH61" s="15">
        <f>AG63</f>
        <v>2086.6202374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14.206</v>
      </c>
      <c r="AF62" s="15">
        <f>AF55+AF56+AF58+AF60</f>
        <v>40.26318</v>
      </c>
      <c r="AG62" s="15">
        <f>AG55+AG56+AG58+AG60</f>
        <v>27.1510574</v>
      </c>
      <c r="AH62" s="15">
        <f>AH55+AH56+AH58+AH60</f>
        <v>94.56036601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2019.206</v>
      </c>
      <c r="AF63" s="15">
        <f>AF61+AF62</f>
        <v>2059.46918</v>
      </c>
      <c r="AG63" s="15">
        <f>AG61+AG62</f>
        <v>2086.6202374</v>
      </c>
      <c r="AH63" s="15">
        <f>AH61+AH62</f>
        <v>2181.18060341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46.7</v>
      </c>
      <c r="AF65" s="15">
        <f>AE65</f>
        <v>46.7</v>
      </c>
      <c r="AG65" s="15">
        <f>AF65</f>
        <v>46.7</v>
      </c>
      <c r="AH65" s="15">
        <f>AG65</f>
        <v>46.7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423.106</v>
      </c>
      <c r="AF66" s="15">
        <f>(AF52*AF53)+AF65</f>
        <v>434.39818</v>
      </c>
      <c r="AG66" s="15">
        <f>(AG52*AG53)+AG65</f>
        <v>407.2593074</v>
      </c>
      <c r="AH66" s="15">
        <f>(AH52*AH53)+AH65</f>
        <v>461.34320351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16507.9</v>
      </c>
      <c r="AF68" s="15">
        <f>AE68-AF54</f>
        <v>16574.8</v>
      </c>
      <c r="AG68" s="15">
        <f>AF68-AG54</f>
        <v>16641.7</v>
      </c>
      <c r="AH68" s="15">
        <f>AG68-AH54</f>
        <v>16708.6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-46.7</v>
      </c>
      <c r="AF69" s="15">
        <f>AE69-AF65</f>
        <v>-93.40000000000001</v>
      </c>
      <c r="AG69" s="15">
        <f>AF69-AG65</f>
        <v>-140.1</v>
      </c>
      <c r="AH69" s="15">
        <f>AG69-AH65</f>
        <v>-186.8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16554.6</v>
      </c>
      <c r="AF70" s="15">
        <f>AF68-AF69</f>
        <v>16668.2</v>
      </c>
      <c r="AG70" s="15">
        <f>AG68-AG69</f>
        <v>16781.8</v>
      </c>
      <c r="AH70" s="15">
        <f>AH68-AH69</f>
        <v>16895.4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5610.7</v>
      </c>
      <c r="AF71" s="15">
        <f>AE71+AF56</f>
        <v>5330.165</v>
      </c>
      <c r="AG71" s="15">
        <f>AF71+AG56</f>
        <v>5063.65675</v>
      </c>
      <c r="AH71" s="15">
        <f>AG71+AH56</f>
        <v>4810.4739125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12963.106</v>
      </c>
      <c r="AF73" s="15">
        <f>AE73+AF66+AF58</f>
        <v>13397.50418</v>
      </c>
      <c r="AG73" s="15">
        <f>AF73+AG66+AG58</f>
        <v>13804.7634874</v>
      </c>
      <c r="AH73" s="15">
        <f>AG73+AH66+AH58</f>
        <v>14266.10669091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-3591.494</v>
      </c>
      <c r="AF75" s="15">
        <f>AF63-AF71-AF72</f>
        <v>-3270.69582</v>
      </c>
      <c r="AG75" s="15">
        <f>AG63-AG71-AG72</f>
        <v>-2977.0365126</v>
      </c>
      <c r="AH75" s="15">
        <f>AH63-AH71-AH72</f>
        <v>-2629.29330909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-295.3</v>
      </c>
      <c r="AF76" s="15">
        <f>AF56+AF58+AF60</f>
        <v>-280.535</v>
      </c>
      <c r="AG76" s="15">
        <f>AG56+AG58+AG60</f>
        <v>-266.50825</v>
      </c>
      <c r="AH76" s="15">
        <f>AH56+AH58+AH60</f>
        <v>-253.1828375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481</v>
      </c>
      <c r="AD78" s="14"/>
      <c r="AE78" s="15"/>
      <c r="AF78" s="15"/>
      <c r="AG78" s="15"/>
      <c r="AH78" s="15">
        <v>1400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481</v>
      </c>
      <c r="AD79" s="14"/>
      <c r="AE79" s="15"/>
      <c r="AF79" s="15"/>
      <c r="AG79" s="15"/>
      <c r="AH79" s="15">
        <v>6747621888000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6747.621888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4.81972992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0.353712335993477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413.7</v>
      </c>
      <c r="AH84" s="15">
        <f>SUM(AE55:AH55)</f>
        <v>1271.70669091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13.2856106842609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5.30595768366334</v>
      </c>
      <c r="AH86" s="15">
        <v>7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8901.94683637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1846.980429220810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0.319271735157721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0.263685685634208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-0.0143848701093378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481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1400</v>
      </c>
      <c r="AG94" t="s" s="44">
        <v>61</v>
      </c>
      <c r="AH94" s="15">
        <f>AH88</f>
        <v>1846.980429220810</v>
      </c>
      <c r="AI94" t="s" s="44">
        <f>IF(AJ94&gt;0,"+","")</f>
        <v>361</v>
      </c>
      <c r="AJ94" s="16">
        <f>AH94/AF94-1</f>
        <v>0.319271735157721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0.263685685634208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0.0613104893645161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0.0477501563288544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-0.578129608438427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0.228711435571779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0.100045256548057</v>
      </c>
      <c r="AF103" s="16">
        <f>P23</f>
        <v>0.0571854670746445</v>
      </c>
      <c r="AG103" s="16">
        <f>P24</f>
        <v>0.114264866836921</v>
      </c>
      <c r="AH103" s="16">
        <f>P25</f>
        <v>-0.126929037609412</v>
      </c>
      <c r="AI103" s="16">
        <f>P26</f>
        <v>0.228711435571779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3889.1</v>
      </c>
      <c r="AF104" t="s" s="44">
        <v>72</v>
      </c>
      <c r="AG104" s="15">
        <f>C23</f>
        <v>4111.5</v>
      </c>
      <c r="AH104" t="s" s="44">
        <v>72</v>
      </c>
      <c r="AI104" s="15">
        <f>C24</f>
        <v>4581.3</v>
      </c>
      <c r="AJ104" t="s" s="44">
        <v>72</v>
      </c>
      <c r="AK104" s="15">
        <f>C25</f>
        <v>3999.8</v>
      </c>
      <c r="AL104" t="s" s="44">
        <v>72</v>
      </c>
      <c r="AM104" s="15">
        <f>C26</f>
        <v>4914.6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0.228711435571779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4914.6</v>
      </c>
      <c r="AM105" t="s" s="48">
        <f>AN104</f>
        <v>22</v>
      </c>
      <c r="AN105" t="s" s="44">
        <v>77</v>
      </c>
      <c r="AO105" t="s" s="44">
        <f>IF(AP105&gt;0,"+","")</f>
      </c>
      <c r="AP105" s="16">
        <f>AH91</f>
        <v>-0.0143848701093378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0.06830818296848309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0.0425</v>
      </c>
      <c r="AG107" t="s" s="44">
        <v>82</v>
      </c>
      <c r="AH107" t="s" s="44">
        <v>83</v>
      </c>
      <c r="AI107" s="23">
        <f>AH52</f>
        <v>5738.68061946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0.0493687485536499</v>
      </c>
      <c r="AF110" s="16">
        <f>(D23+E23)/C23</f>
        <v>0.0324699014958045</v>
      </c>
      <c r="AG110" s="16">
        <f>((E24+D24)/C24)</f>
        <v>0.042651649095235</v>
      </c>
      <c r="AH110" s="16">
        <f>(D25+E25)/C25</f>
        <v>0.0550277513875694</v>
      </c>
      <c r="AI110" s="16">
        <f>(D26+E26)/C26</f>
        <v>0.0722541000284866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183.8</v>
      </c>
      <c r="AF111" t="s" s="44">
        <v>72</v>
      </c>
      <c r="AG111" s="15">
        <f>E23</f>
        <v>178</v>
      </c>
      <c r="AH111" t="s" s="44">
        <v>72</v>
      </c>
      <c r="AI111" s="15">
        <f>E24</f>
        <v>239</v>
      </c>
      <c r="AJ111" t="s" s="44">
        <v>72</v>
      </c>
      <c r="AK111" s="15">
        <f>E25</f>
        <v>215.2</v>
      </c>
      <c r="AL111" t="s" s="44">
        <v>72</v>
      </c>
      <c r="AM111" s="15">
        <f>E26</f>
        <v>456.5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0.0550277513875694</v>
      </c>
      <c r="AG112" t="s" s="44">
        <v>76</v>
      </c>
      <c r="AH112" s="16">
        <f>AI110</f>
        <v>0.0722541000284866</v>
      </c>
      <c r="AI112" t="s" s="44">
        <v>90</v>
      </c>
      <c r="AJ112" s="15">
        <f>AK111</f>
        <v>215.2</v>
      </c>
      <c r="AK112" t="s" s="44">
        <v>76</v>
      </c>
      <c r="AL112" s="15">
        <f>AM111</f>
        <v>456.5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0.0506008505017739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0.0722541000284866</v>
      </c>
      <c r="AG114" t="s" s="44">
        <v>94</v>
      </c>
      <c r="AH114" s="15">
        <f>AH66</f>
        <v>461.34320351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14.9</v>
      </c>
      <c r="AG116" s="15">
        <f>ABS(AH120)</f>
        <v>341.6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239.3</v>
      </c>
      <c r="AF118" t="s" s="44">
        <v>72</v>
      </c>
      <c r="AG118" s="15">
        <f>J23</f>
        <v>86.8</v>
      </c>
      <c r="AH118" t="s" s="44">
        <v>72</v>
      </c>
      <c r="AI118" s="15">
        <f>J24</f>
        <v>104.2</v>
      </c>
      <c r="AJ118" t="s" s="44">
        <v>72</v>
      </c>
      <c r="AK118" s="15">
        <f>J25</f>
        <v>-10.3</v>
      </c>
      <c r="AL118" t="s" s="44">
        <v>72</v>
      </c>
      <c r="AM118" s="15">
        <f>J26</f>
        <v>248.7</v>
      </c>
      <c r="AN118" t="s" s="48">
        <f>AN104</f>
        <v>22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-25</v>
      </c>
      <c r="AF119" t="s" s="44">
        <v>72</v>
      </c>
      <c r="AG119" s="15">
        <f>K23</f>
        <v>-37.2</v>
      </c>
      <c r="AH119" t="s" s="44">
        <v>72</v>
      </c>
      <c r="AI119" s="15">
        <f>K24</f>
        <v>-96.59999999999999</v>
      </c>
      <c r="AJ119" t="s" s="44">
        <v>72</v>
      </c>
      <c r="AK119" s="15">
        <f>K25</f>
        <v>25.2</v>
      </c>
      <c r="AL119" t="s" s="44">
        <v>72</v>
      </c>
      <c r="AM119" s="15">
        <f>K26</f>
        <v>92.90000000000001</v>
      </c>
      <c r="AN119" t="s" s="48">
        <f>AN118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14.9</v>
      </c>
      <c r="AG120" t="s" s="44">
        <v>76</v>
      </c>
      <c r="AH120" s="15">
        <f>AM118+AM119</f>
        <v>341.6</v>
      </c>
      <c r="AI120" t="s" s="48">
        <f>AI114</f>
        <v>22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92.90000000000001</v>
      </c>
      <c r="AN120" t="s" s="48">
        <f>AN104</f>
        <v>22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103.425</v>
      </c>
      <c r="AG121" t="s" s="48">
        <f>AN104</f>
        <v>22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-66.90000000000001</v>
      </c>
      <c r="AG122" t="s" s="48">
        <f>AG121</f>
        <v>22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317.9266727275</v>
      </c>
      <c r="AM122" t="s" s="48">
        <f>AG122</f>
        <v>22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1888</v>
      </c>
      <c r="AF125" t="s" s="44">
        <v>72</v>
      </c>
      <c r="AG125" s="15">
        <f>F23</f>
        <v>1837</v>
      </c>
      <c r="AH125" t="s" s="44">
        <v>72</v>
      </c>
      <c r="AI125" s="15">
        <f>F24</f>
        <v>1851</v>
      </c>
      <c r="AJ125" t="s" s="44">
        <v>72</v>
      </c>
      <c r="AK125" s="15">
        <f>F25</f>
        <v>1690</v>
      </c>
      <c r="AL125" t="s" s="44">
        <v>72</v>
      </c>
      <c r="AM125" s="15">
        <f>F26</f>
        <v>2005</v>
      </c>
      <c r="AN125" t="s" s="48">
        <f>AN104</f>
        <v>22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5047</v>
      </c>
      <c r="AF126" t="s" s="44">
        <v>72</v>
      </c>
      <c r="AG126" s="15">
        <f>G23</f>
        <v>5101</v>
      </c>
      <c r="AH126" t="s" s="44">
        <v>72</v>
      </c>
      <c r="AI126" s="15">
        <f>G24</f>
        <v>5642</v>
      </c>
      <c r="AJ126" t="s" s="44">
        <v>72</v>
      </c>
      <c r="AK126" s="15">
        <f>G25</f>
        <v>5488</v>
      </c>
      <c r="AL126" t="s" s="44">
        <v>72</v>
      </c>
      <c r="AM126" s="15">
        <f>G26</f>
        <v>5906</v>
      </c>
      <c r="AN126" t="s" s="48">
        <f>AN125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1690</v>
      </c>
      <c r="AH127" t="s" s="44">
        <v>76</v>
      </c>
      <c r="AI127" s="15">
        <f>AM125</f>
        <v>2005</v>
      </c>
      <c r="AJ127" t="s" s="48">
        <f>AM122</f>
        <v>22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5488</v>
      </c>
      <c r="AH128" t="s" s="44">
        <v>76</v>
      </c>
      <c r="AI128" s="15">
        <f>AM126</f>
        <v>5906</v>
      </c>
      <c r="AJ128" t="s" s="48">
        <f>AJ127</f>
        <v>22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-3798</v>
      </c>
      <c r="AO128" t="s" s="44">
        <v>76</v>
      </c>
      <c r="AP128" s="15">
        <f>AI127-AI128</f>
        <v>-3901</v>
      </c>
      <c r="AQ128" t="s" s="48">
        <f>AJ128</f>
        <v>22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22</v>
      </c>
      <c r="AH129" t="s" s="44">
        <v>117</v>
      </c>
      <c r="AI129" t="s" s="44">
        <f>IF(AJ129&gt;0,"+","")</f>
      </c>
      <c r="AJ129" s="15">
        <f>AE56+AF56+AG56+AH56+AE60+AF60+AG60+AH60</f>
        <v>-1095.5260875</v>
      </c>
      <c r="AK129" t="s" s="48">
        <f>AQ128</f>
        <v>22</v>
      </c>
      <c r="AL129" t="s" s="44">
        <v>118</v>
      </c>
      <c r="AM129" t="s" s="44">
        <v>119</v>
      </c>
      <c r="AN129" s="15">
        <f>AH75</f>
        <v>-2629.29330909</v>
      </c>
      <c r="AO129" t="s" s="48">
        <f>AJ128</f>
        <v>22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-3.8</v>
      </c>
      <c r="AF132" t="s" s="44">
        <v>72</v>
      </c>
      <c r="AG132" s="15">
        <f>-L23</f>
        <v>49</v>
      </c>
      <c r="AH132" t="s" s="44">
        <v>72</v>
      </c>
      <c r="AI132" s="15">
        <f>-L24</f>
        <v>0</v>
      </c>
      <c r="AJ132" t="s" s="44">
        <v>72</v>
      </c>
      <c r="AK132" s="15">
        <f>-L25</f>
        <v>-25</v>
      </c>
      <c r="AL132" t="s" s="44">
        <v>72</v>
      </c>
      <c r="AM132" s="15">
        <f>-L26</f>
        <v>25.6</v>
      </c>
      <c r="AN132" t="s" s="48">
        <f>AN104</f>
        <v>22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1.3</v>
      </c>
      <c r="AF133" t="s" s="44">
        <v>72</v>
      </c>
      <c r="AG133" s="15">
        <f>-M23</f>
        <v>51.7</v>
      </c>
      <c r="AH133" t="s" s="44">
        <v>72</v>
      </c>
      <c r="AI133" s="15">
        <f>-M24</f>
        <v>0</v>
      </c>
      <c r="AJ133" t="s" s="44">
        <v>72</v>
      </c>
      <c r="AK133" s="15">
        <f>-M25</f>
        <v>213.6</v>
      </c>
      <c r="AL133" t="s" s="44">
        <v>72</v>
      </c>
      <c r="AM133" s="15">
        <f>-M26</f>
        <v>7.3</v>
      </c>
      <c r="AN133" t="s" s="48">
        <f>AN132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481</v>
      </c>
      <c r="AF134" t="s" s="44">
        <f>IF(AG134&gt;0,"paid","(raised)")</f>
        <v>374</v>
      </c>
      <c r="AG134" s="15">
        <f>SUM(AM132:AM133)</f>
        <v>32.9</v>
      </c>
      <c r="AH134" t="s" s="48">
        <f>AN104</f>
        <v>22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25.6</v>
      </c>
      <c r="AM134" t="s" s="48">
        <f>AN104</f>
        <v>22</v>
      </c>
      <c r="AN134" t="s" s="44">
        <v>123</v>
      </c>
      <c r="AO134" s="15">
        <f>AM133</f>
        <v>7.3</v>
      </c>
      <c r="AP134" t="s" s="48">
        <f>AN104</f>
        <v>22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1095.5260875</v>
      </c>
      <c r="AU134" t="s" s="48">
        <f>AN104</f>
        <v>22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6747.621888</v>
      </c>
      <c r="AG135" t="s" s="48">
        <f>AN104</f>
        <v>22</v>
      </c>
      <c r="AH135" t="s" s="44">
        <v>128</v>
      </c>
      <c r="AI135" t="s" s="44">
        <v>129</v>
      </c>
      <c r="AJ135" s="43">
        <f>AH82</f>
        <v>0.353712335993477</v>
      </c>
      <c r="AK135" t="s" s="44">
        <v>130</v>
      </c>
      <c r="AL135" t="s" s="44">
        <v>131</v>
      </c>
      <c r="AM135" t="s" s="44">
        <v>132</v>
      </c>
      <c r="AN135" s="15">
        <f>AH85</f>
        <v>13.2856106842609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1271.70669091</v>
      </c>
      <c r="AG136" t="s" s="48">
        <f>AG135</f>
        <v>22</v>
      </c>
      <c r="AH136" t="s" s="44">
        <v>136</v>
      </c>
      <c r="AI136" s="15">
        <f>AF135/AF136</f>
        <v>5.30595768366334</v>
      </c>
      <c r="AJ136" t="s" s="44">
        <v>130</v>
      </c>
      <c r="AK136" t="s" s="44">
        <v>137</v>
      </c>
      <c r="AL136" t="s" s="44">
        <v>138</v>
      </c>
      <c r="AM136" s="15">
        <f>AH86</f>
        <v>7</v>
      </c>
      <c r="AN136" t="s" s="44">
        <v>139</v>
      </c>
      <c r="AO136" t="s" s="44">
        <v>140</v>
      </c>
      <c r="AP136" t="s" s="44">
        <v>141</v>
      </c>
      <c r="AQ136" s="16">
        <f>AJ94</f>
        <v>0.319271735157721</v>
      </c>
      <c r="AR136" t="s" s="44">
        <f>IF(AQ136&gt;0,"higher","lower")</f>
        <v>363</v>
      </c>
      <c r="AS136" t="s" s="44">
        <v>142</v>
      </c>
      <c r="AT136" s="15">
        <f>AH94</f>
        <v>1846.980429220810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4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28</v>
      </c>
      <c r="AD139" s="14">
        <f>AE104</f>
        <v>3889.1</v>
      </c>
      <c r="AE139" s="15">
        <f>AG104</f>
        <v>4111.5</v>
      </c>
      <c r="AF139" s="15">
        <f>AI104</f>
        <v>4581.3</v>
      </c>
      <c r="AG139" s="15">
        <f>AK104</f>
        <v>3999.8</v>
      </c>
      <c r="AH139" s="15">
        <f>AM104</f>
        <v>4914.6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144</v>
      </c>
      <c r="AD140" s="14">
        <f>SUM(AE118:AE119)</f>
        <v>214.3</v>
      </c>
      <c r="AE140" s="15">
        <f>SUM(AG118:AG119)</f>
        <v>49.6</v>
      </c>
      <c r="AF140" s="15">
        <f>SUM(AI118:AI119)</f>
        <v>7.6</v>
      </c>
      <c r="AG140" s="15">
        <f>SUM(AK118:AK119)</f>
        <v>14.9</v>
      </c>
      <c r="AH140" s="15">
        <f>SUM(AM118:AM119)</f>
        <v>341.6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145</v>
      </c>
      <c r="AD141" s="14">
        <f>SUM(AE132:AE133)</f>
        <v>-2.5</v>
      </c>
      <c r="AE141" s="15">
        <f>SUM(AG132:AG133)</f>
        <v>100.7</v>
      </c>
      <c r="AF141" s="15">
        <f>SUM(AI132:AI133)</f>
        <v>0</v>
      </c>
      <c r="AG141" s="15">
        <f>SUM(AK132:AK133)</f>
        <v>188.6</v>
      </c>
      <c r="AH141" s="15">
        <f>SUM(AM132:AM133)</f>
        <v>32.9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146</v>
      </c>
      <c r="AD142" s="14">
        <f>(AE125-AE126)</f>
        <v>-3159</v>
      </c>
      <c r="AE142" s="15">
        <f>(AG125-AG126)</f>
        <v>-3264</v>
      </c>
      <c r="AF142" s="15">
        <f>(AI125-AI126)</f>
        <v>-3791</v>
      </c>
      <c r="AG142" s="15">
        <f>(AK125-AK126)</f>
        <v>-3798</v>
      </c>
      <c r="AH142" s="15">
        <f>(AM125-AM126)</f>
        <v>-3901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5">
        <f>AT136</f>
        <v>1846.980429220810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17" customWidth="1"/>
    <col min="2" max="26" width="10.4844" style="417" customWidth="1"/>
    <col min="27" max="27" width="18.9766" style="418" customWidth="1"/>
    <col min="28" max="31" width="9" style="418" customWidth="1"/>
    <col min="32" max="45" hidden="1" width="16.3333" style="418" customWidth="1"/>
    <col min="46" max="16384" width="16.3516" style="418" customWidth="1"/>
  </cols>
  <sheetData>
    <row r="1" ht="11.65" customHeight="1"/>
    <row r="2" ht="27.65" customHeight="1">
      <c r="B2" t="s" s="2">
        <v>785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291</v>
      </c>
      <c r="Z3" t="s" s="3">
        <v>19</v>
      </c>
    </row>
    <row r="4" ht="20.25" customHeight="1">
      <c r="B4" s="6">
        <v>2017</v>
      </c>
      <c r="C4" s="7">
        <v>2343.1</v>
      </c>
      <c r="D4" s="8">
        <v>46.1</v>
      </c>
      <c r="E4" s="8">
        <v>211.7</v>
      </c>
      <c r="F4" s="8">
        <v>1777</v>
      </c>
      <c r="G4" s="8">
        <v>2179</v>
      </c>
      <c r="H4" s="8">
        <v>7099</v>
      </c>
      <c r="I4" s="8">
        <v>2171.8</v>
      </c>
      <c r="J4" s="8">
        <v>26.7</v>
      </c>
      <c r="K4" s="8">
        <v>-69.8</v>
      </c>
      <c r="L4" s="8">
        <v>27.25</v>
      </c>
      <c r="M4" s="8">
        <v>-30</v>
      </c>
      <c r="N4" s="9"/>
      <c r="O4" s="9"/>
      <c r="P4" s="55"/>
      <c r="Q4" s="55"/>
      <c r="R4" s="9"/>
      <c r="S4" s="9"/>
      <c r="T4" s="9"/>
      <c r="U4" s="8">
        <f>-(L4+M4)</f>
        <v>2.75</v>
      </c>
      <c r="V4" s="9"/>
      <c r="W4" s="8">
        <f>F4-G4</f>
        <v>-402</v>
      </c>
      <c r="X4" s="73"/>
      <c r="Y4" s="8">
        <v>1851.249023</v>
      </c>
      <c r="Z4" s="73"/>
    </row>
    <row r="5" ht="20.05" customHeight="1">
      <c r="B5" s="13"/>
      <c r="C5" s="14">
        <v>2254.6</v>
      </c>
      <c r="D5" s="15">
        <v>42</v>
      </c>
      <c r="E5" s="15">
        <v>133.4</v>
      </c>
      <c r="F5" s="15">
        <v>1890</v>
      </c>
      <c r="G5" s="15">
        <v>2561</v>
      </c>
      <c r="H5" s="15">
        <v>7388</v>
      </c>
      <c r="I5" s="15">
        <v>2179.1</v>
      </c>
      <c r="J5" s="15">
        <v>201.5</v>
      </c>
      <c r="K5" s="15">
        <v>-107.9</v>
      </c>
      <c r="L5" s="15">
        <v>27.25</v>
      </c>
      <c r="M5" s="15">
        <v>-30</v>
      </c>
      <c r="N5" s="17"/>
      <c r="O5" s="17"/>
      <c r="P5" s="16"/>
      <c r="Q5" s="16"/>
      <c r="R5" s="17"/>
      <c r="S5" s="17"/>
      <c r="T5" s="17"/>
      <c r="U5" s="15">
        <f>-(L5+M5)+U4</f>
        <v>5.5</v>
      </c>
      <c r="V5" s="17"/>
      <c r="W5" s="15">
        <f>F5-G5</f>
        <v>-671</v>
      </c>
      <c r="X5" s="24"/>
      <c r="Y5" s="15">
        <v>1774.887695</v>
      </c>
      <c r="Z5" s="24"/>
    </row>
    <row r="6" ht="20.05" customHeight="1">
      <c r="B6" s="13"/>
      <c r="C6" s="14">
        <v>2435.9</v>
      </c>
      <c r="D6" s="15">
        <v>43.2</v>
      </c>
      <c r="E6" s="15">
        <v>105.7</v>
      </c>
      <c r="F6" s="15">
        <v>0</v>
      </c>
      <c r="G6" s="15">
        <v>0</v>
      </c>
      <c r="H6" s="15">
        <v>0</v>
      </c>
      <c r="I6" s="15">
        <v>2436.1</v>
      </c>
      <c r="J6" s="15">
        <v>-11.5</v>
      </c>
      <c r="K6" s="15">
        <v>-25.6</v>
      </c>
      <c r="L6" s="15">
        <v>27.25</v>
      </c>
      <c r="M6" s="15">
        <v>-30</v>
      </c>
      <c r="N6" s="17"/>
      <c r="O6" s="17"/>
      <c r="P6" s="16"/>
      <c r="Q6" s="16"/>
      <c r="R6" s="17"/>
      <c r="S6" s="17"/>
      <c r="T6" s="17"/>
      <c r="U6" s="15">
        <f>-(L6+M6)+U5</f>
        <v>8.25</v>
      </c>
      <c r="V6" s="17"/>
      <c r="W6" s="15">
        <f>F6-G6</f>
        <v>0</v>
      </c>
      <c r="X6" s="24"/>
      <c r="Y6" s="15">
        <v>1696.921021</v>
      </c>
      <c r="Z6" s="24"/>
    </row>
    <row r="7" ht="20.05" customHeight="1">
      <c r="B7" s="13"/>
      <c r="C7" s="14">
        <v>2531.9</v>
      </c>
      <c r="D7" s="15">
        <v>56.1</v>
      </c>
      <c r="E7" s="15">
        <v>106.5</v>
      </c>
      <c r="F7" s="15">
        <v>1973</v>
      </c>
      <c r="G7" s="15">
        <v>2353</v>
      </c>
      <c r="H7" s="15">
        <v>7435</v>
      </c>
      <c r="I7" s="15">
        <v>2496.5</v>
      </c>
      <c r="J7" s="15">
        <v>319.4</v>
      </c>
      <c r="K7" s="15">
        <v>-73.3</v>
      </c>
      <c r="L7" s="15">
        <v>27.25</v>
      </c>
      <c r="M7" s="15">
        <v>-30</v>
      </c>
      <c r="N7" s="17"/>
      <c r="O7" s="17"/>
      <c r="P7" s="16"/>
      <c r="Q7" s="16"/>
      <c r="R7" s="17"/>
      <c r="S7" s="17"/>
      <c r="T7" s="17"/>
      <c r="U7" s="15">
        <f>-(L7+M7)+U6</f>
        <v>11</v>
      </c>
      <c r="V7" s="17"/>
      <c r="W7" s="15">
        <f>F7-G7</f>
        <v>-380</v>
      </c>
      <c r="X7" s="24"/>
      <c r="Y7" s="15">
        <v>1522.6427</v>
      </c>
      <c r="Z7" s="24"/>
    </row>
    <row r="8" ht="20.05" customHeight="1">
      <c r="B8" s="21">
        <v>2018</v>
      </c>
      <c r="C8" s="14">
        <v>2382.7</v>
      </c>
      <c r="D8" s="15">
        <v>51.8</v>
      </c>
      <c r="E8" s="15">
        <v>214.4</v>
      </c>
      <c r="F8" s="15">
        <v>1839</v>
      </c>
      <c r="G8" s="15">
        <v>2230</v>
      </c>
      <c r="H8" s="15">
        <v>7529</v>
      </c>
      <c r="I8" s="15">
        <v>2282.8</v>
      </c>
      <c r="J8" s="15">
        <v>-2.8</v>
      </c>
      <c r="K8" s="15">
        <v>-112.7</v>
      </c>
      <c r="L8" s="15">
        <v>40.75</v>
      </c>
      <c r="M8" s="15">
        <v>-49.5</v>
      </c>
      <c r="N8" s="15">
        <f>SUM(C5:C8)/4</f>
        <v>2401.275</v>
      </c>
      <c r="O8" s="17"/>
      <c r="P8" s="16"/>
      <c r="Q8" s="16">
        <f>(D5+D6+D7+D8+E5+E6+E7+E8-C5-C6-C7-C8)/(C5+C6+C7+C8)</f>
        <v>-0.921593736660732</v>
      </c>
      <c r="R8" s="17"/>
      <c r="S8" s="15">
        <f>SUM(J5:K8)/4</f>
        <v>46.775</v>
      </c>
      <c r="T8" s="17"/>
      <c r="U8" s="15">
        <f>-(L8+M8)+U7</f>
        <v>19.75</v>
      </c>
      <c r="V8" s="17"/>
      <c r="W8" s="15">
        <f>F8-G8</f>
        <v>-391</v>
      </c>
      <c r="X8" s="24"/>
      <c r="Y8" s="15">
        <v>1458.434814</v>
      </c>
      <c r="Z8" s="24"/>
    </row>
    <row r="9" ht="20.05" customHeight="1">
      <c r="B9" s="13"/>
      <c r="C9" s="14">
        <v>2420.8</v>
      </c>
      <c r="D9" s="15">
        <v>53.6</v>
      </c>
      <c r="E9" s="15">
        <v>135.6</v>
      </c>
      <c r="F9" s="15">
        <v>2081</v>
      </c>
      <c r="G9" s="15">
        <v>2532</v>
      </c>
      <c r="H9" s="15">
        <v>7786</v>
      </c>
      <c r="I9" s="15">
        <v>2495</v>
      </c>
      <c r="J9" s="15">
        <v>188</v>
      </c>
      <c r="K9" s="15">
        <v>-85.5</v>
      </c>
      <c r="L9" s="15">
        <v>40.75</v>
      </c>
      <c r="M9" s="15">
        <v>-49.5</v>
      </c>
      <c r="N9" s="15">
        <f>SUM(C6:C9)/4</f>
        <v>2442.825</v>
      </c>
      <c r="O9" s="17"/>
      <c r="P9" s="16">
        <f>C9/C8-1</f>
        <v>0.0159902631468502</v>
      </c>
      <c r="Q9" s="16">
        <f>(D6+D7+D8+D9+E6+E7+E8+E9-C6-C7-C8-C9)/(C6+C7+C8+C9)</f>
        <v>-0.921515049174624</v>
      </c>
      <c r="R9" s="17"/>
      <c r="S9" s="15">
        <f>SUM(J6:K9)/4</f>
        <v>49</v>
      </c>
      <c r="T9" s="17"/>
      <c r="U9" s="15">
        <f>-(L9+M9)+U8</f>
        <v>28.5</v>
      </c>
      <c r="V9" s="17"/>
      <c r="W9" s="15">
        <f>F9-G9</f>
        <v>-451</v>
      </c>
      <c r="X9" s="24"/>
      <c r="Y9" s="15">
        <v>1410.714355</v>
      </c>
      <c r="Z9" s="24"/>
    </row>
    <row r="10" ht="20.05" customHeight="1">
      <c r="B10" s="13"/>
      <c r="C10" s="14">
        <v>2618.4</v>
      </c>
      <c r="D10" s="15">
        <v>53.5</v>
      </c>
      <c r="E10" s="15">
        <v>85.59999999999999</v>
      </c>
      <c r="F10" s="15">
        <v>1710</v>
      </c>
      <c r="G10" s="15">
        <v>2297</v>
      </c>
      <c r="H10" s="15">
        <v>7640</v>
      </c>
      <c r="I10" s="15">
        <v>2509.8</v>
      </c>
      <c r="J10" s="15">
        <v>-143.6</v>
      </c>
      <c r="K10" s="15">
        <v>-124.1</v>
      </c>
      <c r="L10" s="15">
        <v>40.75</v>
      </c>
      <c r="M10" s="15">
        <v>-49.5</v>
      </c>
      <c r="N10" s="15">
        <f>SUM(C7:C10)/4</f>
        <v>2488.45</v>
      </c>
      <c r="O10" s="17"/>
      <c r="P10" s="16">
        <f>C10/C9-1</f>
        <v>0.0816259087904825</v>
      </c>
      <c r="Q10" s="16">
        <f>(D7+D8+D9+D10+E7+E8+E9+E10-C7-C8-C9-C10)/(C7+C8+C9+C10)</f>
        <v>-0.923938596314975</v>
      </c>
      <c r="R10" s="17"/>
      <c r="S10" s="15">
        <f>SUM(J7:K10)/4</f>
        <v>-8.65</v>
      </c>
      <c r="T10" s="17"/>
      <c r="U10" s="15">
        <f>-(L10+M10)+U9</f>
        <v>37.25</v>
      </c>
      <c r="V10" s="17"/>
      <c r="W10" s="15">
        <f>F10-G10</f>
        <v>-587</v>
      </c>
      <c r="X10" s="24"/>
      <c r="Y10" s="15">
        <v>1297.857178</v>
      </c>
      <c r="Z10" s="24"/>
    </row>
    <row r="11" ht="20.05" customHeight="1">
      <c r="B11" s="13"/>
      <c r="C11" s="14">
        <v>2666.2</v>
      </c>
      <c r="D11" s="15">
        <v>48.4</v>
      </c>
      <c r="E11" s="15">
        <v>104.8</v>
      </c>
      <c r="F11" s="15">
        <v>1903</v>
      </c>
      <c r="G11" s="15">
        <v>2437</v>
      </c>
      <c r="H11" s="15">
        <v>7870</v>
      </c>
      <c r="I11" s="15">
        <v>2713.8</v>
      </c>
      <c r="J11" s="15">
        <v>329.5</v>
      </c>
      <c r="K11" s="15">
        <v>-113</v>
      </c>
      <c r="L11" s="15">
        <v>40.75</v>
      </c>
      <c r="M11" s="15">
        <v>-49.5</v>
      </c>
      <c r="N11" s="15">
        <f>SUM(C8:C11)/4</f>
        <v>2522.025</v>
      </c>
      <c r="O11" s="17"/>
      <c r="P11" s="16">
        <f>C11/C10-1</f>
        <v>0.0182554231591812</v>
      </c>
      <c r="Q11" s="16">
        <f>(D8+D9+D10+D11+E8+E9+E10+E11-C8-C9-C10-C11)/(C8+C9+C10+C11)</f>
        <v>-0.925882971025267</v>
      </c>
      <c r="R11" s="17"/>
      <c r="S11" s="15">
        <f>SUM(J8:K11)/4</f>
        <v>-16.05</v>
      </c>
      <c r="T11" s="17"/>
      <c r="U11" s="15">
        <f>-(L11+M11)+U10</f>
        <v>46</v>
      </c>
      <c r="V11" s="17"/>
      <c r="W11" s="15">
        <f>F11-G11</f>
        <v>-534</v>
      </c>
      <c r="X11" s="24"/>
      <c r="Y11" s="15">
        <v>1434.226318</v>
      </c>
      <c r="Z11" s="24"/>
    </row>
    <row r="12" ht="20.05" customHeight="1">
      <c r="B12" s="21">
        <v>2019</v>
      </c>
      <c r="C12" s="14">
        <v>2704.5</v>
      </c>
      <c r="D12" s="15">
        <v>56</v>
      </c>
      <c r="E12" s="15">
        <v>219.8</v>
      </c>
      <c r="F12" s="15">
        <v>1940</v>
      </c>
      <c r="G12" s="15">
        <v>2446</v>
      </c>
      <c r="H12" s="15">
        <v>8100</v>
      </c>
      <c r="I12" s="15">
        <v>2625.2</v>
      </c>
      <c r="J12" s="15">
        <v>48.3</v>
      </c>
      <c r="K12" s="15">
        <v>-61.7</v>
      </c>
      <c r="L12" s="15">
        <v>25.75</v>
      </c>
      <c r="M12" s="15">
        <v>-52.5</v>
      </c>
      <c r="N12" s="15">
        <f>SUM(C9:C12)/4</f>
        <v>2602.475</v>
      </c>
      <c r="O12" s="17"/>
      <c r="P12" s="16">
        <f>C12/C11-1</f>
        <v>0.0143650138774285</v>
      </c>
      <c r="Q12" s="16">
        <f>(D9+D10+D11+D12+E9+E10+E11+E12-C9-C10-C11-C12)/(C9+C10+C11+C12)</f>
        <v>-0.927251942862083</v>
      </c>
      <c r="R12" s="17"/>
      <c r="S12" s="15">
        <f>SUM(J9:K12)/4</f>
        <v>9.475</v>
      </c>
      <c r="T12" s="17"/>
      <c r="U12" s="15">
        <f>-(L12+M12)+U11</f>
        <v>72.75</v>
      </c>
      <c r="V12" s="17"/>
      <c r="W12" s="15">
        <f>F12-G12</f>
        <v>-506</v>
      </c>
      <c r="X12" s="24"/>
      <c r="Y12" s="15">
        <v>1636.428589</v>
      </c>
      <c r="Z12" s="24"/>
    </row>
    <row r="13" ht="20.05" customHeight="1">
      <c r="B13" s="13"/>
      <c r="C13" s="14">
        <v>2656</v>
      </c>
      <c r="D13" s="15">
        <v>56.7</v>
      </c>
      <c r="E13" s="15">
        <v>128.4</v>
      </c>
      <c r="F13" s="15">
        <v>1925</v>
      </c>
      <c r="G13" s="15">
        <v>2461</v>
      </c>
      <c r="H13" s="15">
        <v>8065</v>
      </c>
      <c r="I13" s="15">
        <v>2755.9</v>
      </c>
      <c r="J13" s="15">
        <v>156.4</v>
      </c>
      <c r="K13" s="15">
        <v>-93.2</v>
      </c>
      <c r="L13" s="15">
        <v>25.75</v>
      </c>
      <c r="M13" s="15">
        <v>-52.5</v>
      </c>
      <c r="N13" s="15">
        <f>SUM(C10:C13)/4</f>
        <v>2661.275</v>
      </c>
      <c r="O13" s="17"/>
      <c r="P13" s="16">
        <f>C13/C12-1</f>
        <v>-0.0179330745054539</v>
      </c>
      <c r="Q13" s="16">
        <f>(D10+D11+D12+D13+E10+E11+E12+E13-C10-C11-C12-C13)/(C10+C11+C12+C13)</f>
        <v>-0.929244441104358</v>
      </c>
      <c r="R13" s="17"/>
      <c r="S13" s="15">
        <f>SUM(J10:K13)/4</f>
        <v>-0.35</v>
      </c>
      <c r="T13" s="17"/>
      <c r="U13" s="15">
        <f>-(L13+M13)+U12</f>
        <v>99.5</v>
      </c>
      <c r="V13" s="17"/>
      <c r="W13" s="15">
        <f>F13-G13</f>
        <v>-536</v>
      </c>
      <c r="X13" s="24"/>
      <c r="Y13" s="15">
        <v>1513.928589</v>
      </c>
      <c r="Z13" s="24"/>
    </row>
    <row r="14" ht="20.05" customHeight="1">
      <c r="B14" s="13"/>
      <c r="C14" s="14">
        <v>2811.5</v>
      </c>
      <c r="D14" s="15">
        <v>55.8</v>
      </c>
      <c r="E14" s="15">
        <v>93.40000000000001</v>
      </c>
      <c r="F14" s="15">
        <v>1889</v>
      </c>
      <c r="G14" s="15">
        <v>2287</v>
      </c>
      <c r="H14" s="15">
        <v>7985</v>
      </c>
      <c r="I14" s="15">
        <v>2750.3</v>
      </c>
      <c r="J14" s="15">
        <v>66.7</v>
      </c>
      <c r="K14" s="15">
        <v>-79.5</v>
      </c>
      <c r="L14" s="15">
        <v>25.75</v>
      </c>
      <c r="M14" s="15">
        <v>-52.5</v>
      </c>
      <c r="N14" s="15">
        <f>SUM(C11:C14)/4</f>
        <v>2709.55</v>
      </c>
      <c r="O14" s="17"/>
      <c r="P14" s="16">
        <f>C14/C13-1</f>
        <v>0.058546686746988</v>
      </c>
      <c r="Q14" s="16">
        <f>(D11+D12+D13+D14+E11+E12+E13+E14-C11-C12-C13-C14)/(C11+C12+C13+C14)</f>
        <v>-0.929573176357698</v>
      </c>
      <c r="R14" s="17"/>
      <c r="S14" s="15">
        <f>SUM(J11:K14)/4</f>
        <v>63.375</v>
      </c>
      <c r="T14" s="17"/>
      <c r="U14" s="15">
        <f>-(L14+M14)+U13</f>
        <v>126.25</v>
      </c>
      <c r="V14" s="17"/>
      <c r="W14" s="15">
        <f>F14-G14</f>
        <v>-398</v>
      </c>
      <c r="X14" s="24"/>
      <c r="Y14" s="15">
        <v>1364.464355</v>
      </c>
      <c r="Z14" s="24"/>
    </row>
    <row r="15" ht="20.05" customHeight="1">
      <c r="B15" s="13"/>
      <c r="C15" s="14">
        <v>2821.8</v>
      </c>
      <c r="D15" s="15">
        <v>69.8</v>
      </c>
      <c r="E15" s="15">
        <v>153.6</v>
      </c>
      <c r="F15" s="15">
        <v>2254</v>
      </c>
      <c r="G15" s="15">
        <v>2582</v>
      </c>
      <c r="H15" s="15">
        <v>8373</v>
      </c>
      <c r="I15" s="15">
        <v>2874.8</v>
      </c>
      <c r="J15" s="15">
        <v>583.9</v>
      </c>
      <c r="K15" s="15">
        <v>-131</v>
      </c>
      <c r="L15" s="15">
        <v>25.75</v>
      </c>
      <c r="M15" s="15">
        <v>-52.5</v>
      </c>
      <c r="N15" s="15">
        <f>SUM(C12:C15)/4</f>
        <v>2748.45</v>
      </c>
      <c r="O15" s="17"/>
      <c r="P15" s="16">
        <f>C15/C14-1</f>
        <v>0.00366352480882091</v>
      </c>
      <c r="Q15" s="16">
        <f>(D12+D13+D14+D15+E12+E13+E14+E15-C12-C13-C14-C15)/(C12+C13+C14+C15)</f>
        <v>-0.924184540377304</v>
      </c>
      <c r="R15" s="17"/>
      <c r="S15" s="15">
        <f>SUM(J12:K15)/4</f>
        <v>122.475</v>
      </c>
      <c r="T15" s="17"/>
      <c r="U15" s="15">
        <f>-(L15+M15)+U14</f>
        <v>153</v>
      </c>
      <c r="V15" s="17"/>
      <c r="W15" s="15">
        <f>F15-G15</f>
        <v>-328</v>
      </c>
      <c r="X15" s="24"/>
      <c r="Y15" s="15">
        <v>1248.75</v>
      </c>
      <c r="Z15" s="24"/>
    </row>
    <row r="16" ht="20.05" customHeight="1">
      <c r="B16" s="21">
        <v>2020</v>
      </c>
      <c r="C16" s="14">
        <v>2765.4</v>
      </c>
      <c r="D16" s="15">
        <v>59.7</v>
      </c>
      <c r="E16" s="15">
        <v>307.3</v>
      </c>
      <c r="F16" s="15">
        <v>2377</v>
      </c>
      <c r="G16" s="15">
        <v>2781</v>
      </c>
      <c r="H16" s="15">
        <v>8884</v>
      </c>
      <c r="I16" s="15">
        <v>2740.3</v>
      </c>
      <c r="J16" s="15">
        <v>125.5</v>
      </c>
      <c r="K16" s="15">
        <v>-105.5</v>
      </c>
      <c r="L16" s="15">
        <v>-17.2</v>
      </c>
      <c r="M16" s="15">
        <v>0</v>
      </c>
      <c r="N16" s="15">
        <f>SUM(C13:C16)/4</f>
        <v>2763.675</v>
      </c>
      <c r="O16" s="15"/>
      <c r="P16" s="16">
        <f>C16/C15-1</f>
        <v>-0.0199872421858388</v>
      </c>
      <c r="Q16" s="16">
        <f>(D13+D14+D15+D16+E13+E14+E15+E16-C13-C14-C15-C16)/(C13+C14+C15+C16)</f>
        <v>-0.916352320732358</v>
      </c>
      <c r="R16" s="17"/>
      <c r="S16" s="15">
        <f>SUM(J13:K16)/4</f>
        <v>130.825</v>
      </c>
      <c r="T16" s="17"/>
      <c r="U16" s="15">
        <f>-(L16+M16)+U15</f>
        <v>170.2</v>
      </c>
      <c r="V16" s="17"/>
      <c r="W16" s="15">
        <f>F16-G16</f>
        <v>-404</v>
      </c>
      <c r="X16" s="24"/>
      <c r="Y16" s="15">
        <v>930.535706</v>
      </c>
      <c r="Z16" s="24"/>
    </row>
    <row r="17" ht="20.05" customHeight="1">
      <c r="B17" s="13"/>
      <c r="C17" s="14">
        <v>2589.4</v>
      </c>
      <c r="D17" s="15">
        <v>84.90000000000001</v>
      </c>
      <c r="E17" s="15">
        <v>94.40000000000001</v>
      </c>
      <c r="F17" s="15">
        <v>2431</v>
      </c>
      <c r="G17" s="15">
        <v>2802</v>
      </c>
      <c r="H17" s="15">
        <v>8757</v>
      </c>
      <c r="I17" s="15">
        <v>2942.2</v>
      </c>
      <c r="J17" s="15">
        <v>216.2</v>
      </c>
      <c r="K17" s="15">
        <v>-100.3</v>
      </c>
      <c r="L17" s="15">
        <v>51.6</v>
      </c>
      <c r="M17" s="15">
        <v>-15</v>
      </c>
      <c r="N17" s="15">
        <f>SUM(C14:C17)/4</f>
        <v>2747.025</v>
      </c>
      <c r="O17" s="15"/>
      <c r="P17" s="16">
        <f>C17/C16-1</f>
        <v>-0.0636435958631663</v>
      </c>
      <c r="Q17" s="16">
        <f>(D14+D15+D16+D17+E14+E15+E16+E17-C14-C15-C16-C17)/(C14+C15+C16+C17)</f>
        <v>-0.9163731673355719</v>
      </c>
      <c r="R17" s="17"/>
      <c r="S17" s="15">
        <f>SUM(J14:K17)/4</f>
        <v>144</v>
      </c>
      <c r="T17" s="17"/>
      <c r="U17" s="15">
        <f>-(L17+M17)+U16</f>
        <v>133.6</v>
      </c>
      <c r="V17" s="17"/>
      <c r="W17" s="15">
        <f>F17-G17</f>
        <v>-371</v>
      </c>
      <c r="X17" s="24"/>
      <c r="Y17" s="15">
        <v>1340.357178</v>
      </c>
      <c r="Z17" s="24"/>
    </row>
    <row r="18" ht="20.05" customHeight="1">
      <c r="B18" s="13"/>
      <c r="C18" s="14">
        <v>2736.8</v>
      </c>
      <c r="D18" s="15">
        <v>68.09999999999999</v>
      </c>
      <c r="E18" s="15">
        <v>132.9</v>
      </c>
      <c r="F18" s="15">
        <v>2349</v>
      </c>
      <c r="G18" s="15">
        <v>2806</v>
      </c>
      <c r="H18" s="15">
        <v>8897</v>
      </c>
      <c r="I18" s="15">
        <v>2801.3</v>
      </c>
      <c r="J18" s="15">
        <v>191.2</v>
      </c>
      <c r="K18" s="15">
        <v>-86.09999999999999</v>
      </c>
      <c r="L18" s="15">
        <v>8.6</v>
      </c>
      <c r="M18" s="15">
        <v>-225</v>
      </c>
      <c r="N18" s="15">
        <f>SUM(C15:C18)/4</f>
        <v>2728.35</v>
      </c>
      <c r="O18" s="15"/>
      <c r="P18" s="16">
        <f>C18/C17-1</f>
        <v>0.0569243840271878</v>
      </c>
      <c r="Q18" s="16">
        <f>(D15+D16+D17+D18+E15+E16+E17+E18-C15-C16-C17-C18)/(C15+C16+C17+C18)</f>
        <v>-0.911054300218081</v>
      </c>
      <c r="R18" s="17"/>
      <c r="S18" s="15">
        <f>SUM(J15:K18)/4</f>
        <v>173.475</v>
      </c>
      <c r="T18" s="17"/>
      <c r="U18" s="15">
        <f>-(L18+M18)+U17</f>
        <v>350</v>
      </c>
      <c r="V18" s="17"/>
      <c r="W18" s="15">
        <f>F18-G18</f>
        <v>-457</v>
      </c>
      <c r="X18" s="24"/>
      <c r="Y18" s="15">
        <v>1280</v>
      </c>
      <c r="Z18" s="24"/>
    </row>
    <row r="19" ht="20.05" customHeight="1">
      <c r="B19" s="13"/>
      <c r="C19" s="14">
        <v>2876.8</v>
      </c>
      <c r="D19" s="15">
        <v>55.7</v>
      </c>
      <c r="E19" s="15">
        <v>299.76</v>
      </c>
      <c r="F19" s="15">
        <v>2645.9</v>
      </c>
      <c r="G19" s="15">
        <v>2727.4</v>
      </c>
      <c r="H19" s="15">
        <v>9104.6</v>
      </c>
      <c r="I19" s="15">
        <v>3421.6</v>
      </c>
      <c r="J19" s="15">
        <v>383.89</v>
      </c>
      <c r="K19" s="15">
        <v>-96.66</v>
      </c>
      <c r="L19" s="15">
        <v>65.90000000000001</v>
      </c>
      <c r="M19" s="15">
        <v>-15</v>
      </c>
      <c r="N19" s="15">
        <f>SUM(C16:C19)/4</f>
        <v>2742.1</v>
      </c>
      <c r="O19" s="15"/>
      <c r="P19" s="16">
        <f>C19/C18-1</f>
        <v>0.0511546331482023</v>
      </c>
      <c r="Q19" s="16">
        <f>(D16+D17+D18+D19+E16+E17+E18+E19-C16-C17-C18-C19)/(C16+C17+C18+C19)</f>
        <v>-0.899460267678057</v>
      </c>
      <c r="R19" s="17"/>
      <c r="S19" s="15">
        <f>SUM(J16:K19)/4</f>
        <v>132.0575</v>
      </c>
      <c r="T19" s="17"/>
      <c r="U19" s="15">
        <f>-(L19+M19)+U18</f>
        <v>299.1</v>
      </c>
      <c r="V19" s="17"/>
      <c r="W19" s="15">
        <f>F19-G19</f>
        <v>-81.5</v>
      </c>
      <c r="X19" s="24"/>
      <c r="Y19" s="15">
        <v>1400</v>
      </c>
      <c r="Z19" s="24"/>
    </row>
    <row r="20" ht="20.05" customHeight="1">
      <c r="B20" s="21">
        <v>2021</v>
      </c>
      <c r="C20" s="14">
        <v>2743.6</v>
      </c>
      <c r="D20" s="15">
        <v>69.90000000000001</v>
      </c>
      <c r="E20" s="15">
        <v>312</v>
      </c>
      <c r="F20" s="15">
        <v>2677</v>
      </c>
      <c r="G20" s="15">
        <v>3027</v>
      </c>
      <c r="H20" s="15">
        <v>9716</v>
      </c>
      <c r="I20" s="15">
        <v>3001.9</v>
      </c>
      <c r="J20" s="15">
        <v>161</v>
      </c>
      <c r="K20" s="15">
        <v>-149.2</v>
      </c>
      <c r="L20" s="15">
        <v>-8.699999999999999</v>
      </c>
      <c r="M20" s="15">
        <v>0</v>
      </c>
      <c r="N20" s="15">
        <f>SUM(C17:C20)/4</f>
        <v>2736.65</v>
      </c>
      <c r="O20" s="15">
        <v>2847.852</v>
      </c>
      <c r="P20" s="16">
        <f>C20/C19-1</f>
        <v>-0.046301446051168</v>
      </c>
      <c r="Q20" s="16">
        <f>(D17+D18+D19+D20+E17+E18+E19+E20-C17-C18-C19-C20)/(C17+C18+C19+C20)</f>
        <v>-0.897898890979848</v>
      </c>
      <c r="R20" s="17"/>
      <c r="S20" s="15">
        <f>SUM(J17:K20)/4</f>
        <v>130.0075</v>
      </c>
      <c r="T20" s="17"/>
      <c r="U20" s="15">
        <f>-(L20+M20)+U19</f>
        <v>307.8</v>
      </c>
      <c r="V20" s="17"/>
      <c r="W20" s="15">
        <f>F20-G20</f>
        <v>-350</v>
      </c>
      <c r="X20" s="15"/>
      <c r="Y20" s="15">
        <v>1480</v>
      </c>
      <c r="Z20" s="15"/>
    </row>
    <row r="21" ht="20.05" customHeight="1">
      <c r="B21" s="13"/>
      <c r="C21" s="14">
        <v>2741.5</v>
      </c>
      <c r="D21" s="15">
        <v>70.3</v>
      </c>
      <c r="E21" s="15">
        <v>131.6</v>
      </c>
      <c r="F21" s="15">
        <v>2722</v>
      </c>
      <c r="G21" s="15">
        <v>3063</v>
      </c>
      <c r="H21" s="15">
        <v>9613</v>
      </c>
      <c r="I21" s="15">
        <v>2483.2</v>
      </c>
      <c r="J21" s="15">
        <v>-43.2</v>
      </c>
      <c r="K21" s="15">
        <v>-96.7</v>
      </c>
      <c r="L21" s="15">
        <v>193.4</v>
      </c>
      <c r="M21" s="15">
        <v>-3.6</v>
      </c>
      <c r="N21" s="15">
        <f>SUM(C18:C21)/4</f>
        <v>2774.675</v>
      </c>
      <c r="O21" s="15">
        <v>2831.392</v>
      </c>
      <c r="P21" s="16">
        <f>C21/C20-1</f>
        <v>-0.000765417699373086</v>
      </c>
      <c r="Q21" s="16">
        <f>(D18+D19+D20+D21+E18+E19+E20+E21-C18-C19-C20-C21)/(C18+C19+C20+C21)</f>
        <v>-0.89726184147693</v>
      </c>
      <c r="R21" s="17"/>
      <c r="S21" s="15">
        <f>SUM(J18:K21)/4</f>
        <v>66.0575</v>
      </c>
      <c r="T21" s="17"/>
      <c r="U21" s="15">
        <f>-(L21+M21)+U20</f>
        <v>118</v>
      </c>
      <c r="V21" s="17"/>
      <c r="W21" s="15">
        <f>F21-G21</f>
        <v>-341</v>
      </c>
      <c r="X21" s="15"/>
      <c r="Y21" s="15">
        <v>1470</v>
      </c>
      <c r="Z21" s="15"/>
    </row>
    <row r="22" ht="20.05" customHeight="1">
      <c r="B22" s="13"/>
      <c r="C22" s="14">
        <v>2859.9</v>
      </c>
      <c r="D22" s="15">
        <v>71.59999999999999</v>
      </c>
      <c r="E22" s="15">
        <v>144.9</v>
      </c>
      <c r="F22" s="15">
        <v>2689</v>
      </c>
      <c r="G22" s="15">
        <v>2924</v>
      </c>
      <c r="H22" s="15">
        <v>9616</v>
      </c>
      <c r="I22" s="15">
        <v>3722.7</v>
      </c>
      <c r="J22" s="15">
        <v>339.1</v>
      </c>
      <c r="K22" s="15">
        <v>-54.9</v>
      </c>
      <c r="L22" s="15">
        <v>-35</v>
      </c>
      <c r="M22" s="15">
        <v>-269.9</v>
      </c>
      <c r="N22" s="15">
        <f>SUM(C19:C22)/4</f>
        <v>2805.45</v>
      </c>
      <c r="O22" s="15">
        <v>2822.6265</v>
      </c>
      <c r="P22" s="16">
        <f>C22/C21-1</f>
        <v>0.0431880357468539</v>
      </c>
      <c r="Q22" s="16">
        <f>(D19+D20+D21+D22+E19+E20+E21+E22-C19-C20-C21-C22)/(C19+C20+C21+C22)</f>
        <v>-0.897007610187314</v>
      </c>
      <c r="R22" s="17"/>
      <c r="S22" s="15">
        <f>SUM(J19:K22)/4</f>
        <v>110.8325</v>
      </c>
      <c r="T22" s="17"/>
      <c r="U22" s="15">
        <f>-(L22+M22)+U21</f>
        <v>422.9</v>
      </c>
      <c r="V22" s="17"/>
      <c r="W22" s="15">
        <f>F22-G22</f>
        <v>-235</v>
      </c>
      <c r="X22" s="15"/>
      <c r="Y22" s="15">
        <v>1430</v>
      </c>
      <c r="Z22" s="15"/>
    </row>
    <row r="23" ht="20.05" customHeight="1">
      <c r="B23" s="13"/>
      <c r="C23" s="14">
        <v>2889.4</v>
      </c>
      <c r="D23" s="15">
        <v>71.8</v>
      </c>
      <c r="E23" s="15">
        <v>289.3</v>
      </c>
      <c r="F23" s="15">
        <v>2688</v>
      </c>
      <c r="G23" s="15">
        <v>2769</v>
      </c>
      <c r="H23" s="15">
        <v>9644</v>
      </c>
      <c r="I23" s="15">
        <v>3140.8</v>
      </c>
      <c r="J23" s="15">
        <v>157.2</v>
      </c>
      <c r="K23" s="15">
        <v>-71.8</v>
      </c>
      <c r="L23" s="15">
        <v>-12.8</v>
      </c>
      <c r="M23" s="15">
        <v>-105.2</v>
      </c>
      <c r="N23" s="15">
        <f>SUM(C20:C23)/4</f>
        <v>2808.6</v>
      </c>
      <c r="O23" s="15">
        <v>2868.62425</v>
      </c>
      <c r="P23" s="16">
        <f>C23/C22-1</f>
        <v>0.0103150459806287</v>
      </c>
      <c r="Q23" s="16">
        <f>(D20+D21+D22+D23+E20+E21+E22+E23-C20-C21-C22-C23)/(C20+C21+C22+C23)</f>
        <v>-0.896621092359183</v>
      </c>
      <c r="R23" s="17"/>
      <c r="S23" s="15">
        <f>SUM(J20:K23)/4</f>
        <v>60.375</v>
      </c>
      <c r="T23" s="17"/>
      <c r="U23" s="15">
        <f>-(L23+M23)+U22</f>
        <v>540.9</v>
      </c>
      <c r="V23" s="17"/>
      <c r="W23" s="15">
        <f>F23-G23</f>
        <v>-81</v>
      </c>
      <c r="X23" s="15"/>
      <c r="Y23" s="15">
        <v>1500</v>
      </c>
      <c r="Z23" s="15"/>
    </row>
    <row r="24" ht="20.05" customHeight="1">
      <c r="B24" s="21">
        <v>2022</v>
      </c>
      <c r="C24" s="14">
        <v>2972.4</v>
      </c>
      <c r="D24" s="15">
        <v>73.90000000000001</v>
      </c>
      <c r="E24" s="15">
        <v>291.1</v>
      </c>
      <c r="F24" s="15">
        <v>2793</v>
      </c>
      <c r="G24" s="15">
        <v>3226</v>
      </c>
      <c r="H24" s="15">
        <v>10391</v>
      </c>
      <c r="I24" s="15">
        <v>3122</v>
      </c>
      <c r="J24" s="15">
        <v>169.1</v>
      </c>
      <c r="K24" s="15">
        <v>-174</v>
      </c>
      <c r="L24" s="15">
        <v>105</v>
      </c>
      <c r="M24" s="15">
        <v>0</v>
      </c>
      <c r="N24" s="15">
        <f>SUM(C21:C24)/4</f>
        <v>2865.8</v>
      </c>
      <c r="O24" s="15">
        <v>2864.55075</v>
      </c>
      <c r="P24" s="16">
        <f>C24/C23-1</f>
        <v>0.0287256869938396</v>
      </c>
      <c r="Q24" s="16">
        <f>(D21+D22+D23+D24+E21+E22+E23+E24-C21-C22-C23-C24)/(C21+C22+C23+C24)</f>
        <v>-0.900158768930142</v>
      </c>
      <c r="R24" s="16">
        <v>-0.900720450375893</v>
      </c>
      <c r="S24" s="15">
        <f>SUM(J21:K24)/4</f>
        <v>56.2</v>
      </c>
      <c r="T24" s="15">
        <v>136.662186266190</v>
      </c>
      <c r="U24" s="15">
        <f>-(L24+M24)+U23</f>
        <v>435.9</v>
      </c>
      <c r="V24" s="15"/>
      <c r="W24" s="15">
        <f>F24-G24</f>
        <v>-433</v>
      </c>
      <c r="X24" s="15">
        <v>416.576484093156</v>
      </c>
      <c r="Y24" s="15">
        <v>1475</v>
      </c>
      <c r="Z24" s="140">
        <v>2070.842106973140</v>
      </c>
    </row>
    <row r="25" ht="20.05" customHeight="1">
      <c r="B25" s="13"/>
      <c r="C25" s="14">
        <v>2969</v>
      </c>
      <c r="D25" s="15">
        <v>74</v>
      </c>
      <c r="E25" s="15">
        <v>110.8</v>
      </c>
      <c r="F25" s="15">
        <v>2789</v>
      </c>
      <c r="G25" s="15">
        <v>3591</v>
      </c>
      <c r="H25" s="15">
        <v>10615</v>
      </c>
      <c r="I25" s="15">
        <v>3218.5</v>
      </c>
      <c r="J25" s="15">
        <v>18.3</v>
      </c>
      <c r="K25" s="15">
        <v>-239.1</v>
      </c>
      <c r="L25" s="15">
        <v>295.5</v>
      </c>
      <c r="M25" s="15">
        <v>-113.9</v>
      </c>
      <c r="N25" s="15">
        <f>SUM(C22:C25)/4</f>
        <v>2922.675</v>
      </c>
      <c r="O25" s="15">
        <v>2922.89475</v>
      </c>
      <c r="P25" s="16">
        <f>C25/C24-1</f>
        <v>-0.00114385681604091</v>
      </c>
      <c r="Q25" s="16">
        <f>(D22+D23+D24+D25+E22+E23+E24+E25-C22-C23-C24-C25)/(C22+C23+C24+C25)</f>
        <v>-0.903564371680053</v>
      </c>
      <c r="R25" s="16">
        <v>-0.903571109079266</v>
      </c>
      <c r="S25" s="15">
        <f>SUM(J22:K25)/4</f>
        <v>35.975</v>
      </c>
      <c r="T25" s="15">
        <v>136.662186266190</v>
      </c>
      <c r="U25" s="15">
        <f>-(L25+M25)+U24</f>
        <v>254.3</v>
      </c>
      <c r="V25" s="15"/>
      <c r="W25" s="15">
        <f>F25-G25</f>
        <v>-802</v>
      </c>
      <c r="X25" s="15">
        <v>416.576484093156</v>
      </c>
      <c r="Y25" s="15">
        <v>1400</v>
      </c>
      <c r="Z25" s="140">
        <v>2515.136280228370</v>
      </c>
    </row>
    <row r="26" ht="20.05" customHeight="1">
      <c r="B26" s="13"/>
      <c r="C26" s="14">
        <v>3148.5</v>
      </c>
      <c r="D26" s="15">
        <v>74.3</v>
      </c>
      <c r="E26" s="15">
        <v>166</v>
      </c>
      <c r="F26" s="15">
        <v>2729</v>
      </c>
      <c r="G26" s="15">
        <v>3427</v>
      </c>
      <c r="H26" s="15">
        <v>10608</v>
      </c>
      <c r="I26" s="15">
        <v>3447.8</v>
      </c>
      <c r="J26" s="15">
        <v>94.7</v>
      </c>
      <c r="K26" s="15">
        <v>-105.6</v>
      </c>
      <c r="L26" s="15">
        <v>65.5</v>
      </c>
      <c r="M26" s="15">
        <v>-144.1</v>
      </c>
      <c r="N26" s="15">
        <f>SUM(C23:C26)/4</f>
        <v>2994.825</v>
      </c>
      <c r="O26" s="15">
        <v>2981.77425</v>
      </c>
      <c r="P26" s="16">
        <f>C26/C25-1</f>
        <v>0.0604580666891209</v>
      </c>
      <c r="Q26" s="16">
        <f>(D23+D24+D25+D26+E23+E24+E25+E26-C23-C24-C25-C26)/(C23+C24+C25+C26)</f>
        <v>-0.903900895711769</v>
      </c>
      <c r="R26" s="16">
        <v>-0.900720450375893</v>
      </c>
      <c r="S26" s="15">
        <f>SUM(J23:K26)/4</f>
        <v>-37.8</v>
      </c>
      <c r="T26" s="15">
        <v>161.868972592853</v>
      </c>
      <c r="U26" s="15">
        <f>-(L26+M26)+U25</f>
        <v>332.9</v>
      </c>
      <c r="V26" s="15">
        <f>U26</f>
        <v>332.9</v>
      </c>
      <c r="W26" s="15">
        <f>F26-G26</f>
        <v>-698</v>
      </c>
      <c r="X26" s="15">
        <v>32.813123259987</v>
      </c>
      <c r="Y26" s="15">
        <v>1360</v>
      </c>
      <c r="Z26" s="140">
        <v>2153.534411298060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AVERAGE(AB41:AE41)</f>
        <v>3275.69297706</v>
      </c>
      <c r="P27" s="17"/>
      <c r="Q27" s="17"/>
      <c r="R27" s="35">
        <f>AB42</f>
        <v>-0.903900895711769</v>
      </c>
      <c r="S27" s="17"/>
      <c r="T27" s="15">
        <f>SUM(AB45:AE45)/4</f>
        <v>209.191161018718</v>
      </c>
      <c r="U27" s="17"/>
      <c r="V27" s="15">
        <f>-SUM(AB66:AE66)+U26</f>
        <v>1161.166676731640</v>
      </c>
      <c r="W27" s="17"/>
      <c r="X27" s="15">
        <f>AE65</f>
        <v>-53.814951406770</v>
      </c>
      <c r="Y27" s="15">
        <v>1395</v>
      </c>
      <c r="Z27" s="140">
        <v>2515.136280228370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SUM(N25:N26)</f>
        <v>5917.5</v>
      </c>
      <c r="O28" s="15">
        <f>SUM(O25:O26)</f>
        <v>5904.669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AE78</f>
        <v>2226.493967692440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20.05" customHeight="1">
      <c r="B30" t="s" s="56">
        <v>477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6" ht="27.65" customHeight="1">
      <c r="AA36" t="s" s="2">
        <v>291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20.25" customHeight="1">
      <c r="AA37" t="s" s="28">
        <v>366</v>
      </c>
      <c r="AB37" t="s" s="29">
        <v>24</v>
      </c>
      <c r="AC37" t="s" s="29">
        <v>25</v>
      </c>
      <c r="AD37" t="s" s="29">
        <v>26</v>
      </c>
      <c r="AE37" t="s" s="29">
        <v>23</v>
      </c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</row>
    <row r="38" ht="20.25" customHeight="1">
      <c r="AA38" t="s" s="31">
        <v>15</v>
      </c>
      <c r="AB38" s="32"/>
      <c r="AC38" s="9"/>
      <c r="AD38" s="9"/>
      <c r="AE38" s="9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</row>
    <row r="39" ht="20.05" customHeight="1">
      <c r="AA39" t="s" s="33">
        <v>27</v>
      </c>
      <c r="AB39" s="71">
        <f>AVERAGE(P23:P26)</f>
        <v>0.0245887357118871</v>
      </c>
      <c r="AC39" s="35"/>
      <c r="AD39" s="35"/>
      <c r="AE39" s="35">
        <f>AVERAGE(AB40:AE40)</f>
        <v>0.0175</v>
      </c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ht="20.05" customHeight="1">
      <c r="AA40" t="s" s="33">
        <v>13</v>
      </c>
      <c r="AB40" s="37">
        <v>0.02</v>
      </c>
      <c r="AC40" s="35">
        <v>0.02</v>
      </c>
      <c r="AD40" s="35">
        <v>-0.01</v>
      </c>
      <c r="AE40" s="35">
        <v>0.04</v>
      </c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ht="20.05" customHeight="1">
      <c r="AA41" t="s" s="33">
        <v>28</v>
      </c>
      <c r="AB41" s="38">
        <f>C26*(1+AB40)</f>
        <v>3211.47</v>
      </c>
      <c r="AC41" s="23">
        <f>AB41*(1+AC40)</f>
        <v>3275.6994</v>
      </c>
      <c r="AD41" s="23">
        <f>AC41*(1+AD40)</f>
        <v>3242.942406</v>
      </c>
      <c r="AE41" s="23">
        <f>AD41*(1+AE40)</f>
        <v>3372.66010224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ht="20.05" customHeight="1">
      <c r="AA42" t="s" s="33">
        <v>570</v>
      </c>
      <c r="AB42" s="37">
        <f>AVERAGE(Q26)</f>
        <v>-0.903900895711769</v>
      </c>
      <c r="AC42" s="35">
        <f>AB42</f>
        <v>-0.903900895711769</v>
      </c>
      <c r="AD42" s="35">
        <f>AC42</f>
        <v>-0.903900895711769</v>
      </c>
      <c r="AE42" s="35">
        <f>AD42</f>
        <v>-0.903900895711769</v>
      </c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ht="20.05" customHeight="1">
      <c r="AA43" t="s" s="33">
        <v>571</v>
      </c>
      <c r="AB43" s="14">
        <f>AB41*AB42</f>
        <v>-2902.850609551470</v>
      </c>
      <c r="AC43" s="15">
        <f>AC41*AC42</f>
        <v>-2960.9076217425</v>
      </c>
      <c r="AD43" s="15">
        <f>AD41*AD42</f>
        <v>-2931.298545525080</v>
      </c>
      <c r="AE43" s="15">
        <f>AE41*AE42</f>
        <v>-3048.550487346080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29</v>
      </c>
      <c r="AB44" s="14">
        <f>AVERAGE(K26)</f>
        <v>-105.6</v>
      </c>
      <c r="AC44" s="15">
        <f>AB44</f>
        <v>-105.6</v>
      </c>
      <c r="AD44" s="15">
        <f>AC44</f>
        <v>-105.6</v>
      </c>
      <c r="AE44" s="15">
        <f>AD44</f>
        <v>-105.6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33">
        <v>30</v>
      </c>
      <c r="AB45" s="14">
        <f>AB41+AB43+AB44</f>
        <v>203.019390448530</v>
      </c>
      <c r="AC45" s="15">
        <f>AC41+AC43+AC44</f>
        <v>209.1917782575</v>
      </c>
      <c r="AD45" s="15">
        <f>AD41+AD43+AD44</f>
        <v>206.043860474920</v>
      </c>
      <c r="AE45" s="15">
        <f>AE41+AE43+AE44</f>
        <v>218.509614893920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ht="20.05" customHeight="1">
      <c r="AA46" t="s" s="33">
        <v>31</v>
      </c>
      <c r="AB46" s="14">
        <f>-G26/20</f>
        <v>-171.35</v>
      </c>
      <c r="AC46" s="15">
        <f>-AB61/20</f>
        <v>-162.7825</v>
      </c>
      <c r="AD46" s="15">
        <f>-AC61/20</f>
        <v>-154.643375</v>
      </c>
      <c r="AE46" s="15">
        <f>-AD61/20</f>
        <v>-146.91120625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ht="20.05" customHeight="1">
      <c r="AA47" t="s" s="33">
        <v>32</v>
      </c>
      <c r="AB47" s="39">
        <v>-0.2</v>
      </c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33">
        <v>33</v>
      </c>
      <c r="AB48" s="14">
        <f>IF(AB56&gt;0,AB56*$AB$47,0)</f>
        <v>-46.9105447563726</v>
      </c>
      <c r="AC48" s="15">
        <f>IF(AC56&gt;0,AC56*$AB$47,0)</f>
        <v>-48.1450223181666</v>
      </c>
      <c r="AD48" s="15">
        <f>IF(AD56&gt;0,AD56*$AB$47,0)</f>
        <v>-47.5154387616506</v>
      </c>
      <c r="AE48" s="15">
        <f>IF(AE56&gt;0,AE56*$AB$47,0)</f>
        <v>-50.0085896454506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33">
        <v>34</v>
      </c>
      <c r="AB49" s="14">
        <f>AB45+AB46+AB48</f>
        <v>-15.2411543078426</v>
      </c>
      <c r="AC49" s="15">
        <f>AC45+AC46+AC48</f>
        <v>-1.7357440606666</v>
      </c>
      <c r="AD49" s="15">
        <f>AD45+AD46+AD48</f>
        <v>3.8850467132694</v>
      </c>
      <c r="AE49" s="15">
        <f>AE45+AE46+AE48</f>
        <v>21.5898189984694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35</v>
      </c>
      <c r="AB50" s="14">
        <f>-MIN(0,AB49)</f>
        <v>15.2411543078426</v>
      </c>
      <c r="AC50" s="15">
        <f>-MIN(AB62,AC49)</f>
        <v>1.7357440606666</v>
      </c>
      <c r="AD50" s="15">
        <f>-MIN(AC62,AD49)</f>
        <v>-3.8850467132694</v>
      </c>
      <c r="AE50" s="15">
        <f>-MIN(AD62,AE49)</f>
        <v>-13.0918516552398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36</v>
      </c>
      <c r="AB51" s="14">
        <f>F26</f>
        <v>2729</v>
      </c>
      <c r="AC51" s="15">
        <f>AB53</f>
        <v>2729</v>
      </c>
      <c r="AD51" s="15">
        <f>AC53</f>
        <v>2729</v>
      </c>
      <c r="AE51" s="15">
        <f>AD53</f>
        <v>2729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37</v>
      </c>
      <c r="AB52" s="14">
        <f>AB45+AB46+AB48+AB50</f>
        <v>0</v>
      </c>
      <c r="AC52" s="15">
        <f>AC45+AC46+AC48+AC50</f>
        <v>0</v>
      </c>
      <c r="AD52" s="15">
        <f>AD45+AD46+AD48+AD50</f>
        <v>0</v>
      </c>
      <c r="AE52" s="15">
        <f>AE45+AE46+AE48+AE50</f>
        <v>8.4979673432296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33">
        <v>38</v>
      </c>
      <c r="AB53" s="14">
        <f>AB51+AB52</f>
        <v>2729</v>
      </c>
      <c r="AC53" s="15">
        <f>AC51+AC52</f>
        <v>2729</v>
      </c>
      <c r="AD53" s="15">
        <f>AD51+AD52</f>
        <v>2729</v>
      </c>
      <c r="AE53" s="15">
        <f>AE51+AE52</f>
        <v>2737.497967343230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</row>
    <row r="54" ht="20.05" customHeight="1">
      <c r="AA54" t="s" s="41">
        <v>4</v>
      </c>
      <c r="AB54" s="14"/>
      <c r="AC54" s="15"/>
      <c r="AD54" s="15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</row>
    <row r="55" ht="20.05" customHeight="1">
      <c r="AA55" t="s" s="33">
        <v>3</v>
      </c>
      <c r="AB55" s="14">
        <f>-AVERAGE(D24:D26)</f>
        <v>-74.06666666666671</v>
      </c>
      <c r="AC55" s="15">
        <f>AB55</f>
        <v>-74.06666666666671</v>
      </c>
      <c r="AD55" s="15">
        <f>AC55</f>
        <v>-74.06666666666671</v>
      </c>
      <c r="AE55" s="15">
        <f>AD55</f>
        <v>-74.06666666666671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33">
        <v>4</v>
      </c>
      <c r="AB56" s="14">
        <f>AB41+AB43+AB55</f>
        <v>234.552723781863</v>
      </c>
      <c r="AC56" s="15">
        <f>AC41+AC43+AC55</f>
        <v>240.725111590833</v>
      </c>
      <c r="AD56" s="15">
        <f>AD41+AD43+AD55</f>
        <v>237.577193808253</v>
      </c>
      <c r="AE56" s="15">
        <f>AE41+AE43+AE55</f>
        <v>250.042948227253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41">
        <v>39</v>
      </c>
      <c r="AB57" s="14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40</v>
      </c>
      <c r="AB58" s="14">
        <f>H26-F26-AB44</f>
        <v>7984.6</v>
      </c>
      <c r="AC58" s="15">
        <f>AB58-AC44</f>
        <v>8090.2</v>
      </c>
      <c r="AD58" s="15">
        <f>AC58-AD44</f>
        <v>8195.799999999999</v>
      </c>
      <c r="AE58" s="15">
        <f>AD58-AE44</f>
        <v>8301.4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41</v>
      </c>
      <c r="AB59" s="14">
        <f>0-AB55</f>
        <v>74.06666666666671</v>
      </c>
      <c r="AC59" s="15">
        <f>AB59-AC55</f>
        <v>148.133333333333</v>
      </c>
      <c r="AD59" s="15">
        <f>AC59-AD55</f>
        <v>222.2</v>
      </c>
      <c r="AE59" s="15">
        <f>AD59-AE55</f>
        <v>296.266666666667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33">
        <v>42</v>
      </c>
      <c r="AB60" s="14">
        <f>AB58-AB59</f>
        <v>7910.533333333330</v>
      </c>
      <c r="AC60" s="15">
        <f>AC58-AC59</f>
        <v>7942.066666666670</v>
      </c>
      <c r="AD60" s="15">
        <f>AD58-AD59</f>
        <v>7973.6</v>
      </c>
      <c r="AE60" s="15">
        <f>AE58-AE59</f>
        <v>8005.133333333330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20.05" customHeight="1">
      <c r="AA61" t="s" s="33">
        <v>6</v>
      </c>
      <c r="AB61" s="14">
        <f>G26+AB46</f>
        <v>3255.65</v>
      </c>
      <c r="AC61" s="15">
        <f>AB61+AC46</f>
        <v>3092.8675</v>
      </c>
      <c r="AD61" s="15">
        <f>AC61+AD46</f>
        <v>2938.224125</v>
      </c>
      <c r="AE61" s="15">
        <f>AD61+AE46</f>
        <v>2791.31291875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35</v>
      </c>
      <c r="AB62" s="14">
        <f>AB50</f>
        <v>15.2411543078426</v>
      </c>
      <c r="AC62" s="15">
        <f>AB62+AC50</f>
        <v>16.9768983685092</v>
      </c>
      <c r="AD62" s="15">
        <f>AC62+AD50</f>
        <v>13.0918516552398</v>
      </c>
      <c r="AE62" s="15">
        <f>AD62+AE50</f>
        <v>0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11</v>
      </c>
      <c r="AB63" s="14">
        <f>(H26-G26)+AB56+AB48</f>
        <v>7368.642179025490</v>
      </c>
      <c r="AC63" s="15">
        <f>AB63+AC56+AC48</f>
        <v>7561.222268298160</v>
      </c>
      <c r="AD63" s="15">
        <f>AC63+AD56+AD48</f>
        <v>7751.284023344760</v>
      </c>
      <c r="AE63" s="15">
        <f>AD63+AE56+AE48</f>
        <v>7951.318381926560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</row>
    <row r="64" ht="20.05" customHeight="1">
      <c r="AA64" t="s" s="33">
        <v>43</v>
      </c>
      <c r="AB64" s="14">
        <f>AB61+AB62+AB63-AB53-AB60</f>
        <v>2.6e-12</v>
      </c>
      <c r="AC64" s="15">
        <f>AC61+AC62+AC63-AC53-AC60</f>
        <v>-8e-13</v>
      </c>
      <c r="AD64" s="15">
        <f>AD61+AD62+AD63-AD53-AD60</f>
        <v>-2e-13</v>
      </c>
      <c r="AE64" s="15">
        <f>AE61+AE62+AE63-AE53-AE60</f>
        <v>0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</row>
    <row r="65" ht="20.05" customHeight="1">
      <c r="AA65" t="s" s="33">
        <v>18</v>
      </c>
      <c r="AB65" s="14">
        <f>AB53-AB61-AB62</f>
        <v>-541.891154307843</v>
      </c>
      <c r="AC65" s="15">
        <f>AC53-AC61-AC62</f>
        <v>-380.844398368509</v>
      </c>
      <c r="AD65" s="15">
        <f>AD53-AD61-AD62</f>
        <v>-222.315976655240</v>
      </c>
      <c r="AE65" s="15">
        <f>AE53-AE61-AE62</f>
        <v>-53.814951406770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</row>
    <row r="66" ht="20.05" customHeight="1">
      <c r="AA66" t="s" s="33">
        <v>44</v>
      </c>
      <c r="AB66" s="14">
        <f>AB46+AB48+AB50</f>
        <v>-203.019390448530</v>
      </c>
      <c r="AC66" s="15">
        <f>AC46+AC48+AC50</f>
        <v>-209.1917782575</v>
      </c>
      <c r="AD66" s="15">
        <f>AD46+AD48+AD50</f>
        <v>-206.043860474920</v>
      </c>
      <c r="AE66" s="15">
        <f>AE46+AE48+AE50</f>
        <v>-210.011647550690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33">
        <v>45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20.05" customHeight="1">
      <c r="AA68" t="s" s="96">
        <v>291</v>
      </c>
      <c r="AB68" s="14"/>
      <c r="AC68" s="15"/>
      <c r="AD68" s="15"/>
      <c r="AE68" s="15">
        <v>1395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8.35" customHeight="1" hidden="1">
      <c r="AA69" t="s" s="33">
        <f>$AA68</f>
        <v>786</v>
      </c>
      <c r="AB69" s="14"/>
      <c r="AC69" s="15"/>
      <c r="AD69" s="15"/>
      <c r="AE69" s="15">
        <v>6291254476800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46</v>
      </c>
      <c r="AB70" s="14"/>
      <c r="AC70" s="15"/>
      <c r="AD70" s="15"/>
      <c r="AE70" s="15">
        <f>AE69/1000000000</f>
        <v>6291.2544768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</row>
    <row r="71" ht="20.05" customHeight="1">
      <c r="AA71" t="s" s="33">
        <v>47</v>
      </c>
      <c r="AB71" s="14"/>
      <c r="AC71" s="15"/>
      <c r="AD71" s="15"/>
      <c r="AE71" s="15">
        <f>AE70/AE68</f>
        <v>4.50985984</v>
      </c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</row>
    <row r="72" ht="20.05" customHeight="1">
      <c r="AA72" t="s" s="33">
        <v>48</v>
      </c>
      <c r="AB72" s="14"/>
      <c r="AC72" s="15"/>
      <c r="AD72" s="15"/>
      <c r="AE72" s="43">
        <f>AE70/(AE53+AE60)</f>
        <v>0.585634403779992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</row>
    <row r="73" ht="20.05" customHeight="1">
      <c r="AA73" t="s" s="33">
        <v>49</v>
      </c>
      <c r="AB73" s="14"/>
      <c r="AC73" s="15"/>
      <c r="AD73" s="15"/>
      <c r="AE73" s="16">
        <f>-(AB48+AC48+AD48+AE48)/AE70</f>
        <v>0.0306106828442258</v>
      </c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</row>
    <row r="74" ht="20.05" customHeight="1">
      <c r="AA74" t="s" s="33">
        <v>50</v>
      </c>
      <c r="AB74" s="14"/>
      <c r="AC74" s="15"/>
      <c r="AD74" s="15"/>
      <c r="AE74" s="15">
        <f>SUM(AB45:AE45)</f>
        <v>836.764644074870</v>
      </c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</row>
    <row r="75" ht="20.05" customHeight="1">
      <c r="AA75" t="s" s="33">
        <v>51</v>
      </c>
      <c r="AB75" s="14"/>
      <c r="AC75" s="15"/>
      <c r="AD75" s="15"/>
      <c r="AE75" s="15">
        <f>(H26+F26)/AE74</f>
        <v>15.9387709488436</v>
      </c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</row>
    <row r="76" ht="20.05" customHeight="1">
      <c r="AA76" t="s" s="33">
        <v>52</v>
      </c>
      <c r="AB76" s="14"/>
      <c r="AC76" s="15"/>
      <c r="AD76" s="15">
        <f>AE70/AE74</f>
        <v>7.51854720601351</v>
      </c>
      <c r="AE76" s="15">
        <v>12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</row>
    <row r="77" ht="20.05" customHeight="1">
      <c r="AA77" t="s" s="33">
        <v>53</v>
      </c>
      <c r="AB77" s="14"/>
      <c r="AC77" s="15"/>
      <c r="AD77" s="15"/>
      <c r="AE77" s="15">
        <f>AE74*AE76</f>
        <v>10041.1757288984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</row>
    <row r="78" ht="20.05" customHeight="1">
      <c r="AA78" t="s" s="33">
        <v>54</v>
      </c>
      <c r="AB78" s="14"/>
      <c r="AC78" s="15"/>
      <c r="AD78" s="15"/>
      <c r="AE78" s="15">
        <f>AE77/AE71</f>
        <v>2226.493967692440</v>
      </c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</row>
    <row r="79" ht="20.05" customHeight="1">
      <c r="AA79" t="s" s="33">
        <v>55</v>
      </c>
      <c r="AB79" s="38"/>
      <c r="AC79" s="23"/>
      <c r="AD79" s="23"/>
      <c r="AE79" s="16">
        <f>AE78/AE68-1</f>
        <v>0.596053023435441</v>
      </c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</row>
    <row r="80" ht="20.05" customHeight="1">
      <c r="AA80" t="s" s="33">
        <v>56</v>
      </c>
      <c r="AB80" s="38"/>
      <c r="AC80" s="23"/>
      <c r="AD80" s="23"/>
      <c r="AE80" s="16">
        <f>C26/C22-1</f>
        <v>0.100912619322354</v>
      </c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</row>
    <row r="81" ht="20.05" customHeight="1">
      <c r="AA81" t="s" s="33">
        <v>57</v>
      </c>
      <c r="AB81" s="38"/>
      <c r="AC81" s="23"/>
      <c r="AD81" s="23"/>
      <c r="AE81" s="16">
        <f>O28/N28-1</f>
        <v>-0.00216831432192649</v>
      </c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</row>
    <row r="82" ht="8.35" customHeight="1" hidden="1">
      <c r="AA82" s="98"/>
      <c r="AB82" s="38"/>
      <c r="AC82" s="23"/>
      <c r="AD82" s="23"/>
      <c r="AE82" s="16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</row>
    <row r="83" ht="8.35" customHeight="1" hidden="1">
      <c r="AA83" s="36"/>
      <c r="AB83" t="s" s="100">
        <f>$AA68</f>
        <v>787</v>
      </c>
      <c r="AC83" t="s" s="44">
        <v>60</v>
      </c>
      <c r="AD83" s="15">
        <f>AE68</f>
        <v>1395</v>
      </c>
      <c r="AE83" t="s" s="44">
        <v>61</v>
      </c>
      <c r="AF83" s="198">
        <f>AE78</f>
        <v>2226.493967692440</v>
      </c>
      <c r="AG83" t="s" s="102">
        <f>IF(AH83&gt;0,"+","")</f>
        <v>361</v>
      </c>
      <c r="AH83" s="99">
        <f>AF83/AD83-1</f>
        <v>0.596053023435441</v>
      </c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</row>
    <row r="84" ht="8.35" customHeight="1" hidden="1">
      <c r="AA84" s="36"/>
      <c r="AB84" s="46">
        <f>TODAY()</f>
        <v>44942</v>
      </c>
      <c r="AC84" s="17"/>
      <c r="AD84" s="17"/>
      <c r="AE84" s="17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</row>
    <row r="85" ht="8.35" customHeight="1" hidden="1">
      <c r="AA85" s="36"/>
      <c r="AB85" t="s" s="45">
        <v>62</v>
      </c>
      <c r="AC85" s="17"/>
      <c r="AD85" s="17"/>
      <c r="AE85" s="17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</row>
    <row r="86" ht="8.35" customHeight="1" hidden="1">
      <c r="AA86" s="36"/>
      <c r="AB86" t="s" s="45">
        <v>63</v>
      </c>
      <c r="AC86" t="s" s="44">
        <v>64</v>
      </c>
      <c r="AD86" t="s" s="44">
        <f>IF(AE86&gt;0,"+","")</f>
        <v>361</v>
      </c>
      <c r="AE86" s="16">
        <f>AF93/AB93-1</f>
        <v>0.100912619322354</v>
      </c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</row>
    <row r="87" ht="8.35" customHeight="1" hidden="1">
      <c r="AA87" s="36"/>
      <c r="AB87" t="s" s="45">
        <v>63</v>
      </c>
      <c r="AC87" t="s" s="44">
        <v>65</v>
      </c>
      <c r="AD87" t="s" s="44">
        <f>IF(AE87&gt;0,"+","")</f>
      </c>
      <c r="AE87" s="16">
        <f>SUM(AC106:AF107)/AC123</f>
        <v>-0.024033362592083</v>
      </c>
      <c r="AF87" t="s" s="102">
        <v>66</v>
      </c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</row>
    <row r="88" ht="8.35" customHeight="1" hidden="1">
      <c r="AA88" s="36"/>
      <c r="AB88" t="s" s="45">
        <v>63</v>
      </c>
      <c r="AC88" t="s" s="44">
        <v>17</v>
      </c>
      <c r="AD88" t="s" s="44">
        <f>IF(AE88&gt;0,"+","")</f>
      </c>
      <c r="AE88" s="16">
        <f>SUM(AC120:AF121)/AC123</f>
        <v>-0.014305572971478</v>
      </c>
      <c r="AF88" t="s" s="102">
        <f>AF87</f>
        <v>66</v>
      </c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</row>
    <row r="89" ht="8.35" customHeight="1" hidden="1">
      <c r="AA89" s="36"/>
      <c r="AB89" t="s" s="45">
        <v>68</v>
      </c>
      <c r="AC89" t="s" s="44">
        <v>369</v>
      </c>
      <c r="AD89" s="16">
        <f>AM116/AC123</f>
        <v>-0.110947665934352</v>
      </c>
      <c r="AE89" t="s" s="44">
        <f>AF88</f>
        <v>66</v>
      </c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</row>
    <row r="90" ht="8.35" customHeight="1" hidden="1">
      <c r="AA90" s="36"/>
      <c r="AB90" t="s" s="45">
        <v>28</v>
      </c>
      <c r="AC90" t="s" s="44">
        <f>AC94</f>
        <v>362</v>
      </c>
      <c r="AD90" s="16">
        <f>AD94</f>
        <v>0.0604580666891209</v>
      </c>
      <c r="AE90" s="17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</row>
    <row r="91" ht="8.35" customHeight="1" hidden="1">
      <c r="AA91" s="36"/>
      <c r="AB91" t="s" s="45">
        <v>70</v>
      </c>
      <c r="AC91" t="s" s="44">
        <v>371</v>
      </c>
      <c r="AD91" t="s" s="44">
        <f>AJ94</f>
        <v>372</v>
      </c>
      <c r="AE91" s="17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</row>
    <row r="92" ht="8.35" customHeight="1" hidden="1">
      <c r="AA92" s="36"/>
      <c r="AB92" s="71">
        <f>P22</f>
        <v>0.0431880357468539</v>
      </c>
      <c r="AC92" s="16">
        <f>P23</f>
        <v>0.0103150459806287</v>
      </c>
      <c r="AD92" s="16">
        <f>P24</f>
        <v>0.0287256869938396</v>
      </c>
      <c r="AE92" s="16">
        <f>P25</f>
        <v>-0.00114385681604091</v>
      </c>
      <c r="AF92" s="99">
        <f>P26</f>
        <v>0.0604580666891209</v>
      </c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</row>
    <row r="93" ht="8.35" customHeight="1" hidden="1">
      <c r="AA93" s="36"/>
      <c r="AB93" s="14">
        <f>C22</f>
        <v>2859.9</v>
      </c>
      <c r="AC93" s="15">
        <f>C23</f>
        <v>2889.4</v>
      </c>
      <c r="AD93" s="15">
        <f>C24</f>
        <v>2972.4</v>
      </c>
      <c r="AE93" s="15">
        <f>C25</f>
        <v>2969</v>
      </c>
      <c r="AF93" s="198">
        <f>C26</f>
        <v>3148.5</v>
      </c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</row>
    <row r="94" ht="8.35" customHeight="1" hidden="1">
      <c r="AA94" s="36"/>
      <c r="AB94" t="s" s="45">
        <v>2</v>
      </c>
      <c r="AC94" t="s" s="44">
        <f>IF(AD94&lt;0,"declined","grew")</f>
        <v>362</v>
      </c>
      <c r="AD94" s="16">
        <f>AF93/AE93-1</f>
        <v>0.0604580666891209</v>
      </c>
      <c r="AE94" t="s" s="44">
        <v>73</v>
      </c>
      <c r="AF94" t="s" s="102">
        <v>74</v>
      </c>
      <c r="AG94" t="s" s="102">
        <v>75</v>
      </c>
      <c r="AH94" t="s" s="102">
        <v>76</v>
      </c>
      <c r="AI94" s="198">
        <f>AF93</f>
        <v>3148.5</v>
      </c>
      <c r="AJ94" t="s" s="102">
        <v>372</v>
      </c>
      <c r="AK94" t="s" s="102">
        <v>378</v>
      </c>
      <c r="AL94" s="99">
        <v>0.0297063450445726</v>
      </c>
      <c r="AM94" t="s" s="102">
        <v>78</v>
      </c>
      <c r="AN94" s="103"/>
      <c r="AO94" s="103"/>
      <c r="AP94" s="103"/>
      <c r="AQ94" s="103"/>
      <c r="AR94" s="103"/>
      <c r="AS94" s="103"/>
    </row>
    <row r="95" ht="8.35" customHeight="1" hidden="1">
      <c r="AA95" s="36"/>
      <c r="AB95" t="s" s="45">
        <v>79</v>
      </c>
      <c r="AC95" s="16">
        <f>AVERAGE(AC92:AF92)</f>
        <v>0.0245887357118871</v>
      </c>
      <c r="AD95" t="s" s="44">
        <v>80</v>
      </c>
      <c r="AE95" s="17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</row>
    <row r="96" ht="8.35" customHeight="1" hidden="1">
      <c r="AA96" s="36"/>
      <c r="AB96" t="s" s="45">
        <v>81</v>
      </c>
      <c r="AC96" s="35">
        <f>AE39</f>
        <v>0.0175</v>
      </c>
      <c r="AD96" t="s" s="44">
        <v>82</v>
      </c>
      <c r="AE96" t="s" s="44">
        <v>83</v>
      </c>
      <c r="AF96" s="199">
        <f>AE41</f>
        <v>3372.66010224</v>
      </c>
      <c r="AG96" t="s" s="102">
        <f>AJ94</f>
        <v>372</v>
      </c>
      <c r="AH96" t="s" s="102">
        <v>84</v>
      </c>
      <c r="AI96" t="s" s="102">
        <f>AF94</f>
        <v>74</v>
      </c>
      <c r="AJ96" t="s" s="102">
        <f>AG94</f>
        <v>75</v>
      </c>
      <c r="AK96" t="s" s="102">
        <v>85</v>
      </c>
      <c r="AL96" s="103"/>
      <c r="AM96" s="103"/>
      <c r="AN96" s="103"/>
      <c r="AO96" s="103"/>
      <c r="AP96" s="103"/>
      <c r="AQ96" s="103"/>
      <c r="AR96" s="103"/>
      <c r="AS96" s="103"/>
    </row>
    <row r="97" ht="8.35" customHeight="1" hidden="1">
      <c r="AA97" s="36"/>
      <c r="AB97" t="s" s="45">
        <v>574</v>
      </c>
      <c r="AC97" t="s" s="44">
        <f>IF(AE101&lt;AC101,"up","down")</f>
        <v>108</v>
      </c>
      <c r="AD97" t="s" s="44">
        <v>86</v>
      </c>
      <c r="AE97" t="s" s="44">
        <f>IF(AI101&gt;AG101,"up","down")</f>
        <v>108</v>
      </c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</row>
    <row r="98" ht="8.35" customHeight="1" hidden="1">
      <c r="AA98" s="36"/>
      <c r="AB98" t="s" s="45">
        <f>AB91</f>
        <v>70</v>
      </c>
      <c r="AC98" t="s" s="44">
        <v>575</v>
      </c>
      <c r="AD98" t="s" s="44">
        <f>AJ94</f>
        <v>372</v>
      </c>
      <c r="AE98" s="17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</row>
    <row r="99" ht="8.35" customHeight="1" hidden="1">
      <c r="AA99" s="36"/>
      <c r="AB99" s="71">
        <f>Q22</f>
        <v>-0.897007610187314</v>
      </c>
      <c r="AC99" s="16">
        <f>Q23</f>
        <v>-0.896621092359183</v>
      </c>
      <c r="AD99" s="16">
        <f>Q24</f>
        <v>-0.900158768930142</v>
      </c>
      <c r="AE99" s="16">
        <f>Q25</f>
        <v>-0.903564371680053</v>
      </c>
      <c r="AF99" s="99">
        <f>Q26</f>
        <v>-0.903900895711769</v>
      </c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</row>
    <row r="100" ht="8.35" customHeight="1" hidden="1">
      <c r="AA100" s="36"/>
      <c r="AB100" s="14">
        <f>E22</f>
        <v>144.9</v>
      </c>
      <c r="AC100" s="15">
        <f>E23</f>
        <v>289.3</v>
      </c>
      <c r="AD100" s="15">
        <f>E24</f>
        <v>291.1</v>
      </c>
      <c r="AE100" s="15">
        <f>E25</f>
        <v>110.8</v>
      </c>
      <c r="AF100" s="198">
        <f>E26</f>
        <v>166</v>
      </c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</row>
    <row r="101" ht="8.35" customHeight="1" hidden="1">
      <c r="AA101" s="36"/>
      <c r="AB101" t="s" s="45">
        <v>576</v>
      </c>
      <c r="AC101" s="16">
        <f>AE99</f>
        <v>-0.903564371680053</v>
      </c>
      <c r="AD101" t="s" s="44">
        <v>76</v>
      </c>
      <c r="AE101" s="16">
        <f>AF99</f>
        <v>-0.903900895711769</v>
      </c>
      <c r="AF101" t="s" s="102">
        <v>90</v>
      </c>
      <c r="AG101" s="198">
        <f>AE100</f>
        <v>110.8</v>
      </c>
      <c r="AH101" t="s" s="102">
        <v>76</v>
      </c>
      <c r="AI101" s="198">
        <f>AF100</f>
        <v>166</v>
      </c>
      <c r="AJ101" t="s" s="102">
        <f>AG96</f>
        <v>372</v>
      </c>
      <c r="AK101" t="s" s="102">
        <v>73</v>
      </c>
      <c r="AL101" t="s" s="102">
        <f>AI96</f>
        <v>74</v>
      </c>
      <c r="AM101" t="s" s="102">
        <v>91</v>
      </c>
      <c r="AN101" s="103"/>
      <c r="AO101" s="103"/>
      <c r="AP101" s="103"/>
      <c r="AQ101" s="103"/>
      <c r="AR101" s="103"/>
      <c r="AS101" s="103"/>
    </row>
    <row r="102" ht="8.35" customHeight="1" hidden="1">
      <c r="AA102" s="36"/>
      <c r="AB102" t="s" s="45">
        <v>577</v>
      </c>
      <c r="AC102" s="16">
        <f>AVERAGE(AC99:AF99)</f>
        <v>-0.901061282170287</v>
      </c>
      <c r="AD102" t="s" s="44">
        <v>78</v>
      </c>
      <c r="AE102" s="17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</row>
    <row r="103" ht="8.35" customHeight="1" hidden="1">
      <c r="AA103" s="36"/>
      <c r="AB103" t="s" s="45">
        <v>93</v>
      </c>
      <c r="AC103" s="35">
        <f>AB42</f>
        <v>-0.903900895711769</v>
      </c>
      <c r="AD103" t="s" s="44">
        <v>559</v>
      </c>
      <c r="AE103" s="15">
        <f>AE56</f>
        <v>250.042948227253</v>
      </c>
      <c r="AF103" t="s" s="102">
        <f>AJ101</f>
        <v>372</v>
      </c>
      <c r="AG103" t="s" s="102">
        <v>95</v>
      </c>
      <c r="AH103" t="s" s="102">
        <f>AL101</f>
        <v>74</v>
      </c>
      <c r="AI103" t="s" s="102">
        <f>AG94</f>
        <v>75</v>
      </c>
      <c r="AJ103" t="s" s="102">
        <f>AK96</f>
        <v>85</v>
      </c>
      <c r="AK103" s="103"/>
      <c r="AL103" s="103"/>
      <c r="AM103" s="103"/>
      <c r="AN103" s="103"/>
      <c r="AO103" s="103"/>
      <c r="AP103" s="103"/>
      <c r="AQ103" s="103"/>
      <c r="AR103" s="103"/>
      <c r="AS103" s="103"/>
    </row>
    <row r="104" ht="8.35" customHeight="1" hidden="1">
      <c r="AA104" s="36"/>
      <c r="AB104" t="s" s="45">
        <v>15</v>
      </c>
      <c r="AC104" t="s" s="44">
        <f>IF(AE108&lt;AC108,"lower","higher")</f>
        <v>363</v>
      </c>
      <c r="AD104" s="17"/>
      <c r="AE104" s="17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</row>
    <row r="105" ht="8.35" customHeight="1" hidden="1">
      <c r="AA105" s="36"/>
      <c r="AB105" t="s" s="45">
        <f>AB98</f>
        <v>70</v>
      </c>
      <c r="AC105" t="s" s="44">
        <v>96</v>
      </c>
      <c r="AD105" t="s" s="44">
        <f>AJ94</f>
        <v>372</v>
      </c>
      <c r="AE105" s="17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</row>
    <row r="106" ht="8.35" customHeight="1" hidden="1">
      <c r="AA106" s="36"/>
      <c r="AB106" s="14">
        <f>J22</f>
        <v>339.1</v>
      </c>
      <c r="AC106" s="15">
        <f>J23</f>
        <v>157.2</v>
      </c>
      <c r="AD106" s="15">
        <f>J24</f>
        <v>169.1</v>
      </c>
      <c r="AE106" s="15">
        <f>J25</f>
        <v>18.3</v>
      </c>
      <c r="AF106" s="198">
        <f>J26</f>
        <v>94.7</v>
      </c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</row>
    <row r="107" ht="8.35" customHeight="1" hidden="1">
      <c r="AA107" s="36"/>
      <c r="AB107" s="14">
        <f>K22</f>
        <v>-54.9</v>
      </c>
      <c r="AC107" s="15">
        <f>K23</f>
        <v>-71.8</v>
      </c>
      <c r="AD107" s="15">
        <f>K24</f>
        <v>-174</v>
      </c>
      <c r="AE107" s="15">
        <f>K25</f>
        <v>-239.1</v>
      </c>
      <c r="AF107" s="198">
        <f>K26</f>
        <v>-105.6</v>
      </c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</row>
    <row r="108" ht="8.35" customHeight="1" hidden="1">
      <c r="AA108" s="36"/>
      <c r="AB108" t="s" s="45">
        <v>97</v>
      </c>
      <c r="AC108" s="15">
        <f>AE106+AE107</f>
        <v>-220.8</v>
      </c>
      <c r="AD108" t="s" s="44">
        <v>76</v>
      </c>
      <c r="AE108" s="15">
        <f>AF106+AF107</f>
        <v>-10.9</v>
      </c>
      <c r="AF108" t="s" s="102">
        <f>AF103</f>
        <v>372</v>
      </c>
      <c r="AG108" t="s" s="102">
        <v>84</v>
      </c>
      <c r="AH108" t="s" s="102">
        <f>AH103</f>
        <v>74</v>
      </c>
      <c r="AI108" t="s" s="102">
        <v>98</v>
      </c>
      <c r="AJ108" s="198">
        <f>AF107</f>
        <v>-105.6</v>
      </c>
      <c r="AK108" t="s" s="102">
        <f>AJ94</f>
        <v>372</v>
      </c>
      <c r="AL108" t="s" s="102">
        <v>99</v>
      </c>
      <c r="AM108" s="103"/>
      <c r="AN108" s="103"/>
      <c r="AO108" s="103"/>
      <c r="AP108" s="103"/>
      <c r="AQ108" s="103"/>
      <c r="AR108" s="103"/>
      <c r="AS108" s="103"/>
    </row>
    <row r="109" ht="8.35" customHeight="1" hidden="1">
      <c r="AA109" s="36"/>
      <c r="AB109" t="s" s="45">
        <v>100</v>
      </c>
      <c r="AC109" s="15">
        <f>SUM(AC106:AF107)/4</f>
        <v>-37.8</v>
      </c>
      <c r="AD109" t="s" s="44">
        <f>AJ94</f>
        <v>372</v>
      </c>
      <c r="AE109" t="s" s="44">
        <v>78</v>
      </c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</row>
    <row r="110" ht="8.35" customHeight="1" hidden="1">
      <c r="AA110" s="36"/>
      <c r="AB110" t="s" s="45">
        <v>101</v>
      </c>
      <c r="AC110" s="15">
        <f>AB44</f>
        <v>-105.6</v>
      </c>
      <c r="AD110" t="s" s="44">
        <f>AD109</f>
        <v>372</v>
      </c>
      <c r="AE110" t="s" s="44">
        <v>102</v>
      </c>
      <c r="AF110" t="s" s="102">
        <v>103</v>
      </c>
      <c r="AG110" t="s" s="102">
        <f>IF(AF96&gt;AI94,"higher","lower")</f>
        <v>363</v>
      </c>
      <c r="AH110" t="s" s="102">
        <v>105</v>
      </c>
      <c r="AI110" s="198">
        <f>SUM(AB45:AE45)/4</f>
        <v>209.191161018718</v>
      </c>
      <c r="AJ110" t="s" s="102">
        <f>AD110</f>
        <v>372</v>
      </c>
      <c r="AK110" t="s" s="102">
        <v>106</v>
      </c>
      <c r="AL110" t="s" s="102">
        <v>107</v>
      </c>
      <c r="AM110" s="103"/>
      <c r="AN110" s="103"/>
      <c r="AO110" s="103"/>
      <c r="AP110" s="103"/>
      <c r="AQ110" s="103"/>
      <c r="AR110" s="103"/>
      <c r="AS110" s="103"/>
    </row>
    <row r="111" ht="8.35" customHeight="1" hidden="1">
      <c r="AA111" s="36"/>
      <c r="AB111" t="s" s="45">
        <v>18</v>
      </c>
      <c r="AC111" t="s" s="44">
        <f>AJ116</f>
        <v>108</v>
      </c>
      <c r="AD111" s="17"/>
      <c r="AE111" s="17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</row>
    <row r="112" ht="8.35" customHeight="1" hidden="1">
      <c r="AA112" s="36"/>
      <c r="AB112" t="s" s="45">
        <f>AB91</f>
        <v>70</v>
      </c>
      <c r="AC112" t="s" s="44">
        <v>109</v>
      </c>
      <c r="AD112" t="s" s="44">
        <f>AJ94</f>
        <v>372</v>
      </c>
      <c r="AE112" s="17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</row>
    <row r="113" ht="8.35" customHeight="1" hidden="1">
      <c r="AA113" s="36"/>
      <c r="AB113" s="14">
        <f>F22</f>
        <v>2689</v>
      </c>
      <c r="AC113" s="15">
        <f>F23</f>
        <v>2688</v>
      </c>
      <c r="AD113" s="15">
        <f>F24</f>
        <v>2793</v>
      </c>
      <c r="AE113" s="15">
        <f>F25</f>
        <v>2789</v>
      </c>
      <c r="AF113" s="198">
        <f>F26</f>
        <v>2729</v>
      </c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</row>
    <row r="114" ht="8.35" customHeight="1" hidden="1">
      <c r="AA114" s="36"/>
      <c r="AB114" s="14">
        <f>G22</f>
        <v>2924</v>
      </c>
      <c r="AC114" s="15">
        <f>G23</f>
        <v>2769</v>
      </c>
      <c r="AD114" s="15">
        <f>G24</f>
        <v>3226</v>
      </c>
      <c r="AE114" s="15">
        <f>G25</f>
        <v>3591</v>
      </c>
      <c r="AF114" s="198">
        <f>G26</f>
        <v>3427</v>
      </c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</row>
    <row r="115" ht="8.35" customHeight="1" hidden="1">
      <c r="AA115" s="36"/>
      <c r="AB115" t="s" s="45">
        <v>110</v>
      </c>
      <c r="AC115" t="s" s="44">
        <f>IF(AF115&lt;AD115,"declined","increased")</f>
        <v>370</v>
      </c>
      <c r="AD115" s="15">
        <f>AE113</f>
        <v>2789</v>
      </c>
      <c r="AE115" t="s" s="44">
        <v>76</v>
      </c>
      <c r="AF115" s="198">
        <f>AF113</f>
        <v>2729</v>
      </c>
      <c r="AG115" t="s" s="102">
        <f>AJ110</f>
        <v>372</v>
      </c>
      <c r="AH115" t="s" s="102">
        <v>84</v>
      </c>
      <c r="AI115" t="s" s="102">
        <f>AF94</f>
        <v>74</v>
      </c>
      <c r="AJ115" t="s" s="102">
        <f>AM101</f>
        <v>91</v>
      </c>
      <c r="AK115" s="103"/>
      <c r="AL115" s="103"/>
      <c r="AM115" s="103"/>
      <c r="AN115" s="103"/>
      <c r="AO115" s="103"/>
      <c r="AP115" s="103"/>
      <c r="AQ115" s="103"/>
      <c r="AR115" s="103"/>
      <c r="AS115" s="103"/>
    </row>
    <row r="116" ht="8.35" customHeight="1" hidden="1">
      <c r="AA116" s="36"/>
      <c r="AB116" t="s" s="45">
        <v>112</v>
      </c>
      <c r="AC116" t="s" s="44">
        <f>IF(AF116&lt;AD116,"declined","increased")</f>
        <v>370</v>
      </c>
      <c r="AD116" s="15">
        <f>AE114</f>
        <v>3591</v>
      </c>
      <c r="AE116" t="s" s="44">
        <v>76</v>
      </c>
      <c r="AF116" s="198">
        <f>AF114</f>
        <v>3427</v>
      </c>
      <c r="AG116" t="s" s="102">
        <f>AG115</f>
        <v>372</v>
      </c>
      <c r="AH116" t="s" s="102">
        <v>113</v>
      </c>
      <c r="AI116" t="s" s="102">
        <v>114</v>
      </c>
      <c r="AJ116" t="s" s="102">
        <f>IF(AM116&lt;AK116,"down","up")</f>
        <v>108</v>
      </c>
      <c r="AK116" s="198">
        <f>AD115-AD116</f>
        <v>-802</v>
      </c>
      <c r="AL116" t="s" s="102">
        <v>76</v>
      </c>
      <c r="AM116" s="198">
        <f>AF115-AF116</f>
        <v>-698</v>
      </c>
      <c r="AN116" t="s" s="102">
        <f>AG116</f>
        <v>372</v>
      </c>
      <c r="AO116" t="s" s="102">
        <v>115</v>
      </c>
      <c r="AP116" s="103"/>
      <c r="AQ116" s="103"/>
      <c r="AR116" s="103"/>
      <c r="AS116" s="103"/>
    </row>
    <row r="117" ht="8.35" customHeight="1" hidden="1">
      <c r="AA117" s="36"/>
      <c r="AB117" t="s" s="45">
        <v>116</v>
      </c>
      <c r="AC117" s="15">
        <f>SUM(AB48:AE48)</f>
        <v>-192.579595481640</v>
      </c>
      <c r="AD117" t="s" s="44">
        <f>AG116</f>
        <v>372</v>
      </c>
      <c r="AE117" t="s" s="44">
        <v>117</v>
      </c>
      <c r="AF117" t="s" s="102">
        <f>IF(AG117&gt;0,"+","")</f>
      </c>
      <c r="AG117" s="198">
        <f>AB46+AC46+AD46+AE46+AB50+AC50+AD50+AE50</f>
        <v>-635.68708125</v>
      </c>
      <c r="AH117" t="s" s="102">
        <f>AN116</f>
        <v>372</v>
      </c>
      <c r="AI117" t="s" s="102">
        <v>118</v>
      </c>
      <c r="AJ117" t="s" s="102">
        <v>119</v>
      </c>
      <c r="AK117" s="198">
        <f>AE65</f>
        <v>-53.814951406770</v>
      </c>
      <c r="AL117" t="s" s="102">
        <f>AG116</f>
        <v>372</v>
      </c>
      <c r="AM117" t="s" s="102">
        <v>120</v>
      </c>
      <c r="AN117" s="103"/>
      <c r="AO117" s="103"/>
      <c r="AP117" s="103"/>
      <c r="AQ117" s="103"/>
      <c r="AR117" s="103"/>
      <c r="AS117" s="103"/>
    </row>
    <row r="118" ht="8.35" customHeight="1" hidden="1">
      <c r="AA118" s="36"/>
      <c r="AB118" t="s" s="45">
        <v>17</v>
      </c>
      <c r="AC118" t="s" s="44">
        <f>AC122</f>
        <v>374</v>
      </c>
      <c r="AD118" s="17"/>
      <c r="AE118" s="17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</row>
    <row r="119" ht="8.35" customHeight="1" hidden="1">
      <c r="AA119" s="36"/>
      <c r="AB119" t="s" s="45">
        <f>AB91</f>
        <v>70</v>
      </c>
      <c r="AC119" t="s" s="44">
        <v>379</v>
      </c>
      <c r="AD119" t="s" s="44">
        <f>AJ94</f>
        <v>372</v>
      </c>
      <c r="AE119" s="17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</row>
    <row r="120" ht="8.35" customHeight="1" hidden="1">
      <c r="AA120" s="36"/>
      <c r="AB120" s="14">
        <f>-L22</f>
        <v>35</v>
      </c>
      <c r="AC120" s="15">
        <f>-L23</f>
        <v>12.8</v>
      </c>
      <c r="AD120" s="15">
        <f>-L24</f>
        <v>-105</v>
      </c>
      <c r="AE120" s="15">
        <f>-L25</f>
        <v>-295.5</v>
      </c>
      <c r="AF120" s="198">
        <f>-L26</f>
        <v>-65.5</v>
      </c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</row>
    <row r="121" ht="8.35" customHeight="1" hidden="1">
      <c r="AA121" s="36"/>
      <c r="AB121" s="14">
        <f>-M22</f>
        <v>269.9</v>
      </c>
      <c r="AC121" s="15">
        <f>-M23</f>
        <v>105.2</v>
      </c>
      <c r="AD121" s="15">
        <f>-M24</f>
        <v>0</v>
      </c>
      <c r="AE121" s="15">
        <f>-M25</f>
        <v>113.9</v>
      </c>
      <c r="AF121" s="198">
        <f>-M26</f>
        <v>144.1</v>
      </c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</row>
    <row r="122" ht="8.35" customHeight="1" hidden="1">
      <c r="AA122" s="36"/>
      <c r="AB122" t="s" s="100">
        <f>AB83</f>
        <v>787</v>
      </c>
      <c r="AC122" t="s" s="44">
        <f>IF(AD122&gt;0,"paid","(raised)")</f>
        <v>374</v>
      </c>
      <c r="AD122" s="15">
        <f>SUM(AF120:AF121)</f>
        <v>78.59999999999999</v>
      </c>
      <c r="AE122" t="s" s="44">
        <f>AJ94</f>
        <v>372</v>
      </c>
      <c r="AF122" t="s" s="102">
        <f>AE94</f>
        <v>73</v>
      </c>
      <c r="AG122" t="s" s="102">
        <f>AF94</f>
        <v>74</v>
      </c>
      <c r="AH122" t="s" s="102">
        <f>AG94</f>
        <v>75</v>
      </c>
      <c r="AI122" s="198">
        <f>AF120</f>
        <v>-65.5</v>
      </c>
      <c r="AJ122" t="s" s="102">
        <f>AJ94</f>
        <v>372</v>
      </c>
      <c r="AK122" t="s" s="102">
        <v>123</v>
      </c>
      <c r="AL122" s="198">
        <f>AF121</f>
        <v>144.1</v>
      </c>
      <c r="AM122" t="s" s="102">
        <f>AJ94</f>
        <v>372</v>
      </c>
      <c r="AN122" t="s" s="102">
        <v>389</v>
      </c>
      <c r="AO122" t="s" s="102">
        <v>475</v>
      </c>
      <c r="AP122" t="s" s="102">
        <f>IF(AQ122&gt;0,"pay","raise")</f>
        <v>364</v>
      </c>
      <c r="AQ122" s="198">
        <f>-SUM(AB66:AE66)</f>
        <v>828.266676731640</v>
      </c>
      <c r="AR122" t="s" s="102">
        <f>AJ94</f>
        <v>372</v>
      </c>
      <c r="AS122" t="s" s="102">
        <v>126</v>
      </c>
    </row>
    <row r="123" ht="8.35" customHeight="1" hidden="1">
      <c r="AA123" s="36"/>
      <c r="AB123" t="s" s="45">
        <v>375</v>
      </c>
      <c r="AC123" s="15">
        <f>AE70</f>
        <v>6291.2544768</v>
      </c>
      <c r="AD123" t="s" s="44">
        <f>AJ94</f>
        <v>372</v>
      </c>
      <c r="AE123" t="s" s="44">
        <v>128</v>
      </c>
      <c r="AF123" t="s" s="102">
        <v>129</v>
      </c>
      <c r="AG123" s="101">
        <f>AE72</f>
        <v>0.585634403779992</v>
      </c>
      <c r="AH123" t="s" s="102">
        <v>130</v>
      </c>
      <c r="AI123" t="s" s="102">
        <v>131</v>
      </c>
      <c r="AJ123" t="s" s="102">
        <v>132</v>
      </c>
      <c r="AK123" s="198">
        <f>AE75</f>
        <v>15.9387709488436</v>
      </c>
      <c r="AL123" t="s" s="102">
        <v>133</v>
      </c>
      <c r="AM123" s="99">
        <f>-AC117/AC123</f>
        <v>0.0306106828442257</v>
      </c>
      <c r="AN123" t="s" s="102">
        <v>134</v>
      </c>
      <c r="AO123" s="103"/>
      <c r="AP123" s="103"/>
      <c r="AQ123" s="103"/>
      <c r="AR123" s="103"/>
      <c r="AS123" s="103"/>
    </row>
    <row r="124" ht="8.35" customHeight="1" hidden="1">
      <c r="AA124" s="36"/>
      <c r="AB124" t="s" s="45">
        <v>135</v>
      </c>
      <c r="AC124" s="15">
        <f>AE74</f>
        <v>836.764644074870</v>
      </c>
      <c r="AD124" t="s" s="44">
        <f>AD123</f>
        <v>372</v>
      </c>
      <c r="AE124" t="s" s="44">
        <v>136</v>
      </c>
      <c r="AF124" s="198">
        <f>AC123/AC124</f>
        <v>7.51854720601351</v>
      </c>
      <c r="AG124" t="s" s="102">
        <v>130</v>
      </c>
      <c r="AH124" t="s" s="102">
        <v>137</v>
      </c>
      <c r="AI124" t="s" s="102">
        <v>138</v>
      </c>
      <c r="AJ124" s="198">
        <f>AE76</f>
        <v>12</v>
      </c>
      <c r="AK124" t="s" s="102">
        <v>139</v>
      </c>
      <c r="AL124" t="s" s="102">
        <v>140</v>
      </c>
      <c r="AM124" t="s" s="102">
        <v>141</v>
      </c>
      <c r="AN124" s="99">
        <f>AH83</f>
        <v>0.596053023435441</v>
      </c>
      <c r="AO124" t="s" s="102">
        <f>IF(AN124&gt;0,"higher","lower")</f>
        <v>363</v>
      </c>
      <c r="AP124" t="s" s="102">
        <v>142</v>
      </c>
      <c r="AQ124" s="198">
        <f>AF83</f>
        <v>2226.493967692440</v>
      </c>
      <c r="AR124" t="s" s="102">
        <v>143</v>
      </c>
      <c r="AS124" s="103"/>
    </row>
    <row r="125" ht="8.35" customHeight="1" hidden="1">
      <c r="AA125" s="36"/>
      <c r="AB125" s="34"/>
      <c r="AC125" s="17"/>
      <c r="AD125" s="17"/>
      <c r="AE125" s="17"/>
      <c r="AF125" s="198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</row>
    <row r="126" ht="8.35" customHeight="1" hidden="1">
      <c r="AA126" s="36"/>
      <c r="AB126" s="14">
        <f>AB93</f>
        <v>2859.9</v>
      </c>
      <c r="AC126" s="15">
        <f>AC93</f>
        <v>2889.4</v>
      </c>
      <c r="AD126" s="15">
        <f>AD93</f>
        <v>2972.4</v>
      </c>
      <c r="AE126" s="15">
        <f>AE93</f>
        <v>2969</v>
      </c>
      <c r="AF126" s="198">
        <f>AF93</f>
        <v>3148.5</v>
      </c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</row>
    <row r="127" ht="8.35" customHeight="1" hidden="1">
      <c r="AA127" s="36"/>
      <c r="AB127" s="14">
        <f>SUM(AB106:AB107)</f>
        <v>284.2</v>
      </c>
      <c r="AC127" s="15">
        <f>SUM(AC106:AC107)</f>
        <v>85.40000000000001</v>
      </c>
      <c r="AD127" s="15">
        <f>SUM(AD106:AD107)</f>
        <v>-4.9</v>
      </c>
      <c r="AE127" s="15">
        <f>SUM(AE106:AE107)</f>
        <v>-220.8</v>
      </c>
      <c r="AF127" s="198">
        <f>SUM(AF106:AF107)</f>
        <v>-10.9</v>
      </c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</row>
    <row r="128" ht="8.35" customHeight="1" hidden="1">
      <c r="AA128" s="36"/>
      <c r="AB128" s="14">
        <f>SUM(AB120:AB121)</f>
        <v>304.9</v>
      </c>
      <c r="AC128" s="15">
        <f>SUM(AC120:AC121)</f>
        <v>118</v>
      </c>
      <c r="AD128" s="15">
        <f>SUM(AD120:AD121)</f>
        <v>-105</v>
      </c>
      <c r="AE128" s="15">
        <f>SUM(AE120:AE121)</f>
        <v>-181.6</v>
      </c>
      <c r="AF128" s="198">
        <f>SUM(AF120:AF121)</f>
        <v>78.59999999999999</v>
      </c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</row>
    <row r="129" ht="8.35" customHeight="1" hidden="1">
      <c r="AA129" s="36"/>
      <c r="AB129" s="14">
        <f>AB113-AB114</f>
        <v>-235</v>
      </c>
      <c r="AC129" s="15">
        <f>AC113-AC114</f>
        <v>-81</v>
      </c>
      <c r="AD129" s="15">
        <f>AD113-AD114</f>
        <v>-433</v>
      </c>
      <c r="AE129" s="15">
        <f>AE113-AE114</f>
        <v>-802</v>
      </c>
      <c r="AF129" s="198">
        <f>AF113-AF114</f>
        <v>-698</v>
      </c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</row>
    <row r="130" ht="8.35" customHeight="1" hidden="1">
      <c r="AA130" s="36"/>
      <c r="AB130" s="34"/>
      <c r="AC130" s="17"/>
      <c r="AD130" s="17"/>
      <c r="AE130" s="17"/>
      <c r="AF130" s="198">
        <f>AQ124</f>
        <v>2226.493967692440</v>
      </c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</row>
    <row r="131" ht="8.35" customHeight="1" hidden="1">
      <c r="AA131" s="36"/>
      <c r="AB131" s="34"/>
      <c r="AC131" s="17"/>
      <c r="AD131" s="17"/>
      <c r="AE131" s="17"/>
      <c r="AF131" s="198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</row>
    <row r="132" ht="8.35" customHeight="1" hidden="1">
      <c r="AA132" s="36"/>
      <c r="AB132" s="34"/>
      <c r="AC132" s="17"/>
      <c r="AD132" s="17"/>
      <c r="AE132" s="17"/>
      <c r="AF132" s="198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</row>
    <row r="133" ht="8.35" customHeight="1" hidden="1">
      <c r="AA133" s="36"/>
      <c r="AB133" s="34"/>
      <c r="AC133" s="17"/>
      <c r="AD133" s="17"/>
      <c r="AE133" s="17"/>
      <c r="AF133" s="198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</row>
    <row r="134" ht="8.35" customHeight="1" hidden="1">
      <c r="AA134" s="36"/>
      <c r="AB134" s="34"/>
      <c r="AC134" s="17"/>
      <c r="AD134" s="17"/>
      <c r="AE134" s="17"/>
      <c r="AF134" s="198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</row>
    <row r="135" ht="8.35" customHeight="1" hidden="1">
      <c r="AA135" s="36"/>
      <c r="AB135" s="34"/>
      <c r="AC135" s="17"/>
      <c r="AD135" s="17"/>
      <c r="AE135" s="17"/>
      <c r="AF135" s="198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</row>
    <row r="136" ht="8.35" customHeight="1" hidden="1">
      <c r="AA136" s="36"/>
      <c r="AB136" s="34"/>
      <c r="AC136" s="17"/>
      <c r="AD136" s="17"/>
      <c r="AE136" s="17"/>
      <c r="AF136" s="198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</row>
    <row r="137" ht="8.35" customHeight="1" hidden="1">
      <c r="AA137" s="36"/>
      <c r="AB137" s="34"/>
      <c r="AC137" s="17"/>
      <c r="AD137" s="17"/>
      <c r="AE137" s="17"/>
      <c r="AF137" s="198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</row>
  </sheetData>
  <mergeCells count="2">
    <mergeCell ref="B2:Z2"/>
    <mergeCell ref="AA36:AS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19" customWidth="1"/>
    <col min="2" max="26" width="10.4844" style="419" customWidth="1"/>
    <col min="27" max="27" width="18.9766" style="420" customWidth="1"/>
    <col min="28" max="46" width="9" style="420" customWidth="1"/>
    <col min="47" max="16384" width="16.3516" style="420" customWidth="1"/>
  </cols>
  <sheetData>
    <row r="1" ht="11.65" customHeight="1"/>
    <row r="2" ht="27.65" customHeight="1">
      <c r="B2" t="s" s="2">
        <v>788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789</v>
      </c>
      <c r="W3" t="s" s="3">
        <v>18</v>
      </c>
      <c r="X3" t="s" s="3">
        <v>284</v>
      </c>
      <c r="Y3" t="s" s="3">
        <v>19</v>
      </c>
      <c r="Z3" t="s" s="3">
        <v>20</v>
      </c>
    </row>
    <row r="4" ht="20.25" customHeight="1">
      <c r="B4" s="6">
        <v>2017</v>
      </c>
      <c r="C4" s="7">
        <v>1819.5</v>
      </c>
      <c r="D4" s="8">
        <v>93.5</v>
      </c>
      <c r="E4" s="8">
        <v>27.5</v>
      </c>
      <c r="F4" s="8"/>
      <c r="G4" s="8"/>
      <c r="H4" s="8"/>
      <c r="I4" s="8">
        <v>2244.75</v>
      </c>
      <c r="J4" s="8">
        <v>197.95</v>
      </c>
      <c r="K4" s="8">
        <v>-19.9625</v>
      </c>
      <c r="L4" s="8">
        <v>0</v>
      </c>
      <c r="M4" s="8">
        <v>-115.9725</v>
      </c>
      <c r="N4" s="8"/>
      <c r="O4" s="8"/>
      <c r="P4" s="9"/>
      <c r="Q4" s="9"/>
      <c r="R4" s="9"/>
      <c r="S4" s="9"/>
      <c r="T4" s="8">
        <f>J4+K4</f>
        <v>177.9875</v>
      </c>
      <c r="U4" s="8">
        <f>-(L4+M4)</f>
        <v>115.9725</v>
      </c>
      <c r="V4" s="8">
        <v>4702.6569408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>
        <v>1819.5</v>
      </c>
      <c r="D5" s="15">
        <v>93.5</v>
      </c>
      <c r="E5" s="15">
        <v>27.5</v>
      </c>
      <c r="F5" s="15"/>
      <c r="G5" s="15"/>
      <c r="H5" s="15"/>
      <c r="I5" s="15">
        <v>2244.75</v>
      </c>
      <c r="J5" s="15">
        <v>197.95</v>
      </c>
      <c r="K5" s="15">
        <v>-19.9625</v>
      </c>
      <c r="L5" s="15">
        <v>0</v>
      </c>
      <c r="M5" s="15">
        <v>-115.9725</v>
      </c>
      <c r="N5" s="15"/>
      <c r="O5" s="15"/>
      <c r="P5" s="16"/>
      <c r="Q5" s="17"/>
      <c r="R5" s="17"/>
      <c r="S5" s="17"/>
      <c r="T5" s="15">
        <f>J5+K5+T4</f>
        <v>355.975</v>
      </c>
      <c r="U5" s="15">
        <f>-(L5+M5)+U4</f>
        <v>231.945</v>
      </c>
      <c r="V5" s="15">
        <f>V4</f>
        <v>4702.6569408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>
        <v>1819.5</v>
      </c>
      <c r="D6" s="15">
        <v>93.5</v>
      </c>
      <c r="E6" s="15">
        <v>27.5</v>
      </c>
      <c r="F6" s="15"/>
      <c r="G6" s="15"/>
      <c r="H6" s="15"/>
      <c r="I6" s="15">
        <v>2244.75</v>
      </c>
      <c r="J6" s="15">
        <v>197.95</v>
      </c>
      <c r="K6" s="15">
        <v>-19.9625</v>
      </c>
      <c r="L6" s="15">
        <v>0</v>
      </c>
      <c r="M6" s="15">
        <v>-115.9725</v>
      </c>
      <c r="N6" s="15"/>
      <c r="O6" s="15"/>
      <c r="P6" s="16"/>
      <c r="Q6" s="17"/>
      <c r="R6" s="17"/>
      <c r="S6" s="17"/>
      <c r="T6" s="15">
        <f>J6+K6+T5</f>
        <v>533.9625</v>
      </c>
      <c r="U6" s="15">
        <f>-(L6+M6)+U5</f>
        <v>347.9175</v>
      </c>
      <c r="V6" s="15">
        <f>V5</f>
        <v>4702.6569408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>
        <v>1819.5</v>
      </c>
      <c r="D7" s="15">
        <v>93.5</v>
      </c>
      <c r="E7" s="15">
        <v>27.5</v>
      </c>
      <c r="F7" s="15"/>
      <c r="G7" s="15"/>
      <c r="H7" s="15"/>
      <c r="I7" s="15">
        <v>2244.75</v>
      </c>
      <c r="J7" s="15">
        <v>197.95</v>
      </c>
      <c r="K7" s="15">
        <v>-19.9625</v>
      </c>
      <c r="L7" s="15">
        <v>0</v>
      </c>
      <c r="M7" s="15">
        <v>-115.9725</v>
      </c>
      <c r="N7" s="15"/>
      <c r="O7" s="15"/>
      <c r="P7" s="16"/>
      <c r="Q7" s="17"/>
      <c r="R7" s="17"/>
      <c r="S7" s="17"/>
      <c r="T7" s="15">
        <f>J7+K7+T6</f>
        <v>711.95</v>
      </c>
      <c r="U7" s="15">
        <f>-(L7+M7)+U6</f>
        <v>463.89</v>
      </c>
      <c r="V7" s="15">
        <f>V6</f>
        <v>4702.6569408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v>1967.575</v>
      </c>
      <c r="D8" s="15">
        <v>86</v>
      </c>
      <c r="E8" s="15">
        <v>44.5</v>
      </c>
      <c r="F8" s="15"/>
      <c r="G8" s="15"/>
      <c r="H8" s="15"/>
      <c r="I8" s="15">
        <v>2173</v>
      </c>
      <c r="J8" s="15">
        <v>316.3</v>
      </c>
      <c r="K8" s="15">
        <v>-5.6</v>
      </c>
      <c r="L8" s="15">
        <v>0</v>
      </c>
      <c r="M8" s="15">
        <v>-160.565</v>
      </c>
      <c r="N8" s="15">
        <f>SUM(C5:C8)/4</f>
        <v>1856.51875</v>
      </c>
      <c r="O8" s="15"/>
      <c r="P8" s="16"/>
      <c r="Q8" s="16"/>
      <c r="R8" s="16"/>
      <c r="S8" s="15">
        <f>SUM(J5:K8)/4</f>
        <v>211.165625</v>
      </c>
      <c r="T8" s="15">
        <f>J8+K8+T7</f>
        <v>1022.65</v>
      </c>
      <c r="U8" s="15">
        <f>-(L8+M8)+U7</f>
        <v>624.455</v>
      </c>
      <c r="V8" s="15">
        <f>V7</f>
        <v>4702.6569408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>
        <v>1967.575</v>
      </c>
      <c r="D9" s="15">
        <v>86</v>
      </c>
      <c r="E9" s="15">
        <v>44.5</v>
      </c>
      <c r="F9" s="15"/>
      <c r="G9" s="15"/>
      <c r="H9" s="15"/>
      <c r="I9" s="15">
        <v>2173</v>
      </c>
      <c r="J9" s="15">
        <v>316.3</v>
      </c>
      <c r="K9" s="15">
        <v>-5.6</v>
      </c>
      <c r="L9" s="15">
        <v>0</v>
      </c>
      <c r="M9" s="15">
        <v>-160.565</v>
      </c>
      <c r="N9" s="15">
        <f>SUM(C6:C9)/4</f>
        <v>1893.5375</v>
      </c>
      <c r="O9" s="15"/>
      <c r="P9" s="16"/>
      <c r="Q9" s="16"/>
      <c r="R9" s="16"/>
      <c r="S9" s="15">
        <f>SUM(J6:K9)/4</f>
        <v>244.34375</v>
      </c>
      <c r="T9" s="15">
        <f>J9+K9+T8</f>
        <v>1333.35</v>
      </c>
      <c r="U9" s="15">
        <f>-(L9+M9)+U8</f>
        <v>785.02</v>
      </c>
      <c r="V9" s="15">
        <f>V8</f>
        <v>4702.6569408</v>
      </c>
      <c r="W9" s="15">
        <f>F13-G9</f>
        <v>1392</v>
      </c>
      <c r="X9" s="18"/>
      <c r="Y9" s="22"/>
      <c r="Z9" s="20">
        <v>14</v>
      </c>
    </row>
    <row r="10" ht="20.05" customHeight="1">
      <c r="B10" s="13"/>
      <c r="C10" s="14">
        <v>2121.75</v>
      </c>
      <c r="D10" s="15">
        <v>85</v>
      </c>
      <c r="E10" s="15">
        <v>25</v>
      </c>
      <c r="F10" s="15"/>
      <c r="G10" s="15"/>
      <c r="H10" s="15"/>
      <c r="I10" s="15">
        <v>2173</v>
      </c>
      <c r="J10" s="15">
        <v>148.2</v>
      </c>
      <c r="K10" s="15">
        <v>-85.8</v>
      </c>
      <c r="L10" s="15">
        <v>0</v>
      </c>
      <c r="M10" s="15">
        <v>-179.07</v>
      </c>
      <c r="N10" s="15">
        <f>SUM(C7:C10)/4</f>
        <v>1969.1</v>
      </c>
      <c r="O10" s="15"/>
      <c r="P10" s="16"/>
      <c r="Q10" s="16"/>
      <c r="R10" s="16"/>
      <c r="S10" s="15">
        <f>SUM(J7:K10)/4</f>
        <v>215.446875</v>
      </c>
      <c r="T10" s="15">
        <f>J10+K10+T9</f>
        <v>1395.75</v>
      </c>
      <c r="U10" s="15">
        <f>-(L10+M10)+U9</f>
        <v>964.09</v>
      </c>
      <c r="V10" s="15">
        <f>V9</f>
        <v>4702.6569408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>
        <v>2293.6</v>
      </c>
      <c r="D11" s="15">
        <v>88</v>
      </c>
      <c r="E11" s="15">
        <v>67</v>
      </c>
      <c r="F11" s="15">
        <v>1140</v>
      </c>
      <c r="G11" s="15">
        <v>4382</v>
      </c>
      <c r="H11" s="15">
        <v>7180</v>
      </c>
      <c r="I11" s="15">
        <v>2173</v>
      </c>
      <c r="J11" s="15">
        <v>-128.9</v>
      </c>
      <c r="K11" s="15">
        <v>-38</v>
      </c>
      <c r="L11" s="15">
        <v>0</v>
      </c>
      <c r="M11" s="15">
        <v>8.199999999999999</v>
      </c>
      <c r="N11" s="15">
        <f>SUM(C8:C11)/4</f>
        <v>2087.625</v>
      </c>
      <c r="O11" s="15"/>
      <c r="P11" s="16"/>
      <c r="Q11" s="16"/>
      <c r="R11" s="16"/>
      <c r="S11" s="15">
        <f>SUM(J8:K11)/4</f>
        <v>129.225</v>
      </c>
      <c r="T11" s="15">
        <f>J11+K11+T10</f>
        <v>1228.85</v>
      </c>
      <c r="U11" s="15">
        <f>-(L11+M11)+U10</f>
        <v>955.89</v>
      </c>
      <c r="V11" s="15">
        <f>V10</f>
        <v>4702.6569408</v>
      </c>
      <c r="W11" s="15">
        <f>F11-G11</f>
        <v>-3242</v>
      </c>
      <c r="X11" s="18"/>
      <c r="Y11" s="22"/>
      <c r="Z11" s="20">
        <v>14.38</v>
      </c>
    </row>
    <row r="12" ht="20.05" customHeight="1">
      <c r="B12" s="21">
        <v>2019</v>
      </c>
      <c r="C12" s="14">
        <v>2017.7</v>
      </c>
      <c r="D12" s="15">
        <v>48</v>
      </c>
      <c r="E12" s="15">
        <v>99.59999999999999</v>
      </c>
      <c r="F12" s="15">
        <v>0</v>
      </c>
      <c r="G12" s="15">
        <v>0</v>
      </c>
      <c r="H12" s="15">
        <v>0</v>
      </c>
      <c r="I12" s="15">
        <v>2043</v>
      </c>
      <c r="J12" s="15">
        <v>108.6</v>
      </c>
      <c r="K12" s="15">
        <v>-19.3</v>
      </c>
      <c r="L12" s="15">
        <v>311.74275</v>
      </c>
      <c r="M12" s="15">
        <v>-6.9</v>
      </c>
      <c r="N12" s="15">
        <f>SUM(C9:C12)/4</f>
        <v>2100.15625</v>
      </c>
      <c r="O12" s="23"/>
      <c r="P12" s="16"/>
      <c r="Q12" s="16">
        <f>(E12+D12)/C12</f>
        <v>0.0731525994944739</v>
      </c>
      <c r="R12" s="16">
        <f>AVERAGE(Q9:Q12)</f>
        <v>0.0731525994944739</v>
      </c>
      <c r="S12" s="15">
        <f>SUM(J9:K12)/4</f>
        <v>73.875</v>
      </c>
      <c r="T12" s="15">
        <f>J12+K12+T11</f>
        <v>1318.15</v>
      </c>
      <c r="U12" s="15">
        <f>-(L12+M12)+U11</f>
        <v>651.04725</v>
      </c>
      <c r="V12" s="15">
        <f>V11</f>
        <v>4702.6569408</v>
      </c>
      <c r="W12" s="15">
        <f>F12-G12</f>
        <v>0</v>
      </c>
      <c r="X12" s="15"/>
      <c r="Y12" s="22"/>
      <c r="Z12" s="20">
        <v>14.24</v>
      </c>
    </row>
    <row r="13" ht="20.05" customHeight="1">
      <c r="B13" s="13"/>
      <c r="C13" s="14">
        <v>2104.7</v>
      </c>
      <c r="D13" s="15">
        <v>118.5</v>
      </c>
      <c r="E13" s="15">
        <v>77</v>
      </c>
      <c r="F13" s="15">
        <v>1392</v>
      </c>
      <c r="G13" s="15">
        <v>4318</v>
      </c>
      <c r="H13" s="15">
        <v>7263</v>
      </c>
      <c r="I13" s="15">
        <v>2903</v>
      </c>
      <c r="J13" s="15">
        <v>211.8</v>
      </c>
      <c r="K13" s="15">
        <v>-21.3</v>
      </c>
      <c r="L13" s="15">
        <v>311.74275</v>
      </c>
      <c r="M13" s="15">
        <v>-20.1</v>
      </c>
      <c r="N13" s="15">
        <f>SUM(C10:C13)/4</f>
        <v>2134.4375</v>
      </c>
      <c r="O13" s="23"/>
      <c r="P13" s="16">
        <f>C13/C12-1</f>
        <v>0.0431184021410517</v>
      </c>
      <c r="Q13" s="16">
        <f>(E13+D13)/C13</f>
        <v>0.0928873473654202</v>
      </c>
      <c r="R13" s="16">
        <f>AVERAGE(Q10:Q13)</f>
        <v>0.0830199734299471</v>
      </c>
      <c r="S13" s="15">
        <f>SUM(J10:K13)/4</f>
        <v>43.825</v>
      </c>
      <c r="T13" s="15">
        <f>J13+K13+T12</f>
        <v>1508.65</v>
      </c>
      <c r="U13" s="15">
        <f>-(L13+M13)+U12</f>
        <v>359.4045</v>
      </c>
      <c r="V13" s="15">
        <f>V12</f>
        <v>4702.6569408</v>
      </c>
      <c r="W13" s="15">
        <f>F13-G13</f>
        <v>-2926</v>
      </c>
      <c r="X13" s="15"/>
      <c r="Y13" s="24"/>
      <c r="Z13" s="15">
        <v>14.127</v>
      </c>
    </row>
    <row r="14" ht="20.05" customHeight="1">
      <c r="B14" s="13"/>
      <c r="C14" s="14">
        <v>2045.1</v>
      </c>
      <c r="D14" s="15">
        <v>88</v>
      </c>
      <c r="E14" s="15">
        <v>175</v>
      </c>
      <c r="F14" s="15">
        <v>1306</v>
      </c>
      <c r="G14" s="15">
        <v>4128</v>
      </c>
      <c r="H14" s="15">
        <v>7245</v>
      </c>
      <c r="I14" s="15">
        <v>2184</v>
      </c>
      <c r="J14" s="15">
        <v>-27.8</v>
      </c>
      <c r="K14" s="15">
        <v>53</v>
      </c>
      <c r="L14" s="15">
        <v>311.74275</v>
      </c>
      <c r="M14" s="15">
        <v>27</v>
      </c>
      <c r="N14" s="15">
        <f>SUM(C11:C14)/4</f>
        <v>2115.275</v>
      </c>
      <c r="O14" s="23"/>
      <c r="P14" s="16">
        <f>C14/C13-1</f>
        <v>-0.0283175749512995</v>
      </c>
      <c r="Q14" s="16">
        <f>(E14+D14)/C14</f>
        <v>0.12860006845631</v>
      </c>
      <c r="R14" s="16">
        <f>AVERAGE(Q11:Q14)</f>
        <v>0.0982133384387347</v>
      </c>
      <c r="S14" s="15">
        <f>SUM(J11:K14)/4</f>
        <v>34.525</v>
      </c>
      <c r="T14" s="15">
        <f>J14+K14+T13</f>
        <v>1533.85</v>
      </c>
      <c r="U14" s="15">
        <f>-(L14+M14)+U13</f>
        <v>20.66175</v>
      </c>
      <c r="V14" s="15">
        <f>V13</f>
        <v>4702.6569408</v>
      </c>
      <c r="W14" s="15">
        <f>F14-G14</f>
        <v>-2822</v>
      </c>
      <c r="X14" s="15"/>
      <c r="Y14" s="24"/>
      <c r="Z14" s="15">
        <v>14.195</v>
      </c>
    </row>
    <row r="15" ht="20.05" customHeight="1">
      <c r="B15" s="13"/>
      <c r="C15" s="14">
        <v>2265.5</v>
      </c>
      <c r="D15" s="15">
        <v>88</v>
      </c>
      <c r="E15" s="15">
        <v>70</v>
      </c>
      <c r="F15" s="15">
        <v>1987</v>
      </c>
      <c r="G15" s="15">
        <v>3974</v>
      </c>
      <c r="H15" s="15">
        <v>8316</v>
      </c>
      <c r="I15" s="15">
        <v>2238</v>
      </c>
      <c r="J15" s="15">
        <v>-181.6</v>
      </c>
      <c r="K15" s="15">
        <v>-10.4</v>
      </c>
      <c r="L15" s="15">
        <v>311.74275</v>
      </c>
      <c r="M15" s="15">
        <v>734</v>
      </c>
      <c r="N15" s="15">
        <f>SUM(C12:C15)/4</f>
        <v>2108.25</v>
      </c>
      <c r="O15" s="15"/>
      <c r="P15" s="16">
        <f>C15/C14-1</f>
        <v>0.107769791208254</v>
      </c>
      <c r="Q15" s="16">
        <f>(E15+D15)/C15</f>
        <v>0.0697417788567645</v>
      </c>
      <c r="R15" s="16">
        <f>AVERAGE(Q12:Q15)</f>
        <v>0.0910954485432422</v>
      </c>
      <c r="S15" s="15">
        <f>SUM(J12:K15)/4</f>
        <v>28.25</v>
      </c>
      <c r="T15" s="15">
        <f>J15+K15+T14</f>
        <v>1341.85</v>
      </c>
      <c r="U15" s="15">
        <f>-(L15+M15)+U14</f>
        <v>-1025.081</v>
      </c>
      <c r="V15" s="15">
        <f>V14</f>
        <v>4702.6569408</v>
      </c>
      <c r="W15" s="15">
        <f>F15-G15</f>
        <v>-1987</v>
      </c>
      <c r="X15" s="15">
        <v>1870</v>
      </c>
      <c r="Y15" s="24"/>
      <c r="Z15" s="15">
        <v>13.882</v>
      </c>
    </row>
    <row r="16" ht="20.05" customHeight="1">
      <c r="B16" s="21">
        <v>2020</v>
      </c>
      <c r="C16" s="14">
        <v>2047.17</v>
      </c>
      <c r="D16" s="15">
        <v>367</v>
      </c>
      <c r="E16" s="15">
        <v>-131.46</v>
      </c>
      <c r="F16" s="15">
        <v>1580</v>
      </c>
      <c r="G16" s="15">
        <v>4524</v>
      </c>
      <c r="H16" s="15">
        <v>8686</v>
      </c>
      <c r="I16" s="15">
        <v>2463</v>
      </c>
      <c r="J16" s="15">
        <v>329.62025</v>
      </c>
      <c r="K16" s="15">
        <v>-406</v>
      </c>
      <c r="L16" s="15">
        <v>-24.94275</v>
      </c>
      <c r="M16" s="15">
        <v>-369.7</v>
      </c>
      <c r="N16" s="15">
        <f>SUM(C13:C16)/4</f>
        <v>2115.6175</v>
      </c>
      <c r="O16" s="15">
        <v>2137.0875</v>
      </c>
      <c r="P16" s="16">
        <f>C16/C15-1</f>
        <v>-0.0963716618847936</v>
      </c>
      <c r="Q16" s="16">
        <f>(E16+D16)/C16</f>
        <v>0.115056394925678</v>
      </c>
      <c r="R16" s="16">
        <f>AVERAGE(Q13:Q16)</f>
        <v>0.101571397401043</v>
      </c>
      <c r="S16" s="15">
        <f>SUM(J13:K16)/4</f>
        <v>-13.1699375</v>
      </c>
      <c r="T16" s="15">
        <f>J16+K16+T15</f>
        <v>1265.47025</v>
      </c>
      <c r="U16" s="15">
        <f>-(L16+M16)+U15</f>
        <v>-630.43825</v>
      </c>
      <c r="V16" s="15">
        <f>V15</f>
        <v>4702.6569408</v>
      </c>
      <c r="W16" s="15">
        <f>F16-G16</f>
        <v>-2944</v>
      </c>
      <c r="X16" s="15">
        <v>1243.5</v>
      </c>
      <c r="Y16" s="24"/>
      <c r="Z16" s="15">
        <v>16.31</v>
      </c>
    </row>
    <row r="17" ht="20.05" customHeight="1">
      <c r="B17" s="13"/>
      <c r="C17" s="14">
        <v>2076.83</v>
      </c>
      <c r="D17" s="15">
        <v>-86.5</v>
      </c>
      <c r="E17" s="15">
        <v>95</v>
      </c>
      <c r="F17" s="15">
        <v>1432</v>
      </c>
      <c r="G17" s="15">
        <v>4029</v>
      </c>
      <c r="H17" s="15">
        <v>8485</v>
      </c>
      <c r="I17" s="15">
        <v>2525</v>
      </c>
      <c r="J17" s="15">
        <v>18.52025</v>
      </c>
      <c r="K17" s="15">
        <v>-24.9</v>
      </c>
      <c r="L17" s="15">
        <v>-24.94275</v>
      </c>
      <c r="M17" s="15">
        <v>-144.3</v>
      </c>
      <c r="N17" s="15">
        <f>SUM(C14:C17)/4</f>
        <v>2108.65</v>
      </c>
      <c r="O17" s="15">
        <v>2091.213333333330</v>
      </c>
      <c r="P17" s="16">
        <f>C17/C16-1</f>
        <v>0.014488293595549</v>
      </c>
      <c r="Q17" s="16">
        <f>(E17+D17)/C17</f>
        <v>0.00409277600959154</v>
      </c>
      <c r="R17" s="16">
        <f>AVERAGE(Q14:Q17)</f>
        <v>0.07937275456208601</v>
      </c>
      <c r="S17" s="25">
        <f>SUM(J14:K17)/4</f>
        <v>-62.389875</v>
      </c>
      <c r="T17" s="15">
        <f>J17+K17+T16</f>
        <v>1259.0905</v>
      </c>
      <c r="U17" s="15">
        <f>-(L17+M17)+U16</f>
        <v>-461.1955</v>
      </c>
      <c r="V17" s="15">
        <f>V16</f>
        <v>4702.6569408</v>
      </c>
      <c r="W17" s="15">
        <f>F17-G17</f>
        <v>-2597</v>
      </c>
      <c r="X17" s="15">
        <v>1376.732056</v>
      </c>
      <c r="Y17" s="24"/>
      <c r="Z17" s="15">
        <v>14.255</v>
      </c>
    </row>
    <row r="18" ht="20.05" customHeight="1">
      <c r="B18" s="13"/>
      <c r="C18" s="14">
        <v>2079</v>
      </c>
      <c r="D18" s="15">
        <v>188.5</v>
      </c>
      <c r="E18" s="15">
        <v>236.46</v>
      </c>
      <c r="F18" s="15">
        <v>1930</v>
      </c>
      <c r="G18" s="15">
        <v>4203</v>
      </c>
      <c r="H18" s="15">
        <v>8575</v>
      </c>
      <c r="I18" s="15">
        <v>2671</v>
      </c>
      <c r="J18" s="15">
        <v>285.72025</v>
      </c>
      <c r="K18" s="15">
        <v>384.9</v>
      </c>
      <c r="L18" s="15">
        <v>-24.94275</v>
      </c>
      <c r="M18" s="15">
        <v>-198</v>
      </c>
      <c r="N18" s="15">
        <f>SUM(C15:C18)/4</f>
        <v>2117.125</v>
      </c>
      <c r="O18" s="15">
        <v>2092.809575</v>
      </c>
      <c r="P18" s="16">
        <f>C18/C17-1</f>
        <v>0.00104486164009572</v>
      </c>
      <c r="Q18" s="16">
        <f>(E18+D18)/C18</f>
        <v>0.204405964405964</v>
      </c>
      <c r="R18" s="16">
        <f>AVERAGE(Q15:Q18)</f>
        <v>0.0983242285494995</v>
      </c>
      <c r="S18" s="25">
        <f>SUM(J15:K18)/4</f>
        <v>98.9651875</v>
      </c>
      <c r="T18" s="15">
        <f>J18+K18+T17</f>
        <v>1929.71075</v>
      </c>
      <c r="U18" s="15">
        <f>-(L18+M18)+U17</f>
        <v>-238.25275</v>
      </c>
      <c r="V18" s="15">
        <f>V17</f>
        <v>4702.6569408</v>
      </c>
      <c r="W18" s="15">
        <f>F18-G18</f>
        <v>-2273</v>
      </c>
      <c r="X18" s="15">
        <v>1455</v>
      </c>
      <c r="Y18" s="24"/>
      <c r="Z18" s="15">
        <v>14.79</v>
      </c>
    </row>
    <row r="19" ht="20.05" customHeight="1">
      <c r="B19" s="13"/>
      <c r="C19" s="14">
        <v>2231</v>
      </c>
      <c r="D19" s="15">
        <v>109</v>
      </c>
      <c r="E19" s="15">
        <v>112</v>
      </c>
      <c r="F19" s="15">
        <v>1428</v>
      </c>
      <c r="G19" s="15">
        <v>3150</v>
      </c>
      <c r="H19" s="15">
        <v>7645</v>
      </c>
      <c r="I19" s="15">
        <v>2977</v>
      </c>
      <c r="J19" s="15">
        <v>625.6202500000001</v>
      </c>
      <c r="K19" s="15">
        <v>-250</v>
      </c>
      <c r="L19" s="15">
        <v>-24.94275</v>
      </c>
      <c r="M19" s="15">
        <v>-892</v>
      </c>
      <c r="N19" s="15">
        <f>SUM(C16:C19)/4</f>
        <v>2108.5</v>
      </c>
      <c r="O19" s="15">
        <v>2123.344575</v>
      </c>
      <c r="P19" s="16">
        <f>C19/C18-1</f>
        <v>0.0731120731120731</v>
      </c>
      <c r="Q19" s="16">
        <f>(E19+D19)/C19</f>
        <v>0.0990587180636486</v>
      </c>
      <c r="R19" s="16">
        <f>AVERAGE(Q16:Q19)</f>
        <v>0.105653463351221</v>
      </c>
      <c r="S19" s="25">
        <f>SUM(J16:K19)/4</f>
        <v>240.87025</v>
      </c>
      <c r="T19" s="15">
        <f>J19+K19+T18</f>
        <v>2305.331</v>
      </c>
      <c r="U19" s="15">
        <f>-(L19+M19)+U18</f>
        <v>678.6900000000001</v>
      </c>
      <c r="V19" s="15">
        <f>V18</f>
        <v>4702.6569408</v>
      </c>
      <c r="W19" s="15">
        <f>F19-G19</f>
        <v>-1722</v>
      </c>
      <c r="X19" s="15">
        <v>1470</v>
      </c>
      <c r="Y19" s="24"/>
      <c r="Z19" s="15">
        <v>14.1</v>
      </c>
    </row>
    <row r="20" ht="20.05" customHeight="1">
      <c r="B20" s="21">
        <v>2021</v>
      </c>
      <c r="C20" s="14">
        <v>2104</v>
      </c>
      <c r="D20" s="15">
        <v>111</v>
      </c>
      <c r="E20" s="15">
        <v>103</v>
      </c>
      <c r="F20" s="15">
        <v>1427</v>
      </c>
      <c r="G20" s="15">
        <v>3030</v>
      </c>
      <c r="H20" s="15">
        <v>7628</v>
      </c>
      <c r="I20" s="15">
        <v>1898</v>
      </c>
      <c r="J20" s="15">
        <v>266.308</v>
      </c>
      <c r="K20" s="15">
        <v>-44</v>
      </c>
      <c r="L20" s="15">
        <v>0</v>
      </c>
      <c r="M20" s="15">
        <v>-248</v>
      </c>
      <c r="N20" s="15">
        <f>SUM(C17:C20)/4</f>
        <v>2122.7075</v>
      </c>
      <c r="O20" s="15">
        <v>2117.455825</v>
      </c>
      <c r="P20" s="16">
        <f>C20/C19-1</f>
        <v>-0.0569251456745854</v>
      </c>
      <c r="Q20" s="16">
        <f>(E20+D20)/C20</f>
        <v>0.10171102661597</v>
      </c>
      <c r="R20" s="16">
        <f>AVERAGE(Q17:Q20)</f>
        <v>0.102317121273794</v>
      </c>
      <c r="S20" s="25">
        <f>SUM(J17:K20)/4</f>
        <v>315.5421875</v>
      </c>
      <c r="T20" s="15">
        <f>J20+K20+T19</f>
        <v>2527.639</v>
      </c>
      <c r="U20" s="15">
        <f>-(L20+M20)+U19</f>
        <v>926.6900000000001</v>
      </c>
      <c r="V20" s="15">
        <f>V19</f>
        <v>4702.6569408</v>
      </c>
      <c r="W20" s="15">
        <f>F20-G20</f>
        <v>-1603</v>
      </c>
      <c r="X20" s="15">
        <v>1650</v>
      </c>
      <c r="Y20" s="15"/>
      <c r="Z20" s="15">
        <v>14.606</v>
      </c>
    </row>
    <row r="21" ht="20.05" customHeight="1">
      <c r="B21" s="13"/>
      <c r="C21" s="14">
        <v>2350.8</v>
      </c>
      <c r="D21" s="15">
        <v>118.8</v>
      </c>
      <c r="E21" s="15">
        <v>140.4</v>
      </c>
      <c r="F21" s="15">
        <v>1408</v>
      </c>
      <c r="G21" s="15">
        <v>3070</v>
      </c>
      <c r="H21" s="15">
        <v>7810</v>
      </c>
      <c r="I21" s="15">
        <v>3334.4</v>
      </c>
      <c r="J21" s="15">
        <v>93.012</v>
      </c>
      <c r="K21" s="15">
        <v>-102.1</v>
      </c>
      <c r="L21" s="15">
        <v>0</v>
      </c>
      <c r="M21" s="15">
        <v>-32.3</v>
      </c>
      <c r="N21" s="15">
        <f>SUM(C18:C21)/4</f>
        <v>2191.2</v>
      </c>
      <c r="O21" s="15">
        <v>2164.589575</v>
      </c>
      <c r="P21" s="16">
        <f>C21/C20-1</f>
        <v>0.117300380228137</v>
      </c>
      <c r="Q21" s="16">
        <f>(E21+D21)/C21</f>
        <v>0.110260336906585</v>
      </c>
      <c r="R21" s="16">
        <f>AVERAGE(Q18:Q21)</f>
        <v>0.128859011498042</v>
      </c>
      <c r="S21" s="25">
        <f>SUM(J18:K21)/4</f>
        <v>314.865125</v>
      </c>
      <c r="T21" s="15">
        <f>J21+K21+T20</f>
        <v>2518.551</v>
      </c>
      <c r="U21" s="15">
        <f>-(L21+M21)+U20</f>
        <v>958.99</v>
      </c>
      <c r="V21" s="15">
        <f>V20</f>
        <v>4702.6569408</v>
      </c>
      <c r="W21" s="15">
        <f>F21-G21</f>
        <v>-1662</v>
      </c>
      <c r="X21" s="15">
        <v>1520</v>
      </c>
      <c r="Y21" s="15"/>
      <c r="Z21" s="15">
        <v>14.45</v>
      </c>
    </row>
    <row r="22" ht="20.05" customHeight="1">
      <c r="B22" s="13"/>
      <c r="C22" s="14">
        <v>2244.1</v>
      </c>
      <c r="D22" s="15">
        <v>118</v>
      </c>
      <c r="E22" s="15">
        <v>135</v>
      </c>
      <c r="F22" s="15">
        <v>1614</v>
      </c>
      <c r="G22" s="15">
        <v>2980</v>
      </c>
      <c r="H22" s="15">
        <v>7793</v>
      </c>
      <c r="I22" s="15">
        <v>3122</v>
      </c>
      <c r="J22" s="15">
        <v>328.98</v>
      </c>
      <c r="K22" s="15">
        <v>-49.6</v>
      </c>
      <c r="L22" s="15">
        <v>-62.336</v>
      </c>
      <c r="M22" s="15">
        <v>-93.5</v>
      </c>
      <c r="N22" s="15">
        <f>SUM(C19:C22)/4</f>
        <v>2232.475</v>
      </c>
      <c r="O22" s="15">
        <v>2234.0195</v>
      </c>
      <c r="P22" s="16">
        <f>C22/C21-1</f>
        <v>-0.0453888038114684</v>
      </c>
      <c r="Q22" s="16">
        <f>(E22+D22)/C22</f>
        <v>0.112740073971748</v>
      </c>
      <c r="R22" s="16">
        <f>AVERAGE(Q19:Q22)</f>
        <v>0.105942538889488</v>
      </c>
      <c r="S22" s="25">
        <f>SUM(J19:K22)/4</f>
        <v>217.0550625</v>
      </c>
      <c r="T22" s="15">
        <f>J22+K22+T21</f>
        <v>2797.931</v>
      </c>
      <c r="U22" s="15">
        <f>-(L22+M22)+U21</f>
        <v>1114.826</v>
      </c>
      <c r="V22" s="15">
        <f>V21</f>
        <v>4702.6569408</v>
      </c>
      <c r="W22" s="15">
        <f>F22-G22</f>
        <v>-1366</v>
      </c>
      <c r="X22" s="15">
        <v>1560</v>
      </c>
      <c r="Y22" s="15"/>
      <c r="Z22" s="15">
        <v>14.328</v>
      </c>
    </row>
    <row r="23" ht="20.05" customHeight="1">
      <c r="B23" s="13"/>
      <c r="C23" s="14">
        <v>2417.7</v>
      </c>
      <c r="D23" s="15">
        <v>118.8</v>
      </c>
      <c r="E23" s="15">
        <v>96.7</v>
      </c>
      <c r="F23" s="15">
        <v>1500</v>
      </c>
      <c r="G23" s="15">
        <v>2881</v>
      </c>
      <c r="H23" s="15">
        <v>7787</v>
      </c>
      <c r="I23" s="15">
        <v>2765.9</v>
      </c>
      <c r="J23" s="15">
        <v>18.3</v>
      </c>
      <c r="K23" s="15">
        <v>-38.1</v>
      </c>
      <c r="L23" s="15">
        <v>0.036</v>
      </c>
      <c r="M23" s="15">
        <v>-117.2</v>
      </c>
      <c r="N23" s="15">
        <f>SUM(C20:C23)/4</f>
        <v>2279.15</v>
      </c>
      <c r="O23" s="15">
        <v>2276.50075</v>
      </c>
      <c r="P23" s="16">
        <f>C23/C22-1</f>
        <v>0.07735840648812441</v>
      </c>
      <c r="Q23" s="16">
        <f>(E23+D23)/C23</f>
        <v>0.089134301195351</v>
      </c>
      <c r="R23" s="16">
        <f>AVERAGE(Q20:Q23)</f>
        <v>0.103461434672414</v>
      </c>
      <c r="S23" s="25">
        <f>SUM(J20:K23)/4</f>
        <v>118.2</v>
      </c>
      <c r="T23" s="15">
        <f>J23+K23+T22</f>
        <v>2778.131</v>
      </c>
      <c r="U23" s="15">
        <f>-(L23+M23)+U22</f>
        <v>1231.99</v>
      </c>
      <c r="V23" s="15">
        <f>V22</f>
        <v>4702.6569408</v>
      </c>
      <c r="W23" s="15">
        <f>F23-G23</f>
        <v>-1381</v>
      </c>
      <c r="X23" s="15">
        <v>1450</v>
      </c>
      <c r="Y23" s="15"/>
      <c r="Z23" s="15">
        <v>14.275</v>
      </c>
    </row>
    <row r="24" ht="20.05" customHeight="1">
      <c r="B24" s="21">
        <v>2022</v>
      </c>
      <c r="C24" s="14">
        <v>2547</v>
      </c>
      <c r="D24" s="15">
        <v>121</v>
      </c>
      <c r="E24" s="15">
        <v>89</v>
      </c>
      <c r="F24" s="15">
        <v>1687</v>
      </c>
      <c r="G24" s="15">
        <v>3052</v>
      </c>
      <c r="H24" s="15">
        <v>8084</v>
      </c>
      <c r="I24" s="15">
        <v>3033</v>
      </c>
      <c r="J24" s="15">
        <v>275.4</v>
      </c>
      <c r="K24" s="15">
        <v>-80.2</v>
      </c>
      <c r="L24" s="15">
        <v>0</v>
      </c>
      <c r="M24" s="15">
        <v>-31.9</v>
      </c>
      <c r="N24" s="15">
        <f>SUM(C21:C24)/4</f>
        <v>2389.9</v>
      </c>
      <c r="O24" s="15">
        <v>2316.198</v>
      </c>
      <c r="P24" s="16">
        <f>C24/C23-1</f>
        <v>0.0534805807172106</v>
      </c>
      <c r="Q24" s="16">
        <f>(E24+D24)/C24</f>
        <v>0.0824499411071849</v>
      </c>
      <c r="R24" s="16">
        <f>AVERAGE(Q21:Q24)</f>
        <v>0.09864616329521721</v>
      </c>
      <c r="S24" s="25">
        <f>SUM(J21:K24)/4</f>
        <v>111.423</v>
      </c>
      <c r="T24" s="15">
        <f>J24+K24+T23</f>
        <v>2973.331</v>
      </c>
      <c r="U24" s="15">
        <f>-(L24+M24)+U23</f>
        <v>1263.89</v>
      </c>
      <c r="V24" s="15">
        <f>V23</f>
        <v>4702.6569408</v>
      </c>
      <c r="W24" s="15">
        <f>F24-G24</f>
        <v>-1365</v>
      </c>
      <c r="X24" s="15">
        <v>1400</v>
      </c>
      <c r="Y24" s="15"/>
      <c r="Z24" s="15">
        <v>14.327</v>
      </c>
    </row>
    <row r="25" ht="20.05" customHeight="1">
      <c r="B25" s="13"/>
      <c r="C25" s="14">
        <v>2514.3</v>
      </c>
      <c r="D25" s="15">
        <v>121.8</v>
      </c>
      <c r="E25" s="15">
        <v>26.7</v>
      </c>
      <c r="F25" s="15">
        <v>1450</v>
      </c>
      <c r="G25" s="15">
        <v>3116</v>
      </c>
      <c r="H25" s="15">
        <v>8183</v>
      </c>
      <c r="I25" s="15">
        <v>2816.2</v>
      </c>
      <c r="J25" s="15">
        <v>-206.1</v>
      </c>
      <c r="K25" s="15">
        <v>-23.9</v>
      </c>
      <c r="L25" s="15">
        <v>0</v>
      </c>
      <c r="M25" s="15">
        <v>-33.9</v>
      </c>
      <c r="N25" s="15">
        <f>SUM(C22:C25)/4</f>
        <v>2430.775</v>
      </c>
      <c r="O25" s="15">
        <v>2431.418</v>
      </c>
      <c r="P25" s="16">
        <f>C25/C24-1</f>
        <v>-0.0128386336866902</v>
      </c>
      <c r="Q25" s="16">
        <f>(E25+D25)/C25</f>
        <v>0.0590621644195203</v>
      </c>
      <c r="R25" s="16">
        <f>AVERAGE(Q22:Q25)</f>
        <v>0.0858466201734511</v>
      </c>
      <c r="S25" s="25">
        <f>SUM(J22:K25)/4</f>
        <v>56.195</v>
      </c>
      <c r="T25" s="15">
        <f>J25+K25+T24</f>
        <v>2743.331</v>
      </c>
      <c r="U25" s="15">
        <f>-(L25+M25)+U24</f>
        <v>1297.79</v>
      </c>
      <c r="V25" s="15">
        <f>V24</f>
        <v>4702.6569408</v>
      </c>
      <c r="W25" s="15">
        <f>F25-G25</f>
        <v>-1666</v>
      </c>
      <c r="X25" s="15">
        <v>1220</v>
      </c>
      <c r="Y25" s="15"/>
      <c r="Z25" s="15">
        <v>14.66</v>
      </c>
    </row>
    <row r="26" ht="20.05" customHeight="1">
      <c r="B26" s="13"/>
      <c r="C26" s="14">
        <v>2528</v>
      </c>
      <c r="D26" s="15">
        <v>122.4</v>
      </c>
      <c r="E26" s="15">
        <v>138.2</v>
      </c>
      <c r="F26" s="15">
        <v>1361</v>
      </c>
      <c r="G26" s="15">
        <v>3071</v>
      </c>
      <c r="H26" s="15">
        <v>8179</v>
      </c>
      <c r="I26" s="15">
        <v>3092.4</v>
      </c>
      <c r="J26" s="15">
        <v>42.3</v>
      </c>
      <c r="K26" s="15">
        <v>-26.6</v>
      </c>
      <c r="L26" s="15">
        <v>-95</v>
      </c>
      <c r="M26" s="15">
        <v>-127.1</v>
      </c>
      <c r="N26" s="15">
        <f>SUM(C23:C26)/4</f>
        <v>2501.75</v>
      </c>
      <c r="O26" s="15">
        <v>2491.3065</v>
      </c>
      <c r="P26" s="16">
        <f>C26/C25-1</f>
        <v>0.00544883267708706</v>
      </c>
      <c r="Q26" s="16">
        <f>(E26+D26)/C26</f>
        <v>0.103085443037975</v>
      </c>
      <c r="R26" s="16">
        <f>AVERAGE(Q23:Q26)</f>
        <v>0.08343296244000779</v>
      </c>
      <c r="S26" s="25">
        <f>SUM(J23:K26)/4</f>
        <v>-9.725</v>
      </c>
      <c r="T26" s="15">
        <f>J26+K26+T25</f>
        <v>2759.031</v>
      </c>
      <c r="U26" s="15">
        <f>-(L26+M26)+U25</f>
        <v>1519.89</v>
      </c>
      <c r="V26" s="15">
        <f>V25</f>
        <v>4702.6569408</v>
      </c>
      <c r="W26" s="15">
        <f>F26-G26</f>
        <v>-1710</v>
      </c>
      <c r="X26" s="15">
        <v>1130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2812.00522752</v>
      </c>
      <c r="P27" s="17"/>
      <c r="Q27" s="17"/>
      <c r="R27" s="17"/>
      <c r="S27" s="25"/>
      <c r="T27" s="17"/>
      <c r="U27" s="17"/>
      <c r="V27" s="17"/>
      <c r="W27" s="26"/>
      <c r="X27" s="15">
        <v>1135</v>
      </c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24597.85</v>
      </c>
      <c r="O28" s="15">
        <f>SUM(O16:O26)</f>
        <v>24475.9431333333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AF87</f>
        <v>2033.364046585670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284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0.030862296548933</v>
      </c>
      <c r="AD49" s="35"/>
      <c r="AE49" s="35"/>
      <c r="AF49" s="35">
        <f>AVERAGE(AC51:AF51)</f>
        <v>0.0325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0.07735840648812441</v>
      </c>
      <c r="AD50" s="35">
        <f>P24</f>
        <v>0.0534805807172106</v>
      </c>
      <c r="AE50" s="35">
        <f>P25</f>
        <v>-0.0128386336866902</v>
      </c>
      <c r="AF50" s="35">
        <f>P26</f>
        <v>0.00544883267708706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0.08</v>
      </c>
      <c r="AD51" s="35">
        <v>0.04</v>
      </c>
      <c r="AE51" s="35">
        <v>-0.01</v>
      </c>
      <c r="AF51" s="35">
        <v>0.02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2528</v>
      </c>
      <c r="AC52" s="23">
        <f>C26*(1+AC51)</f>
        <v>2730.24</v>
      </c>
      <c r="AD52" s="23">
        <f>AC52*(1+AD51)</f>
        <v>2839.4496</v>
      </c>
      <c r="AE52" s="23">
        <f>AD52*(1+AE51)</f>
        <v>2811.055104</v>
      </c>
      <c r="AF52" s="23">
        <f>AE52*(1+AF51)</f>
        <v>2867.27620608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AVERAGE(Q26)</f>
        <v>0.103085443037975</v>
      </c>
      <c r="AD53" s="35">
        <f>AC53</f>
        <v>0.103085443037975</v>
      </c>
      <c r="AE53" s="35">
        <f>AD53</f>
        <v>0.103085443037975</v>
      </c>
      <c r="AF53" s="35">
        <f>AE53</f>
        <v>0.103085443037975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-26.6</v>
      </c>
      <c r="AD54" s="15">
        <f>AC54</f>
        <v>-26.6</v>
      </c>
      <c r="AE54" s="15">
        <f>AD54</f>
        <v>-26.6</v>
      </c>
      <c r="AF54" s="15">
        <f>AE54</f>
        <v>-26.6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254.848000000001</v>
      </c>
      <c r="AD55" s="15">
        <f>(AD52*AD53)+AD54</f>
        <v>266.105920000001</v>
      </c>
      <c r="AE55" s="15">
        <f>(AE52*AE53)+AE54</f>
        <v>263.178860800001</v>
      </c>
      <c r="AF55" s="15">
        <f>(AF52*AF53)+AF54</f>
        <v>268.974438016001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-153.55</v>
      </c>
      <c r="AD56" s="15">
        <f>-AC71/20</f>
        <v>-145.8725</v>
      </c>
      <c r="AE56" s="15">
        <f>-AD71/20</f>
        <v>-138.578875</v>
      </c>
      <c r="AF56" s="15">
        <f>-AE71/20</f>
        <v>-131.64993125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101.298000000001</v>
      </c>
      <c r="AD59" s="15">
        <f>AD55+AD56+AD58</f>
        <v>120.233420000001</v>
      </c>
      <c r="AE59" s="15">
        <f>AE55+AE56+AE58</f>
        <v>124.599985800001</v>
      </c>
      <c r="AF59" s="15">
        <f>AF55+AF56+AF58</f>
        <v>137.324506766001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1361</v>
      </c>
      <c r="AD61" s="15">
        <f>AC63</f>
        <v>1462.298</v>
      </c>
      <c r="AE61" s="15">
        <f>AD63</f>
        <v>1582.53142</v>
      </c>
      <c r="AF61" s="15">
        <f>AE63</f>
        <v>1707.1314058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101.298000000001</v>
      </c>
      <c r="AD62" s="15">
        <f>AD55+AD56+AD58+AD60</f>
        <v>120.233420000001</v>
      </c>
      <c r="AE62" s="15">
        <f>AE55+AE56+AE58+AE60</f>
        <v>124.599985800001</v>
      </c>
      <c r="AF62" s="15">
        <f>AF55+AF56+AF58+AF60</f>
        <v>137.324506766001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1462.298</v>
      </c>
      <c r="AD63" s="15">
        <f>AD61+AD62</f>
        <v>1582.53142</v>
      </c>
      <c r="AE63" s="15">
        <f>AE61+AE62</f>
        <v>1707.1314058</v>
      </c>
      <c r="AF63" s="15">
        <f>AF61+AF62</f>
        <v>1844.455912566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-121.733333333333</v>
      </c>
      <c r="AD65" s="15">
        <f>AC65</f>
        <v>-121.733333333333</v>
      </c>
      <c r="AE65" s="15">
        <f>AD65</f>
        <v>-121.733333333333</v>
      </c>
      <c r="AF65" s="15">
        <f>AE65</f>
        <v>-121.733333333333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159.714666666668</v>
      </c>
      <c r="AD66" s="15">
        <f>(AD52*AD53)+AD65</f>
        <v>170.972586666668</v>
      </c>
      <c r="AE66" s="15">
        <f>(AE52*AE53)+AE65</f>
        <v>168.045527466668</v>
      </c>
      <c r="AF66" s="15">
        <f>(AF52*AF53)+AF65</f>
        <v>173.841104682668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6844.6</v>
      </c>
      <c r="AD68" s="15">
        <f>AC68-AD54</f>
        <v>6871.2</v>
      </c>
      <c r="AE68" s="15">
        <f>AD68-AE54</f>
        <v>6897.8</v>
      </c>
      <c r="AF68" s="15">
        <f>AE68-AF54</f>
        <v>6924.4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121.733333333333</v>
      </c>
      <c r="AD69" s="15">
        <f>AC69-AD65</f>
        <v>243.466666666666</v>
      </c>
      <c r="AE69" s="15">
        <f>AD69-AE65</f>
        <v>365.199999999999</v>
      </c>
      <c r="AF69" s="15">
        <f>AE69-AF65</f>
        <v>486.933333333332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6722.866666666670</v>
      </c>
      <c r="AD70" s="15">
        <f>AD68-AD69</f>
        <v>6627.733333333330</v>
      </c>
      <c r="AE70" s="15">
        <f>AE68-AE69</f>
        <v>6532.6</v>
      </c>
      <c r="AF70" s="15">
        <f>AF68-AF69</f>
        <v>6437.466666666670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2917.45</v>
      </c>
      <c r="AD71" s="15">
        <f>AC71+AD56</f>
        <v>2771.5775</v>
      </c>
      <c r="AE71" s="15">
        <f>AD71+AE56</f>
        <v>2632.998625</v>
      </c>
      <c r="AF71" s="15">
        <f>AE71+AF56</f>
        <v>2501.34869375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5267.714666666670</v>
      </c>
      <c r="AD73" s="15">
        <f>AC73+AD66+AD58</f>
        <v>5438.687253333340</v>
      </c>
      <c r="AE73" s="15">
        <f>AD73+AE66+AE58</f>
        <v>5606.732780800010</v>
      </c>
      <c r="AF73" s="15">
        <f>AE73+AF66+AF58</f>
        <v>5780.573885482680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0</v>
      </c>
      <c r="AD74" s="15">
        <f>AD71+AD72+AD73-AD63-AD70</f>
        <v>9.999999999999999e-12</v>
      </c>
      <c r="AE74" s="15">
        <f>AE71+AE72+AE73-AE63-AE70</f>
        <v>9.999999999999999e-12</v>
      </c>
      <c r="AF74" s="15">
        <f>AF71+AF72+AF73-AF63-AF70</f>
        <v>9.999999999999999e-12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-1455.152</v>
      </c>
      <c r="AD75" s="15">
        <f>AD63-AD71-AD72</f>
        <v>-1189.04608</v>
      </c>
      <c r="AE75" s="15">
        <f>AE63-AE71-AE72</f>
        <v>-925.8672192</v>
      </c>
      <c r="AF75" s="15">
        <f>AF63-AF71-AF72</f>
        <v>-656.892781184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-153.55</v>
      </c>
      <c r="AD76" s="15">
        <f>AD56+AD58+AD60</f>
        <v>-145.8725</v>
      </c>
      <c r="AE76" s="15">
        <f>AE56+AE58+AE60</f>
        <v>-138.578875</v>
      </c>
      <c r="AF76" s="15">
        <f>AF56+AF58+AF60</f>
        <v>-131.64993125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790</v>
      </c>
      <c r="AB78" s="14"/>
      <c r="AC78" s="15"/>
      <c r="AD78" s="15"/>
      <c r="AE78" s="15"/>
      <c r="AF78" s="15">
        <v>1135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4702.6569408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4.14331008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0.567821891089896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-38.9</v>
      </c>
      <c r="AF83" s="15">
        <f>SUM(AC55:AF55)</f>
        <v>1053.107218816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6.11283120241476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4.46550631956275</v>
      </c>
      <c r="AF85" s="15">
        <v>8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8424.857750528001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2033.364046585670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0.791510173203233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0.126509513836282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-0.00495599683170277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790</v>
      </c>
      <c r="AD92" t="s" s="44">
        <f>AC114</f>
        <v>15</v>
      </c>
      <c r="AE92" t="s" s="44">
        <f>AD114</f>
        <v>58</v>
      </c>
      <c r="AF92" t="s" s="44">
        <f>AE114</f>
        <v>59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1135</v>
      </c>
      <c r="AE93" t="s" s="44">
        <v>61</v>
      </c>
      <c r="AF93" s="15">
        <f>AF87</f>
        <v>2033.364046585670</v>
      </c>
      <c r="AG93" t="s" s="44">
        <f>IF(AH93&gt;0,"+","")</f>
        <v>361</v>
      </c>
      <c r="AH93" s="16">
        <f>AF93/AD93-1</f>
        <v>0.791510173203233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0.126509513836282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</c>
      <c r="AF97" s="16">
        <f>(AE118+AE119+AG118+AG119+AI118+AI119+AK118+AK119)/AD135</f>
        <v>-0.008271919574338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  <v>361</v>
      </c>
      <c r="AF98" s="16">
        <f>(AE132+AE133+AG132+AG133+AI132+AI133+AK132+AK133)/AD135</f>
        <v>0.086135137029811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-0.363624228075013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0.00544883267708706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-0.0453888038114684</v>
      </c>
      <c r="AD102" s="16">
        <f>P23</f>
        <v>0.07735840648812441</v>
      </c>
      <c r="AE102" s="16">
        <f>P24</f>
        <v>0.0534805807172106</v>
      </c>
      <c r="AF102" s="16">
        <f>P25</f>
        <v>-0.0128386336866902</v>
      </c>
      <c r="AG102" s="16">
        <f>P26</f>
        <v>0.00544883267708706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2244.1</v>
      </c>
      <c r="AD103" t="s" s="44">
        <v>72</v>
      </c>
      <c r="AE103" s="15">
        <f>C23</f>
        <v>2417.7</v>
      </c>
      <c r="AF103" t="s" s="44">
        <v>72</v>
      </c>
      <c r="AG103" s="15">
        <f>C24</f>
        <v>2547</v>
      </c>
      <c r="AH103" t="s" s="44">
        <v>72</v>
      </c>
      <c r="AI103" s="15">
        <f>C25</f>
        <v>2514.3</v>
      </c>
      <c r="AJ103" t="s" s="44">
        <v>72</v>
      </c>
      <c r="AK103" s="15">
        <f>C26</f>
        <v>2528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0.00544883267708706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2528</v>
      </c>
      <c r="AK104" t="s" s="48">
        <f>AL103</f>
        <v>22</v>
      </c>
      <c r="AL104" t="s" s="44">
        <v>77</v>
      </c>
      <c r="AM104" t="s" s="44">
        <f>IF(AN104&gt;0,"+","")</f>
      </c>
      <c r="AN104" s="16">
        <f>AF90</f>
        <v>-0.00495599683170277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0.030862296548933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0.0325</v>
      </c>
      <c r="AE106" t="s" s="44">
        <v>82</v>
      </c>
      <c r="AF106" t="s" s="44">
        <v>83</v>
      </c>
      <c r="AG106" s="23">
        <f>AF52</f>
        <v>2867.27620608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108</v>
      </c>
      <c r="AE107" t="s" s="44">
        <v>86</v>
      </c>
      <c r="AF107" t="s" s="44">
        <f>IF(AJ111&gt;AH111,"up","down")</f>
        <v>108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0.112740073971748</v>
      </c>
      <c r="AD109" s="16">
        <f>(D23+E23)/C23</f>
        <v>0.089134301195351</v>
      </c>
      <c r="AE109" s="16">
        <f>((E24+D24)/C24)</f>
        <v>0.0824499411071849</v>
      </c>
      <c r="AF109" s="16">
        <f>(D25+E25)/C25</f>
        <v>0.0590621644195203</v>
      </c>
      <c r="AG109" s="16">
        <f>(D26+E26)/C26</f>
        <v>0.103085443037975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135</v>
      </c>
      <c r="AD110" t="s" s="44">
        <v>72</v>
      </c>
      <c r="AE110" s="15">
        <f>E23</f>
        <v>96.7</v>
      </c>
      <c r="AF110" t="s" s="44">
        <v>72</v>
      </c>
      <c r="AG110" s="15">
        <f>E24</f>
        <v>89</v>
      </c>
      <c r="AH110" t="s" s="44">
        <v>72</v>
      </c>
      <c r="AI110" s="15">
        <f>E25</f>
        <v>26.7</v>
      </c>
      <c r="AJ110" t="s" s="44">
        <v>72</v>
      </c>
      <c r="AK110" s="15">
        <f>E26</f>
        <v>138.2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0.0590621644195203</v>
      </c>
      <c r="AE111" t="s" s="44">
        <v>76</v>
      </c>
      <c r="AF111" s="16">
        <f>AG109</f>
        <v>0.103085443037975</v>
      </c>
      <c r="AG111" t="s" s="44">
        <v>90</v>
      </c>
      <c r="AH111" s="15">
        <f>AI110</f>
        <v>26.7</v>
      </c>
      <c r="AI111" t="s" s="44">
        <v>76</v>
      </c>
      <c r="AJ111" s="15">
        <f>AK110</f>
        <v>138.2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0.08343296244000779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0.103085443037975</v>
      </c>
      <c r="AE113" t="s" s="44">
        <v>94</v>
      </c>
      <c r="AF113" s="15">
        <f>AF66</f>
        <v>173.841104682668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59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230</v>
      </c>
      <c r="AE115" s="15">
        <f>ABS(AF120)</f>
        <v>15.7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230</v>
      </c>
      <c r="AD116" s="15">
        <f>ABS(AF120)</f>
        <v>15.7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328.98</v>
      </c>
      <c r="AD118" t="s" s="44">
        <v>72</v>
      </c>
      <c r="AE118" s="15">
        <f>J23</f>
        <v>18.3</v>
      </c>
      <c r="AF118" t="s" s="44">
        <v>72</v>
      </c>
      <c r="AG118" s="15">
        <f>J24</f>
        <v>275.4</v>
      </c>
      <c r="AH118" t="s" s="44">
        <v>72</v>
      </c>
      <c r="AI118" s="15">
        <f>J25</f>
        <v>-206.1</v>
      </c>
      <c r="AJ118" t="s" s="44">
        <v>72</v>
      </c>
      <c r="AK118" s="15">
        <f>J26</f>
        <v>42.3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-49.6</v>
      </c>
      <c r="AD119" t="s" s="44">
        <v>72</v>
      </c>
      <c r="AE119" s="15">
        <f>K23</f>
        <v>-38.1</v>
      </c>
      <c r="AF119" t="s" s="44">
        <v>72</v>
      </c>
      <c r="AG119" s="15">
        <f>K24</f>
        <v>-80.2</v>
      </c>
      <c r="AH119" t="s" s="44">
        <v>72</v>
      </c>
      <c r="AI119" s="15">
        <f>K25</f>
        <v>-23.9</v>
      </c>
      <c r="AJ119" t="s" s="44">
        <v>72</v>
      </c>
      <c r="AK119" s="15">
        <f>K26</f>
        <v>-26.6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-230</v>
      </c>
      <c r="AE120" t="s" s="44">
        <v>76</v>
      </c>
      <c r="AF120" s="15">
        <f>AK118+AK119</f>
        <v>15.7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-26.6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-9.725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-26.6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263.276804704001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87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1614</v>
      </c>
      <c r="AD125" t="s" s="44">
        <v>72</v>
      </c>
      <c r="AE125" s="15">
        <f>F23</f>
        <v>1500</v>
      </c>
      <c r="AF125" t="s" s="44">
        <v>72</v>
      </c>
      <c r="AG125" s="15">
        <f>F24</f>
        <v>1687</v>
      </c>
      <c r="AH125" t="s" s="44">
        <v>72</v>
      </c>
      <c r="AI125" s="15">
        <f>F25</f>
        <v>1450</v>
      </c>
      <c r="AJ125" t="s" s="44">
        <v>72</v>
      </c>
      <c r="AK125" s="15">
        <f>F26</f>
        <v>1361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2980</v>
      </c>
      <c r="AD126" t="s" s="44">
        <v>72</v>
      </c>
      <c r="AE126" s="15">
        <f>G23</f>
        <v>2881</v>
      </c>
      <c r="AF126" t="s" s="44">
        <v>72</v>
      </c>
      <c r="AG126" s="15">
        <f>G24</f>
        <v>3052</v>
      </c>
      <c r="AH126" t="s" s="44">
        <v>72</v>
      </c>
      <c r="AI126" s="15">
        <f>G25</f>
        <v>3116</v>
      </c>
      <c r="AJ126" t="s" s="44">
        <v>72</v>
      </c>
      <c r="AK126" s="15">
        <f>G26</f>
        <v>3071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370</v>
      </c>
      <c r="AE127" s="15">
        <f>AI125</f>
        <v>1450</v>
      </c>
      <c r="AF127" t="s" s="44">
        <v>76</v>
      </c>
      <c r="AG127" s="15">
        <f>AK125</f>
        <v>1361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370</v>
      </c>
      <c r="AE128" s="15">
        <f>AI126</f>
        <v>3116</v>
      </c>
      <c r="AF128" t="s" s="44">
        <v>76</v>
      </c>
      <c r="AG128" s="15">
        <f>AK126</f>
        <v>3071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87</v>
      </c>
      <c r="AL128" s="15">
        <f>AE127-AE128</f>
        <v>-1666</v>
      </c>
      <c r="AM128" t="s" s="44">
        <v>76</v>
      </c>
      <c r="AN128" s="15">
        <f>AG127-AG128</f>
        <v>-1710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-569.6513062499999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-656.892781184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374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62.336</v>
      </c>
      <c r="AD132" t="s" s="44">
        <v>72</v>
      </c>
      <c r="AE132" s="15">
        <f>-L23</f>
        <v>-0.036</v>
      </c>
      <c r="AF132" t="s" s="44">
        <v>72</v>
      </c>
      <c r="AG132" s="15">
        <f>-L24</f>
        <v>0</v>
      </c>
      <c r="AH132" t="s" s="44">
        <v>72</v>
      </c>
      <c r="AI132" s="15">
        <f>-L25</f>
        <v>0</v>
      </c>
      <c r="AJ132" t="s" s="44">
        <v>72</v>
      </c>
      <c r="AK132" s="15">
        <f>-L26</f>
        <v>95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93.5</v>
      </c>
      <c r="AD133" t="s" s="44">
        <v>72</v>
      </c>
      <c r="AE133" s="15">
        <f>-M23</f>
        <v>117.2</v>
      </c>
      <c r="AF133" t="s" s="44">
        <v>72</v>
      </c>
      <c r="AG133" s="15">
        <f>-M24</f>
        <v>31.9</v>
      </c>
      <c r="AH133" t="s" s="44">
        <v>72</v>
      </c>
      <c r="AI133" s="15">
        <f>-M25</f>
        <v>33.9</v>
      </c>
      <c r="AJ133" t="s" s="44">
        <v>72</v>
      </c>
      <c r="AK133" s="15">
        <f>-M26</f>
        <v>127.1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790</v>
      </c>
      <c r="AD134" t="s" s="44">
        <f>IF(AE134&gt;0,"paid","(raised)")</f>
        <v>374</v>
      </c>
      <c r="AE134" s="15">
        <f>SUM(AK132:AK133)</f>
        <v>222.1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95</v>
      </c>
      <c r="AK134" t="s" s="48">
        <f>AL103</f>
        <v>22</v>
      </c>
      <c r="AL134" t="s" s="44">
        <v>123</v>
      </c>
      <c r="AM134" s="15">
        <f>AK133</f>
        <v>127.1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569.6513062499999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4702.6569408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0.567821891089896</v>
      </c>
      <c r="AI135" t="s" s="44">
        <v>130</v>
      </c>
      <c r="AJ135" t="s" s="44">
        <v>131</v>
      </c>
      <c r="AK135" t="s" s="44">
        <v>132</v>
      </c>
      <c r="AL135" s="15">
        <f>AF84</f>
        <v>6.11283120241476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1053.107218816</v>
      </c>
      <c r="AE136" t="s" s="48">
        <f>AE135</f>
        <v>22</v>
      </c>
      <c r="AF136" t="s" s="44">
        <v>136</v>
      </c>
      <c r="AG136" s="15">
        <f>AD135/AD136</f>
        <v>4.46550631956275</v>
      </c>
      <c r="AH136" t="s" s="44">
        <v>130</v>
      </c>
      <c r="AI136" t="s" s="44">
        <v>137</v>
      </c>
      <c r="AJ136" t="s" s="44">
        <v>138</v>
      </c>
      <c r="AK136" s="15">
        <f>AF85</f>
        <v>8</v>
      </c>
      <c r="AL136" t="s" s="44">
        <v>139</v>
      </c>
      <c r="AM136" t="s" s="44">
        <v>140</v>
      </c>
      <c r="AN136" t="s" s="44">
        <v>141</v>
      </c>
      <c r="AO136" s="16">
        <f>AH93</f>
        <v>0.791510173203233</v>
      </c>
      <c r="AP136" t="s" s="44">
        <f>IF(AO136&gt;0,"higher","lower")</f>
        <v>363</v>
      </c>
      <c r="AQ136" t="s" s="44">
        <v>142</v>
      </c>
      <c r="AR136" s="15">
        <f>AF93</f>
        <v>2033.364046585670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2244.1</v>
      </c>
      <c r="AC138" s="15">
        <f>AE103</f>
        <v>2417.7</v>
      </c>
      <c r="AD138" s="15">
        <f>AG103</f>
        <v>2547</v>
      </c>
      <c r="AE138" s="15">
        <f>AI103</f>
        <v>2514.3</v>
      </c>
      <c r="AF138" s="15">
        <f>AK103</f>
        <v>2528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279.38</v>
      </c>
      <c r="AC139" s="15">
        <f>SUM(AE118:AE119)</f>
        <v>-19.8</v>
      </c>
      <c r="AD139" s="15">
        <f>SUM(AG118:AG119)</f>
        <v>195.2</v>
      </c>
      <c r="AE139" s="15">
        <f>SUM(AI118:AI119)</f>
        <v>-230</v>
      </c>
      <c r="AF139" s="15">
        <f>SUM(AK118:AK119)</f>
        <v>15.7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155.836</v>
      </c>
      <c r="AC140" s="15">
        <f>SUM(AE132:AE133)</f>
        <v>117.164</v>
      </c>
      <c r="AD140" s="15">
        <f>SUM(AG132:AG133)</f>
        <v>31.9</v>
      </c>
      <c r="AE140" s="15">
        <f>SUM(AI132:AI133)</f>
        <v>33.9</v>
      </c>
      <c r="AF140" s="15">
        <f>SUM(AK132:AK133)</f>
        <v>222.1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-1366</v>
      </c>
      <c r="AC141" s="15">
        <f>(AE125-AE126)</f>
        <v>-1381</v>
      </c>
      <c r="AD141" s="15">
        <f>(AG125-AG126)</f>
        <v>-1365</v>
      </c>
      <c r="AE141" s="15">
        <f>(AI125-AI126)</f>
        <v>-1666</v>
      </c>
      <c r="AF141" s="15">
        <f>(AK125-AK126)</f>
        <v>-1710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2033.364046585670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2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21" customWidth="1"/>
    <col min="2" max="28" width="10.4844" style="421" customWidth="1"/>
    <col min="29" max="29" width="18.9766" style="422" customWidth="1"/>
    <col min="30" max="48" width="9" style="422" customWidth="1"/>
    <col min="49" max="16384" width="16.3516" style="422" customWidth="1"/>
  </cols>
  <sheetData>
    <row r="1" ht="11.65" customHeight="1"/>
    <row r="2" ht="27.65" customHeight="1">
      <c r="B2" t="s" s="2">
        <v>791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261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8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8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8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8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8"/>
      <c r="AA15" s="24"/>
      <c r="AB15" s="15">
        <v>13.882</v>
      </c>
    </row>
    <row r="16" ht="20.05" customHeight="1">
      <c r="B16" s="21">
        <v>2020</v>
      </c>
      <c r="C16" s="14">
        <v>159.142</v>
      </c>
      <c r="D16" s="15">
        <v>1.78</v>
      </c>
      <c r="E16" s="15">
        <v>1.953</v>
      </c>
      <c r="F16" s="15"/>
      <c r="G16" s="15"/>
      <c r="H16" s="15"/>
      <c r="I16" s="15">
        <v>160.241</v>
      </c>
      <c r="J16" s="15">
        <v>-16.346</v>
      </c>
      <c r="K16" s="15">
        <v>-4.904</v>
      </c>
      <c r="L16" s="15">
        <v>17.995</v>
      </c>
      <c r="M16" s="15">
        <v>0</v>
      </c>
      <c r="N16" s="15">
        <f>SUM(C13:C16)/4</f>
        <v>39.7855</v>
      </c>
      <c r="O16" s="15"/>
      <c r="P16" s="16"/>
      <c r="Q16" s="16">
        <f>(E16+D16)/C16</f>
        <v>0.0234570383682497</v>
      </c>
      <c r="R16" s="16">
        <f>AVERAGE(Q13:Q16)</f>
        <v>0.0234570383682497</v>
      </c>
      <c r="S16" s="17"/>
      <c r="T16" s="15">
        <f>SUM(J13:K16)/4</f>
        <v>-5.3125</v>
      </c>
      <c r="U16" s="25"/>
      <c r="V16" s="15">
        <f>-(L16+M16)+V15</f>
        <v>-17.995</v>
      </c>
      <c r="W16" s="17"/>
      <c r="X16" s="15">
        <f>F16-G16</f>
        <v>0</v>
      </c>
      <c r="Y16" s="24"/>
      <c r="Z16" s="18"/>
      <c r="AA16" s="24"/>
      <c r="AB16" s="15">
        <v>16.31</v>
      </c>
    </row>
    <row r="17" ht="20.05" customHeight="1">
      <c r="B17" s="13"/>
      <c r="C17" s="14">
        <v>184.158</v>
      </c>
      <c r="D17" s="15">
        <v>0.995</v>
      </c>
      <c r="E17" s="15">
        <v>0.578</v>
      </c>
      <c r="F17" s="15"/>
      <c r="G17" s="15"/>
      <c r="H17" s="15"/>
      <c r="I17" s="15">
        <v>185.826</v>
      </c>
      <c r="J17" s="15">
        <v>26.251</v>
      </c>
      <c r="K17" s="15">
        <v>-7.058</v>
      </c>
      <c r="L17" s="15">
        <v>-20.251</v>
      </c>
      <c r="M17" s="15">
        <v>0</v>
      </c>
      <c r="N17" s="15">
        <f>SUM(C14:C17)/4</f>
        <v>85.825</v>
      </c>
      <c r="O17" s="15"/>
      <c r="P17" s="16">
        <f>C17/C16-1</f>
        <v>0.157192947179249</v>
      </c>
      <c r="Q17" s="16">
        <f>(E17+D17)/C17</f>
        <v>0.008541578427220101</v>
      </c>
      <c r="R17" s="16">
        <f>AVERAGE(Q14:Q17)</f>
        <v>0.0159993083977349</v>
      </c>
      <c r="S17" s="17"/>
      <c r="T17" s="25">
        <f>SUM(J14:K17)/4</f>
        <v>-0.51425</v>
      </c>
      <c r="U17" s="25"/>
      <c r="V17" s="15">
        <f>-(L17+M17)+V16</f>
        <v>2.256</v>
      </c>
      <c r="W17" s="17"/>
      <c r="X17" s="15">
        <f>F17-G17</f>
        <v>0</v>
      </c>
      <c r="Y17" s="24"/>
      <c r="Z17" s="18"/>
      <c r="AA17" s="24"/>
      <c r="AB17" s="15">
        <v>14.255</v>
      </c>
    </row>
    <row r="18" ht="20.05" customHeight="1">
      <c r="B18" s="13"/>
      <c r="C18" s="14">
        <v>167.647</v>
      </c>
      <c r="D18" s="15">
        <v>0.053</v>
      </c>
      <c r="E18" s="15">
        <v>8.147</v>
      </c>
      <c r="F18" s="15"/>
      <c r="G18" s="15"/>
      <c r="H18" s="15"/>
      <c r="I18" s="15">
        <v>174.307</v>
      </c>
      <c r="J18" s="15">
        <v>-4.867</v>
      </c>
      <c r="K18" s="15">
        <v>-2.591</v>
      </c>
      <c r="L18" s="15">
        <v>8.327999999999999</v>
      </c>
      <c r="M18" s="15">
        <v>0</v>
      </c>
      <c r="N18" s="15">
        <f>SUM(C15:C18)/4</f>
        <v>127.73675</v>
      </c>
      <c r="O18" s="15"/>
      <c r="P18" s="16">
        <f>C18/C17-1</f>
        <v>-0.0896567078269747</v>
      </c>
      <c r="Q18" s="16">
        <f>(E18+D18)/C18</f>
        <v>0.0489122978639642</v>
      </c>
      <c r="R18" s="16">
        <f>AVERAGE(Q15:Q18)</f>
        <v>0.026970304886478</v>
      </c>
      <c r="S18" s="17"/>
      <c r="T18" s="25">
        <f>SUM(J15:K18)/4</f>
        <v>-2.37875</v>
      </c>
      <c r="U18" s="25"/>
      <c r="V18" s="15">
        <f>-(L18+M18)+V17</f>
        <v>-6.072</v>
      </c>
      <c r="W18" s="17"/>
      <c r="X18" s="15">
        <f>F18-G18</f>
        <v>0</v>
      </c>
      <c r="Y18" s="24"/>
      <c r="Z18" s="18"/>
      <c r="AA18" s="24"/>
      <c r="AB18" s="15">
        <v>14.79</v>
      </c>
    </row>
    <row r="19" ht="20.05" customHeight="1">
      <c r="B19" s="13"/>
      <c r="C19" s="14">
        <v>184.543</v>
      </c>
      <c r="D19" s="15">
        <v>5.359</v>
      </c>
      <c r="E19" s="15">
        <v>-1.233</v>
      </c>
      <c r="F19" s="15"/>
      <c r="G19" s="15"/>
      <c r="H19" s="15"/>
      <c r="I19" s="15">
        <v>183.159</v>
      </c>
      <c r="J19" s="15">
        <v>-1.584</v>
      </c>
      <c r="K19" s="15">
        <v>-7.398</v>
      </c>
      <c r="L19" s="15">
        <v>10.366</v>
      </c>
      <c r="M19" s="15">
        <v>0</v>
      </c>
      <c r="N19" s="15">
        <f>SUM(C16:C19)/4</f>
        <v>173.8725</v>
      </c>
      <c r="O19" s="15"/>
      <c r="P19" s="16">
        <f>C19/C18-1</f>
        <v>0.100783193257261</v>
      </c>
      <c r="Q19" s="16">
        <f>(E19+D19)/C19</f>
        <v>0.0223579328395008</v>
      </c>
      <c r="R19" s="16">
        <f>AVERAGE(Q16:Q19)</f>
        <v>0.0258172118747337</v>
      </c>
      <c r="S19" s="17"/>
      <c r="T19" s="25">
        <f>SUM(J16:K19)/4</f>
        <v>-4.62425</v>
      </c>
      <c r="U19" s="25"/>
      <c r="V19" s="15">
        <f>-(L19+M19)+V18</f>
        <v>-16.438</v>
      </c>
      <c r="W19" s="17"/>
      <c r="X19" s="15">
        <f>F19-G19</f>
        <v>0</v>
      </c>
      <c r="Y19" s="24"/>
      <c r="Z19" s="15"/>
      <c r="AA19" s="24"/>
      <c r="AB19" s="15">
        <v>14.1</v>
      </c>
    </row>
    <row r="20" ht="20.05" customHeight="1">
      <c r="B20" s="21">
        <v>2021</v>
      </c>
      <c r="C20" s="14">
        <v>165.044</v>
      </c>
      <c r="D20" s="15">
        <v>1.995</v>
      </c>
      <c r="E20" s="15">
        <v>3.439</v>
      </c>
      <c r="F20" s="15">
        <v>6.132</v>
      </c>
      <c r="G20" s="15">
        <v>239.247</v>
      </c>
      <c r="H20" s="15">
        <v>411.102</v>
      </c>
      <c r="I20" s="15">
        <v>165.428</v>
      </c>
      <c r="J20" s="15">
        <v>-49.55</v>
      </c>
      <c r="K20" s="15">
        <v>-35.77</v>
      </c>
      <c r="L20" s="15">
        <v>42.132</v>
      </c>
      <c r="M20" s="15">
        <v>42.741</v>
      </c>
      <c r="N20" s="15">
        <f>SUM(C17:C20)/4</f>
        <v>175.348</v>
      </c>
      <c r="O20" s="15"/>
      <c r="P20" s="16">
        <f>C20/C19-1</f>
        <v>-0.105661011254829</v>
      </c>
      <c r="Q20" s="16">
        <f>(E20+D20)/C20</f>
        <v>0.0329245534524127</v>
      </c>
      <c r="R20" s="16">
        <f>AVERAGE(Q17:Q20)</f>
        <v>0.0281840906457745</v>
      </c>
      <c r="S20" s="17"/>
      <c r="T20" s="25">
        <f>SUM(J17:K20)/4</f>
        <v>-20.64175</v>
      </c>
      <c r="U20" s="25"/>
      <c r="V20" s="15">
        <f>-(L20+M20)+V19</f>
        <v>-101.311</v>
      </c>
      <c r="W20" s="17"/>
      <c r="X20" s="15">
        <f>F20-G20</f>
        <v>-233.115</v>
      </c>
      <c r="Y20" s="15"/>
      <c r="Z20" s="15">
        <v>600</v>
      </c>
      <c r="AA20" s="15"/>
      <c r="AB20" s="15">
        <v>14.606</v>
      </c>
    </row>
    <row r="21" ht="20.05" customHeight="1">
      <c r="B21" s="13"/>
      <c r="C21" s="14">
        <v>187.112</v>
      </c>
      <c r="D21" s="15">
        <v>2.254</v>
      </c>
      <c r="E21" s="15">
        <v>1.394</v>
      </c>
      <c r="F21" s="15">
        <v>6.483</v>
      </c>
      <c r="G21" s="15">
        <v>245.423</v>
      </c>
      <c r="H21" s="15">
        <v>418.397</v>
      </c>
      <c r="I21" s="15">
        <v>185.697</v>
      </c>
      <c r="J21" s="15">
        <v>49.944</v>
      </c>
      <c r="K21" s="15">
        <v>-45.631</v>
      </c>
      <c r="L21" s="15">
        <v>-0.497</v>
      </c>
      <c r="M21" s="15">
        <v>-3.465</v>
      </c>
      <c r="N21" s="15">
        <f>SUM(C18:C21)/4</f>
        <v>176.0865</v>
      </c>
      <c r="O21" s="15"/>
      <c r="P21" s="16">
        <f>C21/C20-1</f>
        <v>0.133709798599161</v>
      </c>
      <c r="Q21" s="16">
        <f>(E21+D21)/C21</f>
        <v>0.0194963444354184</v>
      </c>
      <c r="R21" s="16">
        <f>AVERAGE(Q18:Q21)</f>
        <v>0.030922782147824</v>
      </c>
      <c r="S21" s="17"/>
      <c r="T21" s="25">
        <f>SUM(J18:K21)/4</f>
        <v>-24.36175</v>
      </c>
      <c r="U21" s="25"/>
      <c r="V21" s="15">
        <f>-(L21+M21)+V20</f>
        <v>-97.349</v>
      </c>
      <c r="W21" s="17"/>
      <c r="X21" s="15">
        <f>F21-G21</f>
        <v>-238.94</v>
      </c>
      <c r="Y21" s="15"/>
      <c r="Z21" s="15">
        <v>1190</v>
      </c>
      <c r="AA21" s="15"/>
      <c r="AB21" s="15">
        <v>14.45</v>
      </c>
    </row>
    <row r="22" ht="20.05" customHeight="1">
      <c r="B22" s="13"/>
      <c r="C22" s="14">
        <v>164.179</v>
      </c>
      <c r="D22" s="15">
        <v>2.733</v>
      </c>
      <c r="E22" s="15">
        <v>3.211</v>
      </c>
      <c r="F22" s="15">
        <v>7.866</v>
      </c>
      <c r="G22" s="15">
        <v>242.574</v>
      </c>
      <c r="H22" s="15">
        <v>417.121</v>
      </c>
      <c r="I22" s="15">
        <v>166.964</v>
      </c>
      <c r="J22" s="15">
        <v>3.328</v>
      </c>
      <c r="K22" s="15">
        <v>-0.527</v>
      </c>
      <c r="L22" s="15">
        <v>1.581</v>
      </c>
      <c r="M22" s="15">
        <v>-3</v>
      </c>
      <c r="N22" s="15">
        <f>SUM(C19:C22)/4</f>
        <v>175.2195</v>
      </c>
      <c r="O22" s="15"/>
      <c r="P22" s="16">
        <f>C22/C21-1</f>
        <v>-0.122562956945573</v>
      </c>
      <c r="Q22" s="16">
        <f>(E22+D22)/C22</f>
        <v>0.0362043866755188</v>
      </c>
      <c r="R22" s="16">
        <f>AVERAGE(Q19:Q22)</f>
        <v>0.0277458043507127</v>
      </c>
      <c r="S22" s="17"/>
      <c r="T22" s="25">
        <f>SUM(J19:K22)/4</f>
        <v>-21.797</v>
      </c>
      <c r="U22" s="25"/>
      <c r="V22" s="15">
        <f>-(L22+M22)+V21</f>
        <v>-95.93000000000001</v>
      </c>
      <c r="W22" s="17"/>
      <c r="X22" s="15">
        <f>F22-G22</f>
        <v>-234.708</v>
      </c>
      <c r="Y22" s="15">
        <v>-234.708</v>
      </c>
      <c r="Z22" s="15">
        <v>930</v>
      </c>
      <c r="AA22" s="15"/>
      <c r="AB22" s="15">
        <v>14.328</v>
      </c>
    </row>
    <row r="23" ht="20.05" customHeight="1">
      <c r="B23" s="13"/>
      <c r="C23" s="14">
        <v>183.465</v>
      </c>
      <c r="D23" s="15">
        <v>3.006</v>
      </c>
      <c r="E23" s="15">
        <v>4.056</v>
      </c>
      <c r="F23" s="15">
        <v>7</v>
      </c>
      <c r="G23" s="15">
        <v>244</v>
      </c>
      <c r="H23" s="15">
        <v>424</v>
      </c>
      <c r="I23" s="15">
        <v>180.17</v>
      </c>
      <c r="J23" s="15">
        <v>0.506</v>
      </c>
      <c r="K23" s="15">
        <v>-4.479</v>
      </c>
      <c r="L23" s="15">
        <v>1.259</v>
      </c>
      <c r="M23" s="15">
        <v>1.675</v>
      </c>
      <c r="N23" s="15">
        <f>SUM(C20:C23)/4</f>
        <v>174.95</v>
      </c>
      <c r="O23" s="15">
        <v>180.5969</v>
      </c>
      <c r="P23" s="16">
        <f>C23/C22-1</f>
        <v>0.117469347480494</v>
      </c>
      <c r="Q23" s="16">
        <f>(E23+D23)/C23</f>
        <v>0.038492355490148</v>
      </c>
      <c r="R23" s="16">
        <f>AVERAGE(Q20:Q23)</f>
        <v>0.0317794100133745</v>
      </c>
      <c r="S23" s="17"/>
      <c r="T23" s="25">
        <f>SUM(J20:K23)/4</f>
        <v>-20.54475</v>
      </c>
      <c r="U23" s="25"/>
      <c r="V23" s="15">
        <f>-(L23+M23)+V22</f>
        <v>-98.864</v>
      </c>
      <c r="W23" s="17"/>
      <c r="X23" s="15">
        <f>F23-G23</f>
        <v>-237</v>
      </c>
      <c r="Y23" s="15">
        <v>-237</v>
      </c>
      <c r="Z23" s="15">
        <v>1625</v>
      </c>
      <c r="AA23" s="15">
        <v>2198.288576199040</v>
      </c>
      <c r="AB23" s="15">
        <v>14.275</v>
      </c>
    </row>
    <row r="24" ht="20.05" customHeight="1">
      <c r="B24" s="21">
        <v>2022</v>
      </c>
      <c r="C24" s="14">
        <v>172.1</v>
      </c>
      <c r="D24" s="15">
        <v>3.8</v>
      </c>
      <c r="E24" s="15">
        <v>2.9</v>
      </c>
      <c r="F24" s="15">
        <v>7</v>
      </c>
      <c r="G24" s="15">
        <v>239</v>
      </c>
      <c r="H24" s="15">
        <v>421</v>
      </c>
      <c r="I24" s="15">
        <v>181.8</v>
      </c>
      <c r="J24" s="15">
        <v>4.37</v>
      </c>
      <c r="K24" s="15">
        <v>-1.9</v>
      </c>
      <c r="L24" s="15">
        <v>-2.07</v>
      </c>
      <c r="M24" s="15">
        <v>0</v>
      </c>
      <c r="N24" s="15">
        <f>SUM(C21:C24)/4</f>
        <v>176.714</v>
      </c>
      <c r="O24" s="15">
        <v>180.5969</v>
      </c>
      <c r="P24" s="16">
        <f>C24/C23-1</f>
        <v>-0.0619464202981495</v>
      </c>
      <c r="Q24" s="16">
        <f>(E24+D24)/C24</f>
        <v>0.0389308541545613</v>
      </c>
      <c r="R24" s="16">
        <f>AVERAGE(Q21:Q24)</f>
        <v>0.0332809851889116</v>
      </c>
      <c r="S24" s="35"/>
      <c r="T24" s="25">
        <f>SUM(J21:K24)/4</f>
        <v>1.40275</v>
      </c>
      <c r="U24" s="15">
        <v>403.316998132762</v>
      </c>
      <c r="V24" s="15">
        <f>-(L24+M24)+V23</f>
        <v>-96.794</v>
      </c>
      <c r="W24" s="15"/>
      <c r="X24" s="15">
        <f>F24-G24</f>
        <v>-232</v>
      </c>
      <c r="Y24" s="15">
        <v>-232</v>
      </c>
      <c r="Z24" s="15">
        <v>2300</v>
      </c>
      <c r="AA24" s="15">
        <v>1956.115423375710</v>
      </c>
      <c r="AB24" s="15">
        <v>14.327</v>
      </c>
    </row>
    <row r="25" ht="20.05" customHeight="1">
      <c r="B25" s="13"/>
      <c r="C25" s="14">
        <v>192.1</v>
      </c>
      <c r="D25" s="15">
        <v>3.1</v>
      </c>
      <c r="E25" s="15">
        <v>2.6</v>
      </c>
      <c r="F25" s="15">
        <v>7</v>
      </c>
      <c r="G25" s="15">
        <v>233</v>
      </c>
      <c r="H25" s="15">
        <v>419</v>
      </c>
      <c r="I25" s="15">
        <v>175.7</v>
      </c>
      <c r="J25" s="15">
        <v>1.46</v>
      </c>
      <c r="K25" s="15">
        <v>28.8</v>
      </c>
      <c r="L25" s="15">
        <v>-30.06</v>
      </c>
      <c r="M25" s="15">
        <v>0</v>
      </c>
      <c r="N25" s="15">
        <f>SUM(C22:C25)/4</f>
        <v>177.961</v>
      </c>
      <c r="O25" s="15">
        <v>180.5969</v>
      </c>
      <c r="P25" s="16">
        <f>C25/C24-1</f>
        <v>0.116211504938989</v>
      </c>
      <c r="Q25" s="16">
        <f>(E25+D25)/C25</f>
        <v>0.0296720458094742</v>
      </c>
      <c r="R25" s="16">
        <f>AVERAGE(Q22:Q25)</f>
        <v>0.0358249105324256</v>
      </c>
      <c r="S25" s="35"/>
      <c r="T25" s="25">
        <f>SUM(J22:K25)/4</f>
        <v>7.8895</v>
      </c>
      <c r="U25" s="15">
        <v>-2123.377826381890</v>
      </c>
      <c r="V25" s="15">
        <f>-(L25+M25)+V24</f>
        <v>-66.73399999999999</v>
      </c>
      <c r="W25" s="15"/>
      <c r="X25" s="15">
        <f>F25-G25</f>
        <v>-226</v>
      </c>
      <c r="Y25" s="15">
        <v>-226</v>
      </c>
      <c r="Z25" s="15">
        <v>1170</v>
      </c>
      <c r="AA25" s="15">
        <v>2477.746202942560</v>
      </c>
      <c r="AB25" s="15">
        <v>14.66</v>
      </c>
    </row>
    <row r="26" ht="20.05" customHeight="1">
      <c r="B26" s="13"/>
      <c r="C26" s="14">
        <v>177.6</v>
      </c>
      <c r="D26" s="15">
        <v>4.2</v>
      </c>
      <c r="E26" s="15">
        <v>4.6</v>
      </c>
      <c r="F26" s="15">
        <v>7</v>
      </c>
      <c r="G26" s="15">
        <v>245</v>
      </c>
      <c r="H26" s="15">
        <v>435</v>
      </c>
      <c r="I26" s="15">
        <v>190.3</v>
      </c>
      <c r="J26" s="15">
        <v>-1.87</v>
      </c>
      <c r="K26" s="15">
        <v>-13.6</v>
      </c>
      <c r="L26" s="15">
        <v>14.67</v>
      </c>
      <c r="M26" s="15">
        <v>0</v>
      </c>
      <c r="N26" s="15">
        <f>SUM(C23:C26)/4</f>
        <v>181.31625</v>
      </c>
      <c r="O26" s="15">
        <v>180.5969</v>
      </c>
      <c r="P26" s="16">
        <f>C26/C25-1</f>
        <v>-0.075481520041645</v>
      </c>
      <c r="Q26" s="16">
        <f>(E26+D26)/C26</f>
        <v>0.0495495495495495</v>
      </c>
      <c r="R26" s="16">
        <f>AVERAGE(Q23:Q26)</f>
        <v>0.0391612012509333</v>
      </c>
      <c r="S26" s="35">
        <f>S27</f>
        <v>0.0495495495495495</v>
      </c>
      <c r="T26" s="25">
        <f>SUM(J23:K26)/4</f>
        <v>3.32175</v>
      </c>
      <c r="U26" s="15">
        <v>-573.493171270636</v>
      </c>
      <c r="V26" s="15">
        <f>-(L26+M26)+V25</f>
        <v>-81.404</v>
      </c>
      <c r="W26" s="15">
        <f>W27</f>
        <v>-62.5776482</v>
      </c>
      <c r="X26" s="15">
        <f>F26-G26</f>
        <v>-238</v>
      </c>
      <c r="Y26" s="15">
        <v>-214.862326834560</v>
      </c>
      <c r="Z26" s="15">
        <v>462</v>
      </c>
      <c r="AA26" s="15">
        <v>2627.239863635450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185.3818659</v>
      </c>
      <c r="P27" s="17"/>
      <c r="Q27" s="17"/>
      <c r="R27" s="17"/>
      <c r="S27" s="35">
        <f>AE53</f>
        <v>0.0495495495495495</v>
      </c>
      <c r="T27" s="25"/>
      <c r="U27" s="15">
        <f>SUM(AE55:AH55)/4</f>
        <v>4.70658794999999</v>
      </c>
      <c r="V27" s="17"/>
      <c r="W27" s="15">
        <f>-SUM(AE76:AH76)+V26</f>
        <v>-62.5776482</v>
      </c>
      <c r="X27" s="26"/>
      <c r="Y27" s="15">
        <f>AH75</f>
        <v>-219.1736482</v>
      </c>
      <c r="Z27" s="15">
        <v>202</v>
      </c>
      <c r="AA27" s="15">
        <v>2477.746202942560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710.94125</v>
      </c>
      <c r="O28" s="15">
        <f>SUM(O23:O26)</f>
        <v>722.3876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164.601980648191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261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0.0240632280199221</v>
      </c>
      <c r="AF49" s="35"/>
      <c r="AG49" s="35"/>
      <c r="AH49" s="35">
        <f>AVERAGE(AE51:AH51)</f>
        <v>0.01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0.117469347480494</v>
      </c>
      <c r="AF50" s="35">
        <f>P24</f>
        <v>-0.0619464202981495</v>
      </c>
      <c r="AG50" s="35">
        <f>P25</f>
        <v>0.116211504938989</v>
      </c>
      <c r="AH50" s="35">
        <f>P26</f>
        <v>-0.075481520041645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-0.03</v>
      </c>
      <c r="AG51" s="35">
        <v>0.05</v>
      </c>
      <c r="AH51" s="35">
        <v>-0.03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177.6</v>
      </c>
      <c r="AE52" s="23">
        <f>C26*(1+AE51)</f>
        <v>186.48</v>
      </c>
      <c r="AF52" s="23">
        <f>AE52*(1+AF51)</f>
        <v>180.8856</v>
      </c>
      <c r="AG52" s="23">
        <f>AF52*(1+AG51)</f>
        <v>189.92988</v>
      </c>
      <c r="AH52" s="23">
        <f>AG52*(1+AH51)</f>
        <v>184.2319836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0.0495495495495495</v>
      </c>
      <c r="AF53" s="35">
        <f>AE53</f>
        <v>0.0495495495495495</v>
      </c>
      <c r="AG53" s="35">
        <f>AF53</f>
        <v>0.0495495495495495</v>
      </c>
      <c r="AH53" s="35">
        <f>AG53</f>
        <v>0.0495495495495495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AVERAGE(K23)</f>
        <v>-4.479</v>
      </c>
      <c r="AF54" s="15">
        <f>AE54</f>
        <v>-4.479</v>
      </c>
      <c r="AG54" s="15">
        <f>AF54</f>
        <v>-4.479</v>
      </c>
      <c r="AH54" s="15">
        <f>AG54</f>
        <v>-4.479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4.76099999999999</v>
      </c>
      <c r="AF55" s="15">
        <f>(AF52*AF53)+AF54</f>
        <v>4.48379999999999</v>
      </c>
      <c r="AG55" s="15">
        <f>(AG52*AG53)+AG54</f>
        <v>4.93193999999999</v>
      </c>
      <c r="AH55" s="15">
        <f>(AH52*AH53)+AH54</f>
        <v>4.64961179999999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-12.25</v>
      </c>
      <c r="AF56" s="15">
        <f>-AE71/20</f>
        <v>-11.6375</v>
      </c>
      <c r="AG56" s="15">
        <f>-AF71/20</f>
        <v>-11.055625</v>
      </c>
      <c r="AH56" s="15">
        <f>-AG71/20</f>
        <v>-10.50284375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-7.48900000000001</v>
      </c>
      <c r="AF59" s="15">
        <f>AF55+AF56+AF58</f>
        <v>-7.15370000000001</v>
      </c>
      <c r="AG59" s="15">
        <f>AG55+AG56+AG58</f>
        <v>-6.12368500000001</v>
      </c>
      <c r="AH59" s="15">
        <f>AH55+AH56+AH58</f>
        <v>-5.85323195000001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7.48900000000001</v>
      </c>
      <c r="AF60" s="15">
        <f>-MIN(AE72,AF59)</f>
        <v>7.15370000000001</v>
      </c>
      <c r="AG60" s="15">
        <f>-MIN(AF72,AG59)</f>
        <v>6.12368500000001</v>
      </c>
      <c r="AH60" s="15">
        <f>-MIN(AG72,AH59)</f>
        <v>5.85323195000001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</v>
      </c>
      <c r="AF61" s="15">
        <f>AE63</f>
        <v>7</v>
      </c>
      <c r="AG61" s="15">
        <f>AF63</f>
        <v>7</v>
      </c>
      <c r="AH61" s="15">
        <f>AG63</f>
        <v>7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</v>
      </c>
      <c r="AF63" s="15">
        <f>AF61+AF62</f>
        <v>7</v>
      </c>
      <c r="AG63" s="15">
        <f>AG61+AG62</f>
        <v>7</v>
      </c>
      <c r="AH63" s="15">
        <f>AH61+AH62</f>
        <v>7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-3.7</v>
      </c>
      <c r="AF65" s="15">
        <f>AE65</f>
        <v>-3.7</v>
      </c>
      <c r="AG65" s="15">
        <f>AF65</f>
        <v>-3.7</v>
      </c>
      <c r="AH65" s="15">
        <f>AG65</f>
        <v>-3.7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5.53999999999999</v>
      </c>
      <c r="AF66" s="15">
        <f>(AF52*AF53)+AF65</f>
        <v>5.26279999999999</v>
      </c>
      <c r="AG66" s="15">
        <f>(AG52*AG53)+AG65</f>
        <v>5.71093999999999</v>
      </c>
      <c r="AH66" s="15">
        <f>(AH52*AH53)+AH65</f>
        <v>5.42861179999999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432.479</v>
      </c>
      <c r="AF68" s="15">
        <f>AE68-AF54</f>
        <v>436.958</v>
      </c>
      <c r="AG68" s="15">
        <f>AF68-AG54</f>
        <v>441.437</v>
      </c>
      <c r="AH68" s="15">
        <f>AG68-AH54</f>
        <v>445.916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3.7</v>
      </c>
      <c r="AF69" s="15">
        <f>AE69-AF65</f>
        <v>7.4</v>
      </c>
      <c r="AG69" s="15">
        <f>AF69-AG65</f>
        <v>11.1</v>
      </c>
      <c r="AH69" s="15">
        <f>AG69-AH65</f>
        <v>14.8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428.779</v>
      </c>
      <c r="AF70" s="15">
        <f>AF68-AF69</f>
        <v>429.558</v>
      </c>
      <c r="AG70" s="15">
        <f>AG68-AG69</f>
        <v>430.337</v>
      </c>
      <c r="AH70" s="15">
        <f>AH68-AH69</f>
        <v>431.116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232.75</v>
      </c>
      <c r="AF71" s="15">
        <f>AE71+AF56</f>
        <v>221.1125</v>
      </c>
      <c r="AG71" s="15">
        <f>AF71+AG56</f>
        <v>210.056875</v>
      </c>
      <c r="AH71" s="15">
        <f>AG71+AH56</f>
        <v>199.55403125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7.48900000000001</v>
      </c>
      <c r="AF72" s="15">
        <f>AE72+AF60</f>
        <v>14.6427</v>
      </c>
      <c r="AG72" s="15">
        <f>AF72+AG60</f>
        <v>20.766385</v>
      </c>
      <c r="AH72" s="15">
        <f>AG72+AH60</f>
        <v>26.61961695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195.54</v>
      </c>
      <c r="AF73" s="15">
        <f>AE73+AF66+AF58</f>
        <v>200.8028</v>
      </c>
      <c r="AG73" s="15">
        <f>AF73+AG66+AG58</f>
        <v>206.51374</v>
      </c>
      <c r="AH73" s="15">
        <f>AG73+AH66+AH58</f>
        <v>211.9423518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1e-14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-233.239</v>
      </c>
      <c r="AF75" s="15">
        <f>AF63-AF71-AF72</f>
        <v>-228.7552</v>
      </c>
      <c r="AG75" s="15">
        <f>AG63-AG71-AG72</f>
        <v>-223.82326</v>
      </c>
      <c r="AH75" s="15">
        <f>AH63-AH71-AH72</f>
        <v>-219.1736482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-4.76099999999999</v>
      </c>
      <c r="AF76" s="15">
        <f>AF56+AF58+AF60</f>
        <v>-4.48379999999999</v>
      </c>
      <c r="AG76" s="15">
        <f>AG56+AG58+AG60</f>
        <v>-4.93193999999999</v>
      </c>
      <c r="AH76" s="15">
        <f>AH56+AH58+AH60</f>
        <v>-4.64961179999999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792</v>
      </c>
      <c r="AD78" s="14"/>
      <c r="AE78" s="15"/>
      <c r="AF78" s="15"/>
      <c r="AG78" s="15"/>
      <c r="AH78" s="15">
        <v>202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792</v>
      </c>
      <c r="AD79" s="14"/>
      <c r="AE79" s="15"/>
      <c r="AF79" s="15"/>
      <c r="AG79" s="15"/>
      <c r="AH79" s="15">
        <v>462075006464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462.075006464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2.287500032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1.05468644483196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13.287</v>
      </c>
      <c r="AH84" s="15">
        <f>SUM(AE55:AH55)</f>
        <v>18.8263518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22.8996039476963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24.5440545981936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376.527036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164.601980648191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-0.185138709662421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0.0817461429293637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0.0161002755150303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792</v>
      </c>
      <c r="AF93" t="s" s="44">
        <f>AE115</f>
        <v>15</v>
      </c>
      <c r="AG93" t="s" s="44">
        <f>AF115</f>
        <v>485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202</v>
      </c>
      <c r="AG94" t="s" s="44">
        <v>61</v>
      </c>
      <c r="AH94" s="15">
        <f>AH88</f>
        <v>164.601980648191</v>
      </c>
      <c r="AI94" t="s" s="44">
        <f>IF(AJ94&gt;0,"+","")</f>
      </c>
      <c r="AJ94" s="16">
        <f>AH94/AF94-1</f>
        <v>-0.185138709662421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0.0817461429293637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0.0287550718262776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540</v>
      </c>
      <c r="AG99" t="s" s="44">
        <f>IF(AH99&gt;0,"+","")</f>
        <v>361</v>
      </c>
      <c r="AH99" s="16">
        <f>(AG132+AG133+AI132+AI133+AK132+AK133+AM132+AM133)/AF135</f>
        <v>0.0314364546811551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AP128/AF135</f>
        <v>-0.515067893027325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-0.075481520041645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-0.122562956945573</v>
      </c>
      <c r="AF103" s="16">
        <f>P23</f>
        <v>0.117469347480494</v>
      </c>
      <c r="AG103" s="16">
        <f>P24</f>
        <v>-0.0619464202981495</v>
      </c>
      <c r="AH103" s="16">
        <f>P25</f>
        <v>0.116211504938989</v>
      </c>
      <c r="AI103" s="16">
        <f>P26</f>
        <v>-0.075481520041645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164.179</v>
      </c>
      <c r="AF104" t="s" s="44">
        <v>72</v>
      </c>
      <c r="AG104" s="15">
        <f>C23</f>
        <v>183.465</v>
      </c>
      <c r="AH104" t="s" s="44">
        <v>72</v>
      </c>
      <c r="AI104" s="15">
        <f>C24</f>
        <v>172.1</v>
      </c>
      <c r="AJ104" t="s" s="44">
        <v>72</v>
      </c>
      <c r="AK104" s="15">
        <f>C25</f>
        <v>192.1</v>
      </c>
      <c r="AL104" t="s" s="44">
        <v>72</v>
      </c>
      <c r="AM104" s="15">
        <f>C26</f>
        <v>177.6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-0.075481520041645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177.6</v>
      </c>
      <c r="AM105" t="s" s="44">
        <v>372</v>
      </c>
      <c r="AN105" t="s" s="44">
        <v>77</v>
      </c>
      <c r="AO105" t="s" s="44">
        <f>IF(AP105&gt;0,"+","")</f>
        <v>361</v>
      </c>
      <c r="AP105" s="16">
        <f>AH91</f>
        <v>0.0161002755150303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0.0240632280199221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</v>
      </c>
      <c r="AG107" t="s" s="44">
        <v>82</v>
      </c>
      <c r="AH107" t="s" s="44">
        <v>83</v>
      </c>
      <c r="AI107" s="23">
        <f>AH52</f>
        <v>184.2319836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0.0362043866755188</v>
      </c>
      <c r="AF110" s="16">
        <f>(D23+E23)/C23</f>
        <v>0.038492355490148</v>
      </c>
      <c r="AG110" s="16">
        <f>((E24+D24)/C24)</f>
        <v>0.0389308541545613</v>
      </c>
      <c r="AH110" s="16">
        <f>(D25+E25)/C25</f>
        <v>0.0296720458094742</v>
      </c>
      <c r="AI110" s="16">
        <f>(D26+E26)/C26</f>
        <v>0.0495495495495495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3.211</v>
      </c>
      <c r="AF111" t="s" s="44">
        <v>72</v>
      </c>
      <c r="AG111" s="15">
        <f>E23</f>
        <v>4.056</v>
      </c>
      <c r="AH111" t="s" s="44">
        <v>72</v>
      </c>
      <c r="AI111" s="15">
        <f>E24</f>
        <v>2.9</v>
      </c>
      <c r="AJ111" t="s" s="44">
        <v>72</v>
      </c>
      <c r="AK111" s="15">
        <f>E25</f>
        <v>2.6</v>
      </c>
      <c r="AL111" t="s" s="44">
        <v>72</v>
      </c>
      <c r="AM111" s="15">
        <f>E26</f>
        <v>4.6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0.0296720458094742</v>
      </c>
      <c r="AG112" t="s" s="44">
        <v>76</v>
      </c>
      <c r="AH112" s="16">
        <f>AI110</f>
        <v>0.0495495495495495</v>
      </c>
      <c r="AI112" t="s" s="44">
        <v>90</v>
      </c>
      <c r="AJ112" s="15">
        <f>AK111</f>
        <v>2.6</v>
      </c>
      <c r="AK112" t="s" s="44">
        <v>76</v>
      </c>
      <c r="AL112" s="15">
        <f>AM111</f>
        <v>4.6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0.0391612012509333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0.0495495495495495</v>
      </c>
      <c r="AG114" t="s" s="44">
        <v>94</v>
      </c>
      <c r="AH114" s="15">
        <f>AH66</f>
        <v>5.42861179999999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485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s="17"/>
      <c r="AF116" s="15">
        <f>ABS(AF120)</f>
        <v>30.26</v>
      </c>
      <c r="AG116" s="15">
        <f>ABS(AH120)</f>
        <v>15.47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t="s" s="44">
        <f>AM105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3.328</v>
      </c>
      <c r="AF118" t="s" s="44">
        <v>72</v>
      </c>
      <c r="AG118" s="15">
        <f>J23</f>
        <v>0.506</v>
      </c>
      <c r="AH118" t="s" s="44">
        <v>72</v>
      </c>
      <c r="AI118" s="15">
        <f>J24</f>
        <v>4.37</v>
      </c>
      <c r="AJ118" t="s" s="44">
        <v>72</v>
      </c>
      <c r="AK118" s="15">
        <f>J25</f>
        <v>1.46</v>
      </c>
      <c r="AL118" t="s" s="44">
        <v>72</v>
      </c>
      <c r="AM118" s="15">
        <f>J26</f>
        <v>-1.87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-0.527</v>
      </c>
      <c r="AF119" t="s" s="44">
        <v>72</v>
      </c>
      <c r="AG119" s="15">
        <f>K23</f>
        <v>-4.479</v>
      </c>
      <c r="AH119" t="s" s="44">
        <v>72</v>
      </c>
      <c r="AI119" s="15">
        <f>K24</f>
        <v>-1.9</v>
      </c>
      <c r="AJ119" t="s" s="44">
        <v>72</v>
      </c>
      <c r="AK119" s="15">
        <f>K25</f>
        <v>28.8</v>
      </c>
      <c r="AL119" t="s" s="44">
        <v>72</v>
      </c>
      <c r="AM119" s="15">
        <f>K26</f>
        <v>-13.6</v>
      </c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30.26</v>
      </c>
      <c r="AG120" t="s" s="44">
        <v>76</v>
      </c>
      <c r="AH120" s="15">
        <f>AM118+AM119</f>
        <v>-15.47</v>
      </c>
      <c r="AI120" t="s" s="44">
        <f>AI114</f>
        <v>372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-13.6</v>
      </c>
      <c r="AN120" t="s" s="44">
        <f>AM105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3.32175</v>
      </c>
      <c r="AG121" t="s" s="44">
        <f>AM105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-4.479</v>
      </c>
      <c r="AG122" t="s" s="44">
        <f>AG121</f>
        <v>372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4.70658794999999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t="s" s="44">
        <f>AM105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7.866</v>
      </c>
      <c r="AF125" t="s" s="44">
        <v>72</v>
      </c>
      <c r="AG125" s="15">
        <f>F23</f>
        <v>7</v>
      </c>
      <c r="AH125" t="s" s="44">
        <v>72</v>
      </c>
      <c r="AI125" s="15">
        <f>F24</f>
        <v>7</v>
      </c>
      <c r="AJ125" t="s" s="44">
        <v>72</v>
      </c>
      <c r="AK125" s="15">
        <f>F25</f>
        <v>7</v>
      </c>
      <c r="AL125" t="s" s="44">
        <v>72</v>
      </c>
      <c r="AM125" s="15">
        <f>F26</f>
        <v>7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242.574</v>
      </c>
      <c r="AF126" t="s" s="44">
        <v>72</v>
      </c>
      <c r="AG126" s="15">
        <f>G23</f>
        <v>244</v>
      </c>
      <c r="AH126" t="s" s="44">
        <v>72</v>
      </c>
      <c r="AI126" s="15">
        <f>G24</f>
        <v>239</v>
      </c>
      <c r="AJ126" t="s" s="44">
        <v>72</v>
      </c>
      <c r="AK126" s="15">
        <f>G25</f>
        <v>233</v>
      </c>
      <c r="AL126" t="s" s="44">
        <v>72</v>
      </c>
      <c r="AM126" s="15">
        <f>G26</f>
        <v>245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7</v>
      </c>
      <c r="AH127" t="s" s="44">
        <v>76</v>
      </c>
      <c r="AI127" s="15">
        <f>AM125</f>
        <v>7</v>
      </c>
      <c r="AJ127" t="s" s="44">
        <f>AM122</f>
        <v>372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233</v>
      </c>
      <c r="AH128" t="s" s="44">
        <v>76</v>
      </c>
      <c r="AI128" s="15">
        <f>AM126</f>
        <v>245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-226</v>
      </c>
      <c r="AO128" t="s" s="44">
        <v>76</v>
      </c>
      <c r="AP128" s="15">
        <f>AI127-AI128</f>
        <v>-238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AE56+AF56+AG56+AH56+AE60+AF60+AG60+AH60</f>
        <v>-18.8263518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-219.1736482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t="s" s="44">
        <f>AM105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-1.581</v>
      </c>
      <c r="AF132" t="s" s="44">
        <v>72</v>
      </c>
      <c r="AG132" s="15">
        <f>-L23</f>
        <v>-1.259</v>
      </c>
      <c r="AH132" t="s" s="44">
        <v>72</v>
      </c>
      <c r="AI132" s="15">
        <f>-L24</f>
        <v>2.07</v>
      </c>
      <c r="AJ132" t="s" s="44">
        <v>72</v>
      </c>
      <c r="AK132" s="15">
        <f>-L25</f>
        <v>30.06</v>
      </c>
      <c r="AL132" t="s" s="44">
        <v>72</v>
      </c>
      <c r="AM132" s="15">
        <f>-L26</f>
        <v>-14.67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3</v>
      </c>
      <c r="AF133" t="s" s="44">
        <v>72</v>
      </c>
      <c r="AG133" s="15">
        <f>-M23</f>
        <v>-1.675</v>
      </c>
      <c r="AH133" t="s" s="44">
        <v>72</v>
      </c>
      <c r="AI133" s="15">
        <f>-M24</f>
        <v>0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792</v>
      </c>
      <c r="AF134" t="s" s="44">
        <f>IF(AG134&gt;0,"paid","(raised)")</f>
        <v>121</v>
      </c>
      <c r="AG134" s="15">
        <f>SUM(AM132:AM133)</f>
        <v>-14.67</v>
      </c>
      <c r="AH134" t="s" s="44">
        <f>AM105</f>
        <v>372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-14.67</v>
      </c>
      <c r="AM134" t="s" s="44">
        <f>AM105</f>
        <v>372</v>
      </c>
      <c r="AN134" t="s" s="44">
        <v>123</v>
      </c>
      <c r="AO134" s="15">
        <f>AM133</f>
        <v>0</v>
      </c>
      <c r="AP134" t="s" s="44">
        <f>AM105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18.8263518</v>
      </c>
      <c r="AU134" t="s" s="44">
        <f>AM105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AH80</f>
        <v>462.075006464</v>
      </c>
      <c r="AG135" t="s" s="44">
        <f>AM105</f>
        <v>372</v>
      </c>
      <c r="AH135" t="s" s="44">
        <v>128</v>
      </c>
      <c r="AI135" t="s" s="44">
        <v>129</v>
      </c>
      <c r="AJ135" s="43">
        <f>AH82</f>
        <v>1.05468644483196</v>
      </c>
      <c r="AK135" t="s" s="44">
        <v>130</v>
      </c>
      <c r="AL135" t="s" s="44">
        <v>131</v>
      </c>
      <c r="AM135" t="s" s="44">
        <v>132</v>
      </c>
      <c r="AN135" s="15">
        <f>AH85</f>
        <v>22.8996039476963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18.8263518</v>
      </c>
      <c r="AG136" t="s" s="44">
        <f>AG135</f>
        <v>372</v>
      </c>
      <c r="AH136" t="s" s="44">
        <v>136</v>
      </c>
      <c r="AI136" s="15">
        <f>AF135/AF136</f>
        <v>24.5440545981936</v>
      </c>
      <c r="AJ136" t="s" s="44">
        <v>130</v>
      </c>
      <c r="AK136" t="s" s="44">
        <v>137</v>
      </c>
      <c r="AL136" t="s" s="44">
        <v>138</v>
      </c>
      <c r="AM136" s="15">
        <f>AH86</f>
        <v>20</v>
      </c>
      <c r="AN136" t="s" s="44">
        <v>139</v>
      </c>
      <c r="AO136" t="s" s="44">
        <v>140</v>
      </c>
      <c r="AP136" t="s" s="44">
        <v>141</v>
      </c>
      <c r="AQ136" s="16">
        <f>AJ94</f>
        <v>-0.185138709662421</v>
      </c>
      <c r="AR136" t="s" s="44">
        <f>IF(AQ136&gt;0,"higher","lower")</f>
        <v>104</v>
      </c>
      <c r="AS136" t="s" s="44">
        <v>142</v>
      </c>
      <c r="AT136" s="15">
        <f>AH94</f>
        <v>164.601980648191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792</v>
      </c>
      <c r="AF138" t="s" s="44">
        <f>AE146</f>
        <v>394</v>
      </c>
      <c r="AG138" t="s" s="44">
        <f>AF146</f>
        <v>419</v>
      </c>
      <c r="AH138" s="16">
        <f>AG146</f>
        <v>-0.075481520041645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202</v>
      </c>
      <c r="AG139" t="s" s="44">
        <f>AG94</f>
        <v>61</v>
      </c>
      <c r="AH139" s="15">
        <f>AH94</f>
        <v>164.601980648191</v>
      </c>
      <c r="AI139" t="s" s="44">
        <f>AI94</f>
      </c>
      <c r="AJ139" s="16">
        <f>AJ94</f>
        <v>-0.185138709662421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0.0817461429293637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s="16">
        <f>AH98</f>
        <v>0.0287550718262776</v>
      </c>
      <c r="AH143" t="s" s="44">
        <v>401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s="16">
        <f>AH99</f>
        <v>0.0314364546811551</v>
      </c>
      <c r="AH144" t="s" s="44">
        <f>AH143</f>
        <v>401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80.05" customHeight="1">
      <c r="AC145" s="36"/>
      <c r="AD145" s="38"/>
      <c r="AE145" t="s" s="44">
        <v>541</v>
      </c>
      <c r="AF145" s="16">
        <f>AG100</f>
        <v>-0.515067893027325</v>
      </c>
      <c r="AG145" t="s" s="44">
        <f>AH144</f>
        <v>401</v>
      </c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419</v>
      </c>
      <c r="AG146" s="16">
        <f>AG101</f>
        <v>-0.075481520041645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t="s" s="44">
        <v>542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-0.122562956945573</v>
      </c>
      <c r="AF148" s="16">
        <f>AF103</f>
        <v>0.117469347480494</v>
      </c>
      <c r="AG148" s="16">
        <f>AG103</f>
        <v>-0.0619464202981495</v>
      </c>
      <c r="AH148" s="16">
        <f>AH103</f>
        <v>0.116211504938989</v>
      </c>
      <c r="AI148" s="16">
        <f>AI103</f>
        <v>-0.075481520041645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8"/>
      <c r="AE149" s="15">
        <f>AE104</f>
        <v>164.179</v>
      </c>
      <c r="AF149" t="s" s="44">
        <f>AF104</f>
        <v>72</v>
      </c>
      <c r="AG149" s="15">
        <f>AG104</f>
        <v>183.465</v>
      </c>
      <c r="AH149" t="s" s="44">
        <f>AH104</f>
        <v>72</v>
      </c>
      <c r="AI149" s="15">
        <f>AI104</f>
        <v>172.1</v>
      </c>
      <c r="AJ149" t="s" s="44">
        <f>AJ104</f>
        <v>72</v>
      </c>
      <c r="AK149" s="15">
        <f>AK104</f>
        <v>192.1</v>
      </c>
      <c r="AL149" t="s" s="44">
        <f>AL104</f>
        <v>72</v>
      </c>
      <c r="AM149" s="15">
        <f>AM104</f>
        <v>177.6</v>
      </c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419</v>
      </c>
      <c r="AG150" s="16">
        <f>AG105</f>
        <v>-0.075481520041645</v>
      </c>
      <c r="AH150" t="s" s="44">
        <v>408</v>
      </c>
      <c r="AI150" t="s" s="44">
        <v>409</v>
      </c>
      <c r="AJ150" t="s" s="44">
        <v>410</v>
      </c>
      <c r="AK150" t="s" s="44">
        <f>AG147</f>
        <v>542</v>
      </c>
      <c r="AL150" s="15">
        <f>AL105</f>
        <v>177.6</v>
      </c>
      <c r="AM150" t="s" s="44">
        <v>411</v>
      </c>
      <c r="AN150" t="s" s="44">
        <f>AO105</f>
        <v>361</v>
      </c>
      <c r="AO150" s="16">
        <f>AP105</f>
        <v>0.0161002755150303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543</v>
      </c>
      <c r="AF151" s="16">
        <f>AF106</f>
        <v>0.0240632280199221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0.01</v>
      </c>
      <c r="AG152" t="s" s="44">
        <v>415</v>
      </c>
      <c r="AH152" t="s" s="44">
        <v>416</v>
      </c>
      <c r="AI152" t="s" s="44">
        <f>AG147</f>
        <v>542</v>
      </c>
      <c r="AJ152" s="23">
        <f>AI107</f>
        <v>184.2319836</v>
      </c>
      <c r="AK152" s="26">
        <f>AH147</f>
        <v>0</v>
      </c>
      <c r="AL152" t="s" s="44">
        <f>AH150</f>
        <v>408</v>
      </c>
      <c r="AM152" t="s" s="44">
        <f>AI150</f>
        <v>409</v>
      </c>
      <c r="AN152" t="s" s="44">
        <f>AN107</f>
        <v>85</v>
      </c>
      <c r="AO152" s="17"/>
      <c r="AP152" s="17"/>
      <c r="AQ152" s="17"/>
      <c r="AR152" s="17"/>
      <c r="AS152" s="17"/>
      <c r="AT152" s="17"/>
      <c r="AU152" s="17"/>
      <c r="AV152" s="17"/>
    </row>
    <row r="153" ht="20.05" customHeight="1">
      <c r="AC153" s="36"/>
      <c r="AD153" s="38"/>
      <c r="AE153" t="s" s="44">
        <f>AE108</f>
        <v>14</v>
      </c>
      <c r="AF153" t="s" s="44">
        <f>AF108</f>
        <v>108</v>
      </c>
      <c r="AG153" t="s" s="44">
        <f>AG108</f>
        <v>86</v>
      </c>
      <c r="AH153" t="s" s="44">
        <f>AH108</f>
        <v>108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f>AE109</f>
        <v>70</v>
      </c>
      <c r="AF154" t="s" s="44">
        <f>AF109</f>
        <v>88</v>
      </c>
      <c r="AG154" t="s" s="44">
        <f>AG109</f>
        <v>372</v>
      </c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0.0362043866755188</v>
      </c>
      <c r="AF155" s="16">
        <f>AF110</f>
        <v>0.038492355490148</v>
      </c>
      <c r="AG155" s="16">
        <f>AG110</f>
        <v>0.0389308541545613</v>
      </c>
      <c r="AH155" s="16">
        <f>AH110</f>
        <v>0.0296720458094742</v>
      </c>
      <c r="AI155" s="16">
        <f>AI110</f>
        <v>0.0495495495495495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20.05" customHeight="1">
      <c r="AC156" s="36"/>
      <c r="AD156" s="38"/>
      <c r="AE156" s="15">
        <f>AE111</f>
        <v>3.211</v>
      </c>
      <c r="AF156" t="s" s="44">
        <f>AF111</f>
        <v>72</v>
      </c>
      <c r="AG156" s="15">
        <f>AG111</f>
        <v>4.056</v>
      </c>
      <c r="AH156" t="s" s="44">
        <f>AH111</f>
        <v>72</v>
      </c>
      <c r="AI156" s="15">
        <f>AI111</f>
        <v>2.9</v>
      </c>
      <c r="AJ156" t="s" s="44">
        <f>AJ111</f>
        <v>72</v>
      </c>
      <c r="AK156" s="15">
        <f>AK111</f>
        <v>2.6</v>
      </c>
      <c r="AL156" t="s" s="44">
        <f>AL111</f>
        <v>72</v>
      </c>
      <c r="AM156" s="15">
        <f>AM111</f>
        <v>4.6</v>
      </c>
      <c r="AN156" s="17"/>
      <c r="AO156" s="17"/>
      <c r="AP156" s="17"/>
      <c r="AQ156" s="17"/>
      <c r="AR156" s="17"/>
      <c r="AS156" s="17"/>
      <c r="AT156" s="17"/>
      <c r="AU156" s="17"/>
      <c r="AV156" s="17"/>
    </row>
    <row r="157" ht="44.05" customHeight="1">
      <c r="AC157" s="36"/>
      <c r="AD157" s="38"/>
      <c r="AE157" t="s" s="44">
        <f>AE112</f>
        <v>89</v>
      </c>
      <c r="AF157" s="16">
        <f>AF112</f>
        <v>0.0296720458094742</v>
      </c>
      <c r="AG157" t="s" s="44">
        <f>AG112</f>
        <v>76</v>
      </c>
      <c r="AH157" s="16">
        <f>AH112</f>
        <v>0.0495495495495495</v>
      </c>
      <c r="AI157" t="s" s="44">
        <f>AI112</f>
        <v>90</v>
      </c>
      <c r="AJ157" s="15">
        <f>AJ112</f>
        <v>2.6</v>
      </c>
      <c r="AK157" t="s" s="44">
        <f>AK112</f>
        <v>76</v>
      </c>
      <c r="AL157" s="15">
        <f>AL112</f>
        <v>4.6</v>
      </c>
      <c r="AM157" t="s" s="44">
        <f>AM112</f>
        <v>372</v>
      </c>
      <c r="AN157" t="s" s="44">
        <f>AN112</f>
        <v>73</v>
      </c>
      <c r="AO157" t="s" s="44">
        <f>AO112</f>
        <v>74</v>
      </c>
      <c r="AP157" t="s" s="44">
        <f>AP112</f>
        <v>91</v>
      </c>
      <c r="AQ157" s="17"/>
      <c r="AR157" s="17"/>
      <c r="AS157" s="17"/>
      <c r="AT157" s="17"/>
      <c r="AU157" s="17"/>
      <c r="AV157" s="17"/>
    </row>
    <row r="158" ht="68.05" customHeight="1">
      <c r="AC158" s="36"/>
      <c r="AD158" s="38"/>
      <c r="AE158" t="s" s="44">
        <f>AE113</f>
        <v>92</v>
      </c>
      <c r="AF158" s="16">
        <f>AF113</f>
        <v>0.0391612012509333</v>
      </c>
      <c r="AG158" t="s" s="44">
        <f>AG113</f>
        <v>78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44.05" customHeight="1">
      <c r="AC159" s="36"/>
      <c r="AD159" s="38"/>
      <c r="AE159" t="s" s="44">
        <f>AE114</f>
        <v>93</v>
      </c>
      <c r="AF159" s="35">
        <f>AF114</f>
        <v>0.0495495495495495</v>
      </c>
      <c r="AG159" t="s" s="44">
        <f>AG114</f>
        <v>94</v>
      </c>
      <c r="AH159" s="15">
        <f>AH114</f>
        <v>5.42861179999999</v>
      </c>
      <c r="AI159" t="s" s="44">
        <f>AI114</f>
        <v>372</v>
      </c>
      <c r="AJ159" t="s" s="44">
        <f>AJ114</f>
        <v>95</v>
      </c>
      <c r="AK159" t="s" s="44">
        <f>AK114</f>
        <v>74</v>
      </c>
      <c r="AL159" t="s" s="44">
        <f>AL114</f>
        <v>75</v>
      </c>
      <c r="AM159" t="s" s="44">
        <f>AM114</f>
        <v>85</v>
      </c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524</v>
      </c>
      <c r="AG160" t="s" s="44">
        <f>IF(AG161&lt;AF161,"berkurang","lebih")</f>
        <v>544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20.05" customHeight="1">
      <c r="AC161" s="36"/>
      <c r="AD161" s="38"/>
      <c r="AE161" s="17"/>
      <c r="AF161" s="15">
        <f>ABS(AF165)</f>
        <v>30.26</v>
      </c>
      <c r="AG161" s="15">
        <f>ABS(AH165)</f>
        <v>15.47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t="s" s="44">
        <f>AG147</f>
        <v>542</v>
      </c>
      <c r="AH162" s="26">
        <f>AH147</f>
        <v>0</v>
      </c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20.05" customHeight="1">
      <c r="AC163" s="36"/>
      <c r="AD163" s="38"/>
      <c r="AE163" s="15">
        <f>AE118</f>
        <v>3.328</v>
      </c>
      <c r="AF163" t="s" s="44">
        <f>AF118</f>
        <v>72</v>
      </c>
      <c r="AG163" s="15">
        <f>AG118</f>
        <v>0.506</v>
      </c>
      <c r="AH163" t="s" s="44">
        <f>AH118</f>
        <v>72</v>
      </c>
      <c r="AI163" s="15">
        <f>AI118</f>
        <v>4.37</v>
      </c>
      <c r="AJ163" t="s" s="44">
        <f>AJ118</f>
        <v>72</v>
      </c>
      <c r="AK163" s="15">
        <f>AK118</f>
        <v>1.46</v>
      </c>
      <c r="AL163" t="s" s="44">
        <f>AL118</f>
        <v>72</v>
      </c>
      <c r="AM163" s="15">
        <f>AM118</f>
        <v>-1.87</v>
      </c>
      <c r="AN163" s="17"/>
      <c r="AO163" s="17"/>
      <c r="AP163" s="17"/>
      <c r="AQ163" s="17"/>
      <c r="AR163" s="17"/>
      <c r="AS163" s="17"/>
      <c r="AT163" s="17"/>
      <c r="AU163" s="17"/>
      <c r="AV163" s="17"/>
    </row>
    <row r="164" ht="20.05" customHeight="1">
      <c r="AC164" s="36"/>
      <c r="AD164" s="38"/>
      <c r="AE164" s="15">
        <f>AE119</f>
        <v>-0.527</v>
      </c>
      <c r="AF164" t="s" s="44">
        <f>AF119</f>
        <v>72</v>
      </c>
      <c r="AG164" s="15">
        <f>AG119</f>
        <v>-4.479</v>
      </c>
      <c r="AH164" t="s" s="44">
        <f>AH119</f>
        <v>72</v>
      </c>
      <c r="AI164" s="15">
        <f>AI119</f>
        <v>-1.9</v>
      </c>
      <c r="AJ164" t="s" s="44">
        <f>AJ119</f>
        <v>72</v>
      </c>
      <c r="AK164" s="15">
        <f>AK119</f>
        <v>28.8</v>
      </c>
      <c r="AL164" t="s" s="44">
        <f>AL119</f>
        <v>72</v>
      </c>
      <c r="AM164" s="15">
        <f>AM119</f>
        <v>-13.6</v>
      </c>
      <c r="AN164" s="17"/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545</v>
      </c>
      <c r="AF165" s="15">
        <f>AF120</f>
        <v>30.26</v>
      </c>
      <c r="AG165" t="s" s="44">
        <v>410</v>
      </c>
      <c r="AH165" s="15">
        <f>AH120</f>
        <v>-15.47</v>
      </c>
      <c r="AI165" t="s" s="44">
        <f>AG147</f>
        <v>542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-13.6</v>
      </c>
      <c r="AN165" t="s" s="44">
        <f>AG147</f>
        <v>542</v>
      </c>
      <c r="AO165" s="17"/>
      <c r="AP165" s="26">
        <f>AH147</f>
        <v>0</v>
      </c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3.32175</v>
      </c>
      <c r="AG166" t="s" s="44">
        <f>AG147</f>
        <v>542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-4.479</v>
      </c>
      <c r="AG167" t="s" s="44">
        <f>AG147</f>
        <v>542</v>
      </c>
      <c r="AH167" t="s" s="85">
        <v>435</v>
      </c>
      <c r="AI167" s="15">
        <f>AL122</f>
        <v>4.70658794999999</v>
      </c>
      <c r="AJ167" t="s" s="44">
        <f>AG147</f>
        <v>542</v>
      </c>
      <c r="AK167" s="44"/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20.05" customHeight="1">
      <c r="AC168" s="36"/>
      <c r="AD168" s="38"/>
      <c r="AE168" t="s" s="44">
        <f>AE123</f>
        <v>18</v>
      </c>
      <c r="AF168" t="s" s="44">
        <f>AF123</f>
        <v>87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f>AE124</f>
        <v>70</v>
      </c>
      <c r="AF169" t="s" s="44">
        <f>AF124</f>
        <v>109</v>
      </c>
      <c r="AG169" t="s" s="44">
        <f>AG124</f>
        <v>372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20.05" customHeight="1">
      <c r="AC170" s="36"/>
      <c r="AD170" s="38"/>
      <c r="AE170" s="15">
        <f>AE125</f>
        <v>7.866</v>
      </c>
      <c r="AF170" t="s" s="44">
        <f>AF125</f>
        <v>72</v>
      </c>
      <c r="AG170" s="15">
        <f>AG125</f>
        <v>7</v>
      </c>
      <c r="AH170" t="s" s="44">
        <f>AH125</f>
        <v>72</v>
      </c>
      <c r="AI170" s="15">
        <f>AI125</f>
        <v>7</v>
      </c>
      <c r="AJ170" t="s" s="44">
        <f>AJ125</f>
        <v>72</v>
      </c>
      <c r="AK170" s="15">
        <f>AK125</f>
        <v>7</v>
      </c>
      <c r="AL170" t="s" s="44">
        <f>AL125</f>
        <v>72</v>
      </c>
      <c r="AM170" s="15">
        <f>AM125</f>
        <v>7</v>
      </c>
      <c r="AN170" s="17"/>
      <c r="AO170" s="17"/>
      <c r="AP170" s="17"/>
      <c r="AQ170" s="17"/>
      <c r="AR170" s="17"/>
      <c r="AS170" s="17"/>
      <c r="AT170" s="17"/>
      <c r="AU170" s="17"/>
      <c r="AV170" s="17"/>
    </row>
    <row r="171" ht="20.05" customHeight="1">
      <c r="AC171" s="36"/>
      <c r="AD171" s="38"/>
      <c r="AE171" s="15">
        <f>AE126</f>
        <v>242.574</v>
      </c>
      <c r="AF171" t="s" s="44">
        <f>AF126</f>
        <v>72</v>
      </c>
      <c r="AG171" s="15">
        <f>AG126</f>
        <v>244</v>
      </c>
      <c r="AH171" t="s" s="44">
        <f>AH126</f>
        <v>72</v>
      </c>
      <c r="AI171" s="15">
        <f>AI126</f>
        <v>239</v>
      </c>
      <c r="AJ171" t="s" s="44">
        <f>AJ126</f>
        <v>72</v>
      </c>
      <c r="AK171" s="15">
        <f>AK126</f>
        <v>233</v>
      </c>
      <c r="AL171" t="s" s="44">
        <f>AL126</f>
        <v>72</v>
      </c>
      <c r="AM171" s="15">
        <f>AM126</f>
        <v>245</v>
      </c>
      <c r="AN171" s="17"/>
      <c r="AO171" s="17"/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f>AE127</f>
        <v>110</v>
      </c>
      <c r="AF172" t="s" s="44">
        <f>AF127</f>
        <v>111</v>
      </c>
      <c r="AG172" s="15">
        <f>AG127</f>
        <v>7</v>
      </c>
      <c r="AH172" t="s" s="44">
        <f>AH127</f>
        <v>76</v>
      </c>
      <c r="AI172" s="15">
        <f>AI127</f>
        <v>7</v>
      </c>
      <c r="AJ172" t="s" s="44">
        <f>AJ127</f>
        <v>372</v>
      </c>
      <c r="AK172" t="s" s="44">
        <f>AK127</f>
        <v>84</v>
      </c>
      <c r="AL172" t="s" s="44">
        <f>AL127</f>
        <v>74</v>
      </c>
      <c r="AM172" t="s" s="44">
        <f>AM127</f>
        <v>91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f>AE128</f>
        <v>112</v>
      </c>
      <c r="AF173" t="s" s="44">
        <f>AF128</f>
        <v>111</v>
      </c>
      <c r="AG173" s="15">
        <f>AG128</f>
        <v>233</v>
      </c>
      <c r="AH173" t="s" s="44">
        <f>AH128</f>
        <v>76</v>
      </c>
      <c r="AI173" s="15">
        <f>AI128</f>
        <v>245</v>
      </c>
      <c r="AJ173" t="s" s="44">
        <f>AJ128</f>
        <v>372</v>
      </c>
      <c r="AK173" t="s" s="44">
        <f>AK128</f>
        <v>113</v>
      </c>
      <c r="AL173" t="s" s="44">
        <f>AL128</f>
        <v>114</v>
      </c>
      <c r="AM173" t="s" s="44">
        <f>AM128</f>
        <v>87</v>
      </c>
      <c r="AN173" s="15">
        <f>AN128</f>
        <v>-226</v>
      </c>
      <c r="AO173" t="s" s="44">
        <f>AO128</f>
        <v>76</v>
      </c>
      <c r="AP173" s="15">
        <f>AP128</f>
        <v>-238</v>
      </c>
      <c r="AQ173" t="s" s="44">
        <f>AQ128</f>
        <v>372</v>
      </c>
      <c r="AR173" s="44"/>
      <c r="AS173" s="17"/>
      <c r="AT173" s="17"/>
      <c r="AU173" s="17"/>
      <c r="AV173" s="17"/>
    </row>
    <row r="174" ht="56.05" customHeight="1">
      <c r="AC174" s="36"/>
      <c r="AD174" s="38"/>
      <c r="AE174" t="s" s="44">
        <f>AE129</f>
        <v>116</v>
      </c>
      <c r="AF174" s="15">
        <f>AF129</f>
        <v>0</v>
      </c>
      <c r="AG174" t="s" s="44">
        <f>AG129</f>
        <v>372</v>
      </c>
      <c r="AH174" t="s" s="44">
        <f>AH129</f>
        <v>117</v>
      </c>
      <c r="AI174" t="s" s="44">
        <f>AI129</f>
      </c>
      <c r="AJ174" s="15">
        <f>AJ129</f>
        <v>-18.8263518</v>
      </c>
      <c r="AK174" t="s" s="44">
        <f>AK129</f>
        <v>372</v>
      </c>
      <c r="AL174" t="s" s="44">
        <f>AL129</f>
        <v>118</v>
      </c>
      <c r="AM174" t="s" s="44">
        <f>AM129</f>
        <v>119</v>
      </c>
      <c r="AN174" s="15">
        <f>AN129</f>
        <v>-219.1736482</v>
      </c>
      <c r="AO174" t="s" s="44">
        <f>AO129</f>
        <v>372</v>
      </c>
      <c r="AP174" t="s" s="44">
        <f>AP129</f>
        <v>120</v>
      </c>
      <c r="AQ174" s="17"/>
      <c r="AR174" s="17"/>
      <c r="AS174" s="17"/>
      <c r="AT174" s="17"/>
      <c r="AU174" s="17"/>
      <c r="AV174" s="17"/>
    </row>
    <row r="175" ht="20.05" customHeight="1">
      <c r="AC175" s="36"/>
      <c r="AD175" s="38"/>
      <c r="AE175" t="s" s="44">
        <f>AE130</f>
        <v>17</v>
      </c>
      <c r="AF175" t="s" s="44">
        <f>AF130</f>
        <v>121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68.05" customHeight="1">
      <c r="AC176" s="36"/>
      <c r="AD176" s="38"/>
      <c r="AE176" t="s" s="44">
        <f>AE131</f>
        <v>70</v>
      </c>
      <c r="AF176" t="s" s="44">
        <f>AF131</f>
        <v>122</v>
      </c>
      <c r="AG176" t="s" s="44">
        <f>AG131</f>
        <v>372</v>
      </c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20.05" customHeight="1">
      <c r="AC177" s="36"/>
      <c r="AD177" s="38"/>
      <c r="AE177" s="15">
        <f>AE132</f>
        <v>-1.581</v>
      </c>
      <c r="AF177" t="s" s="44">
        <f>AF132</f>
        <v>72</v>
      </c>
      <c r="AG177" s="15">
        <f>AG132</f>
        <v>-1.259</v>
      </c>
      <c r="AH177" t="s" s="44">
        <f>AH132</f>
        <v>72</v>
      </c>
      <c r="AI177" s="15">
        <f>AI132</f>
        <v>2.07</v>
      </c>
      <c r="AJ177" t="s" s="44">
        <f>AJ132</f>
        <v>72</v>
      </c>
      <c r="AK177" s="15">
        <f>AK132</f>
        <v>30.06</v>
      </c>
      <c r="AL177" t="s" s="44">
        <f>AL132</f>
        <v>72</v>
      </c>
      <c r="AM177" s="15">
        <f>AM132</f>
        <v>-14.67</v>
      </c>
      <c r="AN177" s="17"/>
      <c r="AO177" s="17"/>
      <c r="AP177" s="17"/>
      <c r="AQ177" s="17"/>
      <c r="AR177" s="17"/>
      <c r="AS177" s="17"/>
      <c r="AT177" s="17"/>
      <c r="AU177" s="17"/>
      <c r="AV177" s="17"/>
    </row>
    <row r="178" ht="20.05" customHeight="1">
      <c r="AC178" s="36"/>
      <c r="AD178" s="38"/>
      <c r="AE178" s="15">
        <f>AE133</f>
        <v>3</v>
      </c>
      <c r="AF178" t="s" s="44">
        <f>AF133</f>
        <v>72</v>
      </c>
      <c r="AG178" s="15">
        <f>AG133</f>
        <v>-1.675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0</v>
      </c>
      <c r="AL178" t="s" s="44">
        <f>AL133</f>
        <v>72</v>
      </c>
      <c r="AM178" s="15">
        <f>AM133</f>
        <v>0</v>
      </c>
      <c r="AN178" s="17"/>
      <c r="AO178" s="17"/>
      <c r="AP178" s="17"/>
      <c r="AQ178" s="17"/>
      <c r="AR178" s="17"/>
      <c r="AS178" s="17"/>
      <c r="AT178" s="17"/>
      <c r="AU178" s="17"/>
      <c r="AV178" s="17"/>
    </row>
    <row r="179" ht="44.05" customHeight="1">
      <c r="AC179" s="36"/>
      <c r="AD179" s="38"/>
      <c r="AE179" t="s" s="44">
        <f>AE134</f>
        <v>792</v>
      </c>
      <c r="AF179" t="s" s="44">
        <f>AF134</f>
        <v>121</v>
      </c>
      <c r="AG179" s="15">
        <f>AG134</f>
        <v>-14.67</v>
      </c>
      <c r="AH179" t="s" s="44">
        <f>AH134</f>
        <v>372</v>
      </c>
      <c r="AI179" t="s" s="44">
        <f>AI134</f>
        <v>73</v>
      </c>
      <c r="AJ179" t="s" s="44">
        <f>AJ134</f>
        <v>74</v>
      </c>
      <c r="AK179" t="s" s="44">
        <f>AK134</f>
        <v>75</v>
      </c>
      <c r="AL179" s="15">
        <f>AL134</f>
        <v>-14.67</v>
      </c>
      <c r="AM179" t="s" s="44">
        <f>AM134</f>
        <v>372</v>
      </c>
      <c r="AN179" t="s" s="44">
        <f>AN134</f>
        <v>123</v>
      </c>
      <c r="AO179" s="15">
        <f>AO134</f>
        <v>0</v>
      </c>
      <c r="AP179" t="s" s="44">
        <f>AP134</f>
        <v>372</v>
      </c>
      <c r="AQ179" t="s" s="44">
        <f>AQ134</f>
        <v>124</v>
      </c>
      <c r="AR179" t="s" s="44">
        <f>AR134</f>
        <v>125</v>
      </c>
      <c r="AS179" t="s" s="44">
        <f>AS134</f>
        <v>364</v>
      </c>
      <c r="AT179" s="15">
        <f>AT134</f>
        <v>18.8263518</v>
      </c>
      <c r="AU179" t="s" s="44">
        <f>AU134</f>
        <v>372</v>
      </c>
      <c r="AV179" t="s" s="44">
        <f>AV134</f>
        <v>126</v>
      </c>
    </row>
    <row r="180" ht="20.05" customHeight="1">
      <c r="AC180" s="36"/>
      <c r="AD180" s="34"/>
      <c r="AE180" s="17"/>
      <c r="AF180" s="17"/>
      <c r="AG180" s="17"/>
      <c r="AH180" s="17"/>
      <c r="AI180" s="15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</row>
    <row r="181" ht="20.05" customHeight="1">
      <c r="AC181" t="s" s="33">
        <v>28</v>
      </c>
      <c r="AD181" s="14">
        <f>AE104</f>
        <v>164.179</v>
      </c>
      <c r="AE181" s="15">
        <f>AG104</f>
        <v>183.465</v>
      </c>
      <c r="AF181" s="15">
        <f>AI104</f>
        <v>172.1</v>
      </c>
      <c r="AG181" s="15">
        <f>AK104</f>
        <v>192.1</v>
      </c>
      <c r="AH181" s="15">
        <f>AM104</f>
        <v>177.6</v>
      </c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</row>
    <row r="182" ht="20.05" customHeight="1">
      <c r="AC182" t="s" s="33">
        <v>144</v>
      </c>
      <c r="AD182" s="14">
        <f>SUM(AE118:AE119)</f>
        <v>2.801</v>
      </c>
      <c r="AE182" s="15">
        <f>SUM(AG118:AG119)</f>
        <v>-3.973</v>
      </c>
      <c r="AF182" s="15">
        <f>SUM(AI118:AI119)</f>
        <v>2.47</v>
      </c>
      <c r="AG182" s="15">
        <f>SUM(AK118:AK119)</f>
        <v>30.26</v>
      </c>
      <c r="AH182" s="15">
        <f>SUM(AM118:AM119)</f>
        <v>-15.47</v>
      </c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145</v>
      </c>
      <c r="AD183" s="14">
        <f>SUM(AE132:AE133)</f>
        <v>1.419</v>
      </c>
      <c r="AE183" s="15">
        <f>SUM(AG132:AG133)</f>
        <v>-2.934</v>
      </c>
      <c r="AF183" s="15">
        <f>SUM(AI132:AI133)</f>
        <v>2.07</v>
      </c>
      <c r="AG183" s="15">
        <f>SUM(AK132:AK133)</f>
        <v>30.06</v>
      </c>
      <c r="AH183" s="15">
        <f>SUM(AM132:AM133)</f>
        <v>-14.67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146</v>
      </c>
      <c r="AD184" s="14">
        <f>(AE125-AE126)</f>
        <v>-234.708</v>
      </c>
      <c r="AE184" s="15">
        <f>(AG125-AG126)</f>
        <v>-237</v>
      </c>
      <c r="AF184" s="15">
        <f>(AI125-AI126)</f>
        <v>-232</v>
      </c>
      <c r="AG184" s="15">
        <f>(AK125-AK126)</f>
        <v>-226</v>
      </c>
      <c r="AH184" s="15">
        <f>(AM125-AM126)</f>
        <v>-238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s="36"/>
      <c r="AD185" s="34"/>
      <c r="AE185" s="17"/>
      <c r="AF185" s="17"/>
      <c r="AG185" s="17"/>
      <c r="AH185" s="15">
        <f>AT136</f>
        <v>164.601980648191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s="36"/>
      <c r="AD186" s="34"/>
      <c r="AE186" s="17"/>
      <c r="AF186" s="17"/>
      <c r="AG186" s="17"/>
      <c r="AH186" s="17"/>
      <c r="AI186" s="15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7"/>
      <c r="AI187" s="15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2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3.82812" style="423" customWidth="1"/>
    <col min="2" max="13" width="10.4844" style="423" customWidth="1"/>
    <col min="14" max="16384" width="16.3516" style="423" customWidth="1"/>
  </cols>
  <sheetData>
    <row r="1" ht="13.75" customHeight="1"/>
    <row r="2" ht="27.65" customHeight="1">
      <c r="B2" t="s" s="2">
        <v>793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2018</v>
      </c>
      <c r="C4" s="7">
        <v>1303</v>
      </c>
      <c r="D4" s="59">
        <v>36</v>
      </c>
      <c r="E4" s="59">
        <v>172</v>
      </c>
      <c r="F4" s="9"/>
      <c r="G4" s="9"/>
      <c r="H4" s="9"/>
      <c r="I4" s="59">
        <v>1416</v>
      </c>
      <c r="J4" s="59">
        <v>53</v>
      </c>
      <c r="K4" s="59">
        <v>-244</v>
      </c>
      <c r="L4" s="59">
        <v>6</v>
      </c>
      <c r="M4" s="59">
        <v>-39.75</v>
      </c>
    </row>
    <row r="5" ht="20.05" customHeight="1">
      <c r="B5" s="13"/>
      <c r="C5" s="14">
        <v>1322</v>
      </c>
      <c r="D5" s="26">
        <v>36</v>
      </c>
      <c r="E5" s="26">
        <v>194</v>
      </c>
      <c r="F5" s="17"/>
      <c r="G5" s="17"/>
      <c r="H5" s="17"/>
      <c r="I5" s="26">
        <v>1471</v>
      </c>
      <c r="J5" s="26">
        <v>246</v>
      </c>
      <c r="K5" s="26">
        <v>-31</v>
      </c>
      <c r="L5" s="26">
        <v>6</v>
      </c>
      <c r="M5" s="26">
        <v>-39.75</v>
      </c>
    </row>
    <row r="6" ht="20.05" customHeight="1">
      <c r="B6" s="13"/>
      <c r="C6" s="14">
        <v>1419</v>
      </c>
      <c r="D6" s="26">
        <v>36</v>
      </c>
      <c r="E6" s="26">
        <v>256</v>
      </c>
      <c r="F6" s="17"/>
      <c r="G6" s="17"/>
      <c r="H6" s="17"/>
      <c r="I6" s="26">
        <v>1521</v>
      </c>
      <c r="J6" s="26">
        <v>355</v>
      </c>
      <c r="K6" s="26">
        <v>-42</v>
      </c>
      <c r="L6" s="26">
        <v>6</v>
      </c>
      <c r="M6" s="26">
        <v>-39.75</v>
      </c>
    </row>
    <row r="7" ht="20.05" customHeight="1">
      <c r="B7" s="13"/>
      <c r="C7" s="14">
        <v>1429</v>
      </c>
      <c r="D7" s="26">
        <v>36</v>
      </c>
      <c r="E7" s="26">
        <v>80</v>
      </c>
      <c r="F7" s="17"/>
      <c r="G7" s="17"/>
      <c r="H7" s="17"/>
      <c r="I7" s="26">
        <v>1584</v>
      </c>
      <c r="J7" s="26">
        <v>-106</v>
      </c>
      <c r="K7" s="26">
        <v>-772</v>
      </c>
      <c r="L7" s="26">
        <v>6</v>
      </c>
      <c r="M7" s="26">
        <v>-39.75</v>
      </c>
    </row>
    <row r="8" ht="20.05" customHeight="1">
      <c r="B8" s="21">
        <v>2019</v>
      </c>
      <c r="C8" s="14">
        <v>1428</v>
      </c>
      <c r="D8" s="26">
        <v>36.25</v>
      </c>
      <c r="E8" s="26">
        <v>304</v>
      </c>
      <c r="F8" s="26">
        <v>1651</v>
      </c>
      <c r="G8" s="26">
        <v>775</v>
      </c>
      <c r="H8" s="26">
        <v>5855</v>
      </c>
      <c r="I8" s="26">
        <v>1530</v>
      </c>
      <c r="J8" s="26">
        <v>301</v>
      </c>
      <c r="K8" s="26">
        <v>-32</v>
      </c>
      <c r="L8" s="26">
        <v>-14.5</v>
      </c>
      <c r="M8" s="26">
        <v>-37.5</v>
      </c>
    </row>
    <row r="9" ht="20.05" customHeight="1">
      <c r="B9" s="13"/>
      <c r="C9" s="14">
        <v>1545</v>
      </c>
      <c r="D9" s="26">
        <v>36.25</v>
      </c>
      <c r="E9" s="26">
        <v>210</v>
      </c>
      <c r="F9" s="26">
        <v>1927</v>
      </c>
      <c r="G9" s="26">
        <v>1037</v>
      </c>
      <c r="H9" s="26">
        <v>6175</v>
      </c>
      <c r="I9" s="26">
        <v>1672</v>
      </c>
      <c r="J9" s="26">
        <v>351</v>
      </c>
      <c r="K9" s="26">
        <v>-70</v>
      </c>
      <c r="L9" s="26">
        <v>-14.5</v>
      </c>
      <c r="M9" s="26">
        <v>-37.5</v>
      </c>
    </row>
    <row r="10" ht="20.05" customHeight="1">
      <c r="B10" s="13"/>
      <c r="C10" s="14">
        <v>1612</v>
      </c>
      <c r="D10" s="26">
        <v>36.25</v>
      </c>
      <c r="E10" s="26">
        <v>307</v>
      </c>
      <c r="F10" s="26">
        <v>1683</v>
      </c>
      <c r="G10" s="26">
        <v>945</v>
      </c>
      <c r="H10" s="26">
        <v>6391</v>
      </c>
      <c r="I10" s="26">
        <v>1744</v>
      </c>
      <c r="J10" s="26">
        <v>-36</v>
      </c>
      <c r="K10" s="26">
        <v>-59</v>
      </c>
      <c r="L10" s="26">
        <v>-14.5</v>
      </c>
      <c r="M10" s="26">
        <v>-37.5</v>
      </c>
    </row>
    <row r="11" ht="20.05" customHeight="1">
      <c r="B11" s="13"/>
      <c r="C11" s="14">
        <v>1638</v>
      </c>
      <c r="D11" s="26">
        <v>36.25</v>
      </c>
      <c r="E11" s="26">
        <v>215</v>
      </c>
      <c r="F11" s="26">
        <v>2041</v>
      </c>
      <c r="G11" s="26">
        <v>953</v>
      </c>
      <c r="H11" s="26">
        <v>6608</v>
      </c>
      <c r="I11" s="26">
        <v>1834</v>
      </c>
      <c r="J11" s="26">
        <v>453</v>
      </c>
      <c r="K11" s="26">
        <v>-104</v>
      </c>
      <c r="L11" s="26">
        <v>-14.5</v>
      </c>
      <c r="M11" s="26">
        <v>-37.5</v>
      </c>
    </row>
    <row r="12" ht="20.05" customHeight="1">
      <c r="B12" s="21">
        <v>2020</v>
      </c>
      <c r="C12" s="14">
        <v>1614</v>
      </c>
      <c r="D12" s="26">
        <v>44</v>
      </c>
      <c r="E12" s="26">
        <v>440</v>
      </c>
      <c r="F12" s="26">
        <v>1892</v>
      </c>
      <c r="G12" s="26">
        <v>1037</v>
      </c>
      <c r="H12" s="26">
        <v>7133</v>
      </c>
      <c r="I12" s="26">
        <v>1741</v>
      </c>
      <c r="J12" s="26">
        <v>4.9</v>
      </c>
      <c r="K12" s="26">
        <v>-116</v>
      </c>
      <c r="L12" s="26">
        <v>-37.9</v>
      </c>
      <c r="M12" s="26">
        <v>0</v>
      </c>
    </row>
    <row r="13" ht="20.05" customHeight="1">
      <c r="B13" s="13"/>
      <c r="C13" s="14">
        <v>1405</v>
      </c>
      <c r="D13" s="26">
        <v>44</v>
      </c>
      <c r="E13" s="26">
        <v>122</v>
      </c>
      <c r="F13" s="26">
        <v>1880</v>
      </c>
      <c r="G13" s="26">
        <v>849</v>
      </c>
      <c r="H13" s="26">
        <v>7054</v>
      </c>
      <c r="I13" s="26">
        <v>1707</v>
      </c>
      <c r="J13" s="26">
        <v>178.3</v>
      </c>
      <c r="K13" s="26">
        <v>-178</v>
      </c>
      <c r="L13" s="26">
        <v>-0.4</v>
      </c>
      <c r="M13" s="26">
        <v>-11.9</v>
      </c>
    </row>
    <row r="14" ht="20.05" customHeight="1">
      <c r="B14" s="13"/>
      <c r="C14" s="14">
        <v>1435</v>
      </c>
      <c r="D14" s="26">
        <v>44</v>
      </c>
      <c r="E14" s="26">
        <v>425</v>
      </c>
      <c r="F14" s="26">
        <v>710</v>
      </c>
      <c r="G14" s="26">
        <v>942</v>
      </c>
      <c r="H14" s="26">
        <v>5584</v>
      </c>
      <c r="I14" s="26">
        <v>1513</v>
      </c>
      <c r="J14" s="26">
        <v>748</v>
      </c>
      <c r="K14" s="26">
        <v>-1859</v>
      </c>
      <c r="L14" s="26">
        <v>-0.4</v>
      </c>
      <c r="M14" s="26">
        <v>-58.6</v>
      </c>
    </row>
    <row r="15" ht="20.05" customHeight="1">
      <c r="B15" s="13"/>
      <c r="C15" s="14">
        <v>1513</v>
      </c>
      <c r="D15" s="26">
        <v>44</v>
      </c>
      <c r="E15" s="26">
        <v>123</v>
      </c>
      <c r="F15" s="26">
        <v>1650</v>
      </c>
      <c r="G15" s="26">
        <v>3972</v>
      </c>
      <c r="H15" s="26">
        <v>8754</v>
      </c>
      <c r="I15" s="26">
        <v>1640</v>
      </c>
      <c r="J15" s="26">
        <v>269.7</v>
      </c>
      <c r="K15" s="26">
        <v>-480</v>
      </c>
      <c r="L15" s="26">
        <v>2998.9</v>
      </c>
      <c r="M15" s="26">
        <v>-1848.6</v>
      </c>
    </row>
    <row r="16" ht="20.05" customHeight="1">
      <c r="B16" s="21">
        <v>2021</v>
      </c>
      <c r="C16" s="14">
        <v>1521</v>
      </c>
      <c r="D16" s="26">
        <v>46</v>
      </c>
      <c r="E16" s="26">
        <v>406</v>
      </c>
      <c r="F16" s="26">
        <v>1864</v>
      </c>
      <c r="G16" s="26">
        <v>3949</v>
      </c>
      <c r="H16" s="26">
        <v>9126</v>
      </c>
      <c r="I16" s="26">
        <v>1602</v>
      </c>
      <c r="J16" s="26">
        <v>410.7</v>
      </c>
      <c r="K16" s="26">
        <v>-121</v>
      </c>
      <c r="L16" s="26">
        <v>-10.7</v>
      </c>
      <c r="M16" s="26">
        <v>-66</v>
      </c>
    </row>
    <row r="17" ht="20.05" customHeight="1">
      <c r="B17" s="13"/>
      <c r="C17" s="14">
        <v>1539.4</v>
      </c>
      <c r="D17" s="26">
        <v>45.7</v>
      </c>
      <c r="E17" s="26">
        <v>256.4</v>
      </c>
      <c r="F17" s="26">
        <v>2216</v>
      </c>
      <c r="G17" s="26">
        <v>3874</v>
      </c>
      <c r="H17" s="26">
        <v>9305</v>
      </c>
      <c r="I17" s="26">
        <v>1808.8</v>
      </c>
      <c r="J17" s="26">
        <v>372.7</v>
      </c>
      <c r="K17" s="26">
        <v>-23.4</v>
      </c>
      <c r="L17" s="26">
        <v>4.4</v>
      </c>
      <c r="M17" s="26">
        <v>0</v>
      </c>
    </row>
    <row r="18" ht="20.05" customHeight="1">
      <c r="B18" s="13"/>
      <c r="C18" s="14">
        <v>1731.7</v>
      </c>
      <c r="D18" s="26">
        <v>46</v>
      </c>
      <c r="E18" s="26">
        <v>251.8</v>
      </c>
      <c r="F18" s="26">
        <v>2736</v>
      </c>
      <c r="G18" s="26">
        <v>4228</v>
      </c>
      <c r="H18" s="26">
        <v>9014</v>
      </c>
      <c r="I18" s="26">
        <v>1783</v>
      </c>
      <c r="J18" s="26">
        <v>402</v>
      </c>
      <c r="K18" s="26">
        <v>711.1</v>
      </c>
      <c r="L18" s="26">
        <v>3</v>
      </c>
      <c r="M18" s="26">
        <v>-596.3</v>
      </c>
    </row>
    <row r="19" ht="20.05" customHeight="1">
      <c r="B19" s="13"/>
      <c r="C19" s="14">
        <v>1824.5</v>
      </c>
      <c r="D19" s="26">
        <v>48.6</v>
      </c>
      <c r="E19" s="26">
        <v>362.6</v>
      </c>
      <c r="F19" s="26">
        <v>1599</v>
      </c>
      <c r="G19" s="26">
        <v>2269</v>
      </c>
      <c r="H19" s="26">
        <v>7407</v>
      </c>
      <c r="I19" s="26">
        <v>2021.1</v>
      </c>
      <c r="J19" s="26">
        <v>211.1</v>
      </c>
      <c r="K19" s="26">
        <v>457.6</v>
      </c>
      <c r="L19" s="26">
        <v>-1508.6</v>
      </c>
      <c r="M19" s="26">
        <v>-297.4</v>
      </c>
    </row>
    <row r="20" ht="20.05" customHeight="1">
      <c r="B20" s="21">
        <v>2022</v>
      </c>
      <c r="C20" s="14">
        <v>1836.9</v>
      </c>
      <c r="D20" s="26">
        <v>46.9</v>
      </c>
      <c r="E20" s="26">
        <v>297.5</v>
      </c>
      <c r="F20" s="26">
        <v>1569</v>
      </c>
      <c r="G20" s="26">
        <v>2399</v>
      </c>
      <c r="H20" s="26">
        <v>7838</v>
      </c>
      <c r="I20" s="26">
        <v>1971.7</v>
      </c>
      <c r="J20" s="26">
        <v>47.84</v>
      </c>
      <c r="K20" s="26">
        <v>-77.5</v>
      </c>
      <c r="L20" s="26">
        <v>-0.24</v>
      </c>
      <c r="M20" s="26">
        <v>0</v>
      </c>
    </row>
    <row r="21" ht="20.05" customHeight="1">
      <c r="B21" s="13"/>
      <c r="C21" s="14">
        <v>1854</v>
      </c>
      <c r="D21" s="26">
        <v>44.6</v>
      </c>
      <c r="E21" s="26">
        <v>310.9</v>
      </c>
      <c r="F21" s="26">
        <v>1567</v>
      </c>
      <c r="G21" s="26">
        <v>2145</v>
      </c>
      <c r="H21" s="26">
        <v>7898</v>
      </c>
      <c r="I21" s="26">
        <v>2048.9</v>
      </c>
      <c r="J21" s="26">
        <v>100.76</v>
      </c>
      <c r="K21" s="26">
        <v>-102.9</v>
      </c>
      <c r="L21" s="26">
        <v>0.24</v>
      </c>
      <c r="M21" s="26">
        <v>-0.2</v>
      </c>
    </row>
    <row r="22" ht="20.05" customHeight="1">
      <c r="B22" s="13"/>
      <c r="C22" s="14">
        <v>1987.2</v>
      </c>
      <c r="D22" s="26">
        <v>43</v>
      </c>
      <c r="E22" s="26">
        <v>227.4</v>
      </c>
      <c r="F22" s="26">
        <v>1425</v>
      </c>
      <c r="G22" s="26">
        <v>2339</v>
      </c>
      <c r="H22" s="26">
        <v>8051</v>
      </c>
      <c r="I22" s="26">
        <v>2217.9</v>
      </c>
      <c r="J22" s="26">
        <v>146.2</v>
      </c>
      <c r="K22" s="26">
        <v>-42.1</v>
      </c>
      <c r="L22" s="26">
        <v>0.1</v>
      </c>
      <c r="M22" s="26">
        <v>-246.2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4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24" customWidth="1"/>
    <col min="2" max="28" width="10.4844" style="424" customWidth="1"/>
    <col min="29" max="29" width="18.9766" style="425" customWidth="1"/>
    <col min="30" max="48" width="9" style="425" customWidth="1"/>
    <col min="49" max="16384" width="16.3516" style="425" customWidth="1"/>
  </cols>
  <sheetData>
    <row r="1" ht="11.65" customHeight="1"/>
    <row r="2" ht="27.65" customHeight="1">
      <c r="B2" t="s" s="2">
        <v>794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355</v>
      </c>
      <c r="AA3" t="s" s="3">
        <v>19</v>
      </c>
      <c r="AB3" t="s" s="3">
        <v>20</v>
      </c>
    </row>
    <row r="4" ht="20.25" customHeight="1">
      <c r="B4" s="6">
        <v>2017</v>
      </c>
      <c r="C4" s="87">
        <v>414.1</v>
      </c>
      <c r="D4" s="59">
        <v>-30.1</v>
      </c>
      <c r="E4" s="59">
        <v>-358.9</v>
      </c>
      <c r="F4" s="59">
        <v>64</v>
      </c>
      <c r="G4" s="88">
        <v>13448</v>
      </c>
      <c r="H4" s="59">
        <v>14288</v>
      </c>
      <c r="I4" s="88">
        <v>382.42</v>
      </c>
      <c r="J4" s="59">
        <v>-137.44</v>
      </c>
      <c r="K4" s="59">
        <v>-14.9</v>
      </c>
      <c r="L4" s="59"/>
      <c r="M4" s="59"/>
      <c r="N4" s="59"/>
      <c r="O4" s="59"/>
      <c r="P4" s="9"/>
      <c r="Q4" s="9"/>
      <c r="R4" s="9"/>
      <c r="S4" s="9"/>
      <c r="T4" s="9"/>
      <c r="U4" s="9"/>
      <c r="V4" s="59">
        <f>-(L4+M4)</f>
        <v>0</v>
      </c>
      <c r="W4" s="9"/>
      <c r="X4" s="59">
        <f>F4-G4</f>
        <v>-13384</v>
      </c>
      <c r="Y4" s="9"/>
      <c r="Z4" s="73">
        <v>308</v>
      </c>
      <c r="AA4" s="11"/>
      <c r="AB4" s="12">
        <v>13.3</v>
      </c>
    </row>
    <row r="5" ht="20.05" customHeight="1">
      <c r="B5" s="13"/>
      <c r="C5" s="38">
        <v>329</v>
      </c>
      <c r="D5" s="26">
        <v>50</v>
      </c>
      <c r="E5" s="26">
        <v>-124.1</v>
      </c>
      <c r="F5" s="26">
        <v>48</v>
      </c>
      <c r="G5" s="23">
        <v>13667</v>
      </c>
      <c r="H5" s="26">
        <v>14390</v>
      </c>
      <c r="I5" s="23">
        <v>325.38</v>
      </c>
      <c r="J5" s="26">
        <v>-31.41</v>
      </c>
      <c r="K5" s="26">
        <v>-18.8</v>
      </c>
      <c r="L5" s="26"/>
      <c r="M5" s="26"/>
      <c r="N5" s="26"/>
      <c r="O5" s="26"/>
      <c r="P5" s="16"/>
      <c r="Q5" s="17"/>
      <c r="R5" s="17"/>
      <c r="S5" s="17"/>
      <c r="T5" s="17"/>
      <c r="U5" s="17"/>
      <c r="V5" s="26">
        <f>-(L5+M5)+V4</f>
        <v>0</v>
      </c>
      <c r="W5" s="17"/>
      <c r="X5" s="26">
        <f>F5-G5</f>
        <v>-13619</v>
      </c>
      <c r="Y5" s="17"/>
      <c r="Z5" s="24">
        <v>216</v>
      </c>
      <c r="AA5" s="19"/>
      <c r="AB5" s="20">
        <v>13.327</v>
      </c>
    </row>
    <row r="6" ht="20.05" customHeight="1">
      <c r="B6" s="13"/>
      <c r="C6" s="38">
        <v>397.3</v>
      </c>
      <c r="D6" s="26">
        <v>190.9</v>
      </c>
      <c r="E6" s="26">
        <v>-222.3</v>
      </c>
      <c r="F6" s="26">
        <v>35</v>
      </c>
      <c r="G6" s="23">
        <v>13958</v>
      </c>
      <c r="H6" s="26">
        <v>14466</v>
      </c>
      <c r="I6" s="23">
        <v>383.56</v>
      </c>
      <c r="J6" s="26">
        <v>21.42</v>
      </c>
      <c r="K6" s="26">
        <v>-31.06</v>
      </c>
      <c r="L6" s="26"/>
      <c r="M6" s="26"/>
      <c r="N6" s="26"/>
      <c r="O6" s="26"/>
      <c r="P6" s="16"/>
      <c r="Q6" s="17"/>
      <c r="R6" s="17"/>
      <c r="S6" s="17"/>
      <c r="T6" s="17"/>
      <c r="U6" s="17"/>
      <c r="V6" s="26">
        <f>-(L6+M6)+V5</f>
        <v>0</v>
      </c>
      <c r="W6" s="17"/>
      <c r="X6" s="26">
        <f>F6-G6</f>
        <v>-13923</v>
      </c>
      <c r="Y6" s="17"/>
      <c r="Z6" s="24">
        <v>147</v>
      </c>
      <c r="AA6" s="19"/>
      <c r="AB6" s="20">
        <v>13.305</v>
      </c>
    </row>
    <row r="7" ht="20.05" customHeight="1">
      <c r="B7" s="13"/>
      <c r="C7" s="38">
        <v>364.4</v>
      </c>
      <c r="D7" s="26">
        <v>130.9</v>
      </c>
      <c r="E7" s="26">
        <v>-853.2</v>
      </c>
      <c r="F7" s="26">
        <v>22</v>
      </c>
      <c r="G7" s="23">
        <v>14361</v>
      </c>
      <c r="H7" s="26">
        <v>14049</v>
      </c>
      <c r="I7" s="23">
        <v>369.09</v>
      </c>
      <c r="J7" s="26">
        <v>318.69</v>
      </c>
      <c r="K7" s="26">
        <v>-34.24</v>
      </c>
      <c r="L7" s="26"/>
      <c r="M7" s="26"/>
      <c r="N7" s="26"/>
      <c r="O7" s="26"/>
      <c r="P7" s="16"/>
      <c r="Q7" s="17"/>
      <c r="R7" s="17"/>
      <c r="S7" s="17"/>
      <c r="T7" s="17"/>
      <c r="U7" s="17"/>
      <c r="V7" s="26">
        <f>-(L7+M7)+V6</f>
        <v>0</v>
      </c>
      <c r="W7" s="17"/>
      <c r="X7" s="26">
        <f>F7-G7</f>
        <v>-14339</v>
      </c>
      <c r="Y7" s="17"/>
      <c r="Z7" s="24">
        <v>163</v>
      </c>
      <c r="AA7" s="19"/>
      <c r="AB7" s="20">
        <v>13.557</v>
      </c>
    </row>
    <row r="8" ht="20.05" customHeight="1">
      <c r="B8" s="21">
        <v>2018</v>
      </c>
      <c r="C8" s="38">
        <v>305.3</v>
      </c>
      <c r="D8" s="26">
        <v>212.7</v>
      </c>
      <c r="E8" s="26">
        <v>-389.1</v>
      </c>
      <c r="F8" s="26">
        <v>41</v>
      </c>
      <c r="G8" s="23">
        <v>14843</v>
      </c>
      <c r="H8" s="26">
        <v>13985</v>
      </c>
      <c r="I8" s="23">
        <v>322.28</v>
      </c>
      <c r="J8" s="26">
        <v>43.75</v>
      </c>
      <c r="K8" s="26">
        <v>-26.7</v>
      </c>
      <c r="L8" s="26">
        <v>-8.27</v>
      </c>
      <c r="M8" s="26">
        <v>0</v>
      </c>
      <c r="N8" s="26">
        <f>SUM(C5:C8)/4</f>
        <v>349</v>
      </c>
      <c r="O8" s="26"/>
      <c r="P8" s="16"/>
      <c r="Q8" s="16"/>
      <c r="R8" s="16"/>
      <c r="S8" s="17"/>
      <c r="T8" s="26">
        <f>SUM(J5:K8)/4</f>
        <v>60.4125</v>
      </c>
      <c r="U8" s="25"/>
      <c r="V8" s="26">
        <f>-(L8+M8)+V7</f>
        <v>8.27</v>
      </c>
      <c r="W8" s="17"/>
      <c r="X8" s="26">
        <f>F8-G8</f>
        <v>-14802</v>
      </c>
      <c r="Y8" s="24"/>
      <c r="Z8" s="24">
        <v>296</v>
      </c>
      <c r="AA8" s="22"/>
      <c r="AB8" s="20">
        <v>13.761</v>
      </c>
    </row>
    <row r="9" ht="20.05" customHeight="1">
      <c r="B9" s="13"/>
      <c r="C9" s="38">
        <v>325.4</v>
      </c>
      <c r="D9" s="26">
        <v>507.6</v>
      </c>
      <c r="E9" s="26">
        <v>-594</v>
      </c>
      <c r="F9" s="26">
        <v>89</v>
      </c>
      <c r="G9" s="23">
        <v>14950</v>
      </c>
      <c r="H9" s="26">
        <v>13867</v>
      </c>
      <c r="I9" s="23">
        <v>267.72</v>
      </c>
      <c r="J9" s="26">
        <v>-39.52</v>
      </c>
      <c r="K9" s="26">
        <v>656.02</v>
      </c>
      <c r="L9" s="26">
        <v>-543.63</v>
      </c>
      <c r="M9" s="26">
        <v>0</v>
      </c>
      <c r="N9" s="26">
        <f>SUM(C6:C9)/4</f>
        <v>348.1</v>
      </c>
      <c r="O9" s="26"/>
      <c r="P9" s="16"/>
      <c r="Q9" s="16">
        <f>(E9+D9)/C9</f>
        <v>-0.265519360786724</v>
      </c>
      <c r="R9" s="16"/>
      <c r="S9" s="17"/>
      <c r="T9" s="26">
        <f>SUM(J6:K9)/4</f>
        <v>227.09</v>
      </c>
      <c r="U9" s="25"/>
      <c r="V9" s="26">
        <f>-(L9+M9)+V8</f>
        <v>551.9</v>
      </c>
      <c r="W9" s="17"/>
      <c r="X9" s="26">
        <f>F9-G9</f>
        <v>-14861</v>
      </c>
      <c r="Y9" s="24"/>
      <c r="Z9" s="24">
        <v>230</v>
      </c>
      <c r="AA9" s="22"/>
      <c r="AB9" s="20">
        <v>14</v>
      </c>
    </row>
    <row r="10" ht="20.05" customHeight="1">
      <c r="B10" s="13"/>
      <c r="C10" s="38">
        <v>443</v>
      </c>
      <c r="D10" s="26">
        <v>464.4</v>
      </c>
      <c r="E10" s="26">
        <v>-523.4</v>
      </c>
      <c r="F10" s="26">
        <v>72</v>
      </c>
      <c r="G10" s="23">
        <v>15280</v>
      </c>
      <c r="H10" s="26">
        <v>14010</v>
      </c>
      <c r="I10" s="23">
        <v>318.5</v>
      </c>
      <c r="J10" s="26">
        <v>229.35</v>
      </c>
      <c r="K10" s="26">
        <v>-76.42</v>
      </c>
      <c r="L10" s="26">
        <v>-149</v>
      </c>
      <c r="M10" s="26">
        <v>0</v>
      </c>
      <c r="N10" s="26">
        <f>SUM(C7:C10)/4</f>
        <v>359.525</v>
      </c>
      <c r="O10" s="26"/>
      <c r="P10" s="16">
        <f>C10/C9-1</f>
        <v>0.36140135218193</v>
      </c>
      <c r="Q10" s="16">
        <f>(E10+D10)/C10</f>
        <v>-0.133182844243792</v>
      </c>
      <c r="R10" s="16"/>
      <c r="S10" s="17"/>
      <c r="T10" s="26">
        <f>SUM(J7:K10)/4</f>
        <v>267.7325</v>
      </c>
      <c r="U10" s="25"/>
      <c r="V10" s="26">
        <f>-(L10+M10)+V9</f>
        <v>700.9</v>
      </c>
      <c r="W10" s="17"/>
      <c r="X10" s="26">
        <f>F10-G10</f>
        <v>-15208</v>
      </c>
      <c r="Y10" s="24"/>
      <c r="Z10" s="24">
        <v>206</v>
      </c>
      <c r="AA10" s="22"/>
      <c r="AB10" s="20">
        <v>14.902</v>
      </c>
    </row>
    <row r="11" ht="20.05" customHeight="1">
      <c r="B11" s="13"/>
      <c r="C11" s="38">
        <v>878.1</v>
      </c>
      <c r="D11" s="26">
        <v>319</v>
      </c>
      <c r="E11" s="26">
        <v>-342.4</v>
      </c>
      <c r="F11" s="26">
        <v>54</v>
      </c>
      <c r="G11" s="23">
        <v>14798</v>
      </c>
      <c r="H11" s="26">
        <v>13363</v>
      </c>
      <c r="I11" s="23">
        <v>996.3</v>
      </c>
      <c r="J11" s="26">
        <v>-207.15</v>
      </c>
      <c r="K11" s="26">
        <v>-119.6</v>
      </c>
      <c r="L11" s="26">
        <v>272.6</v>
      </c>
      <c r="M11" s="26">
        <v>0</v>
      </c>
      <c r="N11" s="26">
        <f>SUM(C8:C11)/4</f>
        <v>487.95</v>
      </c>
      <c r="O11" s="26"/>
      <c r="P11" s="16">
        <f>C11/C10-1</f>
        <v>0.9821670428893911</v>
      </c>
      <c r="Q11" s="16">
        <f>(E11+D11)/C11</f>
        <v>-0.0266484455073454</v>
      </c>
      <c r="R11" s="16"/>
      <c r="S11" s="17"/>
      <c r="T11" s="26">
        <f>SUM(J8:K11)/4</f>
        <v>114.9325</v>
      </c>
      <c r="U11" s="25"/>
      <c r="V11" s="26">
        <f>-(L11+M11)+V10</f>
        <v>428.3</v>
      </c>
      <c r="W11" s="17"/>
      <c r="X11" s="26">
        <f>F11-G11</f>
        <v>-14744</v>
      </c>
      <c r="Y11" s="24"/>
      <c r="Z11" s="24">
        <v>107</v>
      </c>
      <c r="AA11" s="22"/>
      <c r="AB11" s="20">
        <v>14.38</v>
      </c>
    </row>
    <row r="12" ht="20.05" customHeight="1">
      <c r="B12" s="21">
        <v>2019</v>
      </c>
      <c r="C12" s="38">
        <v>479.1</v>
      </c>
      <c r="D12" s="26">
        <v>-112.1</v>
      </c>
      <c r="E12" s="26">
        <v>33.6</v>
      </c>
      <c r="F12" s="26">
        <v>61</v>
      </c>
      <c r="G12" s="23">
        <v>14732</v>
      </c>
      <c r="H12" s="26">
        <v>13330</v>
      </c>
      <c r="I12" s="23">
        <v>524.27</v>
      </c>
      <c r="J12" s="26">
        <v>9.359999999999999</v>
      </c>
      <c r="K12" s="26">
        <v>-25.49</v>
      </c>
      <c r="L12" s="26">
        <v>36.6</v>
      </c>
      <c r="M12" s="26">
        <v>0</v>
      </c>
      <c r="N12" s="26">
        <f>SUM(C9:C12)/4</f>
        <v>531.4</v>
      </c>
      <c r="O12" s="23"/>
      <c r="P12" s="16">
        <f>C12/C11-1</f>
        <v>-0.454390160573967</v>
      </c>
      <c r="Q12" s="16">
        <f>(E12+D12)/C12</f>
        <v>-0.163848883322897</v>
      </c>
      <c r="R12" s="16">
        <f>AVERAGE(Q9:Q12)</f>
        <v>-0.14729988346519</v>
      </c>
      <c r="S12" s="17"/>
      <c r="T12" s="26">
        <f>SUM(J9:K12)/4</f>
        <v>106.6375</v>
      </c>
      <c r="U12" s="25"/>
      <c r="V12" s="26">
        <f>-(L12+M12)+V11</f>
        <v>391.7</v>
      </c>
      <c r="W12" s="17"/>
      <c r="X12" s="26">
        <f>F12-G12</f>
        <v>-14671</v>
      </c>
      <c r="Y12" s="24"/>
      <c r="Z12" s="24">
        <v>118</v>
      </c>
      <c r="AA12" s="22"/>
      <c r="AB12" s="20">
        <v>14.24</v>
      </c>
    </row>
    <row r="13" ht="20.05" customHeight="1">
      <c r="B13" s="13"/>
      <c r="C13" s="38">
        <v>437.2</v>
      </c>
      <c r="D13" s="26">
        <v>-17</v>
      </c>
      <c r="E13" s="26">
        <v>-79.40000000000001</v>
      </c>
      <c r="F13" s="26">
        <v>56</v>
      </c>
      <c r="G13" s="23">
        <v>14658</v>
      </c>
      <c r="H13" s="26">
        <v>13175</v>
      </c>
      <c r="I13" s="23">
        <v>447.18</v>
      </c>
      <c r="J13" s="26">
        <v>-8.26</v>
      </c>
      <c r="K13" s="26">
        <v>-29.21</v>
      </c>
      <c r="L13" s="26">
        <v>19.9</v>
      </c>
      <c r="M13" s="26">
        <v>0</v>
      </c>
      <c r="N13" s="26">
        <f>SUM(C10:C13)/4</f>
        <v>559.35</v>
      </c>
      <c r="O13" s="23"/>
      <c r="P13" s="16">
        <f>C13/C12-1</f>
        <v>-0.0874556460029221</v>
      </c>
      <c r="Q13" s="16">
        <f>(E13+D13)/C13</f>
        <v>-0.220494053064959</v>
      </c>
      <c r="R13" s="16">
        <f>AVERAGE(Q10:Q13)</f>
        <v>-0.136043556534748</v>
      </c>
      <c r="S13" s="17"/>
      <c r="T13" s="26">
        <f>SUM(J10:K13)/4</f>
        <v>-56.855</v>
      </c>
      <c r="U13" s="25"/>
      <c r="V13" s="26">
        <f>-(L13+M13)+V12</f>
        <v>371.8</v>
      </c>
      <c r="W13" s="17"/>
      <c r="X13" s="26">
        <f>F13-G13</f>
        <v>-14602</v>
      </c>
      <c r="Y13" s="24"/>
      <c r="Z13" s="24">
        <v>89</v>
      </c>
      <c r="AA13" s="24"/>
      <c r="AB13" s="15">
        <v>14.127</v>
      </c>
    </row>
    <row r="14" ht="20.05" customHeight="1">
      <c r="B14" s="13"/>
      <c r="C14" s="38">
        <v>504.8</v>
      </c>
      <c r="D14" s="26">
        <v>101.5</v>
      </c>
      <c r="E14" s="26">
        <v>-140.4</v>
      </c>
      <c r="F14" s="26">
        <v>63</v>
      </c>
      <c r="G14" s="23">
        <v>14210</v>
      </c>
      <c r="H14" s="26">
        <v>13265</v>
      </c>
      <c r="I14" s="23">
        <v>497.55</v>
      </c>
      <c r="J14" s="26">
        <v>-50.3</v>
      </c>
      <c r="K14" s="26">
        <v>-57.65</v>
      </c>
      <c r="L14" s="26">
        <v>114.9</v>
      </c>
      <c r="M14" s="26">
        <v>0</v>
      </c>
      <c r="N14" s="26">
        <f>SUM(C11:C14)/4</f>
        <v>574.8</v>
      </c>
      <c r="O14" s="23"/>
      <c r="P14" s="16">
        <f>C14/C13-1</f>
        <v>0.154620311070448</v>
      </c>
      <c r="Q14" s="16">
        <f>(E14+D14)/C14</f>
        <v>-0.0770602218700475</v>
      </c>
      <c r="R14" s="16">
        <f>AVERAGE(Q11:Q14)</f>
        <v>-0.122012900941312</v>
      </c>
      <c r="S14" s="17"/>
      <c r="T14" s="26">
        <f>SUM(J11:K14)/4</f>
        <v>-122.075</v>
      </c>
      <c r="U14" s="25"/>
      <c r="V14" s="26">
        <f>-(L14+M14)+V13</f>
        <v>256.9</v>
      </c>
      <c r="W14" s="17"/>
      <c r="X14" s="26">
        <f>F14-G14</f>
        <v>-14147</v>
      </c>
      <c r="Y14" s="24"/>
      <c r="Z14" s="24">
        <v>92</v>
      </c>
      <c r="AA14" s="24"/>
      <c r="AB14" s="15">
        <v>14.195</v>
      </c>
    </row>
    <row r="15" ht="20.05" customHeight="1">
      <c r="B15" s="13"/>
      <c r="C15" s="38">
        <v>562.9</v>
      </c>
      <c r="D15" s="26">
        <v>3346.6</v>
      </c>
      <c r="E15" s="26">
        <v>-4706.9</v>
      </c>
      <c r="F15" s="26">
        <v>79</v>
      </c>
      <c r="G15" s="23">
        <v>13846</v>
      </c>
      <c r="H15" s="26">
        <v>8400</v>
      </c>
      <c r="I15" s="23">
        <v>569.5700000000001</v>
      </c>
      <c r="J15" s="26">
        <v>-7.43</v>
      </c>
      <c r="K15" s="26">
        <v>-38.55</v>
      </c>
      <c r="L15" s="26">
        <v>62.9</v>
      </c>
      <c r="M15" s="26">
        <v>0</v>
      </c>
      <c r="N15" s="26">
        <f>SUM(C12:C15)/4</f>
        <v>496</v>
      </c>
      <c r="O15" s="26"/>
      <c r="P15" s="16">
        <f>C15/C14-1</f>
        <v>0.115095087163233</v>
      </c>
      <c r="Q15" s="16">
        <f>(E15+D15)/C15</f>
        <v>-2.41659264523006</v>
      </c>
      <c r="R15" s="16">
        <f>AVERAGE(Q12:Q15)</f>
        <v>-0.719498950871991</v>
      </c>
      <c r="S15" s="17"/>
      <c r="T15" s="26">
        <f>SUM(J12:K15)/4</f>
        <v>-51.8825</v>
      </c>
      <c r="U15" s="25"/>
      <c r="V15" s="26">
        <f>-(L15+M15)+V14</f>
        <v>194</v>
      </c>
      <c r="W15" s="17"/>
      <c r="X15" s="26">
        <f>F15-G15</f>
        <v>-13767</v>
      </c>
      <c r="Y15" s="24"/>
      <c r="Z15" s="24">
        <v>101</v>
      </c>
      <c r="AA15" s="24"/>
      <c r="AB15" s="15">
        <v>13.882</v>
      </c>
    </row>
    <row r="16" ht="20.05" customHeight="1">
      <c r="B16" s="21">
        <v>2020</v>
      </c>
      <c r="C16" s="38">
        <v>540.3</v>
      </c>
      <c r="D16" s="26">
        <v>2214.8</v>
      </c>
      <c r="E16" s="26">
        <v>-2024.3</v>
      </c>
      <c r="F16" s="26">
        <v>58</v>
      </c>
      <c r="G16" s="23">
        <v>16155</v>
      </c>
      <c r="H16" s="26">
        <v>8683</v>
      </c>
      <c r="I16" s="23">
        <v>530</v>
      </c>
      <c r="J16" s="26">
        <v>-14.45</v>
      </c>
      <c r="K16" s="26">
        <v>-24.79</v>
      </c>
      <c r="L16" s="26">
        <v>11.9</v>
      </c>
      <c r="M16" s="26">
        <v>0</v>
      </c>
      <c r="N16" s="26">
        <f>SUM(C13:C16)/4</f>
        <v>511.3</v>
      </c>
      <c r="O16" s="26"/>
      <c r="P16" s="16">
        <f>C16/C15-1</f>
        <v>-0.0401492272162018</v>
      </c>
      <c r="Q16" s="16">
        <f>(E16+D16)/C16</f>
        <v>0.352581898945031</v>
      </c>
      <c r="R16" s="16">
        <f>AVERAGE(Q13:Q16)</f>
        <v>-0.590391255305009</v>
      </c>
      <c r="S16" s="17"/>
      <c r="T16" s="26">
        <f>SUM(J13:K16)/4</f>
        <v>-57.66</v>
      </c>
      <c r="U16" s="25"/>
      <c r="V16" s="26">
        <f>-(L16+M16)+V15</f>
        <v>182.1</v>
      </c>
      <c r="W16" s="17"/>
      <c r="X16" s="26">
        <f>F16-G16</f>
        <v>-16097</v>
      </c>
      <c r="Y16" s="24"/>
      <c r="Z16" s="24">
        <v>51</v>
      </c>
      <c r="AA16" s="24"/>
      <c r="AB16" s="15">
        <v>16.31</v>
      </c>
    </row>
    <row r="17" ht="20.05" customHeight="1">
      <c r="B17" s="13"/>
      <c r="C17" s="38">
        <v>596.8</v>
      </c>
      <c r="D17" s="26">
        <v>-1731.1</v>
      </c>
      <c r="E17" s="26">
        <v>1516.1</v>
      </c>
      <c r="F17" s="26">
        <v>64</v>
      </c>
      <c r="G17" s="23">
        <v>14433</v>
      </c>
      <c r="H17" s="26">
        <v>8477</v>
      </c>
      <c r="I17" s="23">
        <v>571.9</v>
      </c>
      <c r="J17" s="26">
        <v>-20.9</v>
      </c>
      <c r="K17" s="26">
        <v>-23.1</v>
      </c>
      <c r="L17" s="26">
        <v>55.5</v>
      </c>
      <c r="M17" s="26">
        <v>0</v>
      </c>
      <c r="N17" s="26">
        <f>SUM(C14:C17)/4</f>
        <v>551.2</v>
      </c>
      <c r="O17" s="26"/>
      <c r="P17" s="16">
        <f>C17/C16-1</f>
        <v>0.104571534332778</v>
      </c>
      <c r="Q17" s="16">
        <f>(E17+D17)/C17</f>
        <v>-0.360254691689008</v>
      </c>
      <c r="R17" s="16">
        <f>AVERAGE(Q14:Q17)</f>
        <v>-0.625331414961021</v>
      </c>
      <c r="S17" s="17"/>
      <c r="T17" s="25">
        <f>SUM(J14:K17)/4</f>
        <v>-59.2925</v>
      </c>
      <c r="U17" s="25"/>
      <c r="V17" s="26">
        <f>-(L17+M17)+V16</f>
        <v>126.6</v>
      </c>
      <c r="W17" s="17"/>
      <c r="X17" s="26">
        <f>F17-G17</f>
        <v>-14369</v>
      </c>
      <c r="Y17" s="24"/>
      <c r="Z17" s="24">
        <v>59</v>
      </c>
      <c r="AA17" s="24"/>
      <c r="AB17" s="15">
        <v>14.255</v>
      </c>
    </row>
    <row r="18" ht="20.05" customHeight="1">
      <c r="B18" s="13"/>
      <c r="C18" s="38">
        <v>596.9</v>
      </c>
      <c r="D18" s="26">
        <v>596.1</v>
      </c>
      <c r="E18" s="26">
        <v>-547</v>
      </c>
      <c r="F18" s="26">
        <v>91</v>
      </c>
      <c r="G18" s="23">
        <v>15094</v>
      </c>
      <c r="H18" s="26">
        <v>8590</v>
      </c>
      <c r="I18" s="23">
        <v>617.3</v>
      </c>
      <c r="J18" s="26">
        <v>21.15</v>
      </c>
      <c r="K18" s="26">
        <v>-48.21</v>
      </c>
      <c r="L18" s="26">
        <v>46.7</v>
      </c>
      <c r="M18" s="26">
        <v>0</v>
      </c>
      <c r="N18" s="26">
        <f>SUM(C15:C18)/4</f>
        <v>574.225</v>
      </c>
      <c r="O18" s="26"/>
      <c r="P18" s="16">
        <f>C18/C17-1</f>
        <v>0.000167560321715818</v>
      </c>
      <c r="Q18" s="16">
        <f>(E18+D18)/C18</f>
        <v>0.0822583347294354</v>
      </c>
      <c r="R18" s="16">
        <f>AVERAGE(Q15:Q18)</f>
        <v>-0.58550177581115</v>
      </c>
      <c r="S18" s="17"/>
      <c r="T18" s="25">
        <f>SUM(J15:K18)/4</f>
        <v>-39.07</v>
      </c>
      <c r="U18" s="25"/>
      <c r="V18" s="26">
        <f>-(L18+M18)+V17</f>
        <v>79.90000000000001</v>
      </c>
      <c r="W18" s="17"/>
      <c r="X18" s="26">
        <f>F18-G18</f>
        <v>-15003</v>
      </c>
      <c r="Y18" s="24"/>
      <c r="Z18" s="25">
        <v>80</v>
      </c>
      <c r="AA18" s="24"/>
      <c r="AB18" s="15">
        <v>14.79</v>
      </c>
    </row>
    <row r="19" ht="20.05" customHeight="1">
      <c r="B19" s="13"/>
      <c r="C19" s="38">
        <v>772.7</v>
      </c>
      <c r="D19" s="26">
        <v>-444.3</v>
      </c>
      <c r="E19" s="26">
        <v>101.1</v>
      </c>
      <c r="F19" s="23">
        <v>87</v>
      </c>
      <c r="G19" s="23">
        <v>14586</v>
      </c>
      <c r="H19" s="23">
        <v>7576</v>
      </c>
      <c r="I19" s="23">
        <v>775.1</v>
      </c>
      <c r="J19" s="26">
        <v>27.6</v>
      </c>
      <c r="K19" s="26">
        <v>-67.5</v>
      </c>
      <c r="L19" s="26">
        <v>44.3</v>
      </c>
      <c r="M19" s="26">
        <v>0</v>
      </c>
      <c r="N19" s="26">
        <f>SUM(C16:C19)/4</f>
        <v>626.675</v>
      </c>
      <c r="O19" s="26">
        <v>692.3505</v>
      </c>
      <c r="P19" s="16">
        <f>C19/C18-1</f>
        <v>0.29452169542637</v>
      </c>
      <c r="Q19" s="16">
        <f>(E19+D19)/C19</f>
        <v>-0.444156852594797</v>
      </c>
      <c r="R19" s="16">
        <f>AVERAGE(Q16:Q19)</f>
        <v>-0.0923928276523347</v>
      </c>
      <c r="S19" s="17"/>
      <c r="T19" s="25">
        <f>SUM(J16:K19)/4</f>
        <v>-37.55</v>
      </c>
      <c r="U19" s="25"/>
      <c r="V19" s="26">
        <f>-(L19+M19)+V18</f>
        <v>35.6</v>
      </c>
      <c r="W19" s="17"/>
      <c r="X19" s="26">
        <f>F19-G19</f>
        <v>-14499</v>
      </c>
      <c r="Y19" s="24"/>
      <c r="Z19" s="25">
        <v>114</v>
      </c>
      <c r="AA19" s="24"/>
      <c r="AB19" s="15">
        <v>14.1</v>
      </c>
    </row>
    <row r="20" ht="20.05" customHeight="1">
      <c r="B20" s="21">
        <v>2021</v>
      </c>
      <c r="C20" s="38">
        <v>789</v>
      </c>
      <c r="D20" s="26">
        <v>482.2</v>
      </c>
      <c r="E20" s="25">
        <v>-422.3</v>
      </c>
      <c r="F20" s="23">
        <v>138</v>
      </c>
      <c r="G20" s="23">
        <v>15219</v>
      </c>
      <c r="H20" s="23">
        <v>7785</v>
      </c>
      <c r="I20" s="25">
        <v>798.3</v>
      </c>
      <c r="J20" s="26">
        <v>-20</v>
      </c>
      <c r="K20" s="26">
        <v>-61.8</v>
      </c>
      <c r="L20" s="26">
        <v>131.7</v>
      </c>
      <c r="M20" s="26">
        <v>0</v>
      </c>
      <c r="N20" s="26">
        <f>SUM(C17:C20)/4</f>
        <v>688.85</v>
      </c>
      <c r="O20" s="26">
        <v>705.301166666667</v>
      </c>
      <c r="P20" s="16">
        <f>C20/C19-1</f>
        <v>0.0210948621716061</v>
      </c>
      <c r="Q20" s="16">
        <f>(E20+D20)/C20</f>
        <v>0.0759188846641318</v>
      </c>
      <c r="R20" s="16">
        <f>AVERAGE(Q17:Q20)</f>
        <v>-0.161558581222559</v>
      </c>
      <c r="S20" s="17"/>
      <c r="T20" s="25">
        <f>SUM(J17:K20)/4</f>
        <v>-48.19</v>
      </c>
      <c r="U20" s="25"/>
      <c r="V20" s="26">
        <f>-(L20+M20)+V19</f>
        <v>-96.09999999999999</v>
      </c>
      <c r="W20" s="17"/>
      <c r="X20" s="26">
        <f>F20-G20</f>
        <v>-15081</v>
      </c>
      <c r="Y20" s="26"/>
      <c r="Z20" s="25">
        <v>118</v>
      </c>
      <c r="AA20" s="26"/>
      <c r="AB20" s="15">
        <v>14.606</v>
      </c>
    </row>
    <row r="21" ht="20.05" customHeight="1">
      <c r="B21" s="13"/>
      <c r="C21" s="38">
        <v>985.5</v>
      </c>
      <c r="D21" s="25">
        <v>-22.1</v>
      </c>
      <c r="E21" s="25">
        <v>76</v>
      </c>
      <c r="F21" s="23">
        <v>131</v>
      </c>
      <c r="G21" s="23">
        <v>15280</v>
      </c>
      <c r="H21" s="23">
        <v>7921</v>
      </c>
      <c r="I21" s="25">
        <v>954.4</v>
      </c>
      <c r="J21" s="26">
        <v>-19.1</v>
      </c>
      <c r="K21" s="26">
        <v>-49.6</v>
      </c>
      <c r="L21" s="26">
        <v>62.2</v>
      </c>
      <c r="M21" s="26">
        <v>0</v>
      </c>
      <c r="N21" s="26">
        <f>SUM(C18:C21)/4</f>
        <v>786.025</v>
      </c>
      <c r="O21" s="26">
        <v>720.91653125</v>
      </c>
      <c r="P21" s="16">
        <f>C21/C20-1</f>
        <v>0.249049429657795</v>
      </c>
      <c r="Q21" s="16">
        <f>(E21+D21)/C21</f>
        <v>0.0546930492135972</v>
      </c>
      <c r="R21" s="16">
        <f>AVERAGE(Q18:Q21)</f>
        <v>-0.0578216459969082</v>
      </c>
      <c r="S21" s="17"/>
      <c r="T21" s="25">
        <f>SUM(J18:K21)/4</f>
        <v>-54.365</v>
      </c>
      <c r="U21" s="25"/>
      <c r="V21" s="26">
        <f>-(L21+M21)+V20</f>
        <v>-158.3</v>
      </c>
      <c r="W21" s="17"/>
      <c r="X21" s="26">
        <f>F21-G21</f>
        <v>-15149</v>
      </c>
      <c r="Y21" s="26"/>
      <c r="Z21" s="25">
        <v>107</v>
      </c>
      <c r="AA21" s="17"/>
      <c r="AB21" s="15">
        <v>14.45</v>
      </c>
    </row>
    <row r="22" ht="20.05" customHeight="1">
      <c r="B22" s="13"/>
      <c r="C22" s="38">
        <v>1104.2</v>
      </c>
      <c r="D22" s="25">
        <v>-58.6</v>
      </c>
      <c r="E22" s="25">
        <v>265.8</v>
      </c>
      <c r="F22" s="23">
        <v>201</v>
      </c>
      <c r="G22" s="23">
        <v>15100</v>
      </c>
      <c r="H22" s="23">
        <v>8008</v>
      </c>
      <c r="I22" s="25">
        <v>1095.5</v>
      </c>
      <c r="J22" s="26">
        <v>8.800000000000001</v>
      </c>
      <c r="K22" s="26">
        <v>-12.9</v>
      </c>
      <c r="L22" s="26">
        <v>73.8</v>
      </c>
      <c r="M22" s="26">
        <v>0</v>
      </c>
      <c r="N22" s="26">
        <f>SUM(C19:C22)/4</f>
        <v>912.85</v>
      </c>
      <c r="O22" s="26">
        <v>824.89378125</v>
      </c>
      <c r="P22" s="16">
        <f>C22/C21-1</f>
        <v>0.120446473871131</v>
      </c>
      <c r="Q22" s="16">
        <f>(E22+D22)/C22</f>
        <v>0.187647165368593</v>
      </c>
      <c r="R22" s="16">
        <f>AVERAGE(Q19:Q22)</f>
        <v>-0.0314744383371188</v>
      </c>
      <c r="S22" s="17"/>
      <c r="T22" s="25">
        <f>SUM(J19:K22)/4</f>
        <v>-48.625</v>
      </c>
      <c r="U22" s="25"/>
      <c r="V22" s="26">
        <f>-(L22+M22)+V21</f>
        <v>-232.1</v>
      </c>
      <c r="W22" s="17"/>
      <c r="X22" s="26">
        <f>F22-G22</f>
        <v>-14899</v>
      </c>
      <c r="Y22" s="26"/>
      <c r="Z22" s="25">
        <v>115</v>
      </c>
      <c r="AA22" s="17"/>
      <c r="AB22" s="15">
        <v>14.328</v>
      </c>
    </row>
    <row r="23" ht="20.05" customHeight="1">
      <c r="B23" s="13"/>
      <c r="C23" s="38">
        <v>1092.4</v>
      </c>
      <c r="D23" s="25">
        <v>44.7</v>
      </c>
      <c r="E23" s="25">
        <v>198</v>
      </c>
      <c r="F23" s="23">
        <v>268</v>
      </c>
      <c r="G23" s="23">
        <v>15151</v>
      </c>
      <c r="H23" s="23">
        <v>8258</v>
      </c>
      <c r="I23" s="25">
        <v>1163.9</v>
      </c>
      <c r="J23" s="26">
        <v>164.6</v>
      </c>
      <c r="K23" s="26">
        <v>-149.1</v>
      </c>
      <c r="L23" s="26">
        <v>52.4</v>
      </c>
      <c r="M23" s="26">
        <v>0</v>
      </c>
      <c r="N23" s="26">
        <f>SUM(C20:C23)/4</f>
        <v>992.775</v>
      </c>
      <c r="O23" s="26">
        <v>901.98378125</v>
      </c>
      <c r="P23" s="16">
        <f>C23/C22-1</f>
        <v>-0.0106864698424199</v>
      </c>
      <c r="Q23" s="16">
        <f>(E23+D23)/C23</f>
        <v>0.222171365800073</v>
      </c>
      <c r="R23" s="16">
        <f>AVERAGE(Q20:Q23)</f>
        <v>0.135107616261599</v>
      </c>
      <c r="S23" s="17"/>
      <c r="T23" s="25">
        <f>SUM(J20:K23)/4</f>
        <v>-34.775</v>
      </c>
      <c r="U23" s="25"/>
      <c r="V23" s="26">
        <f>-(L23+M23)+V22</f>
        <v>-284.5</v>
      </c>
      <c r="W23" s="17"/>
      <c r="X23" s="26">
        <f>F23-G23</f>
        <v>-14883</v>
      </c>
      <c r="Y23" s="26"/>
      <c r="Z23" s="25">
        <v>109</v>
      </c>
      <c r="AA23" s="26">
        <v>93.8386074688796</v>
      </c>
      <c r="AB23" s="15">
        <v>14.275</v>
      </c>
    </row>
    <row r="24" ht="20.05" customHeight="1">
      <c r="B24" s="21">
        <v>2022</v>
      </c>
      <c r="C24" s="38">
        <v>1192.8</v>
      </c>
      <c r="D24" s="26">
        <v>129.7</v>
      </c>
      <c r="E24" s="26">
        <v>9.5</v>
      </c>
      <c r="F24" s="23">
        <v>366</v>
      </c>
      <c r="G24" s="23">
        <v>15141</v>
      </c>
      <c r="H24" s="23">
        <v>8257</v>
      </c>
      <c r="I24" s="25">
        <v>1109</v>
      </c>
      <c r="J24" s="26">
        <v>130.5</v>
      </c>
      <c r="K24" s="26">
        <v>-92.5</v>
      </c>
      <c r="L24" s="26">
        <v>59.7</v>
      </c>
      <c r="M24" s="26">
        <v>0</v>
      </c>
      <c r="N24" s="26">
        <f>SUM(C21:C24)/4</f>
        <v>1093.725</v>
      </c>
      <c r="O24" s="26">
        <v>1011.60292125</v>
      </c>
      <c r="P24" s="16">
        <f>C24/C23-1</f>
        <v>0.0919077261076529</v>
      </c>
      <c r="Q24" s="16">
        <f>(E24+D24)/C24</f>
        <v>0.116700201207243</v>
      </c>
      <c r="R24" s="16">
        <f>AVERAGE(Q21:Q24)</f>
        <v>0.145302945397377</v>
      </c>
      <c r="S24" s="35"/>
      <c r="T24" s="25">
        <f>SUM(J21:K24)/4</f>
        <v>-4.825</v>
      </c>
      <c r="U24" s="26">
        <v>120.656527165850</v>
      </c>
      <c r="V24" s="26">
        <f>-(L24+M24)+V23</f>
        <v>-344.2</v>
      </c>
      <c r="W24" s="26"/>
      <c r="X24" s="26">
        <f>F24-G24</f>
        <v>-14775</v>
      </c>
      <c r="Y24" s="26"/>
      <c r="Z24" s="25">
        <v>119</v>
      </c>
      <c r="AA24" s="26">
        <v>93.8386074688796</v>
      </c>
      <c r="AB24" s="15">
        <v>14.327</v>
      </c>
    </row>
    <row r="25" ht="20.05" customHeight="1">
      <c r="B25" s="13"/>
      <c r="C25" s="38">
        <v>252.8</v>
      </c>
      <c r="D25" s="26">
        <v>222.7</v>
      </c>
      <c r="E25" s="26">
        <v>683.4</v>
      </c>
      <c r="F25" s="23">
        <v>257</v>
      </c>
      <c r="G25" s="23">
        <v>10125</v>
      </c>
      <c r="H25" s="23">
        <v>5222</v>
      </c>
      <c r="I25" s="25">
        <v>282.6</v>
      </c>
      <c r="J25" s="26">
        <v>-213.4</v>
      </c>
      <c r="K25" s="26">
        <v>11</v>
      </c>
      <c r="L25" s="26">
        <v>91.7</v>
      </c>
      <c r="M25" s="26">
        <v>0</v>
      </c>
      <c r="N25" s="26">
        <f>SUM(C22:C25)/4</f>
        <v>910.55</v>
      </c>
      <c r="O25" s="26">
        <v>1120.894765</v>
      </c>
      <c r="P25" s="16">
        <f>C25/C24-1</f>
        <v>-0.788061703554661</v>
      </c>
      <c r="Q25" s="16">
        <f>(E25+D25)/C25</f>
        <v>3.58425632911392</v>
      </c>
      <c r="R25" s="16">
        <f>AVERAGE(Q22:Q25)</f>
        <v>1.02769376537246</v>
      </c>
      <c r="S25" s="35"/>
      <c r="T25" s="25">
        <f>SUM(J22:K25)/4</f>
        <v>-38.25</v>
      </c>
      <c r="U25" s="26">
        <v>68.691694398270</v>
      </c>
      <c r="V25" s="26">
        <f>-(L25+M25)+V24</f>
        <v>-435.9</v>
      </c>
      <c r="W25" s="26"/>
      <c r="X25" s="26">
        <f>F25-G25</f>
        <v>-9868</v>
      </c>
      <c r="Y25" s="26"/>
      <c r="Z25" s="25">
        <v>119</v>
      </c>
      <c r="AA25" s="26">
        <v>113.946880497925</v>
      </c>
      <c r="AB25" s="15">
        <v>14.66</v>
      </c>
    </row>
    <row r="26" ht="20.05" customHeight="1">
      <c r="B26" s="13"/>
      <c r="C26" s="38">
        <v>717</v>
      </c>
      <c r="D26" s="26">
        <v>223.8</v>
      </c>
      <c r="E26" s="26">
        <v>-170.8</v>
      </c>
      <c r="F26" s="23">
        <v>69</v>
      </c>
      <c r="G26" s="23">
        <v>10378</v>
      </c>
      <c r="H26" s="23">
        <v>5374</v>
      </c>
      <c r="I26" s="25">
        <v>753.6</v>
      </c>
      <c r="J26" s="26">
        <v>-186</v>
      </c>
      <c r="K26" s="26">
        <v>-1.3</v>
      </c>
      <c r="L26" s="26">
        <v>0</v>
      </c>
      <c r="M26" s="26">
        <v>0</v>
      </c>
      <c r="N26" s="26">
        <f>SUM(C23:C26)/4</f>
        <v>813.75</v>
      </c>
      <c r="O26" s="26">
        <v>435.6784476</v>
      </c>
      <c r="P26" s="16">
        <f>C26/C25-1</f>
        <v>1.83623417721519</v>
      </c>
      <c r="Q26" s="16">
        <f>(E26+D26)/C26</f>
        <v>0.0739191073919107</v>
      </c>
      <c r="R26" s="16">
        <f>AVERAGE(Q23:Q26)</f>
        <v>0.9992617508782869</v>
      </c>
      <c r="S26" s="35">
        <f>S27</f>
        <v>0.0739191073919107</v>
      </c>
      <c r="T26" s="25">
        <f>SUM(J23:K26)/4</f>
        <v>-84.05</v>
      </c>
      <c r="U26" s="26">
        <v>25.6281783625233</v>
      </c>
      <c r="V26" s="26">
        <f>-(L26+M26)+V25</f>
        <v>-435.9</v>
      </c>
      <c r="W26" s="26">
        <f>W27</f>
        <v>-189.3208924</v>
      </c>
      <c r="X26" s="26">
        <f>F26-G26</f>
        <v>-10309</v>
      </c>
      <c r="Y26" s="26"/>
      <c r="Z26" s="25">
        <v>132</v>
      </c>
      <c r="AA26" s="26">
        <v>127.760041297335</v>
      </c>
      <c r="AB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851.5359441000001</v>
      </c>
      <c r="P27" s="17"/>
      <c r="Q27" s="17"/>
      <c r="R27" s="17"/>
      <c r="S27" s="35">
        <f>AE53</f>
        <v>0.0739191073919107</v>
      </c>
      <c r="T27" s="25"/>
      <c r="U27" s="26">
        <f>SUM(AE55:AH55)/4</f>
        <v>61.6447769</v>
      </c>
      <c r="V27" s="17"/>
      <c r="W27" s="26">
        <f>-SUM(AE76:AH76)+V26</f>
        <v>-189.3208924</v>
      </c>
      <c r="X27" s="26"/>
      <c r="Y27" s="26">
        <f>AH75</f>
        <v>-10062.4208924</v>
      </c>
      <c r="Z27" s="26">
        <v>129</v>
      </c>
      <c r="AA27" s="26">
        <v>127.760041297335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SUM(N19:N26)</f>
        <v>6825.2</v>
      </c>
      <c r="O28" s="26">
        <f>SUM(O19:O26)</f>
        <v>6413.621894266670</v>
      </c>
      <c r="P28" s="17"/>
      <c r="Q28" s="17"/>
      <c r="R28" s="17"/>
      <c r="S28" s="17"/>
      <c r="T28" s="17"/>
      <c r="U28" s="17"/>
      <c r="V28" s="17"/>
      <c r="W28" s="17"/>
      <c r="X28" s="26"/>
      <c r="Y28" s="26"/>
      <c r="Z28" s="26"/>
      <c r="AA28" s="26">
        <f>AH88</f>
        <v>118.350397222578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355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0.282348432481441</v>
      </c>
      <c r="AF49" s="35"/>
      <c r="AG49" s="35"/>
      <c r="AH49" s="35">
        <f>AVERAGE(AE51:AH51)</f>
        <v>0.0525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-0.0106864698424199</v>
      </c>
      <c r="AF50" s="35">
        <f>P24</f>
        <v>0.0919077261076529</v>
      </c>
      <c r="AG50" s="35">
        <f>P25</f>
        <v>-0.788061703554661</v>
      </c>
      <c r="AH50" s="35">
        <f>P26</f>
        <v>1.83623417721519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0.2</v>
      </c>
      <c r="AF51" s="35">
        <v>-0.03</v>
      </c>
      <c r="AG51" s="35">
        <v>0.01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717</v>
      </c>
      <c r="AE52" s="23">
        <f>C26*(1+AE51)</f>
        <v>860.4</v>
      </c>
      <c r="AF52" s="23">
        <f>AE52*(1+AF51)</f>
        <v>834.588</v>
      </c>
      <c r="AG52" s="23">
        <f>AF52*(1+AG51)</f>
        <v>842.93388</v>
      </c>
      <c r="AH52" s="23">
        <f>AG52*(1+AH51)</f>
        <v>868.2218964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0.0739191073919107</v>
      </c>
      <c r="AF53" s="35">
        <f>AE53</f>
        <v>0.0739191073919107</v>
      </c>
      <c r="AG53" s="35">
        <f>AF53</f>
        <v>0.0739191073919107</v>
      </c>
      <c r="AH53" s="35">
        <f>AG53</f>
        <v>0.0739191073919107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-1.3</v>
      </c>
      <c r="AF54" s="15">
        <f>AE54</f>
        <v>-1.3</v>
      </c>
      <c r="AG54" s="15">
        <f>AF54</f>
        <v>-1.3</v>
      </c>
      <c r="AH54" s="15">
        <f>AG54</f>
        <v>-1.3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62.3</v>
      </c>
      <c r="AF55" s="15">
        <f>(AF52*AF53)+AF54</f>
        <v>60.392</v>
      </c>
      <c r="AG55" s="15">
        <f>(AG52*AG53)+AG54</f>
        <v>61.00892</v>
      </c>
      <c r="AH55" s="15">
        <f>(AH52*AH53)+AH54</f>
        <v>62.8781876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-518.9</v>
      </c>
      <c r="AF56" s="15">
        <f>-AE71/20</f>
        <v>-492.955</v>
      </c>
      <c r="AG56" s="15">
        <f>-AF71/20</f>
        <v>-468.30725</v>
      </c>
      <c r="AH56" s="15">
        <f>-AG71/20</f>
        <v>-444.8918875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-456.6</v>
      </c>
      <c r="AF59" s="15">
        <f>AF55+AF56+AF58</f>
        <v>-432.563</v>
      </c>
      <c r="AG59" s="15">
        <f>AG55+AG56+AG58</f>
        <v>-407.29833</v>
      </c>
      <c r="AH59" s="15">
        <f>AH55+AH56+AH58</f>
        <v>-382.0136999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456.6</v>
      </c>
      <c r="AF60" s="15">
        <f>-MIN(AE72,AF59)</f>
        <v>432.563</v>
      </c>
      <c r="AG60" s="15">
        <f>-MIN(AF72,AG59)</f>
        <v>407.29833</v>
      </c>
      <c r="AH60" s="15">
        <f>-MIN(AG72,AH59)</f>
        <v>382.0136999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69</v>
      </c>
      <c r="AF61" s="15">
        <f>AE63</f>
        <v>69</v>
      </c>
      <c r="AG61" s="15">
        <f>AF63</f>
        <v>69</v>
      </c>
      <c r="AH61" s="15">
        <f>AG63</f>
        <v>69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69</v>
      </c>
      <c r="AF63" s="15">
        <f>AF61+AF62</f>
        <v>69</v>
      </c>
      <c r="AG63" s="15">
        <f>AG61+AG62</f>
        <v>69</v>
      </c>
      <c r="AH63" s="15">
        <f>AH61+AH62</f>
        <v>69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-192.066666666667</v>
      </c>
      <c r="AF65" s="15">
        <f>AE65</f>
        <v>-192.066666666667</v>
      </c>
      <c r="AG65" s="15">
        <f>AF65</f>
        <v>-192.066666666667</v>
      </c>
      <c r="AH65" s="15">
        <f>AG65</f>
        <v>-192.066666666667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-128.466666666667</v>
      </c>
      <c r="AF66" s="15">
        <f>(AF52*AF53)+AF65</f>
        <v>-130.374666666667</v>
      </c>
      <c r="AG66" s="15">
        <f>(AG52*AG53)+AG65</f>
        <v>-129.757746666667</v>
      </c>
      <c r="AH66" s="15">
        <f>(AH52*AH53)+AH65</f>
        <v>-127.888479066667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5306.3</v>
      </c>
      <c r="AF68" s="15">
        <f>AE68-AF54</f>
        <v>5307.6</v>
      </c>
      <c r="AG68" s="15">
        <f>AF68-AG54</f>
        <v>5308.9</v>
      </c>
      <c r="AH68" s="15">
        <f>AG68-AH54</f>
        <v>5310.2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192.066666666667</v>
      </c>
      <c r="AF69" s="15">
        <f>AE69-AF65</f>
        <v>384.133333333334</v>
      </c>
      <c r="AG69" s="15">
        <f>AF69-AG65</f>
        <v>576.200000000001</v>
      </c>
      <c r="AH69" s="15">
        <f>AG69-AH65</f>
        <v>768.266666666668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5114.233333333330</v>
      </c>
      <c r="AF70" s="15">
        <f>AF68-AF69</f>
        <v>4923.466666666670</v>
      </c>
      <c r="AG70" s="15">
        <f>AG68-AG69</f>
        <v>4732.7</v>
      </c>
      <c r="AH70" s="15">
        <f>AH68-AH69</f>
        <v>4541.933333333330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9859.1</v>
      </c>
      <c r="AF71" s="15">
        <f>AE71+AF56</f>
        <v>9366.145</v>
      </c>
      <c r="AG71" s="15">
        <f>AF71+AG56</f>
        <v>8897.837750000001</v>
      </c>
      <c r="AH71" s="15">
        <f>AG71+AH56</f>
        <v>8452.945862500001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456.6</v>
      </c>
      <c r="AF72" s="15">
        <f>AE72+AF60</f>
        <v>889.163</v>
      </c>
      <c r="AG72" s="15">
        <f>AF72+AG60</f>
        <v>1296.46133</v>
      </c>
      <c r="AH72" s="15">
        <f>AG72+AH60</f>
        <v>1678.4750299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-5132.466666666670</v>
      </c>
      <c r="AF73" s="15">
        <f>AE73+AF66+AF58</f>
        <v>-5262.841333333340</v>
      </c>
      <c r="AG73" s="15">
        <f>AF73+AG66+AG58</f>
        <v>-5392.599080000010</v>
      </c>
      <c r="AH73" s="15">
        <f>AG73+AH66+AH58</f>
        <v>-5520.487559066680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-9.999999999999999e-12</v>
      </c>
      <c r="AG74" s="15">
        <f>AG71+AG72+AG73-AG63-AG70</f>
        <v>-9.999999999999999e-12</v>
      </c>
      <c r="AH74" s="15">
        <f>AH71+AH72+AH73-AH63-AH70</f>
        <v>-9.999999999999999e-12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-10246.7</v>
      </c>
      <c r="AF75" s="15">
        <f>AF63-AF71-AF72</f>
        <v>-10186.308</v>
      </c>
      <c r="AG75" s="15">
        <f>AG63-AG71-AG72</f>
        <v>-10125.29908</v>
      </c>
      <c r="AH75" s="15">
        <f>AH63-AH71-AH72</f>
        <v>-10062.4208924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-62.3</v>
      </c>
      <c r="AF76" s="15">
        <f>AF56+AF58+AF60</f>
        <v>-60.392</v>
      </c>
      <c r="AG76" s="15">
        <f>AG56+AG58+AG60</f>
        <v>-61.00892</v>
      </c>
      <c r="AH76" s="15">
        <f>AH56+AH58+AH60</f>
        <v>-62.8781876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795</v>
      </c>
      <c r="AD78" s="14"/>
      <c r="AE78" s="15"/>
      <c r="AF78" s="15"/>
      <c r="AG78" s="15"/>
      <c r="AH78" s="15">
        <v>129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795</v>
      </c>
      <c r="AD79" s="14"/>
      <c r="AE79" s="15"/>
      <c r="AF79" s="15"/>
      <c r="AG79" s="15"/>
      <c r="AH79" s="15">
        <v>322520640000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322.52064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2.50016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0.0699469319299058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246.5791076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18.4197816982177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40">
        <f>AH80/AH84</f>
        <v>1.30798040085047</v>
      </c>
      <c r="AH86" s="40">
        <v>1.2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295.89492912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118.350397222578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-0.082555060290093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-0.35066111211737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-0.0603027172439386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795</v>
      </c>
      <c r="AF94" t="s" s="44">
        <v>60</v>
      </c>
      <c r="AG94" s="15">
        <f>AH78</f>
        <v>129</v>
      </c>
      <c r="AH94" t="s" s="44">
        <v>61</v>
      </c>
      <c r="AI94" s="15">
        <f>AH88</f>
        <v>118.350397222578</v>
      </c>
      <c r="AJ94" t="s" s="44">
        <f>IF(AK94&gt;0,"+","")</f>
      </c>
      <c r="AK94" s="16">
        <f>AI94/AG94-1</f>
        <v>-0.082555060290093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-0.35066111211737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-1.04241390566508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-0.631897543053369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-31.9638457867379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1.83623417721519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0.120446473871131</v>
      </c>
      <c r="AF103" s="16">
        <f>P23</f>
        <v>-0.0106864698424199</v>
      </c>
      <c r="AG103" s="16">
        <f>P24</f>
        <v>0.0919077261076529</v>
      </c>
      <c r="AH103" s="16">
        <f>P25</f>
        <v>-0.788061703554661</v>
      </c>
      <c r="AI103" s="16">
        <f>P26</f>
        <v>1.83623417721519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23">
        <f>C22</f>
        <v>1104.2</v>
      </c>
      <c r="AF104" t="s" s="44">
        <v>72</v>
      </c>
      <c r="AG104" s="23">
        <f>C23</f>
        <v>1092.4</v>
      </c>
      <c r="AH104" t="s" s="44">
        <v>72</v>
      </c>
      <c r="AI104" s="23">
        <f>C24</f>
        <v>1192.8</v>
      </c>
      <c r="AJ104" t="s" s="44">
        <v>72</v>
      </c>
      <c r="AK104" s="23">
        <f>C25</f>
        <v>252.8</v>
      </c>
      <c r="AL104" t="s" s="44">
        <v>72</v>
      </c>
      <c r="AM104" s="23">
        <f>C26</f>
        <v>717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1.83623417721519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23">
        <f>AM104</f>
        <v>717</v>
      </c>
      <c r="AM105" t="s" s="44">
        <v>372</v>
      </c>
      <c r="AN105" t="s" s="44">
        <v>373</v>
      </c>
      <c r="AO105" s="16">
        <f>AH91</f>
        <v>-0.0603027172439386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0.282348432481441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0.0525</v>
      </c>
      <c r="AG107" t="s" s="44">
        <v>82</v>
      </c>
      <c r="AH107" t="s" s="44">
        <v>83</v>
      </c>
      <c r="AI107" s="23">
        <f>AH52</f>
        <v>868.2218964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0.187647165368593</v>
      </c>
      <c r="AF110" s="16">
        <f>(D23+E23)/C23</f>
        <v>0.222171365800073</v>
      </c>
      <c r="AG110" s="16">
        <f>((E24+D24)/C24)</f>
        <v>0.116700201207243</v>
      </c>
      <c r="AH110" s="16">
        <f>(D25+E25)/C25</f>
        <v>3.58425632911392</v>
      </c>
      <c r="AI110" s="16">
        <f>(D26+E26)/C26</f>
        <v>0.0739191073919107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26">
        <f>E22</f>
        <v>265.8</v>
      </c>
      <c r="AF111" t="s" s="44">
        <v>72</v>
      </c>
      <c r="AG111" s="26">
        <f>E23</f>
        <v>198</v>
      </c>
      <c r="AH111" t="s" s="44">
        <v>72</v>
      </c>
      <c r="AI111" s="15">
        <f>E24</f>
        <v>9.5</v>
      </c>
      <c r="AJ111" t="s" s="44">
        <v>72</v>
      </c>
      <c r="AK111" s="15">
        <f>E25</f>
        <v>683.4</v>
      </c>
      <c r="AL111" t="s" s="44">
        <v>72</v>
      </c>
      <c r="AM111" s="15">
        <f>E26</f>
        <v>-170.8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3.58425632911392</v>
      </c>
      <c r="AG112" t="s" s="44">
        <v>76</v>
      </c>
      <c r="AH112" s="16">
        <f>AI110</f>
        <v>0.0739191073919107</v>
      </c>
      <c r="AI112" t="s" s="44">
        <v>90</v>
      </c>
      <c r="AJ112" s="15">
        <f>AK111</f>
        <v>683.4</v>
      </c>
      <c r="AK112" t="s" s="44">
        <v>76</v>
      </c>
      <c r="AL112" s="15">
        <f>AM111</f>
        <v>-170.8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0.9992617508782869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0.0739191073919107</v>
      </c>
      <c r="AG114" t="s" s="44">
        <v>94</v>
      </c>
      <c r="AH114" s="15">
        <f>AH66</f>
        <v>-127.888479066667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8.800000000000001</v>
      </c>
      <c r="AF117" t="s" s="44">
        <v>72</v>
      </c>
      <c r="AG117" s="15">
        <f>J23</f>
        <v>164.6</v>
      </c>
      <c r="AH117" t="s" s="44">
        <v>72</v>
      </c>
      <c r="AI117" s="15">
        <f>J24</f>
        <v>130.5</v>
      </c>
      <c r="AJ117" t="s" s="44">
        <v>72</v>
      </c>
      <c r="AK117" s="15">
        <f>J25</f>
        <v>-213.4</v>
      </c>
      <c r="AL117" t="s" s="44">
        <v>72</v>
      </c>
      <c r="AM117" s="15">
        <f>J26</f>
        <v>-186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-12.9</v>
      </c>
      <c r="AF118" t="s" s="44">
        <v>72</v>
      </c>
      <c r="AG118" s="15">
        <f>K23</f>
        <v>-149.1</v>
      </c>
      <c r="AH118" t="s" s="44">
        <v>72</v>
      </c>
      <c r="AI118" s="15">
        <f>K24</f>
        <v>-92.5</v>
      </c>
      <c r="AJ118" t="s" s="44">
        <v>72</v>
      </c>
      <c r="AK118" s="15">
        <f>K25</f>
        <v>11</v>
      </c>
      <c r="AL118" t="s" s="44">
        <v>72</v>
      </c>
      <c r="AM118" s="15">
        <f>K26</f>
        <v>-1.3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-202.4</v>
      </c>
      <c r="AG119" t="s" s="44">
        <v>76</v>
      </c>
      <c r="AH119" s="15">
        <f>AM117+AM118</f>
        <v>-187.3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-1.3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-84.05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-1.3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61.6447769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23">
        <f>F22</f>
        <v>201</v>
      </c>
      <c r="AF124" t="s" s="44">
        <v>72</v>
      </c>
      <c r="AG124" s="23">
        <f>F23</f>
        <v>268</v>
      </c>
      <c r="AH124" t="s" s="44">
        <v>72</v>
      </c>
      <c r="AI124" s="23">
        <f>F24</f>
        <v>366</v>
      </c>
      <c r="AJ124" t="s" s="44">
        <v>72</v>
      </c>
      <c r="AK124" s="23">
        <f>F25</f>
        <v>257</v>
      </c>
      <c r="AL124" t="s" s="44">
        <v>72</v>
      </c>
      <c r="AM124" s="23">
        <f>F26</f>
        <v>69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23">
        <f>G22</f>
        <v>15100</v>
      </c>
      <c r="AF125" t="s" s="44">
        <v>72</v>
      </c>
      <c r="AG125" s="23">
        <f>G23</f>
        <v>15151</v>
      </c>
      <c r="AH125" t="s" s="44">
        <v>72</v>
      </c>
      <c r="AI125" s="23">
        <f>G24</f>
        <v>15141</v>
      </c>
      <c r="AJ125" t="s" s="44">
        <v>72</v>
      </c>
      <c r="AK125" s="23">
        <f>G25</f>
        <v>10125</v>
      </c>
      <c r="AL125" t="s" s="44">
        <v>72</v>
      </c>
      <c r="AM125" s="23">
        <f>G26</f>
        <v>10378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23">
        <f>AK124</f>
        <v>257</v>
      </c>
      <c r="AH126" t="s" s="44">
        <v>76</v>
      </c>
      <c r="AI126" s="23">
        <f>AM124</f>
        <v>69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23">
        <f>AK125</f>
        <v>10125</v>
      </c>
      <c r="AH127" t="s" s="44">
        <v>76</v>
      </c>
      <c r="AI127" s="23">
        <f>AM125</f>
        <v>10378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-9868</v>
      </c>
      <c r="AO127" t="s" s="44">
        <v>76</v>
      </c>
      <c r="AP127" s="15">
        <f>AI126-AI127</f>
        <v>-10309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-246.5791076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-10062.4208924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-73.8</v>
      </c>
      <c r="AF131" t="s" s="44">
        <v>72</v>
      </c>
      <c r="AG131" s="15">
        <f>-L23</f>
        <v>-52.4</v>
      </c>
      <c r="AH131" t="s" s="44">
        <v>72</v>
      </c>
      <c r="AI131" s="15">
        <f>-L24</f>
        <v>-59.7</v>
      </c>
      <c r="AJ131" t="s" s="44">
        <v>72</v>
      </c>
      <c r="AK131" s="15">
        <f>-L25</f>
        <v>-91.7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795</v>
      </c>
      <c r="AF133" t="s" s="44">
        <f>IF(AG133&gt;0,"paid","(raised)")</f>
        <v>121</v>
      </c>
      <c r="AG133" s="15">
        <f>SUM(AM131:AM132)</f>
        <v>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246.5791076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322.52064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0.0699469319299058</v>
      </c>
      <c r="AK134" t="s" s="44">
        <v>130</v>
      </c>
      <c r="AL134" t="s" s="44">
        <v>131</v>
      </c>
      <c r="AM134" t="s" s="44">
        <v>132</v>
      </c>
      <c r="AN134" s="15">
        <f>AH85</f>
        <v>18.4197816982177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246.5791076</v>
      </c>
      <c r="AG135" t="s" s="44">
        <f>AG134</f>
        <v>372</v>
      </c>
      <c r="AH135" t="s" s="44">
        <v>136</v>
      </c>
      <c r="AI135" s="15">
        <f>AF134/AF135</f>
        <v>1.30798040085047</v>
      </c>
      <c r="AJ135" t="s" s="44">
        <v>130</v>
      </c>
      <c r="AK135" t="s" s="44">
        <v>137</v>
      </c>
      <c r="AL135" t="s" s="44">
        <v>138</v>
      </c>
      <c r="AM135" s="40">
        <f>AH86</f>
        <v>1.2</v>
      </c>
      <c r="AN135" t="s" s="44">
        <v>139</v>
      </c>
      <c r="AO135" t="s" s="44">
        <v>140</v>
      </c>
      <c r="AP135" t="s" s="44">
        <v>141</v>
      </c>
      <c r="AQ135" s="16">
        <f>AK94</f>
        <v>-0.082555060290093</v>
      </c>
      <c r="AR135" t="s" s="44">
        <f>IF(AQ135&gt;0,"higher","lower")</f>
        <v>104</v>
      </c>
      <c r="AS135" t="s" s="44">
        <v>142</v>
      </c>
      <c r="AT135" s="15">
        <f>AI94</f>
        <v>118.350397222578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38">
        <f>AE104</f>
        <v>1104.2</v>
      </c>
      <c r="AE137" s="23">
        <f>AG104</f>
        <v>1092.4</v>
      </c>
      <c r="AF137" s="23">
        <f>AI104</f>
        <v>1192.8</v>
      </c>
      <c r="AG137" s="23">
        <f>AK104</f>
        <v>252.8</v>
      </c>
      <c r="AH137" s="23">
        <f>AM104</f>
        <v>717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-4.1</v>
      </c>
      <c r="AE138" s="15">
        <f>SUM(AG117:AG118)</f>
        <v>15.5</v>
      </c>
      <c r="AF138" s="15">
        <f>SUM(AI117:AI118)</f>
        <v>38</v>
      </c>
      <c r="AG138" s="15">
        <f>SUM(AK117:AK118)</f>
        <v>-202.4</v>
      </c>
      <c r="AH138" s="15">
        <f>SUM(AM117:AM118)</f>
        <v>-187.3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-73.8</v>
      </c>
      <c r="AE139" s="15">
        <f>SUM(AG131:AG132)</f>
        <v>-52.4</v>
      </c>
      <c r="AF139" s="15">
        <f>SUM(AI131:AI132)</f>
        <v>-59.7</v>
      </c>
      <c r="AG139" s="15">
        <f>SUM(AK131:AK132)</f>
        <v>-91.7</v>
      </c>
      <c r="AH139" s="15">
        <f>SUM(AM131:AM132)</f>
        <v>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-14899</v>
      </c>
      <c r="AE140" s="15">
        <f>(AG124-AG125)</f>
        <v>-14883</v>
      </c>
      <c r="AF140" s="15">
        <f>(AI124-AI125)</f>
        <v>-14775</v>
      </c>
      <c r="AG140" s="15">
        <f>(AK124-AK125)</f>
        <v>-9868</v>
      </c>
      <c r="AH140" s="15">
        <f>(AM124-AM125)</f>
        <v>-10309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118.350397222578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26" customWidth="1"/>
    <col min="2" max="28" width="10.4844" style="426" customWidth="1"/>
    <col min="29" max="29" width="18.9766" style="427" customWidth="1"/>
    <col min="30" max="48" width="9" style="427" customWidth="1"/>
    <col min="49" max="16384" width="16.3516" style="427" customWidth="1"/>
  </cols>
  <sheetData>
    <row r="1" ht="11.65" customHeight="1"/>
    <row r="2" ht="27.65" customHeight="1">
      <c r="B2" t="s" s="2">
        <v>796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797</v>
      </c>
      <c r="AA3" t="s" s="3">
        <v>19</v>
      </c>
      <c r="AB3" t="s" s="3">
        <v>20</v>
      </c>
    </row>
    <row r="4" ht="20.25" customHeight="1">
      <c r="B4" s="6">
        <v>2017</v>
      </c>
      <c r="C4" s="7">
        <v>10846</v>
      </c>
      <c r="D4" s="8">
        <v>144</v>
      </c>
      <c r="E4" s="8">
        <v>1961</v>
      </c>
      <c r="F4" s="8">
        <v>577</v>
      </c>
      <c r="G4" s="8">
        <v>11921</v>
      </c>
      <c r="H4" s="8">
        <v>18586</v>
      </c>
      <c r="I4" s="8">
        <v>10909</v>
      </c>
      <c r="J4" s="8">
        <v>1480</v>
      </c>
      <c r="K4" s="8">
        <v>-583</v>
      </c>
      <c r="L4" s="8">
        <v>264.25</v>
      </c>
      <c r="M4" s="8">
        <v>-1623.51125</v>
      </c>
      <c r="N4" s="8"/>
      <c r="O4" s="8"/>
      <c r="P4" s="9"/>
      <c r="Q4" s="9"/>
      <c r="R4" s="9"/>
      <c r="S4" s="9"/>
      <c r="T4" s="9"/>
      <c r="U4" s="9"/>
      <c r="V4" s="8">
        <f>-(L4+M4)</f>
        <v>1359.26125</v>
      </c>
      <c r="W4" s="9"/>
      <c r="X4" s="8">
        <f>F4-G4</f>
        <v>-11344</v>
      </c>
      <c r="Y4" s="9"/>
      <c r="Z4" s="73"/>
      <c r="AA4" s="11"/>
      <c r="AB4" s="12">
        <v>13.3</v>
      </c>
    </row>
    <row r="5" ht="20.05" customHeight="1">
      <c r="B5" s="13"/>
      <c r="C5" s="14">
        <v>10418</v>
      </c>
      <c r="D5" s="15">
        <v>173</v>
      </c>
      <c r="E5" s="15">
        <v>1663</v>
      </c>
      <c r="F5" s="15">
        <v>399</v>
      </c>
      <c r="G5" s="15">
        <v>14380</v>
      </c>
      <c r="H5" s="15">
        <v>19286</v>
      </c>
      <c r="I5" s="15">
        <v>10617</v>
      </c>
      <c r="J5" s="15">
        <v>1240</v>
      </c>
      <c r="K5" s="15">
        <v>-170</v>
      </c>
      <c r="L5" s="15">
        <v>264.25</v>
      </c>
      <c r="M5" s="15">
        <v>-1623.51125</v>
      </c>
      <c r="N5" s="15"/>
      <c r="O5" s="15"/>
      <c r="P5" s="16"/>
      <c r="Q5" s="17"/>
      <c r="R5" s="17"/>
      <c r="S5" s="17"/>
      <c r="T5" s="17"/>
      <c r="U5" s="17"/>
      <c r="V5" s="15">
        <f>-(L5+M5)+V4</f>
        <v>2718.5225</v>
      </c>
      <c r="W5" s="17"/>
      <c r="X5" s="15">
        <f>F5-G5</f>
        <v>-13981</v>
      </c>
      <c r="Y5" s="17"/>
      <c r="Z5" s="24"/>
      <c r="AA5" s="19"/>
      <c r="AB5" s="20">
        <v>13.327</v>
      </c>
    </row>
    <row r="6" ht="20.05" customHeight="1">
      <c r="B6" s="13"/>
      <c r="C6" s="14">
        <v>9950</v>
      </c>
      <c r="D6" s="15">
        <v>166</v>
      </c>
      <c r="E6" s="15">
        <v>1605</v>
      </c>
      <c r="F6" s="15">
        <v>420</v>
      </c>
      <c r="G6" s="15">
        <v>12391</v>
      </c>
      <c r="H6" s="15">
        <v>18815</v>
      </c>
      <c r="I6" s="15">
        <v>11658</v>
      </c>
      <c r="J6" s="15">
        <v>2633</v>
      </c>
      <c r="K6" s="15">
        <v>-464</v>
      </c>
      <c r="L6" s="15">
        <v>264.25</v>
      </c>
      <c r="M6" s="15">
        <v>-1623.51125</v>
      </c>
      <c r="N6" s="15"/>
      <c r="O6" s="15"/>
      <c r="P6" s="16"/>
      <c r="Q6" s="17"/>
      <c r="R6" s="17"/>
      <c r="S6" s="17"/>
      <c r="T6" s="17"/>
      <c r="U6" s="17"/>
      <c r="V6" s="15">
        <f>-(L6+M6)+V5</f>
        <v>4077.78375</v>
      </c>
      <c r="W6" s="17"/>
      <c r="X6" s="15">
        <f>F6-G6</f>
        <v>-11971</v>
      </c>
      <c r="Y6" s="17"/>
      <c r="Z6" s="24"/>
      <c r="AA6" s="19"/>
      <c r="AB6" s="20">
        <v>13.305</v>
      </c>
    </row>
    <row r="7" ht="20.05" customHeight="1">
      <c r="B7" s="13"/>
      <c r="C7" s="14">
        <v>9991</v>
      </c>
      <c r="D7" s="15">
        <v>171</v>
      </c>
      <c r="E7" s="15">
        <v>1776</v>
      </c>
      <c r="F7" s="15">
        <v>405</v>
      </c>
      <c r="G7" s="15">
        <v>14845</v>
      </c>
      <c r="H7" s="15">
        <v>19852</v>
      </c>
      <c r="I7" s="15">
        <v>10888</v>
      </c>
      <c r="J7" s="15">
        <v>1707</v>
      </c>
      <c r="K7" s="15">
        <v>-385</v>
      </c>
      <c r="L7" s="15">
        <v>264.25</v>
      </c>
      <c r="M7" s="15">
        <v>-1623.51125</v>
      </c>
      <c r="N7" s="15"/>
      <c r="O7" s="15"/>
      <c r="P7" s="16"/>
      <c r="Q7" s="17"/>
      <c r="R7" s="17"/>
      <c r="S7" s="17"/>
      <c r="T7" s="17"/>
      <c r="U7" s="17"/>
      <c r="V7" s="15">
        <f>-(L7+M7)+V6</f>
        <v>5437.045</v>
      </c>
      <c r="W7" s="17"/>
      <c r="X7" s="15">
        <f>F7-G7</f>
        <v>-14440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10747</v>
      </c>
      <c r="D8" s="15">
        <v>181</v>
      </c>
      <c r="E8" s="15">
        <v>1828</v>
      </c>
      <c r="F8" s="15">
        <v>960</v>
      </c>
      <c r="G8" s="15">
        <v>13230</v>
      </c>
      <c r="H8" s="15">
        <v>20242</v>
      </c>
      <c r="I8" s="15">
        <v>11115</v>
      </c>
      <c r="J8" s="15">
        <v>2132</v>
      </c>
      <c r="K8" s="15">
        <v>-169</v>
      </c>
      <c r="L8" s="15">
        <v>-747.5</v>
      </c>
      <c r="M8" s="15">
        <v>-1731.55025</v>
      </c>
      <c r="N8" s="15">
        <f>SUM(C5:C8)/4</f>
        <v>10276.5</v>
      </c>
      <c r="O8" s="15"/>
      <c r="P8" s="16"/>
      <c r="Q8" s="16">
        <f>J8/I8</f>
        <v>0.191812865497076</v>
      </c>
      <c r="R8" s="16"/>
      <c r="S8" s="17"/>
      <c r="T8" s="15">
        <f>SUM(J5:K8)/4</f>
        <v>1631</v>
      </c>
      <c r="U8" s="25"/>
      <c r="V8" s="15">
        <f>-(L8+M8)+V7</f>
        <v>7916.09525</v>
      </c>
      <c r="W8" s="17"/>
      <c r="X8" s="15">
        <f>F8-G8</f>
        <v>-12270</v>
      </c>
      <c r="Y8" s="24"/>
      <c r="Z8" s="60">
        <v>9905</v>
      </c>
      <c r="AA8" s="22"/>
      <c r="AB8" s="20">
        <v>13.761</v>
      </c>
    </row>
    <row r="9" ht="20.05" customHeight="1">
      <c r="B9" s="13"/>
      <c r="C9" s="14">
        <v>10437</v>
      </c>
      <c r="D9" s="15">
        <v>193</v>
      </c>
      <c r="E9" s="15">
        <v>1686</v>
      </c>
      <c r="F9" s="15">
        <v>666</v>
      </c>
      <c r="G9" s="15">
        <v>15514</v>
      </c>
      <c r="H9" s="15">
        <v>20526</v>
      </c>
      <c r="I9" s="15">
        <v>10989</v>
      </c>
      <c r="J9" s="15">
        <v>1272</v>
      </c>
      <c r="K9" s="15">
        <v>-405</v>
      </c>
      <c r="L9" s="15">
        <v>-747.5</v>
      </c>
      <c r="M9" s="15">
        <v>-1731.55025</v>
      </c>
      <c r="N9" s="15">
        <f>SUM(C6:C9)/4</f>
        <v>10281.25</v>
      </c>
      <c r="O9" s="15"/>
      <c r="P9" s="16"/>
      <c r="Q9" s="16">
        <f>J9/I9</f>
        <v>0.115752115752116</v>
      </c>
      <c r="R9" s="16"/>
      <c r="S9" s="17"/>
      <c r="T9" s="15">
        <f>SUM(J6:K9)/4</f>
        <v>1580.25</v>
      </c>
      <c r="U9" s="25"/>
      <c r="V9" s="15">
        <f>-(L9+M9)+V8</f>
        <v>10395.1455</v>
      </c>
      <c r="W9" s="17"/>
      <c r="X9" s="15">
        <f>F13-G9</f>
        <v>-14875</v>
      </c>
      <c r="Y9" s="24"/>
      <c r="Z9" s="60">
        <v>9220</v>
      </c>
      <c r="AA9" s="22"/>
      <c r="AB9" s="20">
        <v>14</v>
      </c>
    </row>
    <row r="10" ht="20.05" customHeight="1">
      <c r="B10" s="13"/>
      <c r="C10" s="14">
        <v>10347</v>
      </c>
      <c r="D10" s="15">
        <v>420</v>
      </c>
      <c r="E10" s="15">
        <v>3771</v>
      </c>
      <c r="F10" s="15">
        <v>1075</v>
      </c>
      <c r="G10" s="15">
        <v>11028</v>
      </c>
      <c r="H10" s="15">
        <v>19998</v>
      </c>
      <c r="I10" s="15">
        <v>11928</v>
      </c>
      <c r="J10" s="15">
        <v>2451</v>
      </c>
      <c r="K10" s="15">
        <v>2812</v>
      </c>
      <c r="L10" s="15">
        <v>-747.5</v>
      </c>
      <c r="M10" s="15">
        <v>-1731.55025</v>
      </c>
      <c r="N10" s="15">
        <f>SUM(C7:C10)/4</f>
        <v>10380.5</v>
      </c>
      <c r="O10" s="15"/>
      <c r="P10" s="16">
        <f>C10/C9-1</f>
        <v>-0.00862316757688991</v>
      </c>
      <c r="Q10" s="16">
        <f>J10/I10</f>
        <v>0.205482897384306</v>
      </c>
      <c r="R10" s="16"/>
      <c r="S10" s="17"/>
      <c r="T10" s="15">
        <f>SUM(J7:K10)/4</f>
        <v>2353.75</v>
      </c>
      <c r="U10" s="25"/>
      <c r="V10" s="15">
        <f>-(L10+M10)+V9</f>
        <v>12874.19575</v>
      </c>
      <c r="W10" s="17"/>
      <c r="X10" s="15">
        <f>F10-G10</f>
        <v>-9953</v>
      </c>
      <c r="Y10" s="24"/>
      <c r="Z10" s="60">
        <v>9405</v>
      </c>
      <c r="AA10" s="22"/>
      <c r="AB10" s="20">
        <v>14.902</v>
      </c>
    </row>
    <row r="11" ht="20.05" customHeight="1">
      <c r="B11" s="13"/>
      <c r="C11" s="14">
        <v>10271</v>
      </c>
      <c r="D11" s="15">
        <v>254</v>
      </c>
      <c r="E11" s="15">
        <v>1824</v>
      </c>
      <c r="F11" s="15">
        <v>352</v>
      </c>
      <c r="G11" s="15">
        <v>12946</v>
      </c>
      <c r="H11" s="15">
        <v>20327</v>
      </c>
      <c r="I11" s="15">
        <v>11452</v>
      </c>
      <c r="J11" s="15">
        <v>2060</v>
      </c>
      <c r="K11" s="15">
        <v>-296</v>
      </c>
      <c r="L11" s="15">
        <v>-747.5</v>
      </c>
      <c r="M11" s="15">
        <v>-1731.55025</v>
      </c>
      <c r="N11" s="15">
        <f>SUM(C8:C11)/4</f>
        <v>10450.5</v>
      </c>
      <c r="O11" s="15"/>
      <c r="P11" s="16">
        <f>C11/C10-1</f>
        <v>-0.00734512419058664</v>
      </c>
      <c r="Q11" s="16">
        <f>J11/I11</f>
        <v>0.179881243450926</v>
      </c>
      <c r="R11" s="16"/>
      <c r="S11" s="17"/>
      <c r="T11" s="15">
        <f>SUM(J8:K11)/4</f>
        <v>2464.25</v>
      </c>
      <c r="U11" s="25"/>
      <c r="V11" s="15">
        <f>-(L11+M11)+V10</f>
        <v>15353.246</v>
      </c>
      <c r="W11" s="17"/>
      <c r="X11" s="15">
        <f>F11-G11</f>
        <v>-12594</v>
      </c>
      <c r="Y11" s="24"/>
      <c r="Z11" s="60">
        <v>9080</v>
      </c>
      <c r="AA11" s="22"/>
      <c r="AB11" s="20">
        <v>14.38</v>
      </c>
    </row>
    <row r="12" ht="20.05" customHeight="1">
      <c r="B12" s="21">
        <v>2019</v>
      </c>
      <c r="C12" s="14">
        <v>10665</v>
      </c>
      <c r="D12" s="15">
        <v>235</v>
      </c>
      <c r="E12" s="15">
        <v>1749</v>
      </c>
      <c r="F12" s="15">
        <v>1359</v>
      </c>
      <c r="G12" s="15">
        <v>12978</v>
      </c>
      <c r="H12" s="15">
        <v>22040</v>
      </c>
      <c r="I12" s="15">
        <v>10904</v>
      </c>
      <c r="J12" s="15">
        <v>1785</v>
      </c>
      <c r="K12" s="15">
        <v>-289</v>
      </c>
      <c r="L12" s="15">
        <v>615</v>
      </c>
      <c r="M12" s="15">
        <v>-2294.10425</v>
      </c>
      <c r="N12" s="15">
        <f>SUM(C9:C12)/4</f>
        <v>10430</v>
      </c>
      <c r="O12" s="23"/>
      <c r="P12" s="16">
        <f>C12/C11-1</f>
        <v>0.0383604322850745</v>
      </c>
      <c r="Q12" s="16">
        <f>J12/I12</f>
        <v>0.163701393983859</v>
      </c>
      <c r="R12" s="16">
        <f>AVERAGE(Q9:Q12)</f>
        <v>0.166204412642802</v>
      </c>
      <c r="S12" s="17"/>
      <c r="T12" s="15">
        <f>SUM(J9:K12)/4</f>
        <v>2347.5</v>
      </c>
      <c r="U12" s="25"/>
      <c r="V12" s="15">
        <f>-(L12+M12)+V11</f>
        <v>17032.35025</v>
      </c>
      <c r="W12" s="17"/>
      <c r="X12" s="15">
        <f>F12-G12</f>
        <v>-11619</v>
      </c>
      <c r="Y12" s="24"/>
      <c r="Z12" s="60">
        <v>9845</v>
      </c>
      <c r="AA12" s="22"/>
      <c r="AB12" s="20">
        <v>14.24</v>
      </c>
    </row>
    <row r="13" ht="20.05" customHeight="1">
      <c r="B13" s="13"/>
      <c r="C13" s="14">
        <v>10792</v>
      </c>
      <c r="D13" s="15">
        <v>286</v>
      </c>
      <c r="E13" s="15">
        <v>1948</v>
      </c>
      <c r="F13" s="15">
        <v>639</v>
      </c>
      <c r="G13" s="15">
        <v>16752</v>
      </c>
      <c r="H13" s="15">
        <v>21827</v>
      </c>
      <c r="I13" s="15">
        <v>11528</v>
      </c>
      <c r="J13" s="15">
        <v>1905</v>
      </c>
      <c r="K13" s="15">
        <v>-348</v>
      </c>
      <c r="L13" s="15">
        <v>615</v>
      </c>
      <c r="M13" s="15">
        <v>-2294.10425</v>
      </c>
      <c r="N13" s="15">
        <f>SUM(C10:C13)/4</f>
        <v>10518.75</v>
      </c>
      <c r="O13" s="23"/>
      <c r="P13" s="16">
        <f>C13/C12-1</f>
        <v>0.0119081106422879</v>
      </c>
      <c r="Q13" s="16">
        <f>J13/I13</f>
        <v>0.165249826509368</v>
      </c>
      <c r="R13" s="16">
        <f>AVERAGE(Q10:Q13)</f>
        <v>0.178578840332115</v>
      </c>
      <c r="S13" s="17"/>
      <c r="T13" s="15">
        <f>SUM(J10:K13)/4</f>
        <v>2520</v>
      </c>
      <c r="U13" s="25"/>
      <c r="V13" s="15">
        <f>-(L13+M13)+V12</f>
        <v>18711.4545</v>
      </c>
      <c r="W13" s="17"/>
      <c r="X13" s="15">
        <f>F13-G13</f>
        <v>-16113</v>
      </c>
      <c r="Y13" s="24"/>
      <c r="Z13" s="60">
        <v>9000</v>
      </c>
      <c r="AA13" s="24"/>
      <c r="AB13" s="15">
        <v>14.127</v>
      </c>
    </row>
    <row r="14" ht="20.05" customHeight="1">
      <c r="B14" s="13"/>
      <c r="C14" s="14">
        <v>10904</v>
      </c>
      <c r="D14" s="15">
        <v>273</v>
      </c>
      <c r="E14" s="15">
        <v>1813</v>
      </c>
      <c r="F14" s="15">
        <v>524</v>
      </c>
      <c r="G14" s="15">
        <v>13926</v>
      </c>
      <c r="H14" s="15">
        <v>20814</v>
      </c>
      <c r="I14" s="15">
        <v>12149</v>
      </c>
      <c r="J14" s="15">
        <v>1779</v>
      </c>
      <c r="K14" s="15">
        <v>-321</v>
      </c>
      <c r="L14" s="15">
        <v>615</v>
      </c>
      <c r="M14" s="15">
        <v>-2294.10425</v>
      </c>
      <c r="N14" s="15">
        <f>SUM(C11:C14)/4</f>
        <v>10658</v>
      </c>
      <c r="O14" s="23"/>
      <c r="P14" s="16">
        <f>C14/C13-1</f>
        <v>0.0103780578206079</v>
      </c>
      <c r="Q14" s="16">
        <f>J14/I14</f>
        <v>0.146431805086838</v>
      </c>
      <c r="R14" s="16">
        <f>AVERAGE(Q11:Q14)</f>
        <v>0.163816067257748</v>
      </c>
      <c r="S14" s="17"/>
      <c r="T14" s="15">
        <f>SUM(J11:K14)/4</f>
        <v>1568.75</v>
      </c>
      <c r="U14" s="25"/>
      <c r="V14" s="15">
        <f>-(L14+M14)+V13</f>
        <v>20390.55875</v>
      </c>
      <c r="W14" s="17"/>
      <c r="X14" s="15">
        <f>F14-G14</f>
        <v>-13402</v>
      </c>
      <c r="Y14" s="24"/>
      <c r="Z14" s="60">
        <v>9300</v>
      </c>
      <c r="AA14" s="24"/>
      <c r="AB14" s="15">
        <v>14.195</v>
      </c>
    </row>
    <row r="15" ht="20.05" customHeight="1">
      <c r="B15" s="13"/>
      <c r="C15" s="14">
        <v>10562</v>
      </c>
      <c r="D15" s="15">
        <v>332</v>
      </c>
      <c r="E15" s="15">
        <v>1883</v>
      </c>
      <c r="F15" s="15">
        <v>629</v>
      </c>
      <c r="G15" s="15">
        <v>15367</v>
      </c>
      <c r="H15" s="15">
        <v>20649</v>
      </c>
      <c r="I15" s="15">
        <v>12077</v>
      </c>
      <c r="J15" s="15">
        <v>3200</v>
      </c>
      <c r="K15" s="15">
        <v>-488</v>
      </c>
      <c r="L15" s="15">
        <v>615</v>
      </c>
      <c r="M15" s="15">
        <v>-2294.10425</v>
      </c>
      <c r="N15" s="15">
        <f>SUM(C12:C15)/4</f>
        <v>10730.75</v>
      </c>
      <c r="O15" s="15"/>
      <c r="P15" s="16">
        <f>C15/C14-1</f>
        <v>-0.0313646368305209</v>
      </c>
      <c r="Q15" s="16">
        <f>J15/I15</f>
        <v>0.26496646518175</v>
      </c>
      <c r="R15" s="16">
        <f>AVERAGE(Q12:Q15)</f>
        <v>0.185087372690454</v>
      </c>
      <c r="S15" s="17"/>
      <c r="T15" s="15">
        <f>SUM(J12:K15)/4</f>
        <v>1805.75</v>
      </c>
      <c r="U15" s="25"/>
      <c r="V15" s="15">
        <f>-(L15+M15)+V14</f>
        <v>22069.663</v>
      </c>
      <c r="W15" s="17"/>
      <c r="X15" s="15">
        <f>F15-G15</f>
        <v>-14738</v>
      </c>
      <c r="Y15" s="24"/>
      <c r="Z15" s="60">
        <v>8400</v>
      </c>
      <c r="AA15" s="24"/>
      <c r="AB15" s="15">
        <v>13.882</v>
      </c>
    </row>
    <row r="16" ht="20.05" customHeight="1">
      <c r="B16" s="21">
        <v>2020</v>
      </c>
      <c r="C16" s="14">
        <v>11153</v>
      </c>
      <c r="D16" s="15">
        <v>288</v>
      </c>
      <c r="E16" s="15">
        <v>1863</v>
      </c>
      <c r="F16" s="15">
        <v>492</v>
      </c>
      <c r="G16" s="15">
        <v>14324</v>
      </c>
      <c r="H16" s="15">
        <v>21544</v>
      </c>
      <c r="I16" s="15">
        <v>11342</v>
      </c>
      <c r="J16" s="15">
        <v>892</v>
      </c>
      <c r="K16" s="15">
        <v>-214</v>
      </c>
      <c r="L16" s="15">
        <v>23.75</v>
      </c>
      <c r="M16" s="15">
        <v>-1842.76725</v>
      </c>
      <c r="N16" s="15">
        <f>SUM(C13:C16)/4</f>
        <v>10852.75</v>
      </c>
      <c r="O16" s="15">
        <v>10776.13</v>
      </c>
      <c r="P16" s="16">
        <f>C16/C15-1</f>
        <v>0.0559553114940352</v>
      </c>
      <c r="Q16" s="16">
        <f>J16/I16</f>
        <v>0.0786457414918004</v>
      </c>
      <c r="R16" s="16">
        <f>AVERAGE(Q13:Q16)</f>
        <v>0.163823459567439</v>
      </c>
      <c r="S16" s="17"/>
      <c r="T16" s="15">
        <f>SUM(J13:K16)/4</f>
        <v>1601.25</v>
      </c>
      <c r="U16" s="25"/>
      <c r="V16" s="15">
        <f>-(L16+M16)+V15</f>
        <v>23888.68025</v>
      </c>
      <c r="W16" s="17"/>
      <c r="X16" s="15">
        <f>F16-G16</f>
        <v>-13832</v>
      </c>
      <c r="Y16" s="24"/>
      <c r="Z16" s="60">
        <v>7250</v>
      </c>
      <c r="AA16" s="15"/>
      <c r="AB16" s="15">
        <v>16.31</v>
      </c>
    </row>
    <row r="17" ht="20.05" customHeight="1">
      <c r="B17" s="13"/>
      <c r="C17" s="14">
        <v>10619</v>
      </c>
      <c r="D17" s="15">
        <v>264</v>
      </c>
      <c r="E17" s="15">
        <v>1757</v>
      </c>
      <c r="F17" s="15">
        <v>1311</v>
      </c>
      <c r="G17" s="15">
        <v>12544</v>
      </c>
      <c r="H17" s="15">
        <v>21352</v>
      </c>
      <c r="I17" s="15">
        <v>12419</v>
      </c>
      <c r="J17" s="15">
        <v>3060</v>
      </c>
      <c r="K17" s="15">
        <v>-134</v>
      </c>
      <c r="L17" s="15">
        <v>23.75</v>
      </c>
      <c r="M17" s="15">
        <v>-1842.76725</v>
      </c>
      <c r="N17" s="15">
        <f>SUM(C14:C17)/4</f>
        <v>10809.5</v>
      </c>
      <c r="O17" s="15">
        <v>10889.34</v>
      </c>
      <c r="P17" s="16">
        <f>C17/C16-1</f>
        <v>-0.0478794943064646</v>
      </c>
      <c r="Q17" s="16">
        <f>J17/I17</f>
        <v>0.246396650293905</v>
      </c>
      <c r="R17" s="16">
        <f>AVERAGE(Q14:Q17)</f>
        <v>0.184110165513573</v>
      </c>
      <c r="S17" s="17"/>
      <c r="T17" s="25">
        <f>SUM(J14:K17)/4</f>
        <v>1943.5</v>
      </c>
      <c r="U17" s="25"/>
      <c r="V17" s="15">
        <f>-(L17+M17)+V16</f>
        <v>25707.6975</v>
      </c>
      <c r="W17" s="17"/>
      <c r="X17" s="15">
        <f>F17-G17</f>
        <v>-11233</v>
      </c>
      <c r="Y17" s="24"/>
      <c r="Z17" s="60">
        <v>7900</v>
      </c>
      <c r="AA17" s="17"/>
      <c r="AB17" s="15">
        <v>14.255</v>
      </c>
    </row>
    <row r="18" ht="20.05" customHeight="1">
      <c r="B18" s="13"/>
      <c r="C18" s="14">
        <v>10685</v>
      </c>
      <c r="D18" s="15">
        <v>225.7</v>
      </c>
      <c r="E18" s="15">
        <v>1816.339</v>
      </c>
      <c r="F18" s="15">
        <v>665</v>
      </c>
      <c r="G18" s="15">
        <v>14593</v>
      </c>
      <c r="H18" s="15">
        <v>21079</v>
      </c>
      <c r="I18" s="15">
        <v>11384</v>
      </c>
      <c r="J18" s="15">
        <v>1568.48</v>
      </c>
      <c r="K18" s="15">
        <v>-162</v>
      </c>
      <c r="L18" s="15">
        <v>23.75</v>
      </c>
      <c r="M18" s="15">
        <v>-1842.76725</v>
      </c>
      <c r="N18" s="15">
        <f>SUM(C15:C18)/4</f>
        <v>10754.75</v>
      </c>
      <c r="O18" s="15">
        <v>10865.745</v>
      </c>
      <c r="P18" s="16">
        <f>C18/C17-1</f>
        <v>0.00621527450795743</v>
      </c>
      <c r="Q18" s="16">
        <f>J18/I18</f>
        <v>0.137779339423753</v>
      </c>
      <c r="R18" s="16">
        <f>AVERAGE(Q15:Q18)</f>
        <v>0.181947049097802</v>
      </c>
      <c r="S18" s="17"/>
      <c r="T18" s="25">
        <f>SUM(J15:K18)/4</f>
        <v>1930.62</v>
      </c>
      <c r="U18" s="25"/>
      <c r="V18" s="15">
        <f>-(L18+M18)+V17</f>
        <v>27526.71475</v>
      </c>
      <c r="W18" s="17"/>
      <c r="X18" s="15">
        <f>F18-G18</f>
        <v>-13928</v>
      </c>
      <c r="Y18" s="24"/>
      <c r="Z18" s="60">
        <v>8100</v>
      </c>
      <c r="AA18" s="15">
        <v>12200.6048387097</v>
      </c>
      <c r="AB18" s="15">
        <v>14.79</v>
      </c>
    </row>
    <row r="19" ht="20.05" customHeight="1">
      <c r="B19" s="13"/>
      <c r="C19" s="14">
        <v>10515</v>
      </c>
      <c r="D19" s="15">
        <v>325</v>
      </c>
      <c r="E19" s="15">
        <v>1727.661</v>
      </c>
      <c r="F19" s="15">
        <v>844</v>
      </c>
      <c r="G19" s="15">
        <v>15597</v>
      </c>
      <c r="H19" s="15">
        <v>20535</v>
      </c>
      <c r="I19" s="15">
        <v>11992</v>
      </c>
      <c r="J19" s="15">
        <v>2587.52</v>
      </c>
      <c r="K19" s="15">
        <v>-180</v>
      </c>
      <c r="L19" s="15">
        <v>23.75</v>
      </c>
      <c r="M19" s="15">
        <v>-1842.76725</v>
      </c>
      <c r="N19" s="15">
        <f>SUM(C16:C19)/4</f>
        <v>10743</v>
      </c>
      <c r="O19" s="15">
        <v>10868.605</v>
      </c>
      <c r="P19" s="16">
        <f>C19/C18-1</f>
        <v>-0.015910154422087</v>
      </c>
      <c r="Q19" s="16">
        <f>J19/I19</f>
        <v>0.215770513675784</v>
      </c>
      <c r="R19" s="16">
        <f>AVERAGE(Q16:Q19)</f>
        <v>0.169648061221311</v>
      </c>
      <c r="S19" s="17"/>
      <c r="T19" s="25">
        <f>SUM(J16:K19)/4</f>
        <v>1854.5</v>
      </c>
      <c r="U19" s="25"/>
      <c r="V19" s="15">
        <f>-(L19+M19)+V18</f>
        <v>29345.732</v>
      </c>
      <c r="W19" s="17"/>
      <c r="X19" s="15">
        <f>F19-G19</f>
        <v>-14753</v>
      </c>
      <c r="Y19" s="24"/>
      <c r="Z19" s="15">
        <v>7638</v>
      </c>
      <c r="AA19" s="15">
        <v>12451.1529737903</v>
      </c>
      <c r="AB19" s="15">
        <v>14.1</v>
      </c>
    </row>
    <row r="20" ht="20.05" customHeight="1">
      <c r="B20" s="21">
        <v>2021</v>
      </c>
      <c r="C20" s="14">
        <v>10282.5</v>
      </c>
      <c r="D20" s="15">
        <v>258.5</v>
      </c>
      <c r="E20" s="15">
        <v>1698.1</v>
      </c>
      <c r="F20" s="15">
        <v>590</v>
      </c>
      <c r="G20" s="15">
        <v>15085</v>
      </c>
      <c r="H20" s="15">
        <v>21646</v>
      </c>
      <c r="I20" s="15">
        <v>10288</v>
      </c>
      <c r="J20" s="15">
        <v>537.4</v>
      </c>
      <c r="K20" s="15">
        <v>-60.6</v>
      </c>
      <c r="L20" s="15">
        <v>0</v>
      </c>
      <c r="M20" s="15">
        <v>0</v>
      </c>
      <c r="N20" s="15">
        <f>SUM(C17:C20)/4</f>
        <v>10525.375</v>
      </c>
      <c r="O20" s="15">
        <v>11033.88</v>
      </c>
      <c r="P20" s="16">
        <f>C20/C19-1</f>
        <v>-0.0221112696148359</v>
      </c>
      <c r="Q20" s="16">
        <f>J20/I20</f>
        <v>0.0522356143079316</v>
      </c>
      <c r="R20" s="16">
        <f>AVERAGE(Q17:Q20)</f>
        <v>0.163045529425343</v>
      </c>
      <c r="S20" s="17"/>
      <c r="T20" s="25">
        <f>SUM(J17:K20)/4</f>
        <v>1804.2</v>
      </c>
      <c r="U20" s="25"/>
      <c r="V20" s="15">
        <f>-(L20+M20)+V19</f>
        <v>29345.732</v>
      </c>
      <c r="W20" s="17"/>
      <c r="X20" s="15">
        <f>F20-G20</f>
        <v>-14495</v>
      </c>
      <c r="Y20" s="15"/>
      <c r="Z20" s="15">
        <v>6458.11084</v>
      </c>
      <c r="AA20" s="15">
        <v>10682.7763535641</v>
      </c>
      <c r="AB20" s="15">
        <v>14.606</v>
      </c>
    </row>
    <row r="21" ht="20.05" customHeight="1">
      <c r="B21" s="13"/>
      <c r="C21" s="14">
        <v>9894.5</v>
      </c>
      <c r="D21" s="15">
        <v>258.5</v>
      </c>
      <c r="E21" s="15">
        <v>1347.9</v>
      </c>
      <c r="F21" s="15">
        <v>526</v>
      </c>
      <c r="G21" s="15">
        <v>16260</v>
      </c>
      <c r="H21" s="15">
        <v>20274</v>
      </c>
      <c r="I21" s="15">
        <v>11652</v>
      </c>
      <c r="J21" s="15">
        <v>2439.6</v>
      </c>
      <c r="K21" s="15">
        <v>-243.4</v>
      </c>
      <c r="L21" s="15">
        <v>0</v>
      </c>
      <c r="M21" s="15">
        <v>0</v>
      </c>
      <c r="N21" s="15">
        <f>SUM(C18:C21)/4</f>
        <v>10344.25</v>
      </c>
      <c r="O21" s="15">
        <v>10876.9775</v>
      </c>
      <c r="P21" s="16">
        <f>C21/C20-1</f>
        <v>-0.037734014101629</v>
      </c>
      <c r="Q21" s="16">
        <f>J21/I21</f>
        <v>0.209371781668383</v>
      </c>
      <c r="R21" s="16">
        <f>AVERAGE(Q18:Q21)</f>
        <v>0.153789312268963</v>
      </c>
      <c r="S21" s="17"/>
      <c r="T21" s="25">
        <f>SUM(J18:K21)/4</f>
        <v>1621.75</v>
      </c>
      <c r="U21" s="25"/>
      <c r="V21" s="15">
        <f>-(L21+M21)+V20</f>
        <v>29345.732</v>
      </c>
      <c r="W21" s="17"/>
      <c r="X21" s="15">
        <f>F21-G21</f>
        <v>-15734</v>
      </c>
      <c r="Y21" s="15"/>
      <c r="Z21" s="15">
        <v>4950</v>
      </c>
      <c r="AA21" s="15">
        <v>10682.7763535641</v>
      </c>
      <c r="AB21" s="15">
        <v>14.45</v>
      </c>
    </row>
    <row r="22" ht="20.05" customHeight="1">
      <c r="B22" s="13"/>
      <c r="C22" s="14">
        <v>9852.5</v>
      </c>
      <c r="D22" s="15">
        <v>274.6</v>
      </c>
      <c r="E22" s="15">
        <v>1332.8</v>
      </c>
      <c r="F22" s="15">
        <v>542</v>
      </c>
      <c r="G22" s="15">
        <v>14881</v>
      </c>
      <c r="H22" s="15">
        <v>20207</v>
      </c>
      <c r="I22" s="15">
        <v>10959.1</v>
      </c>
      <c r="J22" s="15">
        <v>2078.4</v>
      </c>
      <c r="K22" s="15">
        <v>-111.1</v>
      </c>
      <c r="L22" s="15">
        <v>-1115</v>
      </c>
      <c r="M22" s="15">
        <v>-3828</v>
      </c>
      <c r="N22" s="15">
        <f>SUM(C19:C22)/4</f>
        <v>10136.125</v>
      </c>
      <c r="O22" s="15">
        <v>10726.07125</v>
      </c>
      <c r="P22" s="16">
        <f>C22/C21-1</f>
        <v>-0.00424478245489919</v>
      </c>
      <c r="Q22" s="16">
        <f>J22/I22</f>
        <v>0.189650609995346</v>
      </c>
      <c r="R22" s="16">
        <f>AVERAGE(Q19:Q22)</f>
        <v>0.166757129911861</v>
      </c>
      <c r="S22" s="17"/>
      <c r="T22" s="25">
        <f>SUM(J19:K22)/4</f>
        <v>1761.955</v>
      </c>
      <c r="U22" s="25"/>
      <c r="V22" s="15">
        <f>-(L22+M22)+V21</f>
        <v>34288.732</v>
      </c>
      <c r="W22" s="17"/>
      <c r="X22" s="15">
        <f>F22-G22</f>
        <v>-14339</v>
      </c>
      <c r="Y22" s="15"/>
      <c r="Z22" s="15">
        <v>3950</v>
      </c>
      <c r="AA22" s="15">
        <v>10271</v>
      </c>
      <c r="AB22" s="15">
        <v>14.328</v>
      </c>
    </row>
    <row r="23" ht="20.05" customHeight="1">
      <c r="B23" s="13"/>
      <c r="C23" s="14">
        <v>9516.5</v>
      </c>
      <c r="D23" s="15">
        <v>273.4</v>
      </c>
      <c r="E23" s="15">
        <v>1379.2</v>
      </c>
      <c r="F23" s="15">
        <v>325</v>
      </c>
      <c r="G23" s="15">
        <v>14747</v>
      </c>
      <c r="H23" s="15">
        <v>19069</v>
      </c>
      <c r="I23" s="15">
        <v>11202.9</v>
      </c>
      <c r="J23" s="15">
        <v>2614.6</v>
      </c>
      <c r="K23" s="15">
        <v>-265.9</v>
      </c>
      <c r="L23" s="15">
        <v>-50</v>
      </c>
      <c r="M23" s="15">
        <v>-2514</v>
      </c>
      <c r="N23" s="15">
        <f>SUM(C20:C23)/4</f>
        <v>9886.5</v>
      </c>
      <c r="O23" s="15">
        <v>10464.52125</v>
      </c>
      <c r="P23" s="16">
        <f>C23/C22-1</f>
        <v>-0.0341030195381883</v>
      </c>
      <c r="Q23" s="16">
        <f>J23/I23</f>
        <v>0.233385998268306</v>
      </c>
      <c r="R23" s="16">
        <f>AVERAGE(Q20:Q23)</f>
        <v>0.171161001059992</v>
      </c>
      <c r="S23" s="17"/>
      <c r="T23" s="25">
        <f>SUM(J20:K23)/4</f>
        <v>1747.25</v>
      </c>
      <c r="U23" s="25"/>
      <c r="V23" s="15">
        <f>-(L23+M23)+V22</f>
        <v>36852.732</v>
      </c>
      <c r="W23" s="17"/>
      <c r="X23" s="15">
        <f>F23-G23</f>
        <v>-14422</v>
      </c>
      <c r="Y23" s="15"/>
      <c r="Z23" s="15">
        <v>4230</v>
      </c>
      <c r="AA23" s="15">
        <v>10271</v>
      </c>
      <c r="AB23" s="15">
        <v>14.275</v>
      </c>
    </row>
    <row r="24" ht="20.05" customHeight="1">
      <c r="B24" s="21">
        <v>2022</v>
      </c>
      <c r="C24" s="14">
        <v>10838</v>
      </c>
      <c r="D24" s="15">
        <v>265</v>
      </c>
      <c r="E24" s="15">
        <v>2021.2</v>
      </c>
      <c r="F24" s="15">
        <v>553</v>
      </c>
      <c r="G24" s="15">
        <v>14010</v>
      </c>
      <c r="H24" s="15">
        <v>20393</v>
      </c>
      <c r="I24" s="15">
        <v>10928.3</v>
      </c>
      <c r="J24" s="15">
        <v>1741.2</v>
      </c>
      <c r="K24" s="15">
        <v>-63.6</v>
      </c>
      <c r="L24" s="15">
        <v>-1450</v>
      </c>
      <c r="M24" s="15">
        <v>0</v>
      </c>
      <c r="N24" s="15">
        <f>SUM(C21:C24)/4</f>
        <v>10025.375</v>
      </c>
      <c r="O24" s="23">
        <v>10131.0775</v>
      </c>
      <c r="P24" s="16">
        <f>C24/C23-1</f>
        <v>0.138864078180003</v>
      </c>
      <c r="Q24" s="16">
        <f>J24/I24</f>
        <v>0.15932944739804</v>
      </c>
      <c r="R24" s="16">
        <f>AVERAGE(Q21:Q24)</f>
        <v>0.197934459332519</v>
      </c>
      <c r="S24" s="35"/>
      <c r="T24" s="25">
        <f>SUM(J21:K24)/4</f>
        <v>2047.45</v>
      </c>
      <c r="U24" s="15"/>
      <c r="V24" s="15">
        <f>-(L24+M24)+V23</f>
        <v>38302.732</v>
      </c>
      <c r="W24" s="15"/>
      <c r="X24" s="15">
        <f>F24-G24</f>
        <v>-13457</v>
      </c>
      <c r="Y24" s="15"/>
      <c r="Z24" s="15">
        <v>3660</v>
      </c>
      <c r="AA24" s="15">
        <v>8602.750583234430</v>
      </c>
      <c r="AB24" s="15">
        <v>14.327</v>
      </c>
    </row>
    <row r="25" ht="20.05" customHeight="1">
      <c r="B25" s="13"/>
      <c r="C25" s="14">
        <v>10625</v>
      </c>
      <c r="D25" s="15">
        <v>265</v>
      </c>
      <c r="E25" s="15">
        <v>1408.8</v>
      </c>
      <c r="F25" s="15">
        <v>2895</v>
      </c>
      <c r="G25" s="15">
        <v>17578</v>
      </c>
      <c r="H25" s="15">
        <v>22144</v>
      </c>
      <c r="I25" s="15">
        <v>11960.7</v>
      </c>
      <c r="J25" s="15">
        <v>2692.8</v>
      </c>
      <c r="K25" s="15">
        <v>48.6</v>
      </c>
      <c r="L25" s="15">
        <v>-400</v>
      </c>
      <c r="M25" s="15">
        <v>0</v>
      </c>
      <c r="N25" s="15">
        <f>SUM(C22:C25)/4</f>
        <v>10208</v>
      </c>
      <c r="O25" s="15">
        <v>10245.635</v>
      </c>
      <c r="P25" s="16">
        <f>C25/C24-1</f>
        <v>-0.0196530725226056</v>
      </c>
      <c r="Q25" s="16">
        <f>J25/I25</f>
        <v>0.225137324738519</v>
      </c>
      <c r="R25" s="16">
        <f>AVERAGE(Q22:Q25)</f>
        <v>0.201875845100053</v>
      </c>
      <c r="S25" s="35"/>
      <c r="T25" s="25">
        <f>SUM(J22:K25)/4</f>
        <v>2183.75</v>
      </c>
      <c r="U25" s="15">
        <v>2293.41340204</v>
      </c>
      <c r="V25" s="15">
        <f>-(L25+M25)+V24</f>
        <v>38702.732</v>
      </c>
      <c r="W25" s="15"/>
      <c r="X25" s="15">
        <f>F25-G25</f>
        <v>-14683</v>
      </c>
      <c r="Y25" s="15">
        <v>-10270.857918788</v>
      </c>
      <c r="Z25" s="15">
        <v>4830</v>
      </c>
      <c r="AA25" s="15">
        <v>6242.05532739</v>
      </c>
      <c r="AB25" s="15">
        <v>14.66</v>
      </c>
    </row>
    <row r="26" ht="20.05" customHeight="1">
      <c r="B26" s="13"/>
      <c r="C26" s="14">
        <v>10076.3</v>
      </c>
      <c r="D26" s="15">
        <v>266.4</v>
      </c>
      <c r="E26" s="15">
        <v>1181.5</v>
      </c>
      <c r="F26" s="15">
        <v>1138</v>
      </c>
      <c r="G26" s="15">
        <v>14511</v>
      </c>
      <c r="H26" s="15">
        <v>20242</v>
      </c>
      <c r="I26" s="15">
        <v>11374.5</v>
      </c>
      <c r="J26" s="15">
        <v>1722.5</v>
      </c>
      <c r="K26" s="15">
        <v>-274.1</v>
      </c>
      <c r="L26" s="15">
        <v>0</v>
      </c>
      <c r="M26" s="15">
        <v>-3204.6</v>
      </c>
      <c r="N26" s="15">
        <f>SUM(C23:C26)/4</f>
        <v>10263.95</v>
      </c>
      <c r="O26" s="15">
        <v>11137.132703125</v>
      </c>
      <c r="P26" s="16">
        <f>C26/C25-1</f>
        <v>-0.0516423529411765</v>
      </c>
      <c r="Q26" s="16">
        <f>J26/I26</f>
        <v>0.151435227922106</v>
      </c>
      <c r="R26" s="16">
        <f>AVERAGE(Q23:Q26)</f>
        <v>0.192321999581743</v>
      </c>
      <c r="S26" s="35">
        <f>S27</f>
        <v>0.151435227922106</v>
      </c>
      <c r="T26" s="25">
        <f>SUM(J23:K26)/4</f>
        <v>2054.025</v>
      </c>
      <c r="U26" s="15">
        <v>2208.8180764348</v>
      </c>
      <c r="V26" s="15">
        <f>-(L26+M26)+V25</f>
        <v>41907.332</v>
      </c>
      <c r="W26" s="15">
        <f>W27</f>
        <v>48089.8808497418</v>
      </c>
      <c r="X26" s="15">
        <f>F26-G26</f>
        <v>-13373</v>
      </c>
      <c r="Y26" s="15">
        <v>-13911.3286325542</v>
      </c>
      <c r="Z26" s="15">
        <v>4850</v>
      </c>
      <c r="AA26" s="15">
        <v>7499.888611516420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AVERAGE(AE51:AH51)</f>
        <v>10842.9452092</v>
      </c>
      <c r="P27" s="17"/>
      <c r="Q27" s="17"/>
      <c r="R27" s="17"/>
      <c r="S27" s="35">
        <f>AE52</f>
        <v>0.151435227922106</v>
      </c>
      <c r="T27" s="25"/>
      <c r="U27" s="15">
        <f>SUM(AE54:AH54)/4</f>
        <v>1545.637212435440</v>
      </c>
      <c r="V27" s="17"/>
      <c r="W27" s="15">
        <f>-SUM(AE75:AH75)+V26</f>
        <v>48089.8808497418</v>
      </c>
      <c r="X27" s="26"/>
      <c r="Y27" s="15">
        <f>AH74</f>
        <v>-12696.6</v>
      </c>
      <c r="Z27" s="15">
        <v>4790</v>
      </c>
      <c r="AA27" s="15">
        <v>7410.975335272080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114549.575</v>
      </c>
      <c r="O28" s="15">
        <f>SUM(O16:O26)</f>
        <v>118015.115203125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AH87</f>
        <v>5185.886235197110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5" ht="27.65" customHeight="1">
      <c r="AC45" t="s" s="2">
        <v>797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ht="20.25" customHeight="1">
      <c r="AC46" t="s" s="28">
        <v>366</v>
      </c>
      <c r="AD46" t="s" s="29">
        <v>23</v>
      </c>
      <c r="AE46" t="s" s="29">
        <v>24</v>
      </c>
      <c r="AF46" t="s" s="29">
        <v>25</v>
      </c>
      <c r="AG46" t="s" s="29">
        <v>26</v>
      </c>
      <c r="AH46" t="s" s="29">
        <v>23</v>
      </c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</row>
    <row r="47" ht="20.25" customHeight="1">
      <c r="AC47" t="s" s="31">
        <v>15</v>
      </c>
      <c r="AD47" s="32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ht="20.05" customHeight="1">
      <c r="AC48" t="s" s="33">
        <v>27</v>
      </c>
      <c r="AD48" s="34"/>
      <c r="AE48" s="16">
        <f>AVERAGE(P23:P26)</f>
        <v>0.008366408294508149</v>
      </c>
      <c r="AF48" s="35"/>
      <c r="AG48" s="35"/>
      <c r="AH48" s="35">
        <f>AVERAGE(AE50:AH50)</f>
        <v>0.02</v>
      </c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ht="20.05" customHeight="1">
      <c r="AC49" s="36"/>
      <c r="AD49" s="37"/>
      <c r="AE49" s="35">
        <f>P23</f>
        <v>-0.0341030195381883</v>
      </c>
      <c r="AF49" s="35">
        <f>P24</f>
        <v>0.138864078180003</v>
      </c>
      <c r="AG49" s="35">
        <f>P25</f>
        <v>-0.0196530725226056</v>
      </c>
      <c r="AH49" s="35">
        <f>P26</f>
        <v>-0.0516423529411765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t="s" s="33">
        <v>13</v>
      </c>
      <c r="AD50" s="37"/>
      <c r="AE50" s="35">
        <v>0</v>
      </c>
      <c r="AF50" s="35">
        <v>0.12</v>
      </c>
      <c r="AG50" s="35">
        <v>-0.01</v>
      </c>
      <c r="AH50" s="35">
        <v>-0.03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28</v>
      </c>
      <c r="AD51" s="38">
        <f>C26</f>
        <v>10076.3</v>
      </c>
      <c r="AE51" s="23">
        <f>C26*(1+AE50)</f>
        <v>10076.3</v>
      </c>
      <c r="AF51" s="23">
        <f>AE51*(1+AF50)</f>
        <v>11285.456</v>
      </c>
      <c r="AG51" s="23">
        <f>AF51*(1+AG50)</f>
        <v>11172.60144</v>
      </c>
      <c r="AH51" s="23">
        <f>AG51*(1+AH50)</f>
        <v>10837.4233968</v>
      </c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</row>
    <row r="52" ht="20.05" customHeight="1">
      <c r="AC52" t="s" s="33">
        <v>14</v>
      </c>
      <c r="AD52" s="37"/>
      <c r="AE52" s="35">
        <f>AVERAGE(Q26)</f>
        <v>0.151435227922106</v>
      </c>
      <c r="AF52" s="35">
        <f>AE52</f>
        <v>0.151435227922106</v>
      </c>
      <c r="AG52" s="35">
        <f>AF52</f>
        <v>0.151435227922106</v>
      </c>
      <c r="AH52" s="35">
        <f>AG52</f>
        <v>0.151435227922106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ht="20.05" customHeight="1">
      <c r="AC53" t="s" s="33">
        <v>29</v>
      </c>
      <c r="AD53" s="14"/>
      <c r="AE53" s="15">
        <f>AVERAGE(K24:K26)</f>
        <v>-96.3666666666667</v>
      </c>
      <c r="AF53" s="15">
        <f>AE53</f>
        <v>-96.3666666666667</v>
      </c>
      <c r="AG53" s="15">
        <f>AF53</f>
        <v>-96.3666666666667</v>
      </c>
      <c r="AH53" s="15">
        <f>AG53</f>
        <v>-96.3666666666667</v>
      </c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</row>
    <row r="54" ht="20.05" customHeight="1">
      <c r="AC54" t="s" s="33">
        <v>30</v>
      </c>
      <c r="AD54" s="14"/>
      <c r="AE54" s="15">
        <f>(AE51*AE52)+AE53</f>
        <v>1429.540120444850</v>
      </c>
      <c r="AF54" s="15">
        <f>(AF51*AF52)+AF53</f>
        <v>1612.648934898230</v>
      </c>
      <c r="AG54" s="15">
        <f>(AG51*AG52)+AG53</f>
        <v>1595.558778882580</v>
      </c>
      <c r="AH54" s="15">
        <f>(AH51*AH52)+AH53</f>
        <v>1544.801015516110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31</v>
      </c>
      <c r="AD55" s="14"/>
      <c r="AE55" s="15">
        <f>-G26/20</f>
        <v>-725.55</v>
      </c>
      <c r="AF55" s="15">
        <f>-AE70/20</f>
        <v>-689.2725</v>
      </c>
      <c r="AG55" s="15">
        <f>-AF70/20</f>
        <v>-654.8088749999999</v>
      </c>
      <c r="AH55" s="15">
        <f>-AG70/20</f>
        <v>-622.06843125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32</v>
      </c>
      <c r="AD56" s="39"/>
      <c r="AE56" s="40">
        <v>-1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33</v>
      </c>
      <c r="AD57" s="14"/>
      <c r="AE57" s="15">
        <f>IF(AE65&gt;0,AE65*$AE$56,0)</f>
        <v>-1260.440120444850</v>
      </c>
      <c r="AF57" s="15">
        <f>IF(AF65&gt;0,AF65*$AE$56,0)</f>
        <v>-1443.548934898230</v>
      </c>
      <c r="AG57" s="15">
        <f>IF(AG65&gt;0,AG65*$AE$56,0)</f>
        <v>-1426.458778882580</v>
      </c>
      <c r="AH57" s="15">
        <f>IF(AH65&gt;0,AH65*$AE$56,0)</f>
        <v>-1375.701015516110</v>
      </c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34</v>
      </c>
      <c r="AD58" s="14"/>
      <c r="AE58" s="15">
        <f>AE54+AE55+AE57</f>
        <v>-556.45</v>
      </c>
      <c r="AF58" s="15">
        <f>AF54+AF55+AF57</f>
        <v>-520.1725</v>
      </c>
      <c r="AG58" s="15">
        <f>AG54+AG55+AG57</f>
        <v>-485.708875</v>
      </c>
      <c r="AH58" s="15">
        <f>AH54+AH55+AH57</f>
        <v>-452.96843125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35</v>
      </c>
      <c r="AD59" s="14"/>
      <c r="AE59" s="15">
        <f>-MIN(0,AE58)</f>
        <v>556.45</v>
      </c>
      <c r="AF59" s="15">
        <f>-MIN(AE71,AF58)</f>
        <v>520.1725</v>
      </c>
      <c r="AG59" s="15">
        <f>-MIN(AF71,AG58)</f>
        <v>485.708875</v>
      </c>
      <c r="AH59" s="15">
        <f>-MIN(AG71,AH58)</f>
        <v>452.96843125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36</v>
      </c>
      <c r="AD60" s="14"/>
      <c r="AE60" s="15">
        <f>F26</f>
        <v>1138</v>
      </c>
      <c r="AF60" s="15">
        <f>AE62</f>
        <v>1138</v>
      </c>
      <c r="AG60" s="15">
        <f>AF62</f>
        <v>1138</v>
      </c>
      <c r="AH60" s="15">
        <f>AG62</f>
        <v>1138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37</v>
      </c>
      <c r="AD61" s="14"/>
      <c r="AE61" s="15">
        <f>AE54+AE55+AE57+AE59</f>
        <v>0</v>
      </c>
      <c r="AF61" s="15">
        <f>AF54+AF55+AF57+AF59</f>
        <v>0</v>
      </c>
      <c r="AG61" s="15">
        <f>AG54+AG55+AG57+AG59</f>
        <v>0</v>
      </c>
      <c r="AH61" s="15">
        <f>AH54+AH55+AH57+AH59</f>
        <v>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38</v>
      </c>
      <c r="AD62" s="14"/>
      <c r="AE62" s="15">
        <f>AE60+AE61</f>
        <v>1138</v>
      </c>
      <c r="AF62" s="15">
        <f>AF60+AF61</f>
        <v>1138</v>
      </c>
      <c r="AG62" s="15">
        <f>AG60+AG61</f>
        <v>1138</v>
      </c>
      <c r="AH62" s="15">
        <f>AH60+AH61</f>
        <v>1138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41">
        <v>4</v>
      </c>
      <c r="AD63" s="14"/>
      <c r="AE63" s="15"/>
      <c r="AF63" s="15"/>
      <c r="AG63" s="15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</row>
    <row r="64" ht="20.05" customHeight="1">
      <c r="AC64" t="s" s="33">
        <v>3</v>
      </c>
      <c r="AD64" s="14"/>
      <c r="AE64" s="15">
        <f>-AVERAGE(D24:D26)</f>
        <v>-265.466666666667</v>
      </c>
      <c r="AF64" s="15">
        <f>AE64</f>
        <v>-265.466666666667</v>
      </c>
      <c r="AG64" s="15">
        <f>AF64</f>
        <v>-265.466666666667</v>
      </c>
      <c r="AH64" s="15">
        <f>AG64</f>
        <v>-265.466666666667</v>
      </c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ht="20.05" customHeight="1">
      <c r="AC65" t="s" s="33">
        <v>4</v>
      </c>
      <c r="AD65" s="14"/>
      <c r="AE65" s="15">
        <f>(AE51*AE52)+AE64</f>
        <v>1260.440120444850</v>
      </c>
      <c r="AF65" s="15">
        <f>(AF51*AF52)+AF64</f>
        <v>1443.548934898230</v>
      </c>
      <c r="AG65" s="15">
        <f>(AG51*AG52)+AG64</f>
        <v>1426.458778882580</v>
      </c>
      <c r="AH65" s="15">
        <f>(AH51*AH52)+AH64</f>
        <v>1375.701015516110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41">
        <v>39</v>
      </c>
      <c r="AD66" s="14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33">
        <v>40</v>
      </c>
      <c r="AD67" s="14"/>
      <c r="AE67" s="15">
        <f>H26-F26-AE53</f>
        <v>19200.3666666667</v>
      </c>
      <c r="AF67" s="15">
        <f>AE67-AF53</f>
        <v>19296.7333333334</v>
      </c>
      <c r="AG67" s="15">
        <f>AF67-AG53</f>
        <v>19393.1000000001</v>
      </c>
      <c r="AH67" s="15">
        <f>AG67-AH53</f>
        <v>19489.4666666668</v>
      </c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41</v>
      </c>
      <c r="AD68" s="14"/>
      <c r="AE68" s="15">
        <f>0-AE64</f>
        <v>265.466666666667</v>
      </c>
      <c r="AF68" s="15">
        <f>AE68-AF64</f>
        <v>530.933333333334</v>
      </c>
      <c r="AG68" s="15">
        <f>AF68-AG64</f>
        <v>796.400000000001</v>
      </c>
      <c r="AH68" s="15">
        <f>AG68-AH64</f>
        <v>1061.866666666670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42</v>
      </c>
      <c r="AD69" s="14"/>
      <c r="AE69" s="15">
        <f>AE67-AE68</f>
        <v>18934.9</v>
      </c>
      <c r="AF69" s="15">
        <f>AF67-AF68</f>
        <v>18765.8000000001</v>
      </c>
      <c r="AG69" s="15">
        <f>AG67-AG68</f>
        <v>18596.7000000001</v>
      </c>
      <c r="AH69" s="15">
        <f>AH67-AH68</f>
        <v>18427.6000000001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6</v>
      </c>
      <c r="AD70" s="14"/>
      <c r="AE70" s="15">
        <f>G26+AE55</f>
        <v>13785.45</v>
      </c>
      <c r="AF70" s="15">
        <f>AE70+AF55</f>
        <v>13096.1775</v>
      </c>
      <c r="AG70" s="15">
        <f>AF70+AG55</f>
        <v>12441.368625</v>
      </c>
      <c r="AH70" s="15">
        <f>AG70+AH55</f>
        <v>11819.30019375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35</v>
      </c>
      <c r="AD71" s="14"/>
      <c r="AE71" s="15">
        <f>AE59</f>
        <v>556.45</v>
      </c>
      <c r="AF71" s="15">
        <f>AE71+AF59</f>
        <v>1076.6225</v>
      </c>
      <c r="AG71" s="15">
        <f>AF71+AG59</f>
        <v>1562.331375</v>
      </c>
      <c r="AH71" s="15">
        <f>AG71+AH59</f>
        <v>2015.29980625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11</v>
      </c>
      <c r="AD72" s="14"/>
      <c r="AE72" s="15">
        <f>(H26-G26)+AE65+AE57</f>
        <v>5731</v>
      </c>
      <c r="AF72" s="15">
        <f>AE72+AF65+AF57</f>
        <v>5731</v>
      </c>
      <c r="AG72" s="15">
        <f>AF72+AG65+AG57</f>
        <v>5731</v>
      </c>
      <c r="AH72" s="15">
        <f>AG72+AH65+AH57</f>
        <v>5731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43</v>
      </c>
      <c r="AD73" s="14"/>
      <c r="AE73" s="15">
        <f>AE70+AE71+AE72-AE62-AE69</f>
        <v>0</v>
      </c>
      <c r="AF73" s="15">
        <f>AF70+AF71+AF72-AF62-AF69</f>
        <v>-1e-10</v>
      </c>
      <c r="AG73" s="15">
        <f>AG70+AG71+AG72-AG62-AG69</f>
        <v>-1e-10</v>
      </c>
      <c r="AH73" s="15">
        <f>AH70+AH71+AH72-AH62-AH69</f>
        <v>-1e-10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18</v>
      </c>
      <c r="AD74" s="14"/>
      <c r="AE74" s="15">
        <f>AE62-AE70-AE71</f>
        <v>-13203.9</v>
      </c>
      <c r="AF74" s="15">
        <f>AF62-AF70-AF71</f>
        <v>-13034.8</v>
      </c>
      <c r="AG74" s="15">
        <f>AG62-AG70-AG71</f>
        <v>-12865.7</v>
      </c>
      <c r="AH74" s="15">
        <f>AH62-AH70-AH71</f>
        <v>-12696.6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44</v>
      </c>
      <c r="AD75" s="14"/>
      <c r="AE75" s="15">
        <f>AE55+AE57+AE59</f>
        <v>-1429.540120444850</v>
      </c>
      <c r="AF75" s="15">
        <f>AF55+AF57+AF59</f>
        <v>-1612.648934898230</v>
      </c>
      <c r="AG75" s="15">
        <f>AG55+AG57+AG59</f>
        <v>-1595.558778882580</v>
      </c>
      <c r="AH75" s="15">
        <f>AH55+AH57+AH59</f>
        <v>-1544.801015516110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45</v>
      </c>
      <c r="AD76" s="14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f>Z$3</f>
        <v>798</v>
      </c>
      <c r="AD77" s="14"/>
      <c r="AE77" s="15"/>
      <c r="AF77" s="15"/>
      <c r="AG77" s="15"/>
      <c r="AH77" s="15">
        <v>4790</v>
      </c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$AC77</f>
        <v>798</v>
      </c>
      <c r="AD78" s="14"/>
      <c r="AE78" s="15"/>
      <c r="AF78" s="15"/>
      <c r="AG78" s="15"/>
      <c r="AH78" s="15">
        <v>182738503065600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v>46</v>
      </c>
      <c r="AD79" s="14"/>
      <c r="AE79" s="15"/>
      <c r="AF79" s="15"/>
      <c r="AG79" s="15"/>
      <c r="AH79" s="15">
        <f>AH78/1000000000</f>
        <v>182738.5030656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47</v>
      </c>
      <c r="AD80" s="14"/>
      <c r="AE80" s="15"/>
      <c r="AF80" s="15"/>
      <c r="AG80" s="15"/>
      <c r="AH80" s="15">
        <f>AH79/AH77</f>
        <v>38.15000064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48</v>
      </c>
      <c r="AD81" s="14"/>
      <c r="AE81" s="15"/>
      <c r="AF81" s="15"/>
      <c r="AG81" s="15"/>
      <c r="AH81" s="43">
        <f>AH79/(AH62+AH69)</f>
        <v>9.33978528977384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</row>
    <row r="82" ht="20.05" customHeight="1">
      <c r="AC82" t="s" s="33">
        <v>49</v>
      </c>
      <c r="AD82" s="14"/>
      <c r="AE82" s="15"/>
      <c r="AF82" s="15"/>
      <c r="AG82" s="15"/>
      <c r="AH82" s="16">
        <f>-(AE57+AF57+AG57+AH57)/AH79</f>
        <v>0.0301313010524397</v>
      </c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</row>
    <row r="83" ht="20.05" customHeight="1">
      <c r="AC83" t="s" s="33">
        <v>50</v>
      </c>
      <c r="AD83" s="14"/>
      <c r="AE83" s="15"/>
      <c r="AF83" s="15"/>
      <c r="AG83" s="15"/>
      <c r="AH83" s="15">
        <f>SUM(AE54:AH54)</f>
        <v>6182.548849741770</v>
      </c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ht="20.05" customHeight="1">
      <c r="AC84" t="s" s="33">
        <v>51</v>
      </c>
      <c r="AD84" s="14"/>
      <c r="AE84" s="15"/>
      <c r="AF84" s="15"/>
      <c r="AG84" s="15"/>
      <c r="AH84" s="15">
        <f>AH69/AH83</f>
        <v>2.98058300028956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52</v>
      </c>
      <c r="AD85" s="14"/>
      <c r="AE85" s="15"/>
      <c r="AF85" s="15"/>
      <c r="AG85" s="15">
        <f>AH79/AH83</f>
        <v>29.557146656954</v>
      </c>
      <c r="AH85" s="15">
        <v>32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53</v>
      </c>
      <c r="AD86" s="14"/>
      <c r="AE86" s="15"/>
      <c r="AF86" s="15"/>
      <c r="AG86" s="15"/>
      <c r="AH86" s="15">
        <f>AH83*AH85</f>
        <v>197841.563191737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54</v>
      </c>
      <c r="AD87" s="14"/>
      <c r="AE87" s="15"/>
      <c r="AF87" s="15"/>
      <c r="AG87" s="15"/>
      <c r="AH87" s="15">
        <f>(AH86/AH80)</f>
        <v>5185.886235197110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55</v>
      </c>
      <c r="AD88" s="38"/>
      <c r="AE88" s="23"/>
      <c r="AF88" s="23"/>
      <c r="AG88" s="23"/>
      <c r="AH88" s="16">
        <f>AH87/AH77-1</f>
        <v>0.0826484833396889</v>
      </c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</row>
    <row r="89" ht="20.05" customHeight="1">
      <c r="AC89" t="s" s="33">
        <v>56</v>
      </c>
      <c r="AD89" s="38"/>
      <c r="AE89" s="23"/>
      <c r="AF89" s="23"/>
      <c r="AG89" s="23"/>
      <c r="AH89" s="16">
        <f>C26/C22-1</f>
        <v>0.0227150469424004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57</v>
      </c>
      <c r="AD90" s="38"/>
      <c r="AE90" s="23"/>
      <c r="AF90" s="23"/>
      <c r="AG90" s="23"/>
      <c r="AH90" s="16">
        <f>O28/N28-1</f>
        <v>0.0302536277688066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s="36"/>
      <c r="AD91" s="38"/>
      <c r="AE91" s="23"/>
      <c r="AF91" s="23"/>
      <c r="AG91" s="23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45"/>
      <c r="AE93" t="s" s="44">
        <f>$AC77</f>
        <v>798</v>
      </c>
      <c r="AF93" t="s" s="44">
        <v>60</v>
      </c>
      <c r="AG93" s="15">
        <f>AH77</f>
        <v>4790</v>
      </c>
      <c r="AH93" t="s" s="44">
        <v>61</v>
      </c>
      <c r="AI93" s="15">
        <f>AH87</f>
        <v>5185.886235197110</v>
      </c>
      <c r="AJ93" t="s" s="44">
        <f>IF(AK93&gt;0,"+","")</f>
        <v>361</v>
      </c>
      <c r="AK93" s="16">
        <f>AI93/AG93-1</f>
        <v>0.0826484833396889</v>
      </c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</row>
    <row r="94" ht="20.05" customHeight="1">
      <c r="AC94" s="36"/>
      <c r="AD94" s="46"/>
      <c r="AE94" s="47">
        <f>TODAY()</f>
        <v>44942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32.05" customHeight="1">
      <c r="AC95" s="36"/>
      <c r="AD95" s="34"/>
      <c r="AE95" t="s" s="44">
        <v>62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63</v>
      </c>
      <c r="AF96" t="s" s="44">
        <v>64</v>
      </c>
      <c r="AG96" t="s" s="44">
        <f>IF(AH96&gt;0,"+","")</f>
        <v>361</v>
      </c>
      <c r="AH96" s="16">
        <f>AM103/AE103-1</f>
        <v>0.0227150469424004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65</v>
      </c>
      <c r="AG97" t="s" s="44">
        <f>IF(AH97&gt;0,"+","")</f>
        <v>361</v>
      </c>
      <c r="AH97" s="16">
        <f>(AG116+AG117+AI116+AI117+AK116+AK117+AM116+AM117)/AF133</f>
        <v>0.0449609680618351</v>
      </c>
      <c r="AI97" t="s" s="44">
        <v>66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17</v>
      </c>
      <c r="AG98" t="s" s="44">
        <f>IF(AH98&gt;0,"+","")</f>
        <v>361</v>
      </c>
      <c r="AH98" s="16">
        <f>(AG130+AG131+AI130+AI131+AK130+AK131+AM130+AM131)/AF133</f>
        <v>0.0416912685186277</v>
      </c>
      <c r="AI98" t="s" s="44">
        <f>AI97</f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68</v>
      </c>
      <c r="AF99" t="s" s="44">
        <v>369</v>
      </c>
      <c r="AG99" s="16">
        <f>AP126/AF133</f>
        <v>-0.0731810744624482</v>
      </c>
      <c r="AH99" t="s" s="44">
        <f>AI98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20.05" customHeight="1">
      <c r="AC100" s="36"/>
      <c r="AD100" s="34"/>
      <c r="AE100" t="s" s="44">
        <v>28</v>
      </c>
      <c r="AF100" t="s" s="44">
        <f>AF104</f>
        <v>370</v>
      </c>
      <c r="AG100" s="16">
        <f>AG104</f>
        <v>-0.0516423529411765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70</v>
      </c>
      <c r="AF101" t="s" s="44">
        <v>371</v>
      </c>
      <c r="AG101" t="s" s="44">
        <f>AM104</f>
        <v>372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s="16">
        <f>P22</f>
        <v>-0.00424478245489919</v>
      </c>
      <c r="AF102" s="16">
        <f>P23</f>
        <v>-0.0341030195381883</v>
      </c>
      <c r="AG102" s="16">
        <f>P24</f>
        <v>0.138864078180003</v>
      </c>
      <c r="AH102" s="16">
        <f>P25</f>
        <v>-0.0196530725226056</v>
      </c>
      <c r="AI102" s="16">
        <f>P26</f>
        <v>-0.0516423529411765</v>
      </c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5">
        <f>C22</f>
        <v>9852.5</v>
      </c>
      <c r="AF103" t="s" s="44">
        <v>72</v>
      </c>
      <c r="AG103" s="15">
        <f>C23</f>
        <v>9516.5</v>
      </c>
      <c r="AH103" t="s" s="44">
        <v>72</v>
      </c>
      <c r="AI103" s="15">
        <f>C24</f>
        <v>10838</v>
      </c>
      <c r="AJ103" t="s" s="44">
        <v>72</v>
      </c>
      <c r="AK103" s="15">
        <f>C25</f>
        <v>10625</v>
      </c>
      <c r="AL103" t="s" s="44">
        <v>72</v>
      </c>
      <c r="AM103" s="15">
        <f>C26</f>
        <v>10076.3</v>
      </c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44.05" customHeight="1">
      <c r="AC104" s="36"/>
      <c r="AD104" s="34"/>
      <c r="AE104" t="s" s="44">
        <v>2</v>
      </c>
      <c r="AF104" t="s" s="44">
        <f>IF(AG104&lt;0,"declined","grew")</f>
        <v>370</v>
      </c>
      <c r="AG104" s="16">
        <f>AM103/AK103-1</f>
        <v>-0.0516423529411765</v>
      </c>
      <c r="AH104" t="s" s="44">
        <v>73</v>
      </c>
      <c r="AI104" t="s" s="44">
        <v>74</v>
      </c>
      <c r="AJ104" t="s" s="44">
        <v>75</v>
      </c>
      <c r="AK104" t="s" s="44">
        <v>76</v>
      </c>
      <c r="AL104" s="15">
        <f>AM103</f>
        <v>10076.3</v>
      </c>
      <c r="AM104" t="s" s="44">
        <v>372</v>
      </c>
      <c r="AN104" t="s" s="44">
        <v>373</v>
      </c>
      <c r="AO104" s="16">
        <f>AH90</f>
        <v>0.0302536277688066</v>
      </c>
      <c r="AP104" t="s" s="44">
        <v>78</v>
      </c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79</v>
      </c>
      <c r="AF105" s="16">
        <f>AVERAGE(AF102:AI102)</f>
        <v>0.008366408294508149</v>
      </c>
      <c r="AG105" t="s" s="44">
        <v>80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81</v>
      </c>
      <c r="AF106" s="35">
        <f>AH48</f>
        <v>0.02</v>
      </c>
      <c r="AG106" t="s" s="44">
        <v>82</v>
      </c>
      <c r="AH106" t="s" s="44">
        <v>83</v>
      </c>
      <c r="AI106" s="23">
        <f>AH51</f>
        <v>10837.4233968</v>
      </c>
      <c r="AJ106" t="s" s="44">
        <f>AM104</f>
        <v>372</v>
      </c>
      <c r="AK106" t="s" s="44">
        <v>84</v>
      </c>
      <c r="AL106" t="s" s="44">
        <f>AI104</f>
        <v>74</v>
      </c>
      <c r="AM106" t="s" s="44">
        <f>AJ104</f>
        <v>75</v>
      </c>
      <c r="AN106" t="s" s="44">
        <v>85</v>
      </c>
      <c r="AO106" s="17"/>
      <c r="AP106" s="17"/>
      <c r="AQ106" s="17"/>
      <c r="AR106" s="17"/>
      <c r="AS106" s="17"/>
      <c r="AT106" s="17"/>
      <c r="AU106" s="17"/>
      <c r="AV106" s="17"/>
    </row>
    <row r="107" ht="20.05" customHeight="1">
      <c r="AC107" s="36"/>
      <c r="AD107" s="34"/>
      <c r="AE107" t="s" s="44">
        <v>14</v>
      </c>
      <c r="AF107" t="s" s="44">
        <f>IF(AH111&lt;AF111,"down","up")</f>
        <v>87</v>
      </c>
      <c r="AG107" t="s" s="44">
        <v>86</v>
      </c>
      <c r="AH107" t="s" s="44">
        <f>IF(AL111&gt;AJ111,"up","down")</f>
        <v>87</v>
      </c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44.05" customHeight="1">
      <c r="AC108" s="36"/>
      <c r="AD108" s="34"/>
      <c r="AE108" t="s" s="44">
        <f>AE101</f>
        <v>70</v>
      </c>
      <c r="AF108" t="s" s="44">
        <v>88</v>
      </c>
      <c r="AG108" t="s" s="44">
        <f>AM104</f>
        <v>372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s="16">
        <f>(D22+E22)/C22</f>
        <v>0.163146409540726</v>
      </c>
      <c r="AF109" s="16">
        <f>(D23+E23)/C23</f>
        <v>0.173656281195818</v>
      </c>
      <c r="AG109" s="16">
        <f>((E24+D24)/C24)</f>
        <v>0.210942978409301</v>
      </c>
      <c r="AH109" s="16">
        <f>(D25+E25)/C25</f>
        <v>0.157534117647059</v>
      </c>
      <c r="AI109" s="16">
        <f>(D26+E26)/C26</f>
        <v>0.143693617696972</v>
      </c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5">
        <f>E22</f>
        <v>1332.8</v>
      </c>
      <c r="AF110" t="s" s="44">
        <v>72</v>
      </c>
      <c r="AG110" s="15">
        <f>E23</f>
        <v>1379.2</v>
      </c>
      <c r="AH110" t="s" s="44">
        <v>72</v>
      </c>
      <c r="AI110" s="15">
        <f>E24</f>
        <v>2021.2</v>
      </c>
      <c r="AJ110" t="s" s="44">
        <v>72</v>
      </c>
      <c r="AK110" s="15">
        <f>E25</f>
        <v>1408.8</v>
      </c>
      <c r="AL110" t="s" s="44">
        <v>72</v>
      </c>
      <c r="AM110" s="15">
        <f>E26</f>
        <v>1181.5</v>
      </c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44.05" customHeight="1">
      <c r="AC111" s="36"/>
      <c r="AD111" s="34"/>
      <c r="AE111" t="s" s="44">
        <v>89</v>
      </c>
      <c r="AF111" s="16">
        <f>AH109</f>
        <v>0.157534117647059</v>
      </c>
      <c r="AG111" t="s" s="44">
        <v>76</v>
      </c>
      <c r="AH111" s="16">
        <f>AI109</f>
        <v>0.143693617696972</v>
      </c>
      <c r="AI111" t="s" s="44">
        <v>90</v>
      </c>
      <c r="AJ111" s="15">
        <f>AK110</f>
        <v>1408.8</v>
      </c>
      <c r="AK111" t="s" s="44">
        <v>76</v>
      </c>
      <c r="AL111" s="15">
        <f>AM110</f>
        <v>1181.5</v>
      </c>
      <c r="AM111" t="s" s="44">
        <f>AJ106</f>
        <v>372</v>
      </c>
      <c r="AN111" t="s" s="44">
        <v>73</v>
      </c>
      <c r="AO111" t="s" s="44">
        <f>AL106</f>
        <v>74</v>
      </c>
      <c r="AP111" t="s" s="44">
        <v>91</v>
      </c>
      <c r="AQ111" s="17"/>
      <c r="AR111" s="17"/>
      <c r="AS111" s="17"/>
      <c r="AT111" s="17"/>
      <c r="AU111" s="17"/>
      <c r="AV111" s="17"/>
    </row>
    <row r="112" ht="68.05" customHeight="1">
      <c r="AC112" s="36"/>
      <c r="AD112" s="34"/>
      <c r="AE112" t="s" s="44">
        <v>92</v>
      </c>
      <c r="AF112" s="16">
        <f>AVERAGE(AF109:AI109)</f>
        <v>0.171456748737288</v>
      </c>
      <c r="AG112" t="s" s="44">
        <v>78</v>
      </c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93</v>
      </c>
      <c r="AF113" s="35">
        <f>AE52</f>
        <v>0.151435227922106</v>
      </c>
      <c r="AG113" t="s" s="44">
        <v>94</v>
      </c>
      <c r="AH113" s="15">
        <f>AH65</f>
        <v>1375.701015516110</v>
      </c>
      <c r="AI113" t="s" s="44">
        <f>AM111</f>
        <v>372</v>
      </c>
      <c r="AJ113" t="s" s="44">
        <v>95</v>
      </c>
      <c r="AK113" t="s" s="44">
        <f>AO111</f>
        <v>74</v>
      </c>
      <c r="AL113" t="s" s="44">
        <f>AJ104</f>
        <v>75</v>
      </c>
      <c r="AM113" t="s" s="44">
        <f>AN106</f>
        <v>85</v>
      </c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20.05" customHeight="1">
      <c r="AC114" s="36"/>
      <c r="AD114" s="34"/>
      <c r="AE114" t="s" s="44">
        <v>15</v>
      </c>
      <c r="AF114" t="s" s="44">
        <f>IF(AH118&lt;AF118,"lower","higher")</f>
        <v>104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56.05" customHeight="1">
      <c r="AC115" s="36"/>
      <c r="AD115" s="34"/>
      <c r="AE115" t="s" s="44">
        <f>AE108</f>
        <v>70</v>
      </c>
      <c r="AF115" t="s" s="44">
        <v>96</v>
      </c>
      <c r="AG115" t="s" s="44">
        <f>AM104</f>
        <v>372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s="15">
        <f>J22</f>
        <v>2078.4</v>
      </c>
      <c r="AF116" t="s" s="44">
        <v>72</v>
      </c>
      <c r="AG116" s="15">
        <f>J23</f>
        <v>2614.6</v>
      </c>
      <c r="AH116" t="s" s="44">
        <v>72</v>
      </c>
      <c r="AI116" s="15">
        <f>J24</f>
        <v>1741.2</v>
      </c>
      <c r="AJ116" t="s" s="44">
        <v>72</v>
      </c>
      <c r="AK116" s="15">
        <f>J25</f>
        <v>2692.8</v>
      </c>
      <c r="AL116" t="s" s="44">
        <v>72</v>
      </c>
      <c r="AM116" s="15">
        <f>J26</f>
        <v>1722.5</v>
      </c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K22</f>
        <v>-111.1</v>
      </c>
      <c r="AF117" t="s" s="44">
        <v>72</v>
      </c>
      <c r="AG117" s="15">
        <f>K23</f>
        <v>-265.9</v>
      </c>
      <c r="AH117" t="s" s="44">
        <v>72</v>
      </c>
      <c r="AI117" s="15">
        <f>K24</f>
        <v>-63.6</v>
      </c>
      <c r="AJ117" t="s" s="44">
        <v>72</v>
      </c>
      <c r="AK117" s="15">
        <f>K25</f>
        <v>48.6</v>
      </c>
      <c r="AL117" t="s" s="44">
        <v>72</v>
      </c>
      <c r="AM117" s="15">
        <f>K26</f>
        <v>-274.1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44.05" customHeight="1">
      <c r="AC118" s="36"/>
      <c r="AD118" s="34"/>
      <c r="AE118" t="s" s="44">
        <v>97</v>
      </c>
      <c r="AF118" s="15">
        <f>AK116+AK117</f>
        <v>2741.4</v>
      </c>
      <c r="AG118" t="s" s="44">
        <v>76</v>
      </c>
      <c r="AH118" s="15">
        <f>AM116+AM117</f>
        <v>1448.4</v>
      </c>
      <c r="AI118" t="s" s="44">
        <f>AI113</f>
        <v>372</v>
      </c>
      <c r="AJ118" t="s" s="44">
        <v>84</v>
      </c>
      <c r="AK118" t="s" s="44">
        <f>AK113</f>
        <v>74</v>
      </c>
      <c r="AL118" t="s" s="44">
        <v>98</v>
      </c>
      <c r="AM118" s="15">
        <f>AM117</f>
        <v>-274.1</v>
      </c>
      <c r="AN118" t="s" s="44">
        <f>AM104</f>
        <v>372</v>
      </c>
      <c r="AO118" t="s" s="44">
        <v>99</v>
      </c>
      <c r="AP118" s="17"/>
      <c r="AQ118" s="17"/>
      <c r="AR118" s="17"/>
      <c r="AS118" s="17"/>
      <c r="AT118" s="17"/>
      <c r="AU118" s="17"/>
      <c r="AV118" s="17"/>
    </row>
    <row r="119" ht="56.05" customHeight="1">
      <c r="AC119" s="36"/>
      <c r="AD119" s="34"/>
      <c r="AE119" t="s" s="44">
        <v>100</v>
      </c>
      <c r="AF119" s="15">
        <f>(AG116+AG117+AI116+AI117+AK116+AK117+AM116+AM117)/4</f>
        <v>2054.025</v>
      </c>
      <c r="AG119" t="s" s="44">
        <f>AM104</f>
        <v>372</v>
      </c>
      <c r="AH119" t="s" s="44">
        <v>78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101</v>
      </c>
      <c r="AF120" s="15">
        <f>AE53</f>
        <v>-96.3666666666667</v>
      </c>
      <c r="AG120" t="s" s="44">
        <f>AG119</f>
        <v>372</v>
      </c>
      <c r="AH120" t="s" s="44">
        <v>102</v>
      </c>
      <c r="AI120" t="s" s="44">
        <v>103</v>
      </c>
      <c r="AJ120" t="s" s="44">
        <f>IF(AI106&gt;AL104,"higher","lower")</f>
        <v>363</v>
      </c>
      <c r="AK120" t="s" s="44">
        <v>105</v>
      </c>
      <c r="AL120" s="15">
        <f>SUM(AE54:AH54)/4</f>
        <v>1545.637212435440</v>
      </c>
      <c r="AM120" t="s" s="44">
        <f>AG120</f>
        <v>372</v>
      </c>
      <c r="AN120" t="s" s="44">
        <v>106</v>
      </c>
      <c r="AO120" t="s" s="44">
        <v>107</v>
      </c>
      <c r="AP120" s="17"/>
      <c r="AQ120" s="17"/>
      <c r="AR120" s="17"/>
      <c r="AS120" s="17"/>
      <c r="AT120" s="17"/>
      <c r="AU120" s="17"/>
      <c r="AV120" s="17"/>
    </row>
    <row r="121" ht="20.05" customHeight="1">
      <c r="AC121" s="36"/>
      <c r="AD121" s="34"/>
      <c r="AE121" t="s" s="44">
        <v>18</v>
      </c>
      <c r="AF121" t="s" s="44">
        <f>AM126</f>
        <v>108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32.05" customHeight="1">
      <c r="AC122" s="36"/>
      <c r="AD122" s="34"/>
      <c r="AE122" t="s" s="44">
        <f>AE101</f>
        <v>70</v>
      </c>
      <c r="AF122" t="s" s="44">
        <v>109</v>
      </c>
      <c r="AG122" t="s" s="44">
        <f>AM104</f>
        <v>372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s="15">
        <f>F22</f>
        <v>542</v>
      </c>
      <c r="AF123" t="s" s="44">
        <v>72</v>
      </c>
      <c r="AG123" s="15">
        <f>F23</f>
        <v>325</v>
      </c>
      <c r="AH123" t="s" s="44">
        <v>72</v>
      </c>
      <c r="AI123" s="15">
        <f>F24</f>
        <v>553</v>
      </c>
      <c r="AJ123" t="s" s="44">
        <v>72</v>
      </c>
      <c r="AK123" s="15">
        <f>F25</f>
        <v>2895</v>
      </c>
      <c r="AL123" t="s" s="44">
        <v>72</v>
      </c>
      <c r="AM123" s="15">
        <f>F26</f>
        <v>1138</v>
      </c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G22</f>
        <v>14881</v>
      </c>
      <c r="AF124" t="s" s="44">
        <v>72</v>
      </c>
      <c r="AG124" s="15">
        <f>G23</f>
        <v>14747</v>
      </c>
      <c r="AH124" t="s" s="44">
        <v>72</v>
      </c>
      <c r="AI124" s="15">
        <f>G24</f>
        <v>14010</v>
      </c>
      <c r="AJ124" t="s" s="44">
        <v>72</v>
      </c>
      <c r="AK124" s="15">
        <f>G25</f>
        <v>17578</v>
      </c>
      <c r="AL124" t="s" s="44">
        <v>72</v>
      </c>
      <c r="AM124" s="15">
        <f>G26</f>
        <v>14511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v>110</v>
      </c>
      <c r="AF125" t="s" s="44">
        <f>IF(AI125&lt;AG125,"declined","increased")</f>
        <v>370</v>
      </c>
      <c r="AG125" s="15">
        <f>AK123</f>
        <v>2895</v>
      </c>
      <c r="AH125" t="s" s="44">
        <v>76</v>
      </c>
      <c r="AI125" s="15">
        <f>AM123</f>
        <v>1138</v>
      </c>
      <c r="AJ125" t="s" s="44">
        <f>AM120</f>
        <v>372</v>
      </c>
      <c r="AK125" t="s" s="44">
        <v>84</v>
      </c>
      <c r="AL125" t="s" s="44">
        <f>AI104</f>
        <v>74</v>
      </c>
      <c r="AM125" t="s" s="44">
        <f>AP111</f>
        <v>91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112</v>
      </c>
      <c r="AF126" t="s" s="44">
        <f>IF(AI126&lt;AG126,"declined","increased")</f>
        <v>370</v>
      </c>
      <c r="AG126" s="15">
        <f>AK124</f>
        <v>17578</v>
      </c>
      <c r="AH126" t="s" s="44">
        <v>76</v>
      </c>
      <c r="AI126" s="15">
        <f>AM124</f>
        <v>14511</v>
      </c>
      <c r="AJ126" t="s" s="44">
        <f>AJ125</f>
        <v>372</v>
      </c>
      <c r="AK126" t="s" s="44">
        <v>113</v>
      </c>
      <c r="AL126" t="s" s="44">
        <v>114</v>
      </c>
      <c r="AM126" t="s" s="44">
        <f>IF(AP126&lt;AN126,"down","up")</f>
        <v>108</v>
      </c>
      <c r="AN126" s="15">
        <f>AG125-AG126</f>
        <v>-14683</v>
      </c>
      <c r="AO126" t="s" s="44">
        <v>76</v>
      </c>
      <c r="AP126" s="15">
        <f>AI125-AI126</f>
        <v>-13373</v>
      </c>
      <c r="AQ126" t="s" s="44">
        <f>AJ126</f>
        <v>372</v>
      </c>
      <c r="AR126" t="s" s="44">
        <v>115</v>
      </c>
      <c r="AS126" s="17"/>
      <c r="AT126" s="17"/>
      <c r="AU126" s="17"/>
      <c r="AV126" s="17"/>
    </row>
    <row r="127" ht="56.05" customHeight="1">
      <c r="AC127" s="36"/>
      <c r="AD127" s="34"/>
      <c r="AE127" t="s" s="44">
        <v>116</v>
      </c>
      <c r="AF127" s="15">
        <f>SUM(AE57:AH57)</f>
        <v>-5506.148849741770</v>
      </c>
      <c r="AG127" t="s" s="44">
        <f>AJ126</f>
        <v>372</v>
      </c>
      <c r="AH127" t="s" s="44">
        <v>117</v>
      </c>
      <c r="AI127" t="s" s="44">
        <f>IF(AJ127&gt;0,"+","")</f>
      </c>
      <c r="AJ127" s="15">
        <f>AE55+AF55+AG55+AH55+AE59+AF59+AG59+AH59</f>
        <v>-676.4</v>
      </c>
      <c r="AK127" t="s" s="44">
        <f>AQ126</f>
        <v>372</v>
      </c>
      <c r="AL127" t="s" s="44">
        <v>118</v>
      </c>
      <c r="AM127" t="s" s="44">
        <v>119</v>
      </c>
      <c r="AN127" s="15">
        <f>AH74</f>
        <v>-12696.6</v>
      </c>
      <c r="AO127" t="s" s="44">
        <f>AJ126</f>
        <v>372</v>
      </c>
      <c r="AP127" t="s" s="44">
        <v>120</v>
      </c>
      <c r="AQ127" s="17"/>
      <c r="AR127" s="17"/>
      <c r="AS127" s="17"/>
      <c r="AT127" s="17"/>
      <c r="AU127" s="17"/>
      <c r="AV127" s="17"/>
    </row>
    <row r="128" ht="20.05" customHeight="1">
      <c r="AC128" s="36"/>
      <c r="AD128" s="34"/>
      <c r="AE128" t="s" s="44">
        <v>17</v>
      </c>
      <c r="AF128" t="s" s="44">
        <f>AF132</f>
        <v>374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68.05" customHeight="1">
      <c r="AC129" s="36"/>
      <c r="AD129" s="34"/>
      <c r="AE129" t="s" s="44">
        <f>AE101</f>
        <v>70</v>
      </c>
      <c r="AF129" t="s" s="44">
        <v>122</v>
      </c>
      <c r="AG129" t="s" s="44">
        <f>AM104</f>
        <v>372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s="15">
        <f>-L22</f>
        <v>1115</v>
      </c>
      <c r="AF130" t="s" s="44">
        <v>72</v>
      </c>
      <c r="AG130" s="15">
        <f>-L23</f>
        <v>50</v>
      </c>
      <c r="AH130" t="s" s="44">
        <v>72</v>
      </c>
      <c r="AI130" s="15">
        <f>-L24</f>
        <v>1450</v>
      </c>
      <c r="AJ130" t="s" s="44">
        <v>72</v>
      </c>
      <c r="AK130" s="15">
        <f>-L25</f>
        <v>400</v>
      </c>
      <c r="AL130" t="s" s="44">
        <v>72</v>
      </c>
      <c r="AM130" s="15">
        <f>-L26</f>
        <v>0</v>
      </c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-M22</f>
        <v>3828</v>
      </c>
      <c r="AF131" t="s" s="44">
        <v>72</v>
      </c>
      <c r="AG131" s="15">
        <f>-M23</f>
        <v>2514</v>
      </c>
      <c r="AH131" t="s" s="44">
        <v>72</v>
      </c>
      <c r="AI131" s="15">
        <f>-M24</f>
        <v>0</v>
      </c>
      <c r="AJ131" t="s" s="44">
        <v>72</v>
      </c>
      <c r="AK131" s="15">
        <f>-M25</f>
        <v>0</v>
      </c>
      <c r="AL131" t="s" s="44">
        <v>72</v>
      </c>
      <c r="AM131" s="15">
        <f>-M26</f>
        <v>3204.6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44.05" customHeight="1">
      <c r="AC132" s="36"/>
      <c r="AD132" s="34"/>
      <c r="AE132" t="s" s="44">
        <f>AE93</f>
        <v>798</v>
      </c>
      <c r="AF132" t="s" s="44">
        <f>IF(AG132&gt;0,"paid","(raised)")</f>
        <v>374</v>
      </c>
      <c r="AG132" s="15">
        <f>SUM(AM130:AM131)</f>
        <v>3204.6</v>
      </c>
      <c r="AH132" t="s" s="44">
        <f>AM104</f>
        <v>372</v>
      </c>
      <c r="AI132" t="s" s="44">
        <f>AH104</f>
        <v>73</v>
      </c>
      <c r="AJ132" t="s" s="44">
        <f>AI104</f>
        <v>74</v>
      </c>
      <c r="AK132" t="s" s="44">
        <f>AJ104</f>
        <v>75</v>
      </c>
      <c r="AL132" s="15">
        <f>AM130</f>
        <v>0</v>
      </c>
      <c r="AM132" t="s" s="44">
        <f>AM104</f>
        <v>372</v>
      </c>
      <c r="AN132" t="s" s="44">
        <v>123</v>
      </c>
      <c r="AO132" s="15">
        <f>AM131</f>
        <v>3204.6</v>
      </c>
      <c r="AP132" t="s" s="44">
        <f>AM104</f>
        <v>372</v>
      </c>
      <c r="AQ132" t="s" s="44">
        <v>124</v>
      </c>
      <c r="AR132" t="s" s="44">
        <v>125</v>
      </c>
      <c r="AS132" t="s" s="44">
        <f>IF(AT132&gt;0,"pay","raise")</f>
        <v>364</v>
      </c>
      <c r="AT132" s="15">
        <f>-SUM(AE75:AH75)</f>
        <v>6182.548849741770</v>
      </c>
      <c r="AU132" t="s" s="44">
        <f>AM104</f>
        <v>372</v>
      </c>
      <c r="AV132" t="s" s="44">
        <v>126</v>
      </c>
    </row>
    <row r="133" ht="56.05" customHeight="1">
      <c r="AC133" s="36"/>
      <c r="AD133" s="34"/>
      <c r="AE133" t="s" s="44">
        <v>375</v>
      </c>
      <c r="AF133" s="15">
        <f>AH79</f>
        <v>182738.5030656</v>
      </c>
      <c r="AG133" t="s" s="44">
        <f>AM104</f>
        <v>372</v>
      </c>
      <c r="AH133" t="s" s="44">
        <v>128</v>
      </c>
      <c r="AI133" t="s" s="44">
        <v>129</v>
      </c>
      <c r="AJ133" s="43">
        <f>AH81</f>
        <v>9.33978528977384</v>
      </c>
      <c r="AK133" t="s" s="44">
        <v>130</v>
      </c>
      <c r="AL133" t="s" s="44">
        <v>131</v>
      </c>
      <c r="AM133" t="s" s="44">
        <v>132</v>
      </c>
      <c r="AN133" s="15">
        <f>AH84</f>
        <v>2.98058300028956</v>
      </c>
      <c r="AO133" t="s" s="44">
        <v>133</v>
      </c>
      <c r="AP133" s="16">
        <f>-AF127/AF133</f>
        <v>0.0301313010524397</v>
      </c>
      <c r="AQ133" t="s" s="44">
        <v>134</v>
      </c>
      <c r="AR133" s="17"/>
      <c r="AS133" s="17"/>
      <c r="AT133" s="17"/>
      <c r="AU133" s="17"/>
      <c r="AV133" s="17"/>
    </row>
    <row r="134" ht="56.05" customHeight="1">
      <c r="AC134" s="36"/>
      <c r="AD134" s="34"/>
      <c r="AE134" t="s" s="44">
        <v>135</v>
      </c>
      <c r="AF134" s="15">
        <f>AH83</f>
        <v>6182.548849741770</v>
      </c>
      <c r="AG134" t="s" s="44">
        <f>AG133</f>
        <v>372</v>
      </c>
      <c r="AH134" t="s" s="44">
        <v>136</v>
      </c>
      <c r="AI134" s="15">
        <f>AF133/AF134</f>
        <v>29.557146656954</v>
      </c>
      <c r="AJ134" t="s" s="44">
        <v>130</v>
      </c>
      <c r="AK134" t="s" s="44">
        <v>137</v>
      </c>
      <c r="AL134" t="s" s="44">
        <v>138</v>
      </c>
      <c r="AM134" s="15">
        <f>AH85</f>
        <v>32</v>
      </c>
      <c r="AN134" t="s" s="44">
        <v>139</v>
      </c>
      <c r="AO134" t="s" s="44">
        <v>140</v>
      </c>
      <c r="AP134" t="s" s="44">
        <v>141</v>
      </c>
      <c r="AQ134" s="16">
        <f>AK93</f>
        <v>0.0826484833396889</v>
      </c>
      <c r="AR134" t="s" s="44">
        <f>IF(AQ134&gt;0,"higher","lower")</f>
        <v>363</v>
      </c>
      <c r="AS134" t="s" s="44">
        <v>142</v>
      </c>
      <c r="AT134" s="15">
        <f>AI93</f>
        <v>5185.886235197110</v>
      </c>
      <c r="AU134" t="s" s="44">
        <v>143</v>
      </c>
      <c r="AV134" s="17"/>
    </row>
    <row r="135" ht="20.05" customHeight="1">
      <c r="AC135" s="36"/>
      <c r="AD135" s="34"/>
      <c r="AE135" s="17"/>
      <c r="AF135" s="17"/>
      <c r="AG135" s="17"/>
      <c r="AH135" s="17"/>
      <c r="AI135" s="15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</row>
    <row r="136" ht="20.05" customHeight="1">
      <c r="AC136" t="s" s="33">
        <v>28</v>
      </c>
      <c r="AD136" s="14">
        <f>AE103</f>
        <v>9852.5</v>
      </c>
      <c r="AE136" s="15">
        <f>AG103</f>
        <v>9516.5</v>
      </c>
      <c r="AF136" s="15">
        <f>AI103</f>
        <v>10838</v>
      </c>
      <c r="AG136" s="15">
        <f>AK103</f>
        <v>10625</v>
      </c>
      <c r="AH136" s="15">
        <f>AM103</f>
        <v>10076.3</v>
      </c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144</v>
      </c>
      <c r="AD137" s="14">
        <f>SUM(AE116:AE117)</f>
        <v>1967.3</v>
      </c>
      <c r="AE137" s="15">
        <f>SUM(AG116:AG117)</f>
        <v>2348.7</v>
      </c>
      <c r="AF137" s="15">
        <f>SUM(AI116:AI117)</f>
        <v>1677.6</v>
      </c>
      <c r="AG137" s="15">
        <f>SUM(AK116:AK117)</f>
        <v>2741.4</v>
      </c>
      <c r="AH137" s="15">
        <f>SUM(AM116:AM117)</f>
        <v>1448.4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145</v>
      </c>
      <c r="AD138" s="14">
        <f>SUM(AE130:AE131)</f>
        <v>4943</v>
      </c>
      <c r="AE138" s="15">
        <f>SUM(AG130:AG131)</f>
        <v>2564</v>
      </c>
      <c r="AF138" s="15">
        <f>SUM(AI130:AI131)</f>
        <v>1450</v>
      </c>
      <c r="AG138" s="15">
        <f>SUM(AK130:AK131)</f>
        <v>400</v>
      </c>
      <c r="AH138" s="15">
        <f>SUM(AM130:AM131)</f>
        <v>3204.6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146</v>
      </c>
      <c r="AD139" s="14">
        <f>(AE123-AE124)</f>
        <v>-14339</v>
      </c>
      <c r="AE139" s="15">
        <f>(AG123-AG124)</f>
        <v>-14422</v>
      </c>
      <c r="AF139" s="15">
        <f>(AI123-AI124)</f>
        <v>-13457</v>
      </c>
      <c r="AG139" s="15">
        <f>(AK123-AK124)</f>
        <v>-14683</v>
      </c>
      <c r="AH139" s="15">
        <f>(AM123-AM124)</f>
        <v>-13373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4"/>
      <c r="AE140" s="17"/>
      <c r="AF140" s="17"/>
      <c r="AG140" s="17"/>
      <c r="AH140" s="15">
        <f>AT134</f>
        <v>5185.886235197110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7"/>
      <c r="AI141" s="15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</sheetData>
  <mergeCells count="2">
    <mergeCell ref="B2:AB2"/>
    <mergeCell ref="AC45:AV4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3.82812" style="428" customWidth="1"/>
    <col min="2" max="13" width="10.4844" style="428" customWidth="1"/>
    <col min="14" max="16384" width="16.3516" style="428" customWidth="1"/>
  </cols>
  <sheetData>
    <row r="1" ht="37.55" customHeight="1"/>
    <row r="2" ht="27.65" customHeight="1">
      <c r="B2" t="s" s="2">
        <v>799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65">
        <v>566</v>
      </c>
      <c r="D4" s="59">
        <v>0</v>
      </c>
      <c r="E4" s="59">
        <v>42</v>
      </c>
      <c r="F4" s="59">
        <v>150</v>
      </c>
      <c r="G4" s="59">
        <v>1510</v>
      </c>
      <c r="H4" s="59">
        <v>2197</v>
      </c>
      <c r="I4" s="59">
        <v>453</v>
      </c>
      <c r="J4" s="59">
        <v>62</v>
      </c>
      <c r="K4" s="59">
        <v>-21</v>
      </c>
      <c r="L4" s="59">
        <v>47.75</v>
      </c>
      <c r="M4" s="59">
        <v>197.75</v>
      </c>
    </row>
    <row r="5" ht="20.05" customHeight="1">
      <c r="B5" s="13"/>
      <c r="C5" s="67">
        <v>740</v>
      </c>
      <c r="D5" s="26">
        <v>0</v>
      </c>
      <c r="E5" s="26">
        <v>64</v>
      </c>
      <c r="F5" s="26">
        <v>290</v>
      </c>
      <c r="G5" s="26">
        <v>1863</v>
      </c>
      <c r="H5" s="26">
        <v>2592</v>
      </c>
      <c r="I5" s="26">
        <v>705</v>
      </c>
      <c r="J5" s="26">
        <v>155</v>
      </c>
      <c r="K5" s="26">
        <v>2</v>
      </c>
      <c r="L5" s="26">
        <v>47.75</v>
      </c>
      <c r="M5" s="26">
        <v>197.75</v>
      </c>
    </row>
    <row r="6" ht="20.05" customHeight="1">
      <c r="B6" s="13"/>
      <c r="C6" s="67">
        <v>1098</v>
      </c>
      <c r="D6" s="26">
        <v>8</v>
      </c>
      <c r="E6" s="26">
        <v>69</v>
      </c>
      <c r="F6" s="26">
        <v>325</v>
      </c>
      <c r="G6" s="26">
        <v>2366</v>
      </c>
      <c r="H6" s="26">
        <v>3164</v>
      </c>
      <c r="I6" s="26">
        <v>764</v>
      </c>
      <c r="J6" s="26">
        <v>55</v>
      </c>
      <c r="K6" s="26">
        <v>-17</v>
      </c>
      <c r="L6" s="26">
        <v>47.75</v>
      </c>
      <c r="M6" s="26">
        <v>197.75</v>
      </c>
    </row>
    <row r="7" ht="20.05" customHeight="1">
      <c r="B7" s="13"/>
      <c r="C7" s="67">
        <v>1495</v>
      </c>
      <c r="D7" s="26">
        <v>5.5</v>
      </c>
      <c r="E7" s="26">
        <v>121</v>
      </c>
      <c r="F7" s="26">
        <v>1699</v>
      </c>
      <c r="G7" s="26">
        <v>2884</v>
      </c>
      <c r="H7" s="26">
        <v>4608</v>
      </c>
      <c r="I7" s="26">
        <v>1629</v>
      </c>
      <c r="J7" s="26">
        <v>365</v>
      </c>
      <c r="K7" s="26">
        <v>-23</v>
      </c>
      <c r="L7" s="26">
        <v>47.75</v>
      </c>
      <c r="M7" s="26">
        <v>197.75</v>
      </c>
    </row>
    <row r="8" ht="20.05" customHeight="1">
      <c r="B8" s="21">
        <v>2018</v>
      </c>
      <c r="C8" s="67">
        <v>1190</v>
      </c>
      <c r="D8" s="26">
        <v>4.5</v>
      </c>
      <c r="E8" s="26">
        <v>75</v>
      </c>
      <c r="F8" s="26">
        <v>1407</v>
      </c>
      <c r="G8" s="26">
        <v>2940</v>
      </c>
      <c r="H8" s="26">
        <v>4739</v>
      </c>
      <c r="I8" s="26">
        <v>891</v>
      </c>
      <c r="J8" s="26">
        <v>-148</v>
      </c>
      <c r="K8" s="26">
        <v>-22</v>
      </c>
      <c r="L8" s="26">
        <v>-155.5</v>
      </c>
      <c r="M8" s="26">
        <v>-14.25</v>
      </c>
    </row>
    <row r="9" ht="20.05" customHeight="1">
      <c r="B9" s="13"/>
      <c r="C9" s="67">
        <v>1214</v>
      </c>
      <c r="D9" s="26">
        <v>4.9</v>
      </c>
      <c r="E9" s="26">
        <v>105</v>
      </c>
      <c r="F9" s="26">
        <v>1270</v>
      </c>
      <c r="G9" s="26">
        <v>3499</v>
      </c>
      <c r="H9" s="26">
        <v>5346</v>
      </c>
      <c r="I9" s="26">
        <v>1016</v>
      </c>
      <c r="J9" s="26">
        <v>470</v>
      </c>
      <c r="K9" s="26">
        <v>-34</v>
      </c>
      <c r="L9" s="26">
        <v>-155.5</v>
      </c>
      <c r="M9" s="26">
        <v>-14.25</v>
      </c>
    </row>
    <row r="10" ht="20.05" customHeight="1">
      <c r="B10" s="13"/>
      <c r="C10" s="67">
        <v>1464</v>
      </c>
      <c r="D10" s="26">
        <v>3.8</v>
      </c>
      <c r="E10" s="26">
        <v>108</v>
      </c>
      <c r="F10" s="26">
        <v>1007</v>
      </c>
      <c r="G10" s="26">
        <v>3829</v>
      </c>
      <c r="H10" s="26">
        <v>5784</v>
      </c>
      <c r="I10" s="26">
        <v>975</v>
      </c>
      <c r="J10" s="26">
        <v>-202</v>
      </c>
      <c r="K10" s="26">
        <v>-69</v>
      </c>
      <c r="L10" s="26">
        <v>-155.5</v>
      </c>
      <c r="M10" s="26">
        <v>-14.25</v>
      </c>
    </row>
    <row r="11" ht="20.05" customHeight="1">
      <c r="B11" s="13"/>
      <c r="C11" s="67">
        <v>1930</v>
      </c>
      <c r="D11" s="26">
        <v>5.7</v>
      </c>
      <c r="E11" s="26">
        <v>157</v>
      </c>
      <c r="F11" s="26">
        <v>1766</v>
      </c>
      <c r="G11" s="26">
        <v>3753</v>
      </c>
      <c r="H11" s="26">
        <v>5891</v>
      </c>
      <c r="I11" s="26">
        <v>1895</v>
      </c>
      <c r="J11" s="26">
        <v>743</v>
      </c>
      <c r="K11" s="26">
        <v>8</v>
      </c>
      <c r="L11" s="26">
        <v>-155.5</v>
      </c>
      <c r="M11" s="26">
        <v>-14.25</v>
      </c>
    </row>
    <row r="12" ht="20.05" customHeight="1">
      <c r="B12" s="21">
        <v>2019</v>
      </c>
      <c r="C12" s="67">
        <v>1032</v>
      </c>
      <c r="D12" s="26">
        <v>6.75</v>
      </c>
      <c r="E12" s="26">
        <v>78</v>
      </c>
      <c r="F12" s="26">
        <v>790.4</v>
      </c>
      <c r="G12" s="26">
        <v>3327</v>
      </c>
      <c r="H12" s="26">
        <v>5543</v>
      </c>
      <c r="I12" s="26">
        <v>396</v>
      </c>
      <c r="J12" s="26">
        <v>-959</v>
      </c>
      <c r="K12" s="26">
        <v>-24</v>
      </c>
      <c r="L12" s="26">
        <v>44.5</v>
      </c>
      <c r="M12" s="26">
        <v>-33.25</v>
      </c>
    </row>
    <row r="13" ht="20.05" customHeight="1">
      <c r="B13" s="13"/>
      <c r="C13" s="67">
        <v>1121</v>
      </c>
      <c r="D13" s="26">
        <v>6.75</v>
      </c>
      <c r="E13" s="26">
        <v>104</v>
      </c>
      <c r="F13" s="26">
        <v>584</v>
      </c>
      <c r="G13" s="26">
        <v>3555</v>
      </c>
      <c r="H13" s="26">
        <v>5741</v>
      </c>
      <c r="I13" s="26">
        <v>804</v>
      </c>
      <c r="J13" s="26">
        <v>-474</v>
      </c>
      <c r="K13" s="26">
        <v>-41.3</v>
      </c>
      <c r="L13" s="26">
        <v>44.5</v>
      </c>
      <c r="M13" s="26">
        <v>-33.25</v>
      </c>
    </row>
    <row r="14" ht="20.05" customHeight="1">
      <c r="B14" s="13"/>
      <c r="C14" s="67">
        <v>1216</v>
      </c>
      <c r="D14" s="26">
        <v>6.75</v>
      </c>
      <c r="E14" s="26">
        <v>122</v>
      </c>
      <c r="F14" s="26">
        <v>483</v>
      </c>
      <c r="G14" s="26">
        <v>3682</v>
      </c>
      <c r="H14" s="26">
        <v>5989</v>
      </c>
      <c r="I14" s="26">
        <v>1041</v>
      </c>
      <c r="J14" s="26">
        <v>109</v>
      </c>
      <c r="K14" s="26">
        <v>-200.7</v>
      </c>
      <c r="L14" s="26">
        <v>44.5</v>
      </c>
      <c r="M14" s="26">
        <v>-33.25</v>
      </c>
    </row>
    <row r="15" ht="20.05" customHeight="1">
      <c r="B15" s="13"/>
      <c r="C15" s="67">
        <v>1198</v>
      </c>
      <c r="D15" s="26">
        <v>6.75</v>
      </c>
      <c r="E15" s="26">
        <v>152</v>
      </c>
      <c r="F15" s="26">
        <v>1456</v>
      </c>
      <c r="G15" s="26">
        <v>3864</v>
      </c>
      <c r="H15" s="26">
        <v>6324</v>
      </c>
      <c r="I15" s="26">
        <v>2109</v>
      </c>
      <c r="J15" s="26">
        <v>1463</v>
      </c>
      <c r="K15" s="26">
        <v>-227</v>
      </c>
      <c r="L15" s="26">
        <v>44.5</v>
      </c>
      <c r="M15" s="26">
        <v>-33.25</v>
      </c>
    </row>
    <row r="16" ht="20.05" customHeight="1">
      <c r="B16" s="21">
        <v>2020</v>
      </c>
      <c r="C16" s="67">
        <v>957</v>
      </c>
      <c r="D16" s="26">
        <v>12.25</v>
      </c>
      <c r="E16" s="26">
        <v>83</v>
      </c>
      <c r="F16" s="26">
        <v>877</v>
      </c>
      <c r="G16" s="26">
        <v>3725</v>
      </c>
      <c r="H16" s="26">
        <v>5961</v>
      </c>
      <c r="I16" s="26">
        <v>339</v>
      </c>
      <c r="J16" s="26">
        <v>-412</v>
      </c>
      <c r="K16" s="26">
        <v>-90</v>
      </c>
      <c r="L16" s="26">
        <v>84.5</v>
      </c>
      <c r="M16" s="26">
        <v>-28.25</v>
      </c>
    </row>
    <row r="17" ht="20.05" customHeight="1">
      <c r="B17" s="13"/>
      <c r="C17" s="67">
        <v>754</v>
      </c>
      <c r="D17" s="26">
        <v>12.25</v>
      </c>
      <c r="E17" s="26">
        <v>13.7</v>
      </c>
      <c r="F17" s="26">
        <v>842</v>
      </c>
      <c r="G17" s="26">
        <v>3589.7</v>
      </c>
      <c r="H17" s="26">
        <v>5727</v>
      </c>
      <c r="I17" s="26">
        <v>953</v>
      </c>
      <c r="J17" s="26">
        <v>-202</v>
      </c>
      <c r="K17" s="26">
        <v>-78</v>
      </c>
      <c r="L17" s="26">
        <v>84.5</v>
      </c>
      <c r="M17" s="26">
        <v>-28.25</v>
      </c>
    </row>
    <row r="18" ht="20.05" customHeight="1">
      <c r="B18" s="13"/>
      <c r="C18" s="67">
        <v>425</v>
      </c>
      <c r="D18" s="26">
        <v>12.25</v>
      </c>
      <c r="E18" s="26">
        <v>34.3</v>
      </c>
      <c r="F18" s="26">
        <v>916</v>
      </c>
      <c r="G18" s="26">
        <v>3361</v>
      </c>
      <c r="H18" s="26">
        <v>5532</v>
      </c>
      <c r="I18" s="26">
        <v>946</v>
      </c>
      <c r="J18" s="26">
        <v>-39</v>
      </c>
      <c r="K18" s="26">
        <v>106</v>
      </c>
      <c r="L18" s="26">
        <v>84.5</v>
      </c>
      <c r="M18" s="26">
        <v>-28.25</v>
      </c>
    </row>
    <row r="19" ht="20.05" customHeight="1">
      <c r="B19" s="13"/>
      <c r="C19" s="67">
        <v>674</v>
      </c>
      <c r="D19" s="26">
        <v>12.25</v>
      </c>
      <c r="E19" s="26">
        <v>25</v>
      </c>
      <c r="F19" s="26">
        <v>1508</v>
      </c>
      <c r="G19" s="26">
        <v>3887</v>
      </c>
      <c r="H19" s="26">
        <v>6082</v>
      </c>
      <c r="I19" s="26">
        <v>1049</v>
      </c>
      <c r="J19" s="26">
        <v>755</v>
      </c>
      <c r="K19" s="26">
        <v>-213</v>
      </c>
      <c r="L19" s="26">
        <v>84.5</v>
      </c>
      <c r="M19" s="26">
        <v>-28.25</v>
      </c>
    </row>
    <row r="20" ht="20.05" customHeight="1">
      <c r="B20" s="21">
        <v>2021</v>
      </c>
      <c r="C20" s="67">
        <v>779</v>
      </c>
      <c r="D20" s="26">
        <v>19.75</v>
      </c>
      <c r="E20" s="26">
        <v>53</v>
      </c>
      <c r="F20" s="26">
        <v>688</v>
      </c>
      <c r="G20" s="26">
        <v>3506</v>
      </c>
      <c r="H20" s="26">
        <v>5754</v>
      </c>
      <c r="I20" s="26">
        <v>438</v>
      </c>
      <c r="J20" s="26">
        <v>-813</v>
      </c>
      <c r="K20" s="26">
        <v>12</v>
      </c>
      <c r="L20" s="26">
        <v>-20.4</v>
      </c>
      <c r="M20" s="26">
        <v>0</v>
      </c>
    </row>
    <row r="21" ht="20.05" customHeight="1">
      <c r="B21" s="13"/>
      <c r="C21" s="67">
        <v>577</v>
      </c>
      <c r="D21" s="26">
        <v>19.75</v>
      </c>
      <c r="E21" s="26">
        <v>48</v>
      </c>
      <c r="F21" s="26">
        <v>792</v>
      </c>
      <c r="G21" s="26">
        <v>3467</v>
      </c>
      <c r="H21" s="26">
        <v>5742</v>
      </c>
      <c r="I21" s="26">
        <v>672</v>
      </c>
      <c r="J21" s="26">
        <v>-156</v>
      </c>
      <c r="K21" s="26">
        <v>-3</v>
      </c>
      <c r="L21" s="26">
        <v>284.8</v>
      </c>
      <c r="M21" s="26">
        <v>-21.3</v>
      </c>
    </row>
    <row r="22" ht="20.05" customHeight="1">
      <c r="B22" s="13"/>
      <c r="C22" s="67">
        <v>1093</v>
      </c>
      <c r="D22" s="26">
        <v>19.75</v>
      </c>
      <c r="E22" s="26">
        <v>50.5</v>
      </c>
      <c r="F22" s="26">
        <v>770.5</v>
      </c>
      <c r="G22" s="26">
        <v>3449</v>
      </c>
      <c r="H22" s="26">
        <v>5766</v>
      </c>
      <c r="I22" s="26">
        <v>880.1</v>
      </c>
      <c r="J22" s="26">
        <v>-36.588</v>
      </c>
      <c r="K22" s="26">
        <v>-10.691</v>
      </c>
      <c r="L22" s="26">
        <v>35.858</v>
      </c>
      <c r="M22" s="26">
        <v>-9.426</v>
      </c>
    </row>
    <row r="23" ht="20.05" customHeight="1">
      <c r="B23" s="13"/>
      <c r="C23" s="67">
        <v>719</v>
      </c>
      <c r="D23" s="26">
        <v>19.75</v>
      </c>
      <c r="E23" s="26">
        <v>64.5</v>
      </c>
      <c r="F23" s="26">
        <v>1467.997</v>
      </c>
      <c r="G23" s="26">
        <v>3592</v>
      </c>
      <c r="H23" s="26">
        <v>5974</v>
      </c>
      <c r="I23" s="26">
        <v>1200.9</v>
      </c>
      <c r="J23" s="26">
        <v>1051.782</v>
      </c>
      <c r="K23" s="26">
        <v>-96.05800000000001</v>
      </c>
      <c r="L23" s="26">
        <v>-259.258</v>
      </c>
      <c r="M23" s="26">
        <v>0.026</v>
      </c>
    </row>
    <row r="24" ht="20.05" customHeight="1">
      <c r="B24" s="21">
        <v>2022</v>
      </c>
      <c r="C24" s="67">
        <v>470</v>
      </c>
      <c r="D24" s="26">
        <v>35</v>
      </c>
      <c r="E24" s="26">
        <v>30</v>
      </c>
      <c r="F24" s="26">
        <v>587</v>
      </c>
      <c r="G24" s="26">
        <v>3049</v>
      </c>
      <c r="H24" s="26">
        <v>5461</v>
      </c>
      <c r="I24" s="26">
        <v>495</v>
      </c>
      <c r="J24" s="26">
        <v>-967</v>
      </c>
      <c r="K24" s="26">
        <v>42.9</v>
      </c>
      <c r="L24" s="26">
        <v>44</v>
      </c>
      <c r="M24" s="26">
        <v>-0.3</v>
      </c>
    </row>
    <row r="25" ht="20.05" customHeight="1">
      <c r="B25" s="13"/>
      <c r="C25" s="67">
        <v>714</v>
      </c>
      <c r="D25" s="26">
        <v>35</v>
      </c>
      <c r="E25" s="26">
        <v>35</v>
      </c>
      <c r="F25" s="26">
        <v>525</v>
      </c>
      <c r="G25" s="26">
        <v>3320</v>
      </c>
      <c r="H25" s="26">
        <v>5725</v>
      </c>
      <c r="I25" s="26">
        <v>577</v>
      </c>
      <c r="J25" s="26">
        <v>-173</v>
      </c>
      <c r="K25" s="26">
        <v>3</v>
      </c>
      <c r="L25" s="26">
        <v>151</v>
      </c>
      <c r="M25" s="26">
        <v>-43</v>
      </c>
    </row>
    <row r="26" ht="20.05" customHeight="1">
      <c r="B26" s="13"/>
      <c r="C26" s="67">
        <v>490</v>
      </c>
      <c r="D26" s="26">
        <v>35</v>
      </c>
      <c r="E26" s="26">
        <v>28</v>
      </c>
      <c r="F26" s="26">
        <v>428</v>
      </c>
      <c r="G26" s="26">
        <v>2861</v>
      </c>
      <c r="H26" s="26">
        <v>5248</v>
      </c>
      <c r="I26" s="26">
        <v>742</v>
      </c>
      <c r="J26" s="26">
        <v>-128</v>
      </c>
      <c r="K26" s="26">
        <v>39</v>
      </c>
      <c r="L26" s="26">
        <v>-6</v>
      </c>
      <c r="M26" s="26">
        <v>0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4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29" customWidth="1"/>
    <col min="2" max="13" width="10.4844" style="429" customWidth="1"/>
    <col min="14" max="16384" width="16.3516" style="429" customWidth="1"/>
  </cols>
  <sheetData>
    <row r="1" ht="11.65" customHeight="1"/>
    <row r="2" ht="27.65" customHeight="1">
      <c r="B2" t="s" s="2">
        <v>800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7">
        <v>3813</v>
      </c>
      <c r="D4" s="59">
        <v>158</v>
      </c>
      <c r="E4" s="59">
        <v>265</v>
      </c>
      <c r="F4" s="59">
        <v>7999</v>
      </c>
      <c r="G4" s="59">
        <v>20003</v>
      </c>
      <c r="H4" s="59">
        <v>32766</v>
      </c>
      <c r="I4" s="59">
        <v>2874</v>
      </c>
      <c r="J4" s="59">
        <v>-1335</v>
      </c>
      <c r="K4" s="59">
        <v>-217</v>
      </c>
      <c r="L4" s="59">
        <v>550.5</v>
      </c>
      <c r="M4" s="59">
        <v>144</v>
      </c>
    </row>
    <row r="5" ht="20.05" customHeight="1">
      <c r="B5" s="13"/>
      <c r="C5" s="14">
        <v>5671</v>
      </c>
      <c r="D5" s="26">
        <v>62</v>
      </c>
      <c r="E5" s="26">
        <v>222</v>
      </c>
      <c r="F5" s="26">
        <v>7822</v>
      </c>
      <c r="G5" s="26">
        <v>23788</v>
      </c>
      <c r="H5" s="26">
        <v>36642</v>
      </c>
      <c r="I5" s="26">
        <v>3273</v>
      </c>
      <c r="J5" s="26">
        <v>-847</v>
      </c>
      <c r="K5" s="26">
        <v>-565</v>
      </c>
      <c r="L5" s="26">
        <v>550.5</v>
      </c>
      <c r="M5" s="26">
        <v>144</v>
      </c>
    </row>
    <row r="6" ht="20.05" customHeight="1">
      <c r="B6" s="13"/>
      <c r="C6" s="14">
        <v>6392</v>
      </c>
      <c r="D6" s="26">
        <v>18</v>
      </c>
      <c r="E6" s="26">
        <v>276</v>
      </c>
      <c r="F6" s="26">
        <v>7236</v>
      </c>
      <c r="G6" s="26">
        <v>26878</v>
      </c>
      <c r="H6" s="26">
        <v>40053</v>
      </c>
      <c r="I6" s="26">
        <v>3720</v>
      </c>
      <c r="J6" s="26">
        <v>-518</v>
      </c>
      <c r="K6" s="26">
        <v>-219</v>
      </c>
      <c r="L6" s="26">
        <v>550.5</v>
      </c>
      <c r="M6" s="26">
        <v>144</v>
      </c>
    </row>
    <row r="7" ht="20.05" customHeight="1">
      <c r="B7" s="13"/>
      <c r="C7" s="14">
        <v>10300</v>
      </c>
      <c r="D7" s="26">
        <v>308</v>
      </c>
      <c r="E7" s="26">
        <v>593</v>
      </c>
      <c r="F7" s="26">
        <v>11254</v>
      </c>
      <c r="G7" s="26">
        <v>31052</v>
      </c>
      <c r="H7" s="26">
        <v>45684</v>
      </c>
      <c r="I7" s="26">
        <v>10026</v>
      </c>
      <c r="J7" s="26">
        <v>4535</v>
      </c>
      <c r="K7" s="26">
        <v>-1637</v>
      </c>
      <c r="L7" s="26">
        <v>550.5</v>
      </c>
      <c r="M7" s="26">
        <v>144</v>
      </c>
    </row>
    <row r="8" ht="20.05" customHeight="1">
      <c r="B8" s="21">
        <v>2018</v>
      </c>
      <c r="C8" s="14">
        <v>6257</v>
      </c>
      <c r="D8" s="26">
        <v>101</v>
      </c>
      <c r="E8" s="26">
        <v>215</v>
      </c>
      <c r="F8" s="26">
        <v>10247</v>
      </c>
      <c r="G8" s="26">
        <v>35440</v>
      </c>
      <c r="H8" s="26">
        <v>50174</v>
      </c>
      <c r="I8" s="26">
        <v>3498</v>
      </c>
      <c r="J8" s="26">
        <v>-2823</v>
      </c>
      <c r="K8" s="26">
        <v>-1498</v>
      </c>
      <c r="L8" s="26">
        <v>1281.5</v>
      </c>
      <c r="M8" s="26">
        <v>-75.75</v>
      </c>
    </row>
    <row r="9" ht="20.05" customHeight="1">
      <c r="B9" s="13"/>
      <c r="C9" s="14">
        <v>6720</v>
      </c>
      <c r="D9" s="26">
        <v>103</v>
      </c>
      <c r="E9" s="26">
        <v>418</v>
      </c>
      <c r="F9" s="26">
        <v>9927</v>
      </c>
      <c r="G9" s="26">
        <v>39069</v>
      </c>
      <c r="H9" s="26">
        <v>54043</v>
      </c>
      <c r="I9" s="26">
        <v>6200</v>
      </c>
      <c r="J9" s="26">
        <v>-666</v>
      </c>
      <c r="K9" s="26">
        <v>-1422</v>
      </c>
      <c r="L9" s="26">
        <v>1281.5</v>
      </c>
      <c r="M9" s="26">
        <v>-75.75</v>
      </c>
    </row>
    <row r="10" ht="20.05" customHeight="1">
      <c r="B10" s="13"/>
      <c r="C10" s="14">
        <v>8026</v>
      </c>
      <c r="D10" s="26">
        <v>128</v>
      </c>
      <c r="E10" s="26">
        <v>424</v>
      </c>
      <c r="F10" s="26">
        <v>8540</v>
      </c>
      <c r="G10" s="26">
        <v>41511</v>
      </c>
      <c r="H10" s="26">
        <v>56896</v>
      </c>
      <c r="I10" s="26">
        <v>6519</v>
      </c>
      <c r="J10" s="26">
        <v>-217</v>
      </c>
      <c r="K10" s="26">
        <v>-1607</v>
      </c>
      <c r="L10" s="26">
        <v>1281.5</v>
      </c>
      <c r="M10" s="26">
        <v>-75.75</v>
      </c>
    </row>
    <row r="11" ht="20.05" customHeight="1">
      <c r="B11" s="13"/>
      <c r="C11" s="14">
        <v>10155</v>
      </c>
      <c r="D11" s="26">
        <v>-40</v>
      </c>
      <c r="E11" s="26">
        <v>1016</v>
      </c>
      <c r="F11" s="26">
        <v>13974</v>
      </c>
      <c r="G11" s="26">
        <v>42015</v>
      </c>
      <c r="H11" s="26">
        <v>59230</v>
      </c>
      <c r="I11" s="26">
        <v>14242</v>
      </c>
      <c r="J11" s="26">
        <v>6419</v>
      </c>
      <c r="K11" s="26">
        <v>-391</v>
      </c>
      <c r="L11" s="26">
        <v>1281.5</v>
      </c>
      <c r="M11" s="26">
        <v>-75.75</v>
      </c>
    </row>
    <row r="12" ht="20.05" customHeight="1">
      <c r="B12" s="21">
        <v>2019</v>
      </c>
      <c r="C12" s="14">
        <v>6504</v>
      </c>
      <c r="D12" s="26">
        <v>138</v>
      </c>
      <c r="E12" s="26">
        <v>341</v>
      </c>
      <c r="F12" s="26">
        <v>6236</v>
      </c>
      <c r="G12" s="26">
        <v>40462</v>
      </c>
      <c r="H12" s="26">
        <v>58020</v>
      </c>
      <c r="I12" s="26">
        <v>4801</v>
      </c>
      <c r="J12" s="26">
        <v>-3924</v>
      </c>
      <c r="K12" s="26">
        <v>-986</v>
      </c>
      <c r="L12" s="26">
        <v>369.75</v>
      </c>
      <c r="M12" s="26">
        <v>-92.75</v>
      </c>
    </row>
    <row r="13" ht="20.05" customHeight="1">
      <c r="B13" s="13"/>
      <c r="C13" s="14">
        <v>4860</v>
      </c>
      <c r="D13" s="26">
        <v>229</v>
      </c>
      <c r="E13" s="26">
        <v>674</v>
      </c>
      <c r="F13" s="26">
        <v>5625</v>
      </c>
      <c r="G13" s="26">
        <v>41831</v>
      </c>
      <c r="H13" s="26">
        <v>59639</v>
      </c>
      <c r="I13" s="26">
        <v>5975</v>
      </c>
      <c r="J13" s="26">
        <v>-1550</v>
      </c>
      <c r="K13" s="26">
        <v>-4052</v>
      </c>
      <c r="L13" s="26">
        <v>369.75</v>
      </c>
      <c r="M13" s="26">
        <v>-92.75</v>
      </c>
    </row>
    <row r="14" ht="20.05" customHeight="1">
      <c r="B14" s="13"/>
      <c r="C14" s="14">
        <v>6933</v>
      </c>
      <c r="D14" s="26">
        <v>145</v>
      </c>
      <c r="E14" s="26">
        <v>553</v>
      </c>
      <c r="F14" s="26">
        <v>8900</v>
      </c>
      <c r="G14" s="26">
        <v>44325</v>
      </c>
      <c r="H14" s="26">
        <v>62668</v>
      </c>
      <c r="I14" s="26">
        <v>4504</v>
      </c>
      <c r="J14" s="26">
        <v>1708</v>
      </c>
      <c r="K14" s="26">
        <v>-573</v>
      </c>
      <c r="L14" s="26">
        <v>369.75</v>
      </c>
      <c r="M14" s="26">
        <v>-92.75</v>
      </c>
    </row>
    <row r="15" ht="20.05" customHeight="1">
      <c r="B15" s="13"/>
      <c r="C15" s="14">
        <v>8915.9</v>
      </c>
      <c r="D15" s="26">
        <v>8</v>
      </c>
      <c r="E15" s="26">
        <v>1053</v>
      </c>
      <c r="F15" s="26">
        <v>10346.7</v>
      </c>
      <c r="G15" s="26">
        <v>42895</v>
      </c>
      <c r="H15" s="26">
        <v>62110</v>
      </c>
      <c r="I15" s="26">
        <v>10138.7</v>
      </c>
      <c r="J15" s="26">
        <v>4594</v>
      </c>
      <c r="K15" s="26">
        <v>128</v>
      </c>
      <c r="L15" s="26">
        <v>369.75</v>
      </c>
      <c r="M15" s="26">
        <v>-92.75</v>
      </c>
    </row>
    <row r="16" ht="20.05" customHeight="1">
      <c r="B16" s="21">
        <v>2020</v>
      </c>
      <c r="C16" s="14">
        <v>4199</v>
      </c>
      <c r="D16" s="26">
        <v>122</v>
      </c>
      <c r="E16" s="26">
        <v>152</v>
      </c>
      <c r="F16" s="26">
        <v>7527</v>
      </c>
      <c r="G16" s="26">
        <v>44324</v>
      </c>
      <c r="H16" s="26">
        <v>61117</v>
      </c>
      <c r="I16" s="26">
        <v>3503</v>
      </c>
      <c r="J16" s="26">
        <v>-4130</v>
      </c>
      <c r="K16" s="26">
        <v>-395</v>
      </c>
      <c r="L16" s="26">
        <v>2812.5</v>
      </c>
      <c r="M16" s="26">
        <v>-97.25</v>
      </c>
    </row>
    <row r="17" ht="20.05" customHeight="1">
      <c r="B17" s="13"/>
      <c r="C17" s="14">
        <v>2934</v>
      </c>
      <c r="D17" s="26">
        <v>127.991</v>
      </c>
      <c r="E17" s="26">
        <v>172.743</v>
      </c>
      <c r="F17" s="26">
        <v>7069</v>
      </c>
      <c r="G17" s="26">
        <v>43871</v>
      </c>
      <c r="H17" s="26">
        <v>60095</v>
      </c>
      <c r="I17" s="26">
        <v>3849</v>
      </c>
      <c r="J17" s="26">
        <v>-3047</v>
      </c>
      <c r="K17" s="26">
        <v>-368</v>
      </c>
      <c r="L17" s="26">
        <v>2812.5</v>
      </c>
      <c r="M17" s="26">
        <v>-97.25</v>
      </c>
    </row>
    <row r="18" ht="20.05" customHeight="1">
      <c r="B18" s="13"/>
      <c r="C18" s="14">
        <v>3250</v>
      </c>
      <c r="D18" s="26">
        <v>22.009</v>
      </c>
      <c r="E18" s="26">
        <v>-183.743</v>
      </c>
      <c r="F18" s="26">
        <v>7687</v>
      </c>
      <c r="G18" s="26">
        <v>45260</v>
      </c>
      <c r="H18" s="26">
        <v>61430</v>
      </c>
      <c r="I18" s="26">
        <v>6615</v>
      </c>
      <c r="J18" s="26">
        <v>401</v>
      </c>
      <c r="K18" s="26">
        <v>-842</v>
      </c>
      <c r="L18" s="26">
        <v>2812.5</v>
      </c>
      <c r="M18" s="26">
        <v>-97.25</v>
      </c>
    </row>
    <row r="19" ht="20.05" customHeight="1">
      <c r="B19" s="13"/>
      <c r="C19" s="14">
        <v>6153.4</v>
      </c>
      <c r="D19" s="26">
        <v>182.2</v>
      </c>
      <c r="E19" s="26">
        <v>181.3</v>
      </c>
      <c r="F19" s="26">
        <v>14952</v>
      </c>
      <c r="G19" s="26">
        <v>51452</v>
      </c>
      <c r="H19" s="26">
        <v>68109</v>
      </c>
      <c r="I19" s="26">
        <v>5271.4</v>
      </c>
      <c r="J19" s="26">
        <v>5609.3</v>
      </c>
      <c r="K19" s="26">
        <v>-3490.6</v>
      </c>
      <c r="L19" s="26">
        <v>2812.5</v>
      </c>
      <c r="M19" s="26">
        <v>-97.25</v>
      </c>
    </row>
    <row r="20" ht="20.05" customHeight="1">
      <c r="B20" s="21">
        <v>2021</v>
      </c>
      <c r="C20" s="14">
        <v>3924.4</v>
      </c>
      <c r="D20" s="26">
        <v>362.5</v>
      </c>
      <c r="E20" s="26">
        <v>105.1</v>
      </c>
      <c r="F20" s="26">
        <v>6388</v>
      </c>
      <c r="G20" s="26">
        <v>45067</v>
      </c>
      <c r="H20" s="26">
        <v>61829</v>
      </c>
      <c r="I20" s="26">
        <v>3138.7</v>
      </c>
      <c r="J20" s="26">
        <v>-5476.3</v>
      </c>
      <c r="K20" s="26">
        <v>166.2</v>
      </c>
      <c r="L20" s="26">
        <v>-3284.1</v>
      </c>
      <c r="M20" s="26">
        <v>0</v>
      </c>
    </row>
    <row r="21" ht="20.05" customHeight="1">
      <c r="B21" s="13"/>
      <c r="C21" s="14">
        <v>2842.6</v>
      </c>
      <c r="D21" s="26">
        <v>202.2</v>
      </c>
      <c r="E21" s="26">
        <v>31</v>
      </c>
      <c r="F21" s="26">
        <v>7567</v>
      </c>
      <c r="G21" s="26">
        <v>45807</v>
      </c>
      <c r="H21" s="26">
        <v>62594</v>
      </c>
      <c r="I21" s="26">
        <v>3631.5</v>
      </c>
      <c r="J21" s="26">
        <v>-1740.3</v>
      </c>
      <c r="K21" s="26">
        <v>-574.8</v>
      </c>
      <c r="L21" s="26">
        <v>3506.538</v>
      </c>
      <c r="M21" s="26">
        <v>-14.25</v>
      </c>
    </row>
    <row r="22" ht="20.05" customHeight="1">
      <c r="B22" s="13"/>
      <c r="C22" s="14">
        <v>4881</v>
      </c>
      <c r="D22" s="26">
        <v>263.3</v>
      </c>
      <c r="E22" s="26">
        <v>49.85</v>
      </c>
      <c r="F22" s="26">
        <v>6029</v>
      </c>
      <c r="G22" s="26">
        <v>51529</v>
      </c>
      <c r="H22" s="26">
        <v>69509.394</v>
      </c>
      <c r="I22" s="26">
        <v>5875.8</v>
      </c>
      <c r="J22" s="26">
        <v>-895.086</v>
      </c>
      <c r="K22" s="26">
        <v>-3208.8</v>
      </c>
      <c r="L22" s="26">
        <v>2576.288</v>
      </c>
      <c r="M22" s="26">
        <v>-13.19</v>
      </c>
    </row>
    <row r="23" ht="20.05" customHeight="1">
      <c r="B23" s="13"/>
      <c r="C23" s="14">
        <v>6161.7</v>
      </c>
      <c r="D23" s="26">
        <v>280</v>
      </c>
      <c r="E23" s="26">
        <v>28.45</v>
      </c>
      <c r="F23" s="26">
        <v>6984</v>
      </c>
      <c r="G23" s="26">
        <v>51951</v>
      </c>
      <c r="H23" s="26">
        <v>69386</v>
      </c>
      <c r="I23" s="26">
        <v>1219.7</v>
      </c>
      <c r="J23" s="26">
        <v>3041.786</v>
      </c>
      <c r="K23" s="26">
        <v>-93.59999999999999</v>
      </c>
      <c r="L23" s="26">
        <v>-1979.826</v>
      </c>
      <c r="M23" s="26">
        <v>14.34</v>
      </c>
    </row>
    <row r="24" ht="20.05" customHeight="1">
      <c r="B24" s="21">
        <v>2022</v>
      </c>
      <c r="C24" s="14">
        <v>3163</v>
      </c>
      <c r="D24" s="26">
        <v>257.5</v>
      </c>
      <c r="E24" s="26">
        <v>9.5</v>
      </c>
      <c r="F24" s="26">
        <v>4340</v>
      </c>
      <c r="G24" s="26">
        <v>51724</v>
      </c>
      <c r="H24" s="26">
        <v>69171</v>
      </c>
      <c r="I24" s="26">
        <v>3271</v>
      </c>
      <c r="J24" s="26">
        <v>-2353</v>
      </c>
      <c r="K24" s="26">
        <v>-1518</v>
      </c>
      <c r="L24" s="26">
        <v>1228</v>
      </c>
      <c r="M24" s="26">
        <v>0</v>
      </c>
    </row>
    <row r="25" ht="20.05" customHeight="1">
      <c r="B25" s="13"/>
      <c r="C25" s="14">
        <v>4021</v>
      </c>
      <c r="D25" s="26">
        <v>247.5</v>
      </c>
      <c r="E25" s="26">
        <v>2.5</v>
      </c>
      <c r="F25" s="26">
        <v>3285</v>
      </c>
      <c r="G25" s="26">
        <v>54813</v>
      </c>
      <c r="H25" s="26">
        <v>72247</v>
      </c>
      <c r="I25" s="26">
        <v>4814</v>
      </c>
      <c r="J25" s="26">
        <v>-2670</v>
      </c>
      <c r="K25" s="26">
        <v>-1428</v>
      </c>
      <c r="L25" s="26">
        <v>3057</v>
      </c>
      <c r="M25" s="26">
        <v>-16</v>
      </c>
    </row>
    <row r="26" ht="20.05" customHeight="1">
      <c r="B26" s="13"/>
      <c r="C26" s="14">
        <v>5607.8</v>
      </c>
      <c r="D26" s="26">
        <v>163.3</v>
      </c>
      <c r="E26" s="26">
        <v>-6.5</v>
      </c>
      <c r="F26" s="26">
        <v>3261</v>
      </c>
      <c r="G26" s="26">
        <v>56758</v>
      </c>
      <c r="H26" s="26">
        <v>74185</v>
      </c>
      <c r="I26" s="26">
        <v>5060.8</v>
      </c>
      <c r="J26" s="26">
        <v>-874.8</v>
      </c>
      <c r="K26" s="26">
        <v>-63.4</v>
      </c>
      <c r="L26" s="26">
        <v>913.2</v>
      </c>
      <c r="M26" s="26">
        <v>-0.1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4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30" customWidth="1"/>
    <col min="2" max="26" width="10.4844" style="430" customWidth="1"/>
    <col min="27" max="27" width="18.9766" style="431" customWidth="1"/>
    <col min="28" max="46" width="9" style="431" customWidth="1"/>
    <col min="47" max="16384" width="16.3516" style="431" customWidth="1"/>
  </cols>
  <sheetData>
    <row r="1" ht="11.65" customHeight="1"/>
    <row r="2" ht="27.65" customHeight="1">
      <c r="B2" t="s" s="2">
        <v>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801</v>
      </c>
      <c r="W3" t="s" s="3">
        <v>18</v>
      </c>
      <c r="X3" t="s" s="3">
        <v>802</v>
      </c>
      <c r="Y3" t="s" s="3">
        <v>19</v>
      </c>
      <c r="Z3" t="s" s="3">
        <v>20</v>
      </c>
    </row>
    <row r="4" ht="20.25" customHeight="1">
      <c r="B4" s="6">
        <v>2019</v>
      </c>
      <c r="C4" s="7">
        <v>56</v>
      </c>
      <c r="D4" s="8"/>
      <c r="E4" s="8">
        <v>7.5</v>
      </c>
      <c r="F4" s="9"/>
      <c r="G4" s="9"/>
      <c r="H4" s="9"/>
      <c r="I4" s="8">
        <f>I36/4</f>
        <v>55</v>
      </c>
      <c r="J4" s="8">
        <f>J36/4</f>
        <v>10.5</v>
      </c>
      <c r="K4" s="8">
        <f>K36/4</f>
        <v>-12.75</v>
      </c>
      <c r="L4" s="8">
        <f>L36/4</f>
        <v>7</v>
      </c>
      <c r="M4" s="8">
        <f>M36/4</f>
        <v>-5</v>
      </c>
      <c r="N4" s="8"/>
      <c r="O4" s="8"/>
      <c r="P4" s="55">
        <f>C4/#REF!-1</f>
      </c>
      <c r="Q4" s="55">
        <f>J4/I4</f>
        <v>0.190909090909091</v>
      </c>
      <c r="R4" s="55">
        <f>AVERAGE(Q4:Q4)</f>
        <v>0.190909090909091</v>
      </c>
      <c r="S4" s="9"/>
      <c r="T4" s="8">
        <f>J4+K4</f>
        <v>-2.25</v>
      </c>
      <c r="U4" s="8">
        <f>-(L4+M4)</f>
        <v>-2</v>
      </c>
      <c r="V4" s="8">
        <f>AF83</f>
        <v>634.14</v>
      </c>
      <c r="W4" s="8">
        <f>F4-G4</f>
        <v>0</v>
      </c>
      <c r="X4" s="10"/>
      <c r="Y4" s="73"/>
      <c r="Z4" s="8">
        <v>14.79</v>
      </c>
    </row>
    <row r="5" ht="20.05" customHeight="1">
      <c r="B5" s="13"/>
      <c r="C5" s="14">
        <v>56</v>
      </c>
      <c r="D5" s="15"/>
      <c r="E5" s="15">
        <v>7.5</v>
      </c>
      <c r="F5" s="15"/>
      <c r="G5" s="15"/>
      <c r="H5" s="15"/>
      <c r="I5" s="15">
        <f>I4</f>
        <v>55</v>
      </c>
      <c r="J5" s="15">
        <f>J4</f>
        <v>10.5</v>
      </c>
      <c r="K5" s="15">
        <f>K4</f>
        <v>-12.75</v>
      </c>
      <c r="L5" s="15">
        <f>L4</f>
        <v>7</v>
      </c>
      <c r="M5" s="15">
        <f>M4</f>
        <v>-5</v>
      </c>
      <c r="N5" s="15"/>
      <c r="O5" s="15"/>
      <c r="P5" s="16"/>
      <c r="Q5" s="16">
        <f>J5/I5</f>
        <v>0.190909090909091</v>
      </c>
      <c r="R5" s="16"/>
      <c r="S5" s="17"/>
      <c r="T5" s="15">
        <f>J5+K5+T4</f>
        <v>-4.5</v>
      </c>
      <c r="U5" s="15">
        <f>-(L5+M5)+U4</f>
        <v>-4</v>
      </c>
      <c r="V5" s="15">
        <f>V4</f>
        <v>634.14</v>
      </c>
      <c r="W5" s="15">
        <f>F5-G5</f>
        <v>0</v>
      </c>
      <c r="X5" s="15"/>
      <c r="Y5" s="24"/>
      <c r="Z5" s="15"/>
    </row>
    <row r="6" ht="20.05" customHeight="1">
      <c r="B6" s="13"/>
      <c r="C6" s="14">
        <v>56</v>
      </c>
      <c r="D6" s="15"/>
      <c r="E6" s="15">
        <v>7.5</v>
      </c>
      <c r="F6" s="15"/>
      <c r="G6" s="15"/>
      <c r="H6" s="15"/>
      <c r="I6" s="15">
        <f>I5</f>
        <v>55</v>
      </c>
      <c r="J6" s="15">
        <f>J5</f>
        <v>10.5</v>
      </c>
      <c r="K6" s="15">
        <f>K5</f>
        <v>-12.75</v>
      </c>
      <c r="L6" s="15">
        <f>L5</f>
        <v>7</v>
      </c>
      <c r="M6" s="15">
        <f>M5</f>
        <v>-5</v>
      </c>
      <c r="N6" s="15">
        <f>AVERAGE(C3:C6)</f>
        <v>56</v>
      </c>
      <c r="O6" s="15"/>
      <c r="P6" s="16"/>
      <c r="Q6" s="16">
        <f>J6/I6</f>
        <v>0.190909090909091</v>
      </c>
      <c r="R6" s="16"/>
      <c r="S6" s="25">
        <f>SUM(J3:K6)/4</f>
        <v>-1.6875</v>
      </c>
      <c r="T6" s="15">
        <f>J6+K6+T5</f>
        <v>-6.75</v>
      </c>
      <c r="U6" s="15">
        <f>-(L6+M6)+U5</f>
        <v>-6</v>
      </c>
      <c r="V6" s="15">
        <f>V5</f>
        <v>634.14</v>
      </c>
      <c r="W6" s="15">
        <f>F6-G6</f>
        <v>0</v>
      </c>
      <c r="X6" s="15"/>
      <c r="Y6" s="24"/>
      <c r="Z6" s="15"/>
    </row>
    <row r="7" ht="20.05" customHeight="1">
      <c r="B7" s="13"/>
      <c r="C7" s="14">
        <v>56</v>
      </c>
      <c r="D7" s="15"/>
      <c r="E7" s="15">
        <v>7.5</v>
      </c>
      <c r="F7" s="15">
        <v>6</v>
      </c>
      <c r="G7" s="15">
        <v>115</v>
      </c>
      <c r="H7" s="15">
        <v>256</v>
      </c>
      <c r="I7" s="15">
        <f>I6</f>
        <v>55</v>
      </c>
      <c r="J7" s="15">
        <f>J6</f>
        <v>10.5</v>
      </c>
      <c r="K7" s="15">
        <f>K6</f>
        <v>-12.75</v>
      </c>
      <c r="L7" s="15">
        <f>L6</f>
        <v>7</v>
      </c>
      <c r="M7" s="15">
        <f>M6</f>
        <v>-5</v>
      </c>
      <c r="N7" s="15">
        <f>AVERAGE(C4:C7)</f>
        <v>56</v>
      </c>
      <c r="O7" s="15"/>
      <c r="P7" s="16"/>
      <c r="Q7" s="16">
        <f>J7/I7</f>
        <v>0.190909090909091</v>
      </c>
      <c r="R7" s="16"/>
      <c r="S7" s="15">
        <f>SUM(J4:K7)/4</f>
        <v>-2.25</v>
      </c>
      <c r="T7" s="15">
        <f>J7+K7+T6</f>
        <v>-9</v>
      </c>
      <c r="U7" s="15">
        <f>-(L7+M7)+U6</f>
        <v>-8</v>
      </c>
      <c r="V7" s="15">
        <f>V6</f>
        <v>634.14</v>
      </c>
      <c r="W7" s="15">
        <f>F7-G7</f>
        <v>-109</v>
      </c>
      <c r="X7" s="15"/>
      <c r="Y7" s="24"/>
      <c r="Z7" s="15"/>
    </row>
    <row r="8" ht="20.05" customHeight="1">
      <c r="B8" s="21">
        <v>2020</v>
      </c>
      <c r="C8" s="14">
        <v>23</v>
      </c>
      <c r="D8" s="15"/>
      <c r="E8" s="15">
        <v>-2.5</v>
      </c>
      <c r="F8" s="17"/>
      <c r="G8" s="17"/>
      <c r="H8" s="17"/>
      <c r="I8" s="15">
        <f>I40/4</f>
        <v>27</v>
      </c>
      <c r="J8" s="15">
        <f>J40/4</f>
        <v>0.85</v>
      </c>
      <c r="K8" s="15">
        <f>K40/4</f>
        <v>-0.25</v>
      </c>
      <c r="L8" s="15">
        <f>L40/4</f>
        <v>2.25</v>
      </c>
      <c r="M8" s="15">
        <f>M40/4</f>
        <v>0</v>
      </c>
      <c r="N8" s="15">
        <f>AVERAGE(C5:C8)</f>
        <v>47.75</v>
      </c>
      <c r="O8" s="15"/>
      <c r="P8" s="16"/>
      <c r="Q8" s="16">
        <f>J8/I8</f>
        <v>0.0314814814814815</v>
      </c>
      <c r="R8" s="16">
        <f>AVERAGE(Q4:Q8)</f>
        <v>0.159023569023569</v>
      </c>
      <c r="S8" s="15">
        <f>SUM(J5:K8)/4</f>
        <v>-1.5375</v>
      </c>
      <c r="T8" s="15">
        <f>J8+K8+T7</f>
        <v>-8.4</v>
      </c>
      <c r="U8" s="15">
        <f>-(L8+M8)+U7</f>
        <v>-10.25</v>
      </c>
      <c r="V8" s="15">
        <f>V7</f>
        <v>634.14</v>
      </c>
      <c r="W8" s="15">
        <f>F8-G8</f>
        <v>0</v>
      </c>
      <c r="X8" s="15"/>
      <c r="Y8" s="24"/>
      <c r="Z8" s="15">
        <v>14.1</v>
      </c>
    </row>
    <row r="9" ht="20.05" customHeight="1">
      <c r="B9" s="13"/>
      <c r="C9" s="14">
        <v>23</v>
      </c>
      <c r="D9" s="15"/>
      <c r="E9" s="15">
        <v>-2.5</v>
      </c>
      <c r="F9" s="17"/>
      <c r="G9" s="15"/>
      <c r="H9" s="15"/>
      <c r="I9" s="15">
        <f>I8</f>
        <v>27</v>
      </c>
      <c r="J9" s="15">
        <f>J8</f>
        <v>0.85</v>
      </c>
      <c r="K9" s="15">
        <f>K8</f>
        <v>-0.25</v>
      </c>
      <c r="L9" s="15">
        <f>L8</f>
        <v>2.25</v>
      </c>
      <c r="M9" s="15">
        <f>M8</f>
        <v>0</v>
      </c>
      <c r="N9" s="15">
        <f>AVERAGE(C6:C9)</f>
        <v>39.5</v>
      </c>
      <c r="O9" s="15"/>
      <c r="P9" s="16"/>
      <c r="Q9" s="16">
        <f>J9/I9</f>
        <v>0.0314814814814815</v>
      </c>
      <c r="R9" s="16"/>
      <c r="S9" s="15">
        <f>SUM(J6:K9)/4</f>
        <v>-0.825</v>
      </c>
      <c r="T9" s="15">
        <f>J9+K9+T8</f>
        <v>-7.8</v>
      </c>
      <c r="U9" s="15">
        <f>-(L9+M9)+U8</f>
        <v>-12.5</v>
      </c>
      <c r="V9" s="15">
        <f>V8</f>
        <v>634.14</v>
      </c>
      <c r="W9" s="15">
        <f>F9-G9</f>
        <v>0</v>
      </c>
      <c r="X9" s="15"/>
      <c r="Y9" s="15"/>
      <c r="Z9" s="15"/>
    </row>
    <row r="10" ht="20.05" customHeight="1">
      <c r="B10" s="13"/>
      <c r="C10" s="14">
        <v>23</v>
      </c>
      <c r="D10" s="15"/>
      <c r="E10" s="15">
        <v>-2.5</v>
      </c>
      <c r="F10" s="17"/>
      <c r="G10" s="15"/>
      <c r="H10" s="15"/>
      <c r="I10" s="15">
        <f>I9</f>
        <v>27</v>
      </c>
      <c r="J10" s="15">
        <f>J9</f>
        <v>0.85</v>
      </c>
      <c r="K10" s="15">
        <f>K9</f>
        <v>-0.25</v>
      </c>
      <c r="L10" s="15">
        <f>L9</f>
        <v>2.25</v>
      </c>
      <c r="M10" s="15">
        <f>M9</f>
        <v>0</v>
      </c>
      <c r="N10" s="15">
        <f>AVERAGE(C7:C10)</f>
        <v>31.25</v>
      </c>
      <c r="O10" s="15"/>
      <c r="P10" s="16"/>
      <c r="Q10" s="16">
        <f>J10/I10</f>
        <v>0.0314814814814815</v>
      </c>
      <c r="R10" s="16"/>
      <c r="S10" s="15">
        <f>SUM(J7:K10)/4</f>
        <v>-0.1125</v>
      </c>
      <c r="T10" s="15">
        <f>J10+K10+T9</f>
        <v>-7.2</v>
      </c>
      <c r="U10" s="15">
        <f>-(L10+M10)+U9</f>
        <v>-14.75</v>
      </c>
      <c r="V10" s="15">
        <f>V9</f>
        <v>634.14</v>
      </c>
      <c r="W10" s="15">
        <f>F10-G10</f>
        <v>0</v>
      </c>
      <c r="X10" s="15"/>
      <c r="Y10" s="15"/>
      <c r="Z10" s="15"/>
    </row>
    <row r="11" ht="20.05" customHeight="1">
      <c r="B11" s="13"/>
      <c r="C11" s="14">
        <v>23</v>
      </c>
      <c r="D11" s="15"/>
      <c r="E11" s="15">
        <v>-2.5</v>
      </c>
      <c r="F11" s="15">
        <v>17</v>
      </c>
      <c r="G11" s="15">
        <v>124</v>
      </c>
      <c r="H11" s="15">
        <v>255</v>
      </c>
      <c r="I11" s="15">
        <f>I10</f>
        <v>27</v>
      </c>
      <c r="J11" s="15">
        <f>J10</f>
        <v>0.85</v>
      </c>
      <c r="K11" s="15">
        <f>K10</f>
        <v>-0.25</v>
      </c>
      <c r="L11" s="15">
        <f>L10</f>
        <v>2.25</v>
      </c>
      <c r="M11" s="15">
        <f>M10</f>
        <v>0</v>
      </c>
      <c r="N11" s="15">
        <f>AVERAGE(C8:C11)</f>
        <v>23</v>
      </c>
      <c r="O11" s="15"/>
      <c r="P11" s="16"/>
      <c r="Q11" s="16">
        <f>J11/I11</f>
        <v>0.0314814814814815</v>
      </c>
      <c r="R11" s="16"/>
      <c r="S11" s="15">
        <f>SUM(J8:K11)/4</f>
        <v>0.6</v>
      </c>
      <c r="T11" s="15">
        <f>J11+K11+T10</f>
        <v>-6.6</v>
      </c>
      <c r="U11" s="15">
        <f>-(L11+M11)+U10</f>
        <v>-17</v>
      </c>
      <c r="V11" s="15">
        <f>V10</f>
        <v>634.14</v>
      </c>
      <c r="W11" s="15">
        <f>F11-G11</f>
        <v>-107</v>
      </c>
      <c r="X11" s="15"/>
      <c r="Y11" s="15"/>
      <c r="Z11" s="15"/>
    </row>
    <row r="12" ht="20.05" customHeight="1">
      <c r="B12" s="21">
        <v>2021</v>
      </c>
      <c r="C12" s="14">
        <v>18</v>
      </c>
      <c r="D12" s="15"/>
      <c r="E12" s="15">
        <v>-2.5</v>
      </c>
      <c r="F12" s="17"/>
      <c r="G12" s="15"/>
      <c r="H12" s="15"/>
      <c r="I12" s="15">
        <f>I44/2</f>
        <v>20</v>
      </c>
      <c r="J12" s="15">
        <f>J44/2</f>
        <v>-5.5</v>
      </c>
      <c r="K12" s="15">
        <f>K44/2</f>
        <v>-0.45</v>
      </c>
      <c r="L12" s="15">
        <f>L44/2</f>
        <v>0.5</v>
      </c>
      <c r="M12" s="15">
        <f>M44/2</f>
        <v>0</v>
      </c>
      <c r="N12" s="15">
        <f>AVERAGE(C9:C12)</f>
        <v>21.75</v>
      </c>
      <c r="O12" s="15"/>
      <c r="P12" s="16">
        <f>C12/C11-1</f>
        <v>-0.217391304347826</v>
      </c>
      <c r="Q12" s="16">
        <f>J12/I12</f>
        <v>-0.275</v>
      </c>
      <c r="R12" s="16">
        <f>AVERAGE(Q4:Q12)</f>
        <v>0.0682846988402544</v>
      </c>
      <c r="S12" s="15">
        <f>SUM(J9:K12)/4</f>
        <v>-1.0375</v>
      </c>
      <c r="T12" s="15">
        <f>J12+K12+T11</f>
        <v>-12.55</v>
      </c>
      <c r="U12" s="15">
        <f>-(L12+M12)+U11</f>
        <v>-17.5</v>
      </c>
      <c r="V12" s="15">
        <f>V11</f>
        <v>634.14</v>
      </c>
      <c r="W12" s="15">
        <f>F12-G12</f>
        <v>0</v>
      </c>
      <c r="X12" s="15"/>
      <c r="Y12" s="15"/>
      <c r="Z12" s="15">
        <v>14.606</v>
      </c>
    </row>
    <row r="13" ht="20.05" customHeight="1">
      <c r="B13" s="13"/>
      <c r="C13" s="14">
        <v>18</v>
      </c>
      <c r="D13" s="15"/>
      <c r="E13" s="15">
        <v>-2.5</v>
      </c>
      <c r="F13" s="15"/>
      <c r="G13" s="15"/>
      <c r="H13" s="15"/>
      <c r="I13" s="15">
        <f>I12</f>
        <v>20</v>
      </c>
      <c r="J13" s="15">
        <f>J12</f>
        <v>-5.5</v>
      </c>
      <c r="K13" s="15">
        <f>K12</f>
        <v>-0.45</v>
      </c>
      <c r="L13" s="15">
        <f>L12</f>
        <v>0.5</v>
      </c>
      <c r="M13" s="15">
        <f>M12</f>
        <v>0</v>
      </c>
      <c r="N13" s="15">
        <f>AVERAGE(C10:C13)</f>
        <v>20.5</v>
      </c>
      <c r="O13" s="15"/>
      <c r="P13" s="16">
        <f>C13/C12-1</f>
        <v>0</v>
      </c>
      <c r="Q13" s="16">
        <f>J13/I13</f>
        <v>-0.275</v>
      </c>
      <c r="R13" s="16">
        <f>AVERAGE(Q4:Q13)</f>
        <v>0.033956228956229</v>
      </c>
      <c r="S13" s="15">
        <f>SUM(J10:K13)/4</f>
        <v>-2.675</v>
      </c>
      <c r="T13" s="15">
        <f>J13+K13+T12</f>
        <v>-18.5</v>
      </c>
      <c r="U13" s="15">
        <f>-(L13+M13)+U12</f>
        <v>-18</v>
      </c>
      <c r="V13" s="15">
        <f>V12</f>
        <v>634.14</v>
      </c>
      <c r="W13" s="15">
        <f>F13-G13</f>
        <v>0</v>
      </c>
      <c r="X13" s="15"/>
      <c r="Y13" s="15"/>
      <c r="Z13" s="15">
        <v>14.45</v>
      </c>
    </row>
    <row r="14" ht="20.05" customHeight="1">
      <c r="B14" s="13"/>
      <c r="C14" s="14">
        <v>23</v>
      </c>
      <c r="D14" s="15"/>
      <c r="E14" s="15">
        <v>-1</v>
      </c>
      <c r="F14" s="15"/>
      <c r="G14" s="15"/>
      <c r="H14" s="15"/>
      <c r="I14" s="15">
        <f>(I46-I44)/2</f>
        <v>20</v>
      </c>
      <c r="J14" s="15">
        <f>(J46-J44)/2</f>
        <v>-6</v>
      </c>
      <c r="K14" s="15">
        <f>(K46-K44)/2</f>
        <v>-0.4</v>
      </c>
      <c r="L14" s="15">
        <f>(L46-L44)/2</f>
        <v>5.5</v>
      </c>
      <c r="M14" s="15">
        <f>(M46-M44)/2</f>
        <v>0</v>
      </c>
      <c r="N14" s="15">
        <f>AVERAGE(C11:C14)</f>
        <v>20.5</v>
      </c>
      <c r="O14" s="15"/>
      <c r="P14" s="16">
        <f>C14/C13-1</f>
        <v>0.277777777777778</v>
      </c>
      <c r="Q14" s="16">
        <f>J14/I14</f>
        <v>-0.3</v>
      </c>
      <c r="R14" s="16">
        <f>AVERAGE(Q8:Q14)</f>
        <v>-0.103439153439153</v>
      </c>
      <c r="S14" s="15">
        <f>SUM(J11:K14)/4</f>
        <v>-4.425</v>
      </c>
      <c r="T14" s="15">
        <f>J14+K14+T13</f>
        <v>-24.9</v>
      </c>
      <c r="U14" s="15">
        <f>-(L14+M14)+U13</f>
        <v>-23.5</v>
      </c>
      <c r="V14" s="15">
        <f>V13</f>
        <v>634.14</v>
      </c>
      <c r="W14" s="15">
        <f>F14-G14</f>
        <v>0</v>
      </c>
      <c r="X14" s="15"/>
      <c r="Y14" s="15"/>
      <c r="Z14" s="15">
        <v>14.328</v>
      </c>
    </row>
    <row r="15" ht="20.05" customHeight="1">
      <c r="B15" s="13"/>
      <c r="C15" s="14">
        <v>23</v>
      </c>
      <c r="D15" s="15"/>
      <c r="E15" s="15">
        <v>-1</v>
      </c>
      <c r="F15" s="15">
        <v>4</v>
      </c>
      <c r="G15" s="15">
        <v>143</v>
      </c>
      <c r="H15" s="15">
        <v>266</v>
      </c>
      <c r="I15" s="15">
        <f>I14</f>
        <v>20</v>
      </c>
      <c r="J15" s="15">
        <f>J14</f>
        <v>-6</v>
      </c>
      <c r="K15" s="15">
        <f>K14</f>
        <v>-0.4</v>
      </c>
      <c r="L15" s="15">
        <f>L14</f>
        <v>5.5</v>
      </c>
      <c r="M15" s="15">
        <f>M14</f>
        <v>0</v>
      </c>
      <c r="N15" s="15">
        <f>AVERAGE(C12:C15)</f>
        <v>20.5</v>
      </c>
      <c r="O15" s="15"/>
      <c r="P15" s="16">
        <f>C15/C14-1</f>
        <v>0</v>
      </c>
      <c r="Q15" s="16">
        <f>J15/I15</f>
        <v>-0.3</v>
      </c>
      <c r="R15" s="16">
        <f>AVERAGE(Q12:Q15)</f>
        <v>-0.2875</v>
      </c>
      <c r="S15" s="15">
        <f>SUM(J12:K15)/4</f>
        <v>-6.175</v>
      </c>
      <c r="T15" s="15">
        <f>J15+K15+T14</f>
        <v>-31.3</v>
      </c>
      <c r="U15" s="15">
        <f>-(L15+M15)+U14</f>
        <v>-29</v>
      </c>
      <c r="V15" s="15">
        <f>V14</f>
        <v>634.14</v>
      </c>
      <c r="W15" s="15">
        <f>F15-G15</f>
        <v>-139</v>
      </c>
      <c r="X15" s="15"/>
      <c r="Y15" s="15"/>
      <c r="Z15" s="15">
        <v>14.275</v>
      </c>
    </row>
    <row r="16" ht="20.05" customHeight="1">
      <c r="B16" s="21">
        <v>2022</v>
      </c>
      <c r="C16" s="14">
        <v>32</v>
      </c>
      <c r="D16" s="15"/>
      <c r="E16" s="15">
        <v>3</v>
      </c>
      <c r="F16" s="15"/>
      <c r="G16" s="15"/>
      <c r="H16" s="15"/>
      <c r="I16" s="15">
        <f>I48/2</f>
        <v>30.5</v>
      </c>
      <c r="J16" s="15">
        <f>J48/2</f>
        <v>5.5</v>
      </c>
      <c r="K16" s="15">
        <f>K48/2</f>
        <v>-0.5</v>
      </c>
      <c r="L16" s="15">
        <f>L48/2</f>
        <v>10.5</v>
      </c>
      <c r="M16" s="15">
        <f>M48/2</f>
        <v>0</v>
      </c>
      <c r="N16" s="15">
        <f>AVERAGE(C13:C16)</f>
        <v>24</v>
      </c>
      <c r="O16" s="15"/>
      <c r="P16" s="16">
        <f>C16/C15-1</f>
        <v>0.391304347826087</v>
      </c>
      <c r="Q16" s="16">
        <f>J16/I16</f>
        <v>0.180327868852459</v>
      </c>
      <c r="R16" s="16">
        <f>AVERAGE(Q13:Q16)</f>
        <v>-0.173668032786885</v>
      </c>
      <c r="S16" s="15">
        <f>SUM(J13:K16)/4</f>
        <v>-3.4375</v>
      </c>
      <c r="T16" s="15">
        <f>J16+K16+T15</f>
        <v>-26.3</v>
      </c>
      <c r="U16" s="15">
        <f>-(L16+M16)+U15</f>
        <v>-39.5</v>
      </c>
      <c r="V16" s="15">
        <f>V15</f>
        <v>634.14</v>
      </c>
      <c r="W16" s="15">
        <f>F16-G16</f>
        <v>0</v>
      </c>
      <c r="X16" s="15"/>
      <c r="Y16" s="15"/>
      <c r="Z16" s="15">
        <v>14.327</v>
      </c>
    </row>
    <row r="17" ht="20.05" customHeight="1">
      <c r="B17" s="13"/>
      <c r="C17" s="14">
        <v>32</v>
      </c>
      <c r="D17" s="15"/>
      <c r="E17" s="15">
        <v>3</v>
      </c>
      <c r="F17" s="15">
        <v>34</v>
      </c>
      <c r="G17" s="15">
        <v>178</v>
      </c>
      <c r="H17" s="15">
        <v>307</v>
      </c>
      <c r="I17" s="15">
        <f>I16</f>
        <v>30.5</v>
      </c>
      <c r="J17" s="15">
        <f>J16</f>
        <v>5.5</v>
      </c>
      <c r="K17" s="15">
        <f>K16</f>
        <v>-0.5</v>
      </c>
      <c r="L17" s="15">
        <f>L16</f>
        <v>10.5</v>
      </c>
      <c r="M17" s="15">
        <f>M16</f>
        <v>0</v>
      </c>
      <c r="N17" s="15">
        <f>AVERAGE(C14:C17)</f>
        <v>27.5</v>
      </c>
      <c r="O17" s="15"/>
      <c r="P17" s="16">
        <f>C17/C16-1</f>
        <v>0</v>
      </c>
      <c r="Q17" s="16">
        <f>J17/I17</f>
        <v>0.180327868852459</v>
      </c>
      <c r="R17" s="16">
        <f>AVERAGE(Q14:Q17)</f>
        <v>-0.0598360655737705</v>
      </c>
      <c r="S17" s="15">
        <f>SUM(J14:K17)/4</f>
        <v>-0.7</v>
      </c>
      <c r="T17" s="15">
        <f>J17+K17+T16</f>
        <v>-21.3</v>
      </c>
      <c r="U17" s="15">
        <f>-(L17+M17)+U16</f>
        <v>-50</v>
      </c>
      <c r="V17" s="15">
        <f>V16</f>
        <v>634.14</v>
      </c>
      <c r="W17" s="15">
        <f>F17-G17</f>
        <v>-144</v>
      </c>
      <c r="X17" s="15"/>
      <c r="Y17" s="15"/>
      <c r="Z17" s="15">
        <v>14.66</v>
      </c>
    </row>
    <row r="18" ht="20.05" customHeight="1">
      <c r="B18" s="13"/>
      <c r="C18" s="14"/>
      <c r="D18" s="15"/>
      <c r="E18" s="15"/>
      <c r="F18" s="15"/>
      <c r="G18" s="15"/>
      <c r="H18" s="17"/>
      <c r="I18" s="17"/>
      <c r="J18" s="15"/>
      <c r="K18" s="15"/>
      <c r="L18" s="15"/>
      <c r="M18" s="15"/>
      <c r="N18" s="15"/>
      <c r="O18" s="15">
        <f>AF56</f>
        <v>39.9396096</v>
      </c>
      <c r="P18" s="16"/>
      <c r="Q18" s="16"/>
      <c r="R18" s="16"/>
      <c r="S18" s="25"/>
      <c r="T18" s="15">
        <f>J18+K18+T17</f>
        <v>-21.3</v>
      </c>
      <c r="U18" s="15">
        <f>-(L18+M18)+U17</f>
        <v>-50</v>
      </c>
      <c r="V18" s="15">
        <f>V17</f>
        <v>634.14</v>
      </c>
      <c r="W18" s="15"/>
      <c r="X18" s="15"/>
      <c r="Y18" s="15"/>
      <c r="Z18" s="15">
        <v>15.705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7"/>
      <c r="L19" s="15"/>
      <c r="M19" s="15"/>
      <c r="N19" s="15"/>
      <c r="O19" s="23"/>
      <c r="P19" s="17"/>
      <c r="Q19" s="17"/>
      <c r="R19" s="17"/>
      <c r="S19" s="25"/>
      <c r="T19" s="17"/>
      <c r="U19" s="17"/>
      <c r="V19" s="17"/>
      <c r="W19" s="26"/>
      <c r="X19" s="15">
        <v>324</v>
      </c>
      <c r="Y19" s="15">
        <v>2477.746202942560</v>
      </c>
      <c r="Z19" s="17"/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6"/>
      <c r="K20" s="15"/>
      <c r="L20" s="15"/>
      <c r="M20" s="15"/>
      <c r="N20" s="15">
        <f>SUM(N4:N18)</f>
        <v>388.25</v>
      </c>
      <c r="O20" s="15">
        <f>SUM(O4:O18)</f>
        <v>39.9396096</v>
      </c>
      <c r="P20" s="17"/>
      <c r="Q20" s="17"/>
      <c r="R20" s="17"/>
      <c r="S20" s="17"/>
      <c r="T20" s="17"/>
      <c r="U20" s="17"/>
      <c r="V20" s="17"/>
      <c r="W20" s="26"/>
      <c r="X20" s="15"/>
      <c r="Y20" s="15">
        <f>AF91</f>
        <v>239.618175790938</v>
      </c>
      <c r="Z20" s="15"/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26"/>
      <c r="O21" s="17"/>
      <c r="P21" s="17"/>
      <c r="Q21" s="17"/>
      <c r="R21" s="17"/>
      <c r="S21" s="17"/>
      <c r="T21" s="17"/>
      <c r="U21" s="17"/>
      <c r="V21" s="17"/>
      <c r="W21" s="26"/>
      <c r="X21" s="15"/>
      <c r="Y21" s="15"/>
      <c r="Z21" s="15"/>
    </row>
    <row r="22" ht="8.35" customHeight="1" hidden="1">
      <c r="B22" t="s" s="56">
        <v>367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26"/>
      <c r="O22" s="17"/>
      <c r="P22" s="17"/>
      <c r="Q22" s="17"/>
      <c r="R22" s="17"/>
      <c r="S22" s="17"/>
      <c r="T22" s="17"/>
      <c r="U22" s="17"/>
      <c r="V22" s="17"/>
      <c r="W22" s="17"/>
      <c r="X22" s="15"/>
      <c r="Y22" s="15"/>
      <c r="Z22" s="15"/>
    </row>
    <row r="23" ht="8.35" customHeight="1" hidden="1">
      <c r="B23" s="21">
        <v>2018</v>
      </c>
      <c r="C23" s="14">
        <v>2452</v>
      </c>
      <c r="D23" s="15">
        <f>94+4</f>
        <v>98</v>
      </c>
      <c r="E23" s="15">
        <v>124</v>
      </c>
      <c r="F23" s="15">
        <v>91</v>
      </c>
      <c r="G23" s="15">
        <v>951</v>
      </c>
      <c r="H23" s="15">
        <v>1343</v>
      </c>
      <c r="I23" s="15">
        <v>2393</v>
      </c>
      <c r="J23" s="15">
        <v>176</v>
      </c>
      <c r="K23" s="15">
        <v>-121</v>
      </c>
      <c r="L23" s="15">
        <v>-29</v>
      </c>
      <c r="M23" s="15">
        <v>-14</v>
      </c>
      <c r="N23" s="26"/>
      <c r="O23" s="17"/>
      <c r="P23" s="17"/>
      <c r="Q23" s="17"/>
      <c r="R23" s="17"/>
      <c r="S23" s="17"/>
      <c r="T23" s="17"/>
      <c r="U23" s="17"/>
      <c r="V23" s="17"/>
      <c r="W23" s="17"/>
      <c r="X23" s="15"/>
      <c r="Y23" s="15"/>
      <c r="Z23" s="15"/>
    </row>
    <row r="24" ht="8.35" customHeight="1" hidden="1">
      <c r="B24" s="21">
        <v>2019</v>
      </c>
      <c r="C24" s="14">
        <v>2729</v>
      </c>
      <c r="D24" s="15">
        <f>95+5</f>
        <v>100</v>
      </c>
      <c r="E24" s="15">
        <v>174</v>
      </c>
      <c r="F24" s="15">
        <v>61</v>
      </c>
      <c r="G24" s="15">
        <v>975</v>
      </c>
      <c r="H24" s="15">
        <v>1515</v>
      </c>
      <c r="I24" s="15">
        <v>2686</v>
      </c>
      <c r="J24" s="15">
        <v>236</v>
      </c>
      <c r="K24" s="15">
        <v>-214</v>
      </c>
      <c r="L24" s="15">
        <v>-32</v>
      </c>
      <c r="M24" s="15">
        <v>-20</v>
      </c>
      <c r="N24" s="26"/>
      <c r="O24" s="17"/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/>
    </row>
    <row r="25" ht="8.35" customHeight="1" hidden="1">
      <c r="B25" s="21">
        <v>2020</v>
      </c>
      <c r="C25" s="14">
        <v>1875</v>
      </c>
      <c r="D25" s="15">
        <f>102+6</f>
        <v>108</v>
      </c>
      <c r="E25" s="15">
        <v>8</v>
      </c>
      <c r="F25" s="15">
        <v>69</v>
      </c>
      <c r="G25" s="15">
        <v>1087</v>
      </c>
      <c r="H25" s="15">
        <v>1619</v>
      </c>
      <c r="I25" s="15">
        <v>2054</v>
      </c>
      <c r="J25" s="15">
        <v>228</v>
      </c>
      <c r="K25" s="15">
        <v>-320</v>
      </c>
      <c r="L25" s="15">
        <v>99</v>
      </c>
      <c r="M25" s="15"/>
      <c r="N25" s="26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  <row r="26" ht="8.35" customHeight="1" hidden="1">
      <c r="B26" s="21">
        <v>2021</v>
      </c>
      <c r="C26" s="14">
        <v>676</v>
      </c>
      <c r="D26" s="15">
        <v>28</v>
      </c>
      <c r="E26" s="15">
        <v>53</v>
      </c>
      <c r="F26" s="15"/>
      <c r="G26" s="15"/>
      <c r="H26" s="15"/>
      <c r="I26" s="15">
        <v>573</v>
      </c>
      <c r="J26" s="15">
        <v>9</v>
      </c>
      <c r="K26" s="15">
        <v>-56</v>
      </c>
      <c r="L26" s="15">
        <v>56</v>
      </c>
      <c r="M26" s="15"/>
      <c r="N26" s="26"/>
      <c r="O26" s="17"/>
      <c r="P26" s="17"/>
      <c r="Q26" s="17"/>
      <c r="R26" s="17"/>
      <c r="S26" s="17"/>
      <c r="T26" s="17"/>
      <c r="U26" s="17"/>
      <c r="V26" s="17"/>
      <c r="W26" s="17"/>
      <c r="X26" s="15"/>
      <c r="Y26" s="15"/>
      <c r="Z26" s="15"/>
    </row>
    <row r="27" ht="8.35" customHeight="1" hidden="1">
      <c r="B27" s="13"/>
      <c r="C27" s="14">
        <v>1307</v>
      </c>
      <c r="D27" s="15">
        <f>D26*2</f>
        <v>56</v>
      </c>
      <c r="E27" s="15">
        <v>100</v>
      </c>
      <c r="F27" s="15"/>
      <c r="G27" s="15"/>
      <c r="H27" s="15"/>
      <c r="I27" s="15">
        <v>1165</v>
      </c>
      <c r="J27" s="15">
        <v>21</v>
      </c>
      <c r="K27" s="15">
        <v>-139</v>
      </c>
      <c r="L27" s="15">
        <v>88</v>
      </c>
      <c r="M27" s="15"/>
      <c r="N27" s="26"/>
      <c r="O27" s="17"/>
      <c r="P27" s="17"/>
      <c r="Q27" s="17"/>
      <c r="R27" s="17"/>
      <c r="S27" s="17"/>
      <c r="T27" s="17"/>
      <c r="U27" s="17"/>
      <c r="V27" s="17"/>
      <c r="W27" s="17"/>
      <c r="X27" s="15"/>
      <c r="Y27" s="15"/>
      <c r="Z27" s="15"/>
    </row>
    <row r="28" ht="8.35" customHeight="1" hidden="1">
      <c r="B28" s="13"/>
      <c r="C28" s="14">
        <v>2079</v>
      </c>
      <c r="D28" s="15">
        <f>D26*3</f>
        <v>84</v>
      </c>
      <c r="E28" s="15">
        <v>148</v>
      </c>
      <c r="F28" s="15"/>
      <c r="G28" s="15"/>
      <c r="H28" s="15"/>
      <c r="I28" s="15">
        <v>1940</v>
      </c>
      <c r="J28" s="15">
        <v>79</v>
      </c>
      <c r="K28" s="15">
        <v>-162</v>
      </c>
      <c r="L28" s="15">
        <v>67</v>
      </c>
      <c r="M28" s="15"/>
      <c r="N28" s="26"/>
      <c r="O28" s="17"/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/>
    </row>
    <row r="29" ht="8.35" customHeight="1" hidden="1">
      <c r="B29" s="13"/>
      <c r="C29" s="14">
        <v>2913</v>
      </c>
      <c r="D29" s="15">
        <f>D26*4</f>
        <v>112</v>
      </c>
      <c r="E29" s="15">
        <v>305</v>
      </c>
      <c r="F29" s="15">
        <v>415</v>
      </c>
      <c r="G29" s="15">
        <v>1455</v>
      </c>
      <c r="H29" s="15">
        <v>2537</v>
      </c>
      <c r="I29" s="15">
        <v>2706</v>
      </c>
      <c r="J29" s="15">
        <v>244</v>
      </c>
      <c r="K29" s="15">
        <v>-229</v>
      </c>
      <c r="L29" s="15">
        <v>39</v>
      </c>
      <c r="M29" s="15">
        <v>292</v>
      </c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8.35" customHeight="1" hidden="1">
      <c r="B30" s="21">
        <v>2022</v>
      </c>
      <c r="C30" s="14">
        <v>916</v>
      </c>
      <c r="D30" s="15">
        <v>30.6666666666667</v>
      </c>
      <c r="E30" s="15">
        <v>117</v>
      </c>
      <c r="F30" s="15">
        <v>429</v>
      </c>
      <c r="G30" s="15">
        <v>1406</v>
      </c>
      <c r="H30" s="15">
        <v>2605</v>
      </c>
      <c r="I30" s="15">
        <v>845</v>
      </c>
      <c r="J30" s="15">
        <v>40</v>
      </c>
      <c r="K30" s="15">
        <v>0</v>
      </c>
      <c r="L30" s="15">
        <v>26</v>
      </c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13"/>
      <c r="C31" s="14">
        <v>1590</v>
      </c>
      <c r="D31" s="15">
        <f>D30*2</f>
        <v>61.3333333333334</v>
      </c>
      <c r="E31" s="15">
        <v>145</v>
      </c>
      <c r="F31" s="15">
        <v>236</v>
      </c>
      <c r="G31" s="15">
        <v>1189</v>
      </c>
      <c r="H31" s="15">
        <v>2344</v>
      </c>
      <c r="I31" s="15">
        <v>1652</v>
      </c>
      <c r="J31" s="15">
        <v>35</v>
      </c>
      <c r="K31" s="15">
        <v>-79</v>
      </c>
      <c r="L31" s="15">
        <v>-65</v>
      </c>
      <c r="M31" s="15">
        <v>-70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13"/>
      <c r="C32" s="14">
        <v>2659</v>
      </c>
      <c r="D32" s="15">
        <f>D30*3</f>
        <v>92.0000000000001</v>
      </c>
      <c r="E32" s="15">
        <v>252</v>
      </c>
      <c r="F32" s="15">
        <v>173</v>
      </c>
      <c r="G32" s="15">
        <v>1235</v>
      </c>
      <c r="H32" s="15">
        <v>2498</v>
      </c>
      <c r="I32" s="15">
        <v>2545</v>
      </c>
      <c r="J32" s="15">
        <v>126</v>
      </c>
      <c r="K32" s="15">
        <v>-172</v>
      </c>
      <c r="L32" s="15">
        <v>-124</v>
      </c>
      <c r="M32" s="15">
        <v>-72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26"/>
      <c r="X34" s="15"/>
      <c r="Y34" s="15"/>
      <c r="Z34" s="15"/>
    </row>
    <row r="35" ht="20.05" customHeight="1">
      <c r="B35" s="13"/>
      <c r="C35" s="14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20.05" customHeight="1">
      <c r="B36" s="13"/>
      <c r="C36" s="14"/>
      <c r="D36" s="15"/>
      <c r="E36" s="15"/>
      <c r="F36" s="15"/>
      <c r="G36" s="15"/>
      <c r="H36" s="15"/>
      <c r="I36" s="15">
        <v>220</v>
      </c>
      <c r="J36" s="15">
        <v>42</v>
      </c>
      <c r="K36" s="15">
        <v>-51</v>
      </c>
      <c r="L36" s="15">
        <v>28</v>
      </c>
      <c r="M36" s="15">
        <v>-20</v>
      </c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20.05" customHeight="1">
      <c r="B37" s="13"/>
      <c r="C37" s="14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20.05" customHeight="1">
      <c r="B38" s="13"/>
      <c r="C38" s="14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20.05" customHeight="1">
      <c r="B39" s="13"/>
      <c r="C39" s="1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20.05" customHeight="1">
      <c r="B40" s="13"/>
      <c r="C40" s="14"/>
      <c r="D40" s="15"/>
      <c r="E40" s="15"/>
      <c r="F40" s="15"/>
      <c r="G40" s="15"/>
      <c r="H40" s="15"/>
      <c r="I40" s="15">
        <v>108</v>
      </c>
      <c r="J40" s="15">
        <v>3.4</v>
      </c>
      <c r="K40" s="15">
        <v>-1</v>
      </c>
      <c r="L40" s="15">
        <v>9</v>
      </c>
      <c r="M40" s="15"/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20.05" customHeight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>
        <v>40</v>
      </c>
      <c r="J44" s="15">
        <v>-11</v>
      </c>
      <c r="K44" s="15">
        <v>-0.9</v>
      </c>
      <c r="L44" s="15">
        <v>1</v>
      </c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5"/>
      <c r="Y45" s="15"/>
      <c r="Z45" s="15"/>
    </row>
    <row r="46" ht="20.05" customHeight="1">
      <c r="B46" s="13"/>
      <c r="C46" s="14"/>
      <c r="D46" s="15"/>
      <c r="E46" s="15"/>
      <c r="F46" s="15"/>
      <c r="G46" s="15"/>
      <c r="H46" s="15"/>
      <c r="I46" s="15">
        <v>80</v>
      </c>
      <c r="J46" s="15">
        <v>-23</v>
      </c>
      <c r="K46" s="15">
        <v>-1.7</v>
      </c>
      <c r="L46" s="15">
        <v>12</v>
      </c>
      <c r="M46" s="15"/>
      <c r="N46" s="26"/>
      <c r="O46" s="17"/>
      <c r="P46" s="17"/>
      <c r="Q46" s="17"/>
      <c r="R46" s="17"/>
      <c r="S46" s="17"/>
      <c r="T46" s="17"/>
      <c r="U46" s="17"/>
      <c r="V46" s="17"/>
      <c r="W46" s="17"/>
      <c r="X46" s="15"/>
      <c r="Y46" s="15"/>
      <c r="Z46" s="15"/>
    </row>
    <row r="47" ht="20.05" customHeight="1">
      <c r="B47" s="13"/>
      <c r="C47" s="14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26"/>
      <c r="O47" s="17"/>
      <c r="P47" s="17"/>
      <c r="Q47" s="17"/>
      <c r="R47" s="17"/>
      <c r="S47" s="17"/>
      <c r="T47" s="17"/>
      <c r="U47" s="17"/>
      <c r="V47" s="17"/>
      <c r="W47" s="17"/>
      <c r="X47" s="15"/>
      <c r="Y47" s="15"/>
      <c r="Z47" s="15"/>
    </row>
    <row r="48" ht="20.05" customHeight="1">
      <c r="B48" s="13"/>
      <c r="C48" s="14"/>
      <c r="D48" s="15"/>
      <c r="E48" s="15"/>
      <c r="F48" s="15"/>
      <c r="G48" s="15"/>
      <c r="H48" s="15"/>
      <c r="I48" s="15">
        <v>61</v>
      </c>
      <c r="J48" s="15">
        <v>11</v>
      </c>
      <c r="K48" s="15">
        <v>-1</v>
      </c>
      <c r="L48" s="15">
        <v>21</v>
      </c>
      <c r="M48" s="15"/>
      <c r="N48" s="26"/>
      <c r="O48" s="17"/>
      <c r="P48" s="17"/>
      <c r="Q48" s="17"/>
      <c r="R48" s="17"/>
      <c r="S48" s="17"/>
      <c r="T48" s="17"/>
      <c r="U48" s="17"/>
      <c r="V48" s="17"/>
      <c r="W48" s="17"/>
      <c r="X48" s="15"/>
      <c r="Y48" s="15"/>
      <c r="Z48" s="15"/>
    </row>
    <row r="50" ht="27.65" customHeight="1">
      <c r="AA50" t="s" s="2">
        <v>21</v>
      </c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ht="20.25" customHeight="1">
      <c r="AA51" t="s" s="28">
        <f>B$3</f>
        <v>22</v>
      </c>
      <c r="AB51" t="s" s="29">
        <v>23</v>
      </c>
      <c r="AC51" t="s" s="29">
        <v>24</v>
      </c>
      <c r="AD51" t="s" s="29">
        <v>25</v>
      </c>
      <c r="AE51" t="s" s="29">
        <v>26</v>
      </c>
      <c r="AF51" t="s" s="29">
        <v>23</v>
      </c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</row>
    <row r="52" ht="20.25" customHeight="1">
      <c r="AA52" t="s" s="31">
        <v>15</v>
      </c>
      <c r="AB52" s="32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</row>
    <row r="53" ht="20.05" customHeight="1">
      <c r="AA53" t="s" s="33">
        <v>27</v>
      </c>
      <c r="AB53" s="34"/>
      <c r="AC53" s="16">
        <f>AVERAGE(P15:P18)</f>
        <v>0.130434782608696</v>
      </c>
      <c r="AD53" s="35"/>
      <c r="AE53" s="35"/>
      <c r="AF53" s="35">
        <f>AVERAGE(AC55:AF55)</f>
        <v>0.06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s="36"/>
      <c r="AB54" s="37"/>
      <c r="AC54" s="35">
        <f>P15</f>
        <v>0</v>
      </c>
      <c r="AD54" s="35">
        <f>P16</f>
        <v>0.391304347826087</v>
      </c>
      <c r="AE54" s="35">
        <f>P17</f>
        <v>0</v>
      </c>
      <c r="AF54" s="35">
        <f>P18</f>
        <v>0</v>
      </c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</row>
    <row r="55" ht="20.05" customHeight="1">
      <c r="AA55" t="s" s="33">
        <v>13</v>
      </c>
      <c r="AB55" s="37"/>
      <c r="AC55" s="35">
        <v>0.2</v>
      </c>
      <c r="AD55" s="35">
        <v>-0.01</v>
      </c>
      <c r="AE55" s="35">
        <v>0.02</v>
      </c>
      <c r="AF55" s="35">
        <v>0.03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ht="20.05" customHeight="1">
      <c r="AA56" t="s" s="33">
        <v>28</v>
      </c>
      <c r="AB56" s="38">
        <f>C17</f>
        <v>32</v>
      </c>
      <c r="AC56" s="23">
        <f>C17*(1+AC55)</f>
        <v>38.4</v>
      </c>
      <c r="AD56" s="23">
        <f>AC56*(1+AD55)</f>
        <v>38.016</v>
      </c>
      <c r="AE56" s="23">
        <f>AD56*(1+AE55)</f>
        <v>38.77632</v>
      </c>
      <c r="AF56" s="23">
        <f>AE56*(1+AF55)</f>
        <v>39.9396096</v>
      </c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</row>
    <row r="57" ht="20.05" customHeight="1">
      <c r="AA57" t="s" s="33">
        <v>14</v>
      </c>
      <c r="AB57" s="37"/>
      <c r="AC57" s="35">
        <f>AVERAGE(Q17)</f>
        <v>0.180327868852459</v>
      </c>
      <c r="AD57" s="35">
        <f>AC57</f>
        <v>0.180327868852459</v>
      </c>
      <c r="AE57" s="35">
        <f>AD57</f>
        <v>0.180327868852459</v>
      </c>
      <c r="AF57" s="35">
        <f>AE57</f>
        <v>0.180327868852459</v>
      </c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</row>
    <row r="58" ht="20.05" customHeight="1">
      <c r="AA58" t="s" s="33">
        <v>29</v>
      </c>
      <c r="AB58" s="14"/>
      <c r="AC58" s="15">
        <f>AVERAGE(K17)</f>
        <v>-0.5</v>
      </c>
      <c r="AD58" s="15">
        <f>AC58</f>
        <v>-0.5</v>
      </c>
      <c r="AE58" s="15">
        <f>AD58</f>
        <v>-0.5</v>
      </c>
      <c r="AF58" s="15">
        <f>AE58</f>
        <v>-0.5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30</v>
      </c>
      <c r="AB59" s="14"/>
      <c r="AC59" s="15">
        <f>(AC56*AC57)+AC58</f>
        <v>6.42459016393443</v>
      </c>
      <c r="AD59" s="15">
        <f>(AD56*AD57)+AD58</f>
        <v>6.35534426229508</v>
      </c>
      <c r="AE59" s="15">
        <f>(AE56*AE57)+AE58</f>
        <v>6.49245114754098</v>
      </c>
      <c r="AF59" s="15">
        <f>(AF56*AF57)+AF58</f>
        <v>6.70222468196721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31</v>
      </c>
      <c r="AB60" s="14"/>
      <c r="AC60" s="15">
        <f>-G18/20</f>
        <v>0</v>
      </c>
      <c r="AD60" s="15">
        <f>-AC75/20</f>
        <v>0</v>
      </c>
      <c r="AE60" s="15">
        <f>-AD75/20</f>
        <v>0</v>
      </c>
      <c r="AF60" s="15">
        <f>-AE75/20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32</v>
      </c>
      <c r="AB61" s="39"/>
      <c r="AC61" s="40">
        <v>0</v>
      </c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33</v>
      </c>
      <c r="AB62" s="14"/>
      <c r="AC62" s="15">
        <f>IF(AC70&gt;0,AC70*$AC$61,0)</f>
      </c>
      <c r="AD62" s="15">
        <f>IF(AD70&gt;0,AD70*$AC$61,0)</f>
      </c>
      <c r="AE62" s="15">
        <f>IF(AE70&gt;0,AE70*$AC$61,0)</f>
      </c>
      <c r="AF62" s="15">
        <f>IF(AF70&gt;0,AF70*$AC$61,0)</f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34</v>
      </c>
      <c r="AB63" s="14"/>
      <c r="AC63" s="15">
        <f>AC59+AC60+AC62</f>
      </c>
      <c r="AD63" s="15">
        <f>AD59+AD60+AD62</f>
      </c>
      <c r="AE63" s="15">
        <f>AE59+AE60+AE62</f>
      </c>
      <c r="AF63" s="15">
        <f>AF59+AF60+AF62</f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35</v>
      </c>
      <c r="AB64" s="14"/>
      <c r="AC64" s="15">
        <f>-MIN(0,AC63)</f>
      </c>
      <c r="AD64" s="15">
        <f>-MIN(AC76,AD63)</f>
      </c>
      <c r="AE64" s="15">
        <f>-MIN(AD76,AE63)</f>
      </c>
      <c r="AF64" s="15">
        <f>-MIN(AE76,AF63)</f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36</v>
      </c>
      <c r="AB65" s="14"/>
      <c r="AC65" s="15">
        <f>F18</f>
        <v>0</v>
      </c>
      <c r="AD65" s="15">
        <f>AC67</f>
      </c>
      <c r="AE65" s="15">
        <f>AD67</f>
      </c>
      <c r="AF65" s="15">
        <f>AE67</f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37</v>
      </c>
      <c r="AB66" s="14"/>
      <c r="AC66" s="15">
        <f>AC59+AC60+AC62+AC64</f>
      </c>
      <c r="AD66" s="15">
        <f>AD59+AD60+AD62+AD64</f>
      </c>
      <c r="AE66" s="15">
        <f>AE59+AE60+AE62+AE64</f>
      </c>
      <c r="AF66" s="15">
        <f>AF59+AF60+AF62+AF64</f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33">
        <v>38</v>
      </c>
      <c r="AB67" s="14"/>
      <c r="AC67" s="15">
        <f>AC65+AC66</f>
      </c>
      <c r="AD67" s="15">
        <f>AD65+AD66</f>
      </c>
      <c r="AE67" s="15">
        <f>AE65+AE66</f>
      </c>
      <c r="AF67" s="15">
        <f>AF65+AF66</f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41">
        <v>4</v>
      </c>
      <c r="AB68" s="14"/>
      <c r="AC68" s="15"/>
      <c r="AD68" s="15"/>
      <c r="AE68" s="15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ht="20.05" customHeight="1">
      <c r="AA69" t="s" s="33">
        <v>3</v>
      </c>
      <c r="AB69" s="14"/>
      <c r="AC69" s="15">
        <f>-AVERAGE(D16:D17)</f>
      </c>
      <c r="AD69" s="15">
        <f>AC69</f>
      </c>
      <c r="AE69" s="15">
        <f>AD69</f>
      </c>
      <c r="AF69" s="15">
        <f>AE69</f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</v>
      </c>
      <c r="AB70" s="14"/>
      <c r="AC70" s="15">
        <f>(AC56*AC57)+AC69</f>
      </c>
      <c r="AD70" s="15">
        <f>(AD56*AD57)+AD69</f>
      </c>
      <c r="AE70" s="15">
        <f>(AE56*AE57)+AE69</f>
      </c>
      <c r="AF70" s="15">
        <f>(AF56*AF57)+AF69</f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41">
        <v>39</v>
      </c>
      <c r="AB71" s="14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40</v>
      </c>
      <c r="AB72" s="14"/>
      <c r="AC72" s="15">
        <f>H17-F18-AC58</f>
        <v>307.5</v>
      </c>
      <c r="AD72" s="15">
        <f>AC72-AD58</f>
        <v>308</v>
      </c>
      <c r="AE72" s="15">
        <f>AD72-AE58</f>
        <v>308.5</v>
      </c>
      <c r="AF72" s="15">
        <f>AE72-AF58</f>
        <v>309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41</v>
      </c>
      <c r="AB73" s="14"/>
      <c r="AC73" s="15">
        <f>0-AC69</f>
      </c>
      <c r="AD73" s="15">
        <f>AC73-AD69</f>
      </c>
      <c r="AE73" s="15">
        <f>AD73-AE69</f>
      </c>
      <c r="AF73" s="15">
        <f>AE73-AF69</f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42</v>
      </c>
      <c r="AB74" s="14"/>
      <c r="AC74" s="15">
        <f>AC72-AC73</f>
      </c>
      <c r="AD74" s="15">
        <f>AD72-AD73</f>
      </c>
      <c r="AE74" s="15">
        <f>AE72-AE73</f>
      </c>
      <c r="AF74" s="15">
        <f>AF72-AF73</f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6</v>
      </c>
      <c r="AB75" s="14"/>
      <c r="AC75" s="15">
        <f>G18+AC60</f>
        <v>0</v>
      </c>
      <c r="AD75" s="15">
        <f>AC75+AD60</f>
        <v>0</v>
      </c>
      <c r="AE75" s="15">
        <f>AD75+AE60</f>
        <v>0</v>
      </c>
      <c r="AF75" s="15">
        <f>AE75+AF60</f>
        <v>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35</v>
      </c>
      <c r="AB76" s="14"/>
      <c r="AC76" s="15">
        <f>AC64</f>
      </c>
      <c r="AD76" s="15">
        <f>AC76+AD64</f>
      </c>
      <c r="AE76" s="15">
        <f>AD76+AE64</f>
      </c>
      <c r="AF76" s="15">
        <f>AE76+AF64</f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11</v>
      </c>
      <c r="AB77" s="14"/>
      <c r="AC77" s="15">
        <f>(H17-G18)+AC70+AC62</f>
      </c>
      <c r="AD77" s="15">
        <f>AC77+AD70+AD62</f>
      </c>
      <c r="AE77" s="15">
        <f>AD77+AE70+AE62</f>
      </c>
      <c r="AF77" s="15">
        <f>AE77+AF70+AF62</f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v>43</v>
      </c>
      <c r="AB78" s="14"/>
      <c r="AC78" s="15">
        <f>AC75+AC76+AC77-AC67-AC74</f>
      </c>
      <c r="AD78" s="15">
        <f>AD75+AD76+AD77-AD67-AD74</f>
      </c>
      <c r="AE78" s="15">
        <f>AE75+AE76+AE77-AE67-AE74</f>
      </c>
      <c r="AF78" s="15">
        <f>AF75+AF76+AF77-AF67-AF74</f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18</v>
      </c>
      <c r="AB79" s="14"/>
      <c r="AC79" s="15">
        <f>AC67-AC75-AC76</f>
      </c>
      <c r="AD79" s="15">
        <f>AD67-AD75-AD76</f>
      </c>
      <c r="AE79" s="15">
        <f>AE67-AE75-AE76</f>
      </c>
      <c r="AF79" s="15">
        <f>AF67-AF75-AF76</f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44</v>
      </c>
      <c r="AB80" s="14"/>
      <c r="AC80" s="15">
        <f>AC60+AC62+AC64</f>
      </c>
      <c r="AD80" s="15">
        <f>AD60+AD62+AD64</f>
      </c>
      <c r="AE80" s="15">
        <f>AE60+AE62+AE64</f>
      </c>
      <c r="AF80" s="15">
        <f>AF60+AF62+AF64</f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45</v>
      </c>
      <c r="AB81" s="14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f>X$3</f>
        <v>803</v>
      </c>
      <c r="AB82" s="14"/>
      <c r="AC82" s="15"/>
      <c r="AD82" s="15"/>
      <c r="AE82" s="15"/>
      <c r="AF82" s="15">
        <v>234</v>
      </c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ht="20.05" customHeight="1">
      <c r="AA83" t="s" s="33">
        <v>46</v>
      </c>
      <c r="AB83" s="14"/>
      <c r="AC83" s="15"/>
      <c r="AD83" s="15"/>
      <c r="AE83" s="15"/>
      <c r="AF83" s="15">
        <f>AF84*AF82</f>
        <v>634.14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47</v>
      </c>
      <c r="AB84" s="14"/>
      <c r="AC84" s="15"/>
      <c r="AD84" s="15"/>
      <c r="AE84" s="15"/>
      <c r="AF84" s="15">
        <v>2.71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48</v>
      </c>
      <c r="AB85" s="14"/>
      <c r="AC85" s="15"/>
      <c r="AD85" s="15"/>
      <c r="AE85" s="15"/>
      <c r="AF85" s="43">
        <f>AF83/(AF67+AF74)</f>
      </c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</row>
    <row r="86" ht="20.05" customHeight="1">
      <c r="AA86" t="s" s="33">
        <v>49</v>
      </c>
      <c r="AB86" s="14"/>
      <c r="AC86" s="15"/>
      <c r="AD86" s="15"/>
      <c r="AE86" s="15"/>
      <c r="AF86" s="16">
        <f>-(AC62+AD62+AE62+AF62)/AF83</f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ht="20.05" customHeight="1">
      <c r="AA87" t="s" s="33">
        <v>50</v>
      </c>
      <c r="AB87" s="14"/>
      <c r="AC87" s="15"/>
      <c r="AD87" s="15"/>
      <c r="AE87" s="15">
        <f>SUM(J15:K18)</f>
        <v>3.6</v>
      </c>
      <c r="AF87" s="15">
        <f>SUM(AC59:AF59)</f>
        <v>25.9746102557377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51</v>
      </c>
      <c r="AB88" s="14"/>
      <c r="AC88" s="15"/>
      <c r="AD88" s="15"/>
      <c r="AE88" s="15"/>
      <c r="AF88" s="15">
        <f>AF74/AF87</f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52</v>
      </c>
      <c r="AB89" s="14"/>
      <c r="AC89" s="15"/>
      <c r="AD89" s="15"/>
      <c r="AE89" s="15">
        <f>AF83/AF87</f>
        <v>24.413840814413</v>
      </c>
      <c r="AF89" s="15">
        <v>25</v>
      </c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ht="20.05" customHeight="1">
      <c r="AA90" t="s" s="33">
        <v>53</v>
      </c>
      <c r="AB90" s="14"/>
      <c r="AC90" s="15"/>
      <c r="AD90" s="15"/>
      <c r="AE90" s="15"/>
      <c r="AF90" s="15">
        <f>AF87*AF89</f>
        <v>649.365256393443</v>
      </c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ht="20.05" customHeight="1">
      <c r="AA91" t="s" s="33">
        <v>54</v>
      </c>
      <c r="AB91" s="14"/>
      <c r="AC91" s="15"/>
      <c r="AD91" s="15"/>
      <c r="AE91" s="15"/>
      <c r="AF91" s="15">
        <f>(AF90/AF84)</f>
        <v>239.618175790938</v>
      </c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ht="20.05" customHeight="1">
      <c r="AA92" t="s" s="33">
        <v>55</v>
      </c>
      <c r="AB92" s="38"/>
      <c r="AC92" s="23"/>
      <c r="AD92" s="23"/>
      <c r="AE92" s="23"/>
      <c r="AF92" s="16">
        <f>AF91/AF82-1</f>
        <v>0.0240092982518718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t="s" s="33">
        <v>56</v>
      </c>
      <c r="AB93" s="38"/>
      <c r="AC93" s="23"/>
      <c r="AD93" s="23"/>
      <c r="AE93" s="23"/>
      <c r="AF93" s="16">
        <f>C18/C14-1</f>
        <v>-1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t="s" s="33">
        <v>57</v>
      </c>
      <c r="AB94" s="38"/>
      <c r="AC94" s="23"/>
      <c r="AD94" s="23"/>
      <c r="AE94" s="23"/>
      <c r="AF94" s="16">
        <f>O20/N20-1</f>
        <v>-0.8971291446233099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ht="20.05" customHeight="1">
      <c r="AA95" s="36"/>
      <c r="AB95" s="38"/>
      <c r="AC95" s="23"/>
      <c r="AD95" s="23"/>
      <c r="AE95" s="23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</row>
    <row r="96" ht="20.05" customHeight="1">
      <c r="AA96" s="36"/>
      <c r="AB96" s="38"/>
      <c r="AC96" t="s" s="44">
        <f>$AA82</f>
        <v>803</v>
      </c>
      <c r="AD96" t="s" s="44">
        <f>AC118</f>
        <v>15</v>
      </c>
      <c r="AE96" t="s" s="44">
        <f>AD118</f>
        <v>58</v>
      </c>
      <c r="AF96" t="s" s="44">
        <f>AE118</f>
        <v>59</v>
      </c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</row>
    <row r="97" ht="20.05" customHeight="1">
      <c r="AA97" s="36"/>
      <c r="AB97" s="45"/>
      <c r="AC97" t="s" s="44">
        <v>60</v>
      </c>
      <c r="AD97" s="15">
        <f>AF82</f>
        <v>234</v>
      </c>
      <c r="AE97" t="s" s="44">
        <v>61</v>
      </c>
      <c r="AF97" s="15">
        <f>AF91</f>
        <v>239.618175790938</v>
      </c>
      <c r="AG97" t="s" s="44">
        <f>IF(AH97&gt;0,"+","")</f>
        <v>361</v>
      </c>
      <c r="AH97" s="16">
        <f>AF97/AD97-1</f>
        <v>0.0240092982518718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20.05" customHeight="1">
      <c r="AA98" s="36"/>
      <c r="AB98" s="46"/>
      <c r="AC98" s="47">
        <f>TODAY()</f>
        <v>44942</v>
      </c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t="s" s="44">
        <v>62</v>
      </c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32.05" customHeight="1">
      <c r="AA100" s="36"/>
      <c r="AB100" s="34"/>
      <c r="AC100" t="s" s="44">
        <v>63</v>
      </c>
      <c r="AD100" t="s" s="44">
        <v>64</v>
      </c>
      <c r="AE100" t="s" s="44">
        <f>IF(AF100&gt;0,"+","")</f>
        <v>361</v>
      </c>
      <c r="AF100" s="16">
        <f>AK107/AC107-1</f>
        <v>0.777777777777778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32.05" customHeight="1">
      <c r="AA101" s="36"/>
      <c r="AB101" s="34"/>
      <c r="AC101" t="s" s="44">
        <v>63</v>
      </c>
      <c r="AD101" t="s" s="44">
        <v>65</v>
      </c>
      <c r="AE101" t="s" s="44">
        <f>IF(AF101&gt;0,"+","")</f>
      </c>
      <c r="AF101" s="57">
        <f>(AE122+AE123+AG122+AG123+AI122+AI123+AK122+AK123)/AD139</f>
        <v>-0.00441542876967231</v>
      </c>
      <c r="AG101" t="s" s="44">
        <v>66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63</v>
      </c>
      <c r="AD102" t="s" s="44">
        <v>67</v>
      </c>
      <c r="AE102" t="s" s="44">
        <f>IF(AF102&gt;0,"+","")</f>
      </c>
      <c r="AF102" s="16">
        <f>(AE136+AE137+AG136+AG137+AI136+AI137+AK136+AK137)/AD139</f>
        <v>-0.0504620430819693</v>
      </c>
      <c r="AG102" t="s" s="44">
        <f>AG101</f>
        <v>66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44.05" customHeight="1">
      <c r="AA103" s="36"/>
      <c r="AB103" s="34"/>
      <c r="AC103" t="s" s="44">
        <v>68</v>
      </c>
      <c r="AD103" t="s" s="44">
        <v>69</v>
      </c>
      <c r="AE103" s="16">
        <f>AN132/AD139</f>
        <v>-0.227079193868862</v>
      </c>
      <c r="AF103" t="s" s="44">
        <f>AG102</f>
        <v>66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20.05" customHeight="1">
      <c r="AA104" s="36"/>
      <c r="AB104" s="34"/>
      <c r="AC104" t="s" s="44">
        <v>28</v>
      </c>
      <c r="AD104" t="s" s="44">
        <f>AD108</f>
        <v>362</v>
      </c>
      <c r="AE104" s="16">
        <f>AE108</f>
        <v>0</v>
      </c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68.05" customHeight="1">
      <c r="AA105" s="36"/>
      <c r="AB105" s="34"/>
      <c r="AC105" t="s" s="44">
        <v>70</v>
      </c>
      <c r="AD105" t="s" s="44">
        <v>71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20.05" customHeight="1">
      <c r="AA106" s="36"/>
      <c r="AB106" s="34"/>
      <c r="AC106" s="16">
        <f>P13</f>
        <v>0</v>
      </c>
      <c r="AD106" s="16">
        <f>SUM(P14)</f>
        <v>0.277777777777778</v>
      </c>
      <c r="AE106" s="16">
        <f>P15</f>
        <v>0</v>
      </c>
      <c r="AF106" s="16">
        <f>P16</f>
        <v>0.391304347826087</v>
      </c>
      <c r="AG106" s="16">
        <f>P17</f>
        <v>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32.05" customHeight="1">
      <c r="AA107" s="36"/>
      <c r="AB107" s="34"/>
      <c r="AC107" s="15">
        <f>C13</f>
        <v>18</v>
      </c>
      <c r="AD107" t="s" s="44">
        <v>72</v>
      </c>
      <c r="AE107" s="15">
        <f>C14</f>
        <v>23</v>
      </c>
      <c r="AF107" t="s" s="44">
        <v>72</v>
      </c>
      <c r="AG107" s="15">
        <f>C15</f>
        <v>23</v>
      </c>
      <c r="AH107" t="s" s="44">
        <v>72</v>
      </c>
      <c r="AI107" s="15">
        <f>C16</f>
        <v>32</v>
      </c>
      <c r="AJ107" t="s" s="44">
        <v>72</v>
      </c>
      <c r="AK107" s="15">
        <f>C17</f>
        <v>32</v>
      </c>
      <c r="AL107" t="s" s="48">
        <f>AA$51</f>
        <v>22</v>
      </c>
      <c r="AM107" s="17"/>
      <c r="AN107" s="17"/>
      <c r="AO107" s="17"/>
      <c r="AP107" s="17"/>
      <c r="AQ107" s="17"/>
      <c r="AR107" s="17"/>
      <c r="AS107" s="17"/>
      <c r="AT107" s="17"/>
    </row>
    <row r="108" ht="56.05" customHeight="1">
      <c r="AA108" s="36"/>
      <c r="AB108" s="34"/>
      <c r="AC108" t="s" s="44">
        <v>2</v>
      </c>
      <c r="AD108" t="s" s="44">
        <f>IF(AE108&lt;0,"declined","grew")</f>
        <v>362</v>
      </c>
      <c r="AE108" s="16">
        <f>AK107/AI107-1</f>
        <v>0</v>
      </c>
      <c r="AF108" t="s" s="44">
        <v>73</v>
      </c>
      <c r="AG108" t="s" s="44">
        <v>74</v>
      </c>
      <c r="AH108" t="s" s="44">
        <v>75</v>
      </c>
      <c r="AI108" t="s" s="44">
        <v>76</v>
      </c>
      <c r="AJ108" s="15">
        <f>AK107</f>
        <v>32</v>
      </c>
      <c r="AK108" t="s" s="48">
        <f>AL107</f>
        <v>22</v>
      </c>
      <c r="AL108" t="s" s="44">
        <v>77</v>
      </c>
      <c r="AM108" t="s" s="44">
        <f>IF(AN108&gt;0,"+","")</f>
      </c>
      <c r="AN108" s="16">
        <f>AF94</f>
        <v>-0.8971291446233099</v>
      </c>
      <c r="AO108" t="s" s="44">
        <v>78</v>
      </c>
      <c r="AP108" s="17"/>
      <c r="AQ108" s="17"/>
      <c r="AR108" s="17"/>
      <c r="AS108" s="17"/>
      <c r="AT108" s="17"/>
    </row>
    <row r="109" ht="56.05" customHeight="1">
      <c r="AA109" s="36"/>
      <c r="AB109" s="34"/>
      <c r="AC109" t="s" s="44">
        <v>79</v>
      </c>
      <c r="AD109" s="16">
        <f>AVERAGE(AD106:AG106)</f>
        <v>0.167270531400966</v>
      </c>
      <c r="AE109" t="s" s="44">
        <v>80</v>
      </c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56.05" customHeight="1">
      <c r="AA110" s="36"/>
      <c r="AB110" s="34"/>
      <c r="AC110" t="s" s="44">
        <v>81</v>
      </c>
      <c r="AD110" s="35">
        <f>AF53</f>
        <v>0.06</v>
      </c>
      <c r="AE110" t="s" s="44">
        <v>82</v>
      </c>
      <c r="AF110" t="s" s="44">
        <v>83</v>
      </c>
      <c r="AG110" s="23">
        <f>AF56</f>
        <v>39.9396096</v>
      </c>
      <c r="AH110" t="s" s="48">
        <f>AL107</f>
        <v>22</v>
      </c>
      <c r="AI110" t="s" s="44">
        <v>84</v>
      </c>
      <c r="AJ110" t="s" s="44">
        <f>AG108</f>
        <v>74</v>
      </c>
      <c r="AK110" t="s" s="44">
        <f>AH108</f>
        <v>75</v>
      </c>
      <c r="AL110" t="s" s="44">
        <v>85</v>
      </c>
      <c r="AM110" s="17"/>
      <c r="AN110" s="17"/>
      <c r="AO110" s="17"/>
      <c r="AP110" s="17"/>
      <c r="AQ110" s="17"/>
      <c r="AR110" s="17"/>
      <c r="AS110" s="17"/>
      <c r="AT110" s="17"/>
    </row>
    <row r="111" ht="20.05" customHeight="1">
      <c r="AA111" s="36"/>
      <c r="AB111" s="34"/>
      <c r="AC111" t="s" s="44">
        <v>14</v>
      </c>
      <c r="AD111" t="s" s="44">
        <f>IF(AF115&lt;AD115,"down","up")</f>
        <v>108</v>
      </c>
      <c r="AE111" t="s" s="44">
        <v>86</v>
      </c>
      <c r="AF111" t="s" s="44">
        <f>IF(AJ115&gt;AH115,"up","down")</f>
        <v>87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f>AC105</f>
        <v>70</v>
      </c>
      <c r="AD112" t="s" s="44">
        <v>88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20.05" customHeight="1">
      <c r="AA113" s="36"/>
      <c r="AB113" s="34"/>
      <c r="AC113" s="16">
        <f>(D13+E13)/C13</f>
        <v>-0.138888888888889</v>
      </c>
      <c r="AD113" s="16">
        <f>(D14+E14)/C14</f>
        <v>-0.0434782608695652</v>
      </c>
      <c r="AE113" s="16">
        <f>((E15+D15)/C15)</f>
        <v>-0.0434782608695652</v>
      </c>
      <c r="AF113" s="16">
        <f>(D16+E16)/C16</f>
        <v>0.09375</v>
      </c>
      <c r="AG113" s="16">
        <f>(D17+E17)/C17</f>
        <v>0.09375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E13</f>
        <v>-2.5</v>
      </c>
      <c r="AD114" t="s" s="44">
        <v>72</v>
      </c>
      <c r="AE114" s="15">
        <f>E14</f>
        <v>-1</v>
      </c>
      <c r="AF114" t="s" s="44">
        <v>72</v>
      </c>
      <c r="AG114" s="15">
        <f>E15</f>
        <v>-1</v>
      </c>
      <c r="AH114" t="s" s="44">
        <v>72</v>
      </c>
      <c r="AI114" s="15">
        <f>E16</f>
        <v>3</v>
      </c>
      <c r="AJ114" t="s" s="44">
        <v>72</v>
      </c>
      <c r="AK114" s="15">
        <f>E17</f>
        <v>3</v>
      </c>
      <c r="AL114" t="s" s="48">
        <f>AL107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44.05" customHeight="1">
      <c r="AA115" s="36"/>
      <c r="AB115" s="34"/>
      <c r="AC115" t="s" s="44">
        <v>89</v>
      </c>
      <c r="AD115" s="16">
        <f>AF113</f>
        <v>0.09375</v>
      </c>
      <c r="AE115" t="s" s="44">
        <v>76</v>
      </c>
      <c r="AF115" s="16">
        <f>AG113</f>
        <v>0.09375</v>
      </c>
      <c r="AG115" t="s" s="44">
        <v>90</v>
      </c>
      <c r="AH115" s="15">
        <f>AI114</f>
        <v>3</v>
      </c>
      <c r="AI115" t="s" s="44">
        <v>76</v>
      </c>
      <c r="AJ115" s="15">
        <f>AK114</f>
        <v>3</v>
      </c>
      <c r="AK115" t="s" s="48">
        <f>AH110</f>
        <v>22</v>
      </c>
      <c r="AL115" t="s" s="44">
        <v>73</v>
      </c>
      <c r="AM115" t="s" s="44">
        <f>AJ110</f>
        <v>74</v>
      </c>
      <c r="AN115" t="s" s="44">
        <v>91</v>
      </c>
      <c r="AO115" s="17"/>
      <c r="AP115" s="17"/>
      <c r="AQ115" s="17"/>
      <c r="AR115" s="17"/>
      <c r="AS115" s="17"/>
      <c r="AT115" s="17"/>
    </row>
    <row r="116" ht="68.05" customHeight="1">
      <c r="AA116" s="36"/>
      <c r="AB116" s="34"/>
      <c r="AC116" t="s" s="44">
        <v>92</v>
      </c>
      <c r="AD116" s="16">
        <f>AVERAGE(AD113:AG113)</f>
        <v>0.0251358695652174</v>
      </c>
      <c r="AE116" t="s" s="44">
        <v>78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44.05" customHeight="1">
      <c r="AA117" s="36"/>
      <c r="AB117" s="34"/>
      <c r="AC117" t="s" s="44">
        <v>93</v>
      </c>
      <c r="AD117" s="35">
        <f>AC57</f>
        <v>0.180327868852459</v>
      </c>
      <c r="AE117" t="s" s="44">
        <v>94</v>
      </c>
      <c r="AF117" s="17">
        <f>AF70</f>
      </c>
      <c r="AG117" t="s" s="48">
        <f>AK115</f>
        <v>22</v>
      </c>
      <c r="AH117" t="s" s="44">
        <v>95</v>
      </c>
      <c r="AI117" t="s" s="44">
        <f>AM115</f>
        <v>74</v>
      </c>
      <c r="AJ117" t="s" s="44">
        <f>AH108</f>
        <v>75</v>
      </c>
      <c r="AK117" t="s" s="44">
        <f>AL110</f>
        <v>85</v>
      </c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20.05" customHeight="1">
      <c r="AA118" s="36"/>
      <c r="AB118" s="34"/>
      <c r="AC118" t="s" s="44">
        <v>15</v>
      </c>
      <c r="AD118" t="s" s="44">
        <f>IF(AD120&gt;AC120,"more","less")</f>
        <v>58</v>
      </c>
      <c r="AE118" t="s" s="44">
        <f>IF(AF124&lt;0,"negative","positive")</f>
        <v>59</v>
      </c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8.35" customHeight="1" hidden="1">
      <c r="AA119" s="36"/>
      <c r="AB119" s="34"/>
      <c r="AC119" s="17"/>
      <c r="AD119" s="15">
        <f>ABS(AD124)</f>
        <v>5</v>
      </c>
      <c r="AE119" s="15">
        <f>ABS(AF124)</f>
        <v>5</v>
      </c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8.35" customHeight="1" hidden="1">
      <c r="AA120" s="36"/>
      <c r="AB120" s="34"/>
      <c r="AC120" s="15">
        <f>ABS(AD124)</f>
        <v>5</v>
      </c>
      <c r="AD120" s="15">
        <f>ABS(AF124)</f>
        <v>5</v>
      </c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f>AC112</f>
        <v>70</v>
      </c>
      <c r="AD121" t="s" s="44">
        <v>96</v>
      </c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s="15">
        <f>J13</f>
        <v>-5.5</v>
      </c>
      <c r="AD122" t="s" s="44">
        <v>72</v>
      </c>
      <c r="AE122" s="15">
        <f>J14</f>
        <v>-6</v>
      </c>
      <c r="AF122" t="s" s="44">
        <v>72</v>
      </c>
      <c r="AG122" s="15">
        <f>J15</f>
        <v>-6</v>
      </c>
      <c r="AH122" t="s" s="44">
        <v>72</v>
      </c>
      <c r="AI122" s="15">
        <f>J16</f>
        <v>5.5</v>
      </c>
      <c r="AJ122" t="s" s="44">
        <v>72</v>
      </c>
      <c r="AK122" s="15">
        <f>J17</f>
        <v>5.5</v>
      </c>
      <c r="AL122" t="s" s="48">
        <f>AL107</f>
        <v>22</v>
      </c>
      <c r="AM122" s="17"/>
      <c r="AN122" s="17"/>
      <c r="AO122" s="17"/>
      <c r="AP122" s="17"/>
      <c r="AQ122" s="17"/>
      <c r="AR122" s="17"/>
      <c r="AS122" s="17"/>
      <c r="AT122" s="17"/>
    </row>
    <row r="123" ht="32.05" customHeight="1">
      <c r="AA123" s="36"/>
      <c r="AB123" s="34"/>
      <c r="AC123" s="15">
        <f>K13</f>
        <v>-0.45</v>
      </c>
      <c r="AD123" t="s" s="44">
        <v>72</v>
      </c>
      <c r="AE123" s="15">
        <f>K14</f>
        <v>-0.4</v>
      </c>
      <c r="AF123" t="s" s="44">
        <v>72</v>
      </c>
      <c r="AG123" s="15">
        <f>K15</f>
        <v>-0.4</v>
      </c>
      <c r="AH123" t="s" s="44">
        <v>72</v>
      </c>
      <c r="AI123" s="15">
        <f>K16</f>
        <v>-0.5</v>
      </c>
      <c r="AJ123" t="s" s="44">
        <v>72</v>
      </c>
      <c r="AK123" s="15">
        <f>SUM(K17)</f>
        <v>-0.5</v>
      </c>
      <c r="AL123" t="s" s="48">
        <f>AL122</f>
        <v>22</v>
      </c>
      <c r="AM123" s="17"/>
      <c r="AN123" s="17"/>
      <c r="AO123" s="17"/>
      <c r="AP123" s="17"/>
      <c r="AQ123" s="17"/>
      <c r="AR123" s="17"/>
      <c r="AS123" s="17"/>
      <c r="AT123" s="17"/>
    </row>
    <row r="124" ht="44.05" customHeight="1">
      <c r="AA124" s="36"/>
      <c r="AB124" s="34"/>
      <c r="AC124" t="s" s="44">
        <v>97</v>
      </c>
      <c r="AD124" s="15">
        <f>AI122+AI123</f>
        <v>5</v>
      </c>
      <c r="AE124" t="s" s="44">
        <v>76</v>
      </c>
      <c r="AF124" s="15">
        <f>AK122+AK123</f>
        <v>5</v>
      </c>
      <c r="AG124" t="s" s="48">
        <f>AG117</f>
        <v>22</v>
      </c>
      <c r="AH124" t="s" s="44">
        <v>84</v>
      </c>
      <c r="AI124" t="s" s="44">
        <f>AI117</f>
        <v>74</v>
      </c>
      <c r="AJ124" t="s" s="44">
        <v>98</v>
      </c>
      <c r="AK124" s="15">
        <f>AK123</f>
        <v>-0.5</v>
      </c>
      <c r="AL124" t="s" s="48">
        <f>AL107</f>
        <v>22</v>
      </c>
      <c r="AM124" t="s" s="44">
        <v>99</v>
      </c>
      <c r="AN124" s="17"/>
      <c r="AO124" s="17"/>
      <c r="AP124" s="17"/>
      <c r="AQ124" s="17"/>
      <c r="AR124" s="17"/>
      <c r="AS124" s="17"/>
      <c r="AT124" s="17"/>
    </row>
    <row r="125" ht="56.05" customHeight="1">
      <c r="AA125" s="36"/>
      <c r="AB125" s="34"/>
      <c r="AC125" t="s" s="44">
        <v>100</v>
      </c>
      <c r="AD125" s="15">
        <f>(AE122+AE123+AG122+AG123+AI122+AI123+AK122+AK123)/4</f>
        <v>-0.7</v>
      </c>
      <c r="AE125" t="s" s="48">
        <f>AL107</f>
        <v>22</v>
      </c>
      <c r="AF125" t="s" s="44">
        <v>78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44.05" customHeight="1">
      <c r="AA126" s="36"/>
      <c r="AB126" s="34"/>
      <c r="AC126" t="s" s="44">
        <v>101</v>
      </c>
      <c r="AD126" s="15">
        <f>AC58</f>
        <v>-0.5</v>
      </c>
      <c r="AE126" t="s" s="48">
        <f>AE125</f>
        <v>22</v>
      </c>
      <c r="AF126" t="s" s="44">
        <v>102</v>
      </c>
      <c r="AG126" t="s" s="44">
        <v>103</v>
      </c>
      <c r="AH126" t="s" s="44">
        <f>IF(AG110&gt;AJ108,"higher","lower")</f>
        <v>363</v>
      </c>
      <c r="AI126" t="s" s="44">
        <v>105</v>
      </c>
      <c r="AJ126" s="15">
        <f>SUM(AC59:AF59)/4</f>
        <v>6.49365256393443</v>
      </c>
      <c r="AK126" t="s" s="48">
        <f>AE126</f>
        <v>22</v>
      </c>
      <c r="AL126" t="s" s="44">
        <v>106</v>
      </c>
      <c r="AM126" t="s" s="44">
        <v>107</v>
      </c>
      <c r="AN126" s="17"/>
      <c r="AO126" s="17"/>
      <c r="AP126" s="17"/>
      <c r="AQ126" s="17"/>
      <c r="AR126" s="17"/>
      <c r="AS126" s="17"/>
      <c r="AT126" s="17"/>
    </row>
    <row r="127" ht="20.05" customHeight="1">
      <c r="AA127" s="36"/>
      <c r="AB127" s="34"/>
      <c r="AC127" t="s" s="44">
        <v>18</v>
      </c>
      <c r="AD127" t="s" s="44">
        <f>AK132</f>
        <v>87</v>
      </c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f>AC105</f>
        <v>70</v>
      </c>
      <c r="AD128" t="s" s="44">
        <v>109</v>
      </c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s="15">
        <f>F13</f>
        <v>0</v>
      </c>
      <c r="AD129" t="s" s="44">
        <v>72</v>
      </c>
      <c r="AE129" s="15">
        <f>F14</f>
        <v>0</v>
      </c>
      <c r="AF129" t="s" s="44">
        <v>72</v>
      </c>
      <c r="AG129" s="15">
        <f>F15</f>
        <v>4</v>
      </c>
      <c r="AH129" t="s" s="44">
        <v>72</v>
      </c>
      <c r="AI129" s="15">
        <f>F16</f>
        <v>0</v>
      </c>
      <c r="AJ129" t="s" s="44">
        <v>72</v>
      </c>
      <c r="AK129" s="15">
        <f>F17</f>
        <v>34</v>
      </c>
      <c r="AL129" t="s" s="48">
        <f>AL107</f>
        <v>22</v>
      </c>
      <c r="AM129" s="17"/>
      <c r="AN129" s="17"/>
      <c r="AO129" s="17"/>
      <c r="AP129" s="17"/>
      <c r="AQ129" s="17"/>
      <c r="AR129" s="17"/>
      <c r="AS129" s="17"/>
      <c r="AT129" s="17"/>
    </row>
    <row r="130" ht="32.05" customHeight="1">
      <c r="AA130" s="36"/>
      <c r="AB130" s="34"/>
      <c r="AC130" s="15">
        <f>G13</f>
        <v>0</v>
      </c>
      <c r="AD130" t="s" s="44">
        <v>72</v>
      </c>
      <c r="AE130" s="15">
        <f>G14</f>
        <v>0</v>
      </c>
      <c r="AF130" t="s" s="44">
        <v>72</v>
      </c>
      <c r="AG130" s="15">
        <f>G15</f>
        <v>143</v>
      </c>
      <c r="AH130" t="s" s="44">
        <v>72</v>
      </c>
      <c r="AI130" s="15">
        <f>G16</f>
        <v>0</v>
      </c>
      <c r="AJ130" t="s" s="44">
        <v>72</v>
      </c>
      <c r="AK130" s="15">
        <f>G17</f>
        <v>178</v>
      </c>
      <c r="AL130" t="s" s="48">
        <f>AL129</f>
        <v>22</v>
      </c>
      <c r="AM130" s="17"/>
      <c r="AN130" s="17"/>
      <c r="AO130" s="17"/>
      <c r="AP130" s="17"/>
      <c r="AQ130" s="17"/>
      <c r="AR130" s="17"/>
      <c r="AS130" s="17"/>
      <c r="AT130" s="17"/>
    </row>
    <row r="131" ht="32.05" customHeight="1">
      <c r="AA131" s="36"/>
      <c r="AB131" s="34"/>
      <c r="AC131" t="s" s="44">
        <v>110</v>
      </c>
      <c r="AD131" t="s" s="44">
        <f>IF(AG131&lt;AE131,"declined","increased")</f>
        <v>111</v>
      </c>
      <c r="AE131" s="15">
        <f>AI129</f>
        <v>0</v>
      </c>
      <c r="AF131" t="s" s="44">
        <v>76</v>
      </c>
      <c r="AG131" s="15">
        <f>AK129</f>
        <v>34</v>
      </c>
      <c r="AH131" t="s" s="48">
        <f>AK126</f>
        <v>22</v>
      </c>
      <c r="AI131" t="s" s="44">
        <v>84</v>
      </c>
      <c r="AJ131" t="s" s="44">
        <f>AG108</f>
        <v>74</v>
      </c>
      <c r="AK131" t="s" s="44">
        <f>AN115</f>
        <v>91</v>
      </c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t="s" s="44">
        <v>112</v>
      </c>
      <c r="AD132" t="s" s="44">
        <f>IF(AG132&lt;AE132,"declined","increased")</f>
        <v>111</v>
      </c>
      <c r="AE132" s="15">
        <f>AI130</f>
        <v>0</v>
      </c>
      <c r="AF132" t="s" s="44">
        <v>76</v>
      </c>
      <c r="AG132" s="15">
        <f>AK130</f>
        <v>178</v>
      </c>
      <c r="AH132" t="s" s="48">
        <f>AH131</f>
        <v>22</v>
      </c>
      <c r="AI132" t="s" s="44">
        <v>113</v>
      </c>
      <c r="AJ132" t="s" s="44">
        <v>114</v>
      </c>
      <c r="AK132" t="s" s="44">
        <f>IF(AN132&lt;AL132,"down","up")</f>
        <v>87</v>
      </c>
      <c r="AL132" s="15">
        <f>AE131-AE132</f>
        <v>0</v>
      </c>
      <c r="AM132" t="s" s="44">
        <v>76</v>
      </c>
      <c r="AN132" s="15">
        <f>AG131-AG132</f>
        <v>-144</v>
      </c>
      <c r="AO132" t="s" s="48">
        <f>AH132</f>
        <v>22</v>
      </c>
      <c r="AP132" t="s" s="44">
        <v>115</v>
      </c>
      <c r="AQ132" s="17"/>
      <c r="AR132" s="17"/>
      <c r="AS132" s="17"/>
      <c r="AT132" s="17"/>
    </row>
    <row r="133" ht="56.05" customHeight="1">
      <c r="AA133" s="36"/>
      <c r="AB133" s="34"/>
      <c r="AC133" t="s" s="44">
        <v>116</v>
      </c>
      <c r="AD133" s="17">
        <f>SUM(AC62:AF62)</f>
      </c>
      <c r="AE133" t="s" s="48">
        <f>AH132</f>
        <v>22</v>
      </c>
      <c r="AF133" t="s" s="44">
        <v>117</v>
      </c>
      <c r="AG133" s="17">
        <f>IF(AH133&gt;0,"+","")</f>
      </c>
      <c r="AH133" s="17">
        <f>AC60+AD60+AE60+AF60+AC64+AD64+AE64+AF64</f>
      </c>
      <c r="AI133" t="s" s="48">
        <f>AO132</f>
        <v>22</v>
      </c>
      <c r="AJ133" t="s" s="44">
        <v>118</v>
      </c>
      <c r="AK133" t="s" s="44">
        <v>119</v>
      </c>
      <c r="AL133" s="17">
        <f>AF79</f>
      </c>
      <c r="AM133" t="s" s="48">
        <f>AH132</f>
        <v>22</v>
      </c>
      <c r="AN133" t="s" s="44">
        <v>120</v>
      </c>
      <c r="AO133" s="17"/>
      <c r="AP133" s="17"/>
      <c r="AQ133" s="17"/>
      <c r="AR133" s="17"/>
      <c r="AS133" s="17"/>
      <c r="AT133" s="17"/>
    </row>
    <row r="134" ht="20.05" customHeight="1">
      <c r="AA134" s="36"/>
      <c r="AB134" s="34"/>
      <c r="AC134" t="s" s="44">
        <v>17</v>
      </c>
      <c r="AD134" t="s" s="44">
        <f>AD138</f>
        <v>121</v>
      </c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68.05" customHeight="1">
      <c r="AA135" s="36"/>
      <c r="AB135" s="34"/>
      <c r="AC135" t="s" s="44">
        <f>AC105</f>
        <v>70</v>
      </c>
      <c r="AD135" t="s" s="44">
        <v>122</v>
      </c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32.05" customHeight="1">
      <c r="AA136" s="36"/>
      <c r="AB136" s="34"/>
      <c r="AC136" s="15">
        <f>-L13</f>
        <v>-0.5</v>
      </c>
      <c r="AD136" t="s" s="44">
        <v>72</v>
      </c>
      <c r="AE136" s="15">
        <f>-L14</f>
        <v>-5.5</v>
      </c>
      <c r="AF136" t="s" s="44">
        <v>72</v>
      </c>
      <c r="AG136" s="15">
        <f>-L15</f>
        <v>-5.5</v>
      </c>
      <c r="AH136" t="s" s="44">
        <v>72</v>
      </c>
      <c r="AI136" s="15">
        <f>-L16</f>
        <v>-10.5</v>
      </c>
      <c r="AJ136" t="s" s="44">
        <v>72</v>
      </c>
      <c r="AK136" s="15">
        <f>-L17</f>
        <v>-10.5</v>
      </c>
      <c r="AL136" t="s" s="48">
        <f>AL107</f>
        <v>22</v>
      </c>
      <c r="AM136" s="17"/>
      <c r="AN136" s="17"/>
      <c r="AO136" s="17"/>
      <c r="AP136" s="17"/>
      <c r="AQ136" s="17"/>
      <c r="AR136" s="17"/>
      <c r="AS136" s="17"/>
      <c r="AT136" s="17"/>
    </row>
    <row r="137" ht="32.05" customHeight="1">
      <c r="AA137" s="36"/>
      <c r="AB137" s="34"/>
      <c r="AC137" s="15">
        <f>-M13</f>
        <v>0</v>
      </c>
      <c r="AD137" t="s" s="44">
        <v>72</v>
      </c>
      <c r="AE137" s="15">
        <f>-M14</f>
        <v>0</v>
      </c>
      <c r="AF137" t="s" s="44">
        <v>72</v>
      </c>
      <c r="AG137" s="15">
        <f>-M15</f>
        <v>0</v>
      </c>
      <c r="AH137" t="s" s="44">
        <v>72</v>
      </c>
      <c r="AI137" s="15">
        <f>-M16</f>
        <v>0</v>
      </c>
      <c r="AJ137" t="s" s="44">
        <v>72</v>
      </c>
      <c r="AK137" s="15">
        <f>-M17</f>
        <v>0</v>
      </c>
      <c r="AL137" t="s" s="48">
        <f>AL136</f>
        <v>22</v>
      </c>
      <c r="AM137" s="17"/>
      <c r="AN137" s="17"/>
      <c r="AO137" s="17"/>
      <c r="AP137" s="17"/>
      <c r="AQ137" s="17"/>
      <c r="AR137" s="17"/>
      <c r="AS137" s="17"/>
      <c r="AT137" s="17"/>
    </row>
    <row r="138" ht="44.05" customHeight="1">
      <c r="AA138" s="36"/>
      <c r="AB138" s="34"/>
      <c r="AC138" t="s" s="44">
        <f>AC96</f>
        <v>803</v>
      </c>
      <c r="AD138" t="s" s="44">
        <f>IF(AE138&gt;0,"paid","(raised)")</f>
        <v>121</v>
      </c>
      <c r="AE138" s="15">
        <f>SUM(AK136:AK137)</f>
        <v>-10.5</v>
      </c>
      <c r="AF138" t="s" s="48">
        <f>AL107</f>
        <v>22</v>
      </c>
      <c r="AG138" t="s" s="44">
        <f>AF108</f>
        <v>73</v>
      </c>
      <c r="AH138" t="s" s="44">
        <f>AG108</f>
        <v>74</v>
      </c>
      <c r="AI138" t="s" s="44">
        <f>AH108</f>
        <v>75</v>
      </c>
      <c r="AJ138" s="15">
        <f>AK136</f>
        <v>-10.5</v>
      </c>
      <c r="AK138" t="s" s="48">
        <f>AL107</f>
        <v>22</v>
      </c>
      <c r="AL138" t="s" s="44">
        <v>123</v>
      </c>
      <c r="AM138" s="15">
        <f>AK137</f>
        <v>0</v>
      </c>
      <c r="AN138" t="s" s="48">
        <f>AL107</f>
        <v>22</v>
      </c>
      <c r="AO138" t="s" s="44">
        <v>124</v>
      </c>
      <c r="AP138" t="s" s="44">
        <v>125</v>
      </c>
      <c r="AQ138" s="17">
        <f>IF(AR138&gt;0,"pay","raise")</f>
      </c>
      <c r="AR138" s="17">
        <f>-SUM(AC80:AF80)</f>
      </c>
      <c r="AS138" t="s" s="48">
        <f>AL107</f>
        <v>22</v>
      </c>
      <c r="AT138" t="s" s="44">
        <v>126</v>
      </c>
    </row>
    <row r="139" ht="56.05" customHeight="1">
      <c r="AA139" s="36"/>
      <c r="AB139" s="34"/>
      <c r="AC139" t="s" s="44">
        <v>127</v>
      </c>
      <c r="AD139" s="15">
        <f>AF83</f>
        <v>634.14</v>
      </c>
      <c r="AE139" t="s" s="48">
        <f>AL107</f>
        <v>22</v>
      </c>
      <c r="AF139" t="s" s="44">
        <v>128</v>
      </c>
      <c r="AG139" t="s" s="44">
        <v>129</v>
      </c>
      <c r="AH139" s="17">
        <f>AF85</f>
      </c>
      <c r="AI139" t="s" s="44">
        <v>130</v>
      </c>
      <c r="AJ139" t="s" s="44">
        <v>131</v>
      </c>
      <c r="AK139" t="s" s="44">
        <v>132</v>
      </c>
      <c r="AL139" s="17">
        <f>AF88</f>
      </c>
      <c r="AM139" t="s" s="44">
        <v>133</v>
      </c>
      <c r="AN139" s="16">
        <f>-AD133/AD139</f>
      </c>
      <c r="AO139" t="s" s="44">
        <v>134</v>
      </c>
      <c r="AP139" s="17"/>
      <c r="AQ139" s="17"/>
      <c r="AR139" s="17"/>
      <c r="AS139" s="17"/>
      <c r="AT139" s="17"/>
    </row>
    <row r="140" ht="56.05" customHeight="1">
      <c r="AA140" s="36"/>
      <c r="AB140" s="34"/>
      <c r="AC140" t="s" s="44">
        <v>135</v>
      </c>
      <c r="AD140" s="15">
        <f>AF87</f>
        <v>25.9746102557377</v>
      </c>
      <c r="AE140" t="s" s="48">
        <f>AE139</f>
        <v>22</v>
      </c>
      <c r="AF140" t="s" s="44">
        <v>136</v>
      </c>
      <c r="AG140" s="15">
        <f>AD139/AD140</f>
        <v>24.413840814413</v>
      </c>
      <c r="AH140" t="s" s="44">
        <v>130</v>
      </c>
      <c r="AI140" t="s" s="44">
        <v>137</v>
      </c>
      <c r="AJ140" t="s" s="44">
        <v>138</v>
      </c>
      <c r="AK140" s="15">
        <f>AF89</f>
        <v>25</v>
      </c>
      <c r="AL140" t="s" s="44">
        <v>139</v>
      </c>
      <c r="AM140" t="s" s="44">
        <v>140</v>
      </c>
      <c r="AN140" t="s" s="44">
        <v>141</v>
      </c>
      <c r="AO140" s="16">
        <f>AH97</f>
        <v>0.0240092982518718</v>
      </c>
      <c r="AP140" t="s" s="44">
        <f>IF(AO140&gt;0,"higher","lower")</f>
        <v>363</v>
      </c>
      <c r="AQ140" t="s" s="44">
        <v>142</v>
      </c>
      <c r="AR140" s="15">
        <f>AF97</f>
        <v>239.618175790938</v>
      </c>
      <c r="AS140" t="s" s="44">
        <v>143</v>
      </c>
      <c r="AT140" s="17"/>
    </row>
    <row r="141" ht="20.05" customHeight="1">
      <c r="AA141" s="36"/>
      <c r="AB141" s="34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28</v>
      </c>
      <c r="AB142" s="14">
        <f>AC107</f>
        <v>18</v>
      </c>
      <c r="AC142" s="15">
        <f>AE107</f>
        <v>23</v>
      </c>
      <c r="AD142" s="15">
        <f>AG107</f>
        <v>23</v>
      </c>
      <c r="AE142" s="15">
        <f>AI107</f>
        <v>32</v>
      </c>
      <c r="AF142" s="15">
        <f>AK107</f>
        <v>32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t="s" s="33">
        <v>144</v>
      </c>
      <c r="AB143" s="14">
        <f>SUM(AC122:AC123)</f>
        <v>-5.95</v>
      </c>
      <c r="AC143" s="15">
        <f>SUM(AE122:AE123)</f>
        <v>-6.4</v>
      </c>
      <c r="AD143" s="15">
        <f>SUM(AG122:AG123)</f>
        <v>-6.4</v>
      </c>
      <c r="AE143" s="15">
        <f>SUM(AI122:AI123)</f>
        <v>5</v>
      </c>
      <c r="AF143" s="15">
        <f>SUM(AK122:AK123)</f>
        <v>5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t="s" s="33">
        <v>145</v>
      </c>
      <c r="AB144" s="14">
        <f>SUM(AC136:AC137)</f>
        <v>-0.5</v>
      </c>
      <c r="AC144" s="15">
        <f>SUM(AE136:AE137)</f>
        <v>-5.5</v>
      </c>
      <c r="AD144" s="15">
        <f>SUM(AG136:AG137)</f>
        <v>-5.5</v>
      </c>
      <c r="AE144" s="15">
        <f>SUM(AI136:AI137)</f>
        <v>-10.5</v>
      </c>
      <c r="AF144" s="15">
        <f>SUM(AK136:AK137)</f>
        <v>-10.5</v>
      </c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t="s" s="33">
        <v>146</v>
      </c>
      <c r="AB145" s="14">
        <f>(AC129-AC130)</f>
        <v>0</v>
      </c>
      <c r="AC145" s="15">
        <f>(AE129-AE130)</f>
        <v>0</v>
      </c>
      <c r="AD145" s="15">
        <f>(AG129-AG130)</f>
        <v>-139</v>
      </c>
      <c r="AE145" s="15">
        <f>(AI129-AI130)</f>
        <v>0</v>
      </c>
      <c r="AF145" s="15">
        <f>(AK129-AK130)</f>
        <v>-144</v>
      </c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5">
        <f>AR140</f>
        <v>239.618175790938</v>
      </c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ht="20.05" customHeight="1">
      <c r="AA151" s="36"/>
      <c r="AB151" s="34"/>
      <c r="AC151" s="17"/>
      <c r="AD151" s="17"/>
      <c r="AE151" s="17"/>
      <c r="AF151" s="17"/>
      <c r="AG151" s="15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ht="20.05" customHeight="1">
      <c r="AA152" s="36"/>
      <c r="AB152" s="34"/>
      <c r="AC152" s="17"/>
      <c r="AD152" s="17"/>
      <c r="AE152" s="17"/>
      <c r="AF152" s="17"/>
      <c r="AG152" s="15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ht="20.05" customHeight="1">
      <c r="AA153" s="36"/>
      <c r="AB153" s="34"/>
      <c r="AC153" s="17"/>
      <c r="AD153" s="17"/>
      <c r="AE153" s="17"/>
      <c r="AF153" s="17"/>
      <c r="AG153" s="15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</sheetData>
  <mergeCells count="2">
    <mergeCell ref="B2:Z2"/>
    <mergeCell ref="AA50:AT50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4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32" customWidth="1"/>
    <col min="2" max="26" width="10.4844" style="432" customWidth="1"/>
    <col min="27" max="27" width="18.9766" style="433" customWidth="1"/>
    <col min="28" max="46" width="9" style="433" customWidth="1"/>
    <col min="47" max="16384" width="16.3516" style="433" customWidth="1"/>
  </cols>
  <sheetData>
    <row r="1" ht="11.65" customHeight="1"/>
    <row r="2" ht="27.65" customHeight="1">
      <c r="B2" t="s" s="2">
        <v>804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805</v>
      </c>
      <c r="W3" t="s" s="3">
        <v>18</v>
      </c>
      <c r="X3" t="s" s="3">
        <v>335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1467.377703936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5">
        <f>V4</f>
        <v>1467.377703936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5">
        <f>V5</f>
        <v>1467.377703936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5">
        <f>V6</f>
        <v>1467.377703936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f>C9</f>
        <v>31.7</v>
      </c>
      <c r="D8" s="15"/>
      <c r="E8" s="15"/>
      <c r="F8" s="15"/>
      <c r="G8" s="15"/>
      <c r="H8" s="15"/>
      <c r="I8" s="15">
        <f>I9</f>
        <v>28.55</v>
      </c>
      <c r="J8" s="15">
        <f>J9</f>
        <v>3.1</v>
      </c>
      <c r="K8" s="15">
        <f>K9</f>
        <v>-17.55</v>
      </c>
      <c r="L8" s="15">
        <f>L9</f>
        <v>-0.6</v>
      </c>
      <c r="M8" s="15">
        <f>M9</f>
        <v>17.9</v>
      </c>
      <c r="N8" s="15">
        <f>SUM(C5:C8)/4</f>
        <v>7.925</v>
      </c>
      <c r="O8" s="15"/>
      <c r="P8" s="16"/>
      <c r="Q8" s="16"/>
      <c r="R8" s="16"/>
      <c r="S8" s="15">
        <f>SUM(J5:K8)/4</f>
        <v>-3.6125</v>
      </c>
      <c r="T8" s="15">
        <f>J8+K8+T7</f>
        <v>-14.45</v>
      </c>
      <c r="U8" s="15">
        <f>-(L8+M8)+U7</f>
        <v>-17.3</v>
      </c>
      <c r="V8" s="15">
        <f>V7</f>
        <v>1467.377703936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>
        <f>C10</f>
        <v>31.7</v>
      </c>
      <c r="D9" s="15"/>
      <c r="E9" s="15"/>
      <c r="F9" s="15"/>
      <c r="G9" s="15"/>
      <c r="H9" s="15"/>
      <c r="I9" s="15">
        <f>I10</f>
        <v>28.55</v>
      </c>
      <c r="J9" s="15">
        <f>J10</f>
        <v>3.1</v>
      </c>
      <c r="K9" s="15">
        <f>K10</f>
        <v>-17.55</v>
      </c>
      <c r="L9" s="15">
        <f>L10</f>
        <v>-0.6</v>
      </c>
      <c r="M9" s="15">
        <f>M10</f>
        <v>17.9</v>
      </c>
      <c r="N9" s="15">
        <f>SUM(C6:C9)/4</f>
        <v>15.85</v>
      </c>
      <c r="O9" s="15"/>
      <c r="P9" s="16"/>
      <c r="Q9" s="16"/>
      <c r="R9" s="16"/>
      <c r="S9" s="15">
        <f>SUM(J6:K9)/4</f>
        <v>-7.225</v>
      </c>
      <c r="T9" s="15">
        <f>J9+K9+T8</f>
        <v>-28.9</v>
      </c>
      <c r="U9" s="15">
        <f>-(L9+M9)+U8</f>
        <v>-34.6</v>
      </c>
      <c r="V9" s="15">
        <f>V8</f>
        <v>1467.377703936</v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>
        <f>C11</f>
        <v>31.7</v>
      </c>
      <c r="D10" s="15"/>
      <c r="E10" s="15"/>
      <c r="F10" s="15"/>
      <c r="G10" s="15"/>
      <c r="H10" s="15"/>
      <c r="I10" s="15">
        <f>I11</f>
        <v>28.55</v>
      </c>
      <c r="J10" s="15">
        <f>J11</f>
        <v>3.1</v>
      </c>
      <c r="K10" s="15">
        <f>K11</f>
        <v>-17.55</v>
      </c>
      <c r="L10" s="15">
        <f>L11</f>
        <v>-0.6</v>
      </c>
      <c r="M10" s="15">
        <f>M11</f>
        <v>17.9</v>
      </c>
      <c r="N10" s="15">
        <f>SUM(C7:C10)/4</f>
        <v>23.775</v>
      </c>
      <c r="O10" s="15"/>
      <c r="P10" s="16"/>
      <c r="Q10" s="16"/>
      <c r="R10" s="16"/>
      <c r="S10" s="15">
        <f>SUM(J7:K10)/4</f>
        <v>-10.8375</v>
      </c>
      <c r="T10" s="15">
        <f>J10+K10+T9</f>
        <v>-43.35</v>
      </c>
      <c r="U10" s="15">
        <f>-(L10+M10)+U9</f>
        <v>-51.9</v>
      </c>
      <c r="V10" s="15">
        <f>V9</f>
        <v>1467.377703936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>
        <v>31.7</v>
      </c>
      <c r="D11" s="15"/>
      <c r="E11" s="15"/>
      <c r="F11" s="15"/>
      <c r="G11" s="15"/>
      <c r="H11" s="15"/>
      <c r="I11" s="15">
        <v>28.55</v>
      </c>
      <c r="J11" s="15">
        <v>3.1</v>
      </c>
      <c r="K11" s="15">
        <v>-17.55</v>
      </c>
      <c r="L11" s="15">
        <v>-0.6</v>
      </c>
      <c r="M11" s="15">
        <v>17.9</v>
      </c>
      <c r="N11" s="15">
        <f>SUM(C8:C11)/4</f>
        <v>31.7</v>
      </c>
      <c r="O11" s="15"/>
      <c r="P11" s="16"/>
      <c r="Q11" s="16"/>
      <c r="R11" s="16"/>
      <c r="S11" s="15">
        <f>SUM(J8:K11)/4</f>
        <v>-14.45</v>
      </c>
      <c r="T11" s="15">
        <f>J11+K11+T10</f>
        <v>-57.8</v>
      </c>
      <c r="U11" s="15">
        <f>-(L11+M11)+U10</f>
        <v>-69.2</v>
      </c>
      <c r="V11" s="15">
        <f>V10</f>
        <v>1467.377703936</v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>
        <f>C13</f>
        <v>61.225</v>
      </c>
      <c r="D12" s="15"/>
      <c r="E12" s="15"/>
      <c r="F12" s="15"/>
      <c r="G12" s="15"/>
      <c r="H12" s="15"/>
      <c r="I12" s="15">
        <f>I13</f>
        <v>53.725</v>
      </c>
      <c r="J12" s="15">
        <f>J13</f>
        <v>-0.1</v>
      </c>
      <c r="K12" s="15">
        <f>K13</f>
        <v>-6.2</v>
      </c>
      <c r="L12" s="15">
        <f>L13</f>
        <v>3.95</v>
      </c>
      <c r="M12" s="15">
        <f>M13</f>
        <v>0</v>
      </c>
      <c r="N12" s="15">
        <f>SUM(C9:C12)/4</f>
        <v>39.08125</v>
      </c>
      <c r="O12" s="23"/>
      <c r="P12" s="16"/>
      <c r="Q12" s="16">
        <f>(E12+D12)/C12</f>
        <v>0</v>
      </c>
      <c r="R12" s="16">
        <f>AVERAGE(Q9:Q12)</f>
        <v>0</v>
      </c>
      <c r="S12" s="15">
        <f>SUM(J9:K12)/4</f>
        <v>-12.4125</v>
      </c>
      <c r="T12" s="15">
        <f>J12+K12+T11</f>
        <v>-64.09999999999999</v>
      </c>
      <c r="U12" s="15">
        <f>-(L12+M12)+U11</f>
        <v>-73.15000000000001</v>
      </c>
      <c r="V12" s="15">
        <f>V11</f>
        <v>1467.377703936</v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>
        <f>C14</f>
        <v>61.225</v>
      </c>
      <c r="D13" s="15"/>
      <c r="E13" s="15"/>
      <c r="F13" s="15"/>
      <c r="G13" s="15"/>
      <c r="H13" s="15"/>
      <c r="I13" s="15">
        <f>I14</f>
        <v>53.725</v>
      </c>
      <c r="J13" s="15">
        <f>J14</f>
        <v>-0.1</v>
      </c>
      <c r="K13" s="15">
        <f>K14</f>
        <v>-6.2</v>
      </c>
      <c r="L13" s="15">
        <f>L14</f>
        <v>3.95</v>
      </c>
      <c r="M13" s="15">
        <f>M14</f>
        <v>0</v>
      </c>
      <c r="N13" s="15">
        <f>SUM(C10:C13)/4</f>
        <v>46.4625</v>
      </c>
      <c r="O13" s="23"/>
      <c r="P13" s="16">
        <f>C13/C12-1</f>
        <v>0</v>
      </c>
      <c r="Q13" s="16">
        <f>(E13+D13)/C13</f>
        <v>0</v>
      </c>
      <c r="R13" s="16">
        <f>AVERAGE(Q10:Q13)</f>
        <v>0</v>
      </c>
      <c r="S13" s="15">
        <f>SUM(J10:K13)/4</f>
        <v>-10.375</v>
      </c>
      <c r="T13" s="15">
        <f>J13+K13+T12</f>
        <v>-70.40000000000001</v>
      </c>
      <c r="U13" s="15">
        <f>-(L13+M13)+U12</f>
        <v>-77.09999999999999</v>
      </c>
      <c r="V13" s="15">
        <f>V12</f>
        <v>1467.377703936</v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>
        <f>C15</f>
        <v>61.225</v>
      </c>
      <c r="D14" s="15"/>
      <c r="E14" s="15"/>
      <c r="F14" s="15"/>
      <c r="G14" s="15"/>
      <c r="H14" s="15"/>
      <c r="I14" s="15">
        <f>I15</f>
        <v>53.725</v>
      </c>
      <c r="J14" s="15">
        <f>J15</f>
        <v>-0.1</v>
      </c>
      <c r="K14" s="15">
        <f>K15</f>
        <v>-6.2</v>
      </c>
      <c r="L14" s="15">
        <f>L15</f>
        <v>3.95</v>
      </c>
      <c r="M14" s="15">
        <f>M15</f>
        <v>0</v>
      </c>
      <c r="N14" s="15">
        <f>SUM(C11:C14)/4</f>
        <v>53.84375</v>
      </c>
      <c r="O14" s="23"/>
      <c r="P14" s="16">
        <f>C11/C13-1</f>
        <v>-0.4822376480196</v>
      </c>
      <c r="Q14" s="16">
        <f>(E14+D14)/C11</f>
        <v>0</v>
      </c>
      <c r="R14" s="16">
        <f>AVERAGE(Q11:Q14)</f>
        <v>0</v>
      </c>
      <c r="S14" s="15">
        <f>SUM(J11:K14)/4</f>
        <v>-8.3375</v>
      </c>
      <c r="T14" s="15">
        <f>J11+K11+T13</f>
        <v>-84.84999999999999</v>
      </c>
      <c r="U14" s="15">
        <f>-(L11+M11)+U13</f>
        <v>-94.40000000000001</v>
      </c>
      <c r="V14" s="15">
        <f>V13</f>
        <v>1467.377703936</v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>
        <v>61.225</v>
      </c>
      <c r="D15" s="15"/>
      <c r="E15" s="15"/>
      <c r="F15" s="15"/>
      <c r="G15" s="15"/>
      <c r="H15" s="15"/>
      <c r="I15" s="15">
        <v>53.725</v>
      </c>
      <c r="J15" s="15">
        <v>-0.1</v>
      </c>
      <c r="K15" s="15">
        <v>-6.2</v>
      </c>
      <c r="L15" s="15">
        <v>3.95</v>
      </c>
      <c r="M15" s="15">
        <v>0</v>
      </c>
      <c r="N15" s="15">
        <f>SUM(C12:C15)/4</f>
        <v>61.225</v>
      </c>
      <c r="O15" s="15"/>
      <c r="P15" s="16">
        <f>C15/C11-1</f>
        <v>0.931388012618297</v>
      </c>
      <c r="Q15" s="16">
        <f>(E15+D15)/C15</f>
        <v>0</v>
      </c>
      <c r="R15" s="16">
        <f>AVERAGE(Q12:Q15)</f>
        <v>0</v>
      </c>
      <c r="S15" s="15">
        <f>SUM(J12:K15)/4</f>
        <v>-6.3</v>
      </c>
      <c r="T15" s="15">
        <f>J15+K15+T14</f>
        <v>-91.15000000000001</v>
      </c>
      <c r="U15" s="15">
        <f>-(L15+M15)+U14</f>
        <v>-98.34999999999999</v>
      </c>
      <c r="V15" s="15">
        <f>V14</f>
        <v>1467.377703936</v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>
        <f>C17</f>
        <v>109.725</v>
      </c>
      <c r="D16" s="15">
        <f>D17</f>
        <v>0</v>
      </c>
      <c r="E16" s="15">
        <f>E17</f>
        <v>2.85</v>
      </c>
      <c r="F16" s="15"/>
      <c r="G16" s="15"/>
      <c r="H16" s="15"/>
      <c r="I16" s="15">
        <f>I17</f>
        <v>102</v>
      </c>
      <c r="J16" s="15">
        <f>J17</f>
        <v>2.2</v>
      </c>
      <c r="K16" s="15">
        <f>K17</f>
        <v>-1.45</v>
      </c>
      <c r="L16" s="15">
        <f>L17</f>
        <v>1.625</v>
      </c>
      <c r="M16" s="15">
        <f>M17</f>
        <v>0</v>
      </c>
      <c r="N16" s="15">
        <f>SUM(C13:C16)/4</f>
        <v>73.34999999999999</v>
      </c>
      <c r="O16" s="15"/>
      <c r="P16" s="16">
        <f>C16/C15-1</f>
        <v>0.792160065332789</v>
      </c>
      <c r="Q16" s="16">
        <f>(E16+D16)/C16</f>
        <v>0.025974025974026</v>
      </c>
      <c r="R16" s="16">
        <f>AVERAGE(Q13:Q16)</f>
        <v>0.0064935064935065</v>
      </c>
      <c r="S16" s="15">
        <f>SUM(J13:K16)/4</f>
        <v>-4.5375</v>
      </c>
      <c r="T16" s="15">
        <f>J16+K16+T15</f>
        <v>-90.40000000000001</v>
      </c>
      <c r="U16" s="15">
        <f>-(L16+M16)+U15</f>
        <v>-99.97499999999999</v>
      </c>
      <c r="V16" s="15">
        <f>V15</f>
        <v>1467.377703936</v>
      </c>
      <c r="W16" s="15">
        <f>F16-G16</f>
        <v>0</v>
      </c>
      <c r="X16" s="18"/>
      <c r="Y16" s="24"/>
      <c r="Z16" s="15">
        <v>16.31</v>
      </c>
    </row>
    <row r="17" ht="20.05" customHeight="1">
      <c r="B17" s="13"/>
      <c r="C17" s="14">
        <f>C18</f>
        <v>109.725</v>
      </c>
      <c r="D17" s="15">
        <f>D18</f>
        <v>0</v>
      </c>
      <c r="E17" s="15">
        <f>E18</f>
        <v>2.85</v>
      </c>
      <c r="F17" s="15"/>
      <c r="G17" s="15"/>
      <c r="H17" s="15"/>
      <c r="I17" s="15">
        <f>I18</f>
        <v>102</v>
      </c>
      <c r="J17" s="15">
        <f>J18</f>
        <v>2.2</v>
      </c>
      <c r="K17" s="15">
        <f>K18</f>
        <v>-1.45</v>
      </c>
      <c r="L17" s="15">
        <f>L18</f>
        <v>1.625</v>
      </c>
      <c r="M17" s="15">
        <f>M18</f>
        <v>0</v>
      </c>
      <c r="N17" s="15">
        <f>SUM(C14:C17)/4</f>
        <v>85.47499999999999</v>
      </c>
      <c r="O17" s="15"/>
      <c r="P17" s="16">
        <f>C17/C16-1</f>
        <v>0</v>
      </c>
      <c r="Q17" s="16">
        <f>(E17+D17)/C17</f>
        <v>0.025974025974026</v>
      </c>
      <c r="R17" s="16">
        <f>AVERAGE(Q14:Q17)</f>
        <v>0.012987012987013</v>
      </c>
      <c r="S17" s="25">
        <f>SUM(J14:K17)/4</f>
        <v>-2.775</v>
      </c>
      <c r="T17" s="15">
        <f>J11+K11+T16</f>
        <v>-104.85</v>
      </c>
      <c r="U17" s="15">
        <f>-(L11+M11)+U16</f>
        <v>-117.275</v>
      </c>
      <c r="V17" s="15">
        <f>V16</f>
        <v>1467.377703936</v>
      </c>
      <c r="W17" s="15">
        <f>F17-G17</f>
        <v>0</v>
      </c>
      <c r="X17" s="18"/>
      <c r="Y17" s="24"/>
      <c r="Z17" s="15">
        <v>14.255</v>
      </c>
    </row>
    <row r="18" ht="20.05" customHeight="1">
      <c r="B18" s="13"/>
      <c r="C18" s="14">
        <f>C19</f>
        <v>109.725</v>
      </c>
      <c r="D18" s="15">
        <f>D19</f>
        <v>0</v>
      </c>
      <c r="E18" s="15">
        <f>E19</f>
        <v>2.85</v>
      </c>
      <c r="F18" s="15"/>
      <c r="G18" s="15"/>
      <c r="H18" s="15"/>
      <c r="I18" s="15">
        <f>I19</f>
        <v>102</v>
      </c>
      <c r="J18" s="15">
        <f>J19</f>
        <v>2.2</v>
      </c>
      <c r="K18" s="15">
        <f>K19</f>
        <v>-1.45</v>
      </c>
      <c r="L18" s="15">
        <f>L19</f>
        <v>1.625</v>
      </c>
      <c r="M18" s="15">
        <f>M19</f>
        <v>0</v>
      </c>
      <c r="N18" s="15">
        <f>SUM(C15:C18)/4</f>
        <v>97.59999999999999</v>
      </c>
      <c r="O18" s="15"/>
      <c r="P18" s="16">
        <f>C18/C17-1</f>
        <v>0</v>
      </c>
      <c r="Q18" s="16">
        <f>(E18+D18)/C18</f>
        <v>0.025974025974026</v>
      </c>
      <c r="R18" s="16">
        <f>AVERAGE(Q15:Q18)</f>
        <v>0.0194805194805195</v>
      </c>
      <c r="S18" s="25">
        <f>SUM(J15:K18)/4</f>
        <v>-1.0125</v>
      </c>
      <c r="T18" s="15">
        <f>J15+K15+T17</f>
        <v>-111.15</v>
      </c>
      <c r="U18" s="15">
        <f>-(L15+M15)+U17</f>
        <v>-121.225</v>
      </c>
      <c r="V18" s="15">
        <f>V17</f>
        <v>1467.377703936</v>
      </c>
      <c r="W18" s="15">
        <f>F18-G18</f>
        <v>0</v>
      </c>
      <c r="X18" s="18"/>
      <c r="Y18" s="24"/>
      <c r="Z18" s="15">
        <v>14.79</v>
      </c>
    </row>
    <row r="19" ht="20.05" customHeight="1">
      <c r="B19" s="13"/>
      <c r="C19" s="14">
        <v>109.725</v>
      </c>
      <c r="D19" s="15">
        <v>0</v>
      </c>
      <c r="E19" s="15">
        <v>2.85</v>
      </c>
      <c r="F19" s="15"/>
      <c r="G19" s="15"/>
      <c r="H19" s="15"/>
      <c r="I19" s="15">
        <v>102</v>
      </c>
      <c r="J19" s="15">
        <v>2.2</v>
      </c>
      <c r="K19" s="15">
        <v>-1.45</v>
      </c>
      <c r="L19" s="15">
        <v>1.625</v>
      </c>
      <c r="M19" s="15">
        <v>0</v>
      </c>
      <c r="N19" s="15">
        <f>SUM(C16:C19)/4</f>
        <v>109.725</v>
      </c>
      <c r="O19" s="15"/>
      <c r="P19" s="16">
        <f>C19/C18-1</f>
        <v>0</v>
      </c>
      <c r="Q19" s="16">
        <f>(E19+D19)/C19</f>
        <v>0.025974025974026</v>
      </c>
      <c r="R19" s="16">
        <f>AVERAGE(Q16:Q19)</f>
        <v>0.025974025974026</v>
      </c>
      <c r="S19" s="25">
        <f>SUM(J16:K19)/4</f>
        <v>0.75</v>
      </c>
      <c r="T19" s="15">
        <f>J19+K19+T18</f>
        <v>-110.4</v>
      </c>
      <c r="U19" s="15">
        <f>-(L19+M19)+U18</f>
        <v>-122.85</v>
      </c>
      <c r="V19" s="15">
        <f>V18</f>
        <v>1467.377703936</v>
      </c>
      <c r="W19" s="15">
        <f>F19-G19</f>
        <v>0</v>
      </c>
      <c r="X19" s="15"/>
      <c r="Y19" s="24"/>
      <c r="Z19" s="15">
        <v>14.1</v>
      </c>
    </row>
    <row r="20" ht="20.05" customHeight="1">
      <c r="B20" s="21">
        <v>2021</v>
      </c>
      <c r="C20" s="14">
        <v>144.4</v>
      </c>
      <c r="D20" s="15">
        <v>2.5</v>
      </c>
      <c r="E20" s="15">
        <v>8.4</v>
      </c>
      <c r="F20" s="15">
        <v>0</v>
      </c>
      <c r="G20" s="15">
        <v>0</v>
      </c>
      <c r="H20" s="15">
        <v>0</v>
      </c>
      <c r="I20" s="15">
        <v>107.2</v>
      </c>
      <c r="J20" s="15">
        <v>8.300000000000001</v>
      </c>
      <c r="K20" s="15">
        <v>-0.2</v>
      </c>
      <c r="L20" s="15">
        <v>-4.1</v>
      </c>
      <c r="M20" s="15">
        <v>0</v>
      </c>
      <c r="N20" s="15">
        <f>SUM(C17:C20)/4</f>
        <v>118.39375</v>
      </c>
      <c r="O20" s="15"/>
      <c r="P20" s="16">
        <f>C20/C19-1</f>
        <v>0.316017316017316</v>
      </c>
      <c r="Q20" s="16">
        <f>(E20+D20)/C20</f>
        <v>0.0754847645429363</v>
      </c>
      <c r="R20" s="16">
        <f>AVERAGE(Q17:Q20)</f>
        <v>0.0383517106162536</v>
      </c>
      <c r="S20" s="25">
        <f>SUM(J17:K20)/4</f>
        <v>2.5875</v>
      </c>
      <c r="T20" s="15">
        <f>J20+K20+T19</f>
        <v>-102.3</v>
      </c>
      <c r="U20" s="15">
        <f>-(L20+M20)+U19</f>
        <v>-118.75</v>
      </c>
      <c r="V20" s="15">
        <f>V19</f>
        <v>1467.377703936</v>
      </c>
      <c r="W20" s="15">
        <f>F20-G20</f>
        <v>0</v>
      </c>
      <c r="X20" s="15"/>
      <c r="Y20" s="15"/>
      <c r="Z20" s="15">
        <v>14.606</v>
      </c>
    </row>
    <row r="21" ht="20.05" customHeight="1">
      <c r="B21" s="13"/>
      <c r="C21" s="14">
        <v>161.8</v>
      </c>
      <c r="D21" s="15">
        <v>2.5</v>
      </c>
      <c r="E21" s="15">
        <v>8.300000000000001</v>
      </c>
      <c r="F21" s="15">
        <v>0</v>
      </c>
      <c r="G21" s="15">
        <v>0</v>
      </c>
      <c r="H21" s="15">
        <v>0</v>
      </c>
      <c r="I21" s="15">
        <v>144.7</v>
      </c>
      <c r="J21" s="15">
        <v>-23.3</v>
      </c>
      <c r="K21" s="15">
        <v>0</v>
      </c>
      <c r="L21" s="15">
        <v>4.2</v>
      </c>
      <c r="M21" s="15">
        <v>15.9</v>
      </c>
      <c r="N21" s="15">
        <f>SUM(C18:C21)/4</f>
        <v>131.4125</v>
      </c>
      <c r="O21" s="15"/>
      <c r="P21" s="16">
        <f>C21/C20-1</f>
        <v>0.120498614958449</v>
      </c>
      <c r="Q21" s="16">
        <f>(E21+D21)/C21</f>
        <v>0.0667490729295426</v>
      </c>
      <c r="R21" s="16">
        <f>AVERAGE(Q18:Q21)</f>
        <v>0.0485454723551327</v>
      </c>
      <c r="S21" s="25">
        <f>SUM(J18:K21)/4</f>
        <v>-3.425</v>
      </c>
      <c r="T21" s="15">
        <f>J21+K21+T20</f>
        <v>-125.6</v>
      </c>
      <c r="U21" s="15">
        <f>-(L21+M21)+U20</f>
        <v>-138.85</v>
      </c>
      <c r="V21" s="15">
        <f>V20</f>
        <v>1467.377703936</v>
      </c>
      <c r="W21" s="15">
        <f>F21-G21</f>
        <v>0</v>
      </c>
      <c r="X21" s="15"/>
      <c r="Y21" s="15"/>
      <c r="Z21" s="15">
        <v>14.45</v>
      </c>
    </row>
    <row r="22" ht="20.05" customHeight="1">
      <c r="B22" s="13"/>
      <c r="C22" s="14">
        <v>149.9</v>
      </c>
      <c r="D22" s="15">
        <v>2.5</v>
      </c>
      <c r="E22" s="15">
        <v>4.15</v>
      </c>
      <c r="F22" s="15">
        <v>0</v>
      </c>
      <c r="G22" s="15">
        <v>0</v>
      </c>
      <c r="H22" s="15">
        <v>0</v>
      </c>
      <c r="I22" s="15">
        <v>170.05</v>
      </c>
      <c r="J22" s="15">
        <v>29</v>
      </c>
      <c r="K22" s="15">
        <v>-10.4</v>
      </c>
      <c r="L22" s="15">
        <v>-7.3</v>
      </c>
      <c r="M22" s="15">
        <v>-5.3</v>
      </c>
      <c r="N22" s="15">
        <f>SUM(C19:C22)/4</f>
        <v>141.45625</v>
      </c>
      <c r="O22" s="15"/>
      <c r="P22" s="16">
        <f>C22/C21-1</f>
        <v>-0.0735475896168109</v>
      </c>
      <c r="Q22" s="16">
        <f>(E22+D22)/C22</f>
        <v>0.0443629086057372</v>
      </c>
      <c r="R22" s="16">
        <f>AVERAGE(Q19:Q22)</f>
        <v>0.0531426930130605</v>
      </c>
      <c r="S22" s="25">
        <f>SUM(J19:K22)/4</f>
        <v>1.0375</v>
      </c>
      <c r="T22" s="15">
        <f>J22+K22+T21</f>
        <v>-107</v>
      </c>
      <c r="U22" s="15">
        <f>-(L22+M22)+U21</f>
        <v>-126.25</v>
      </c>
      <c r="V22" s="15">
        <f>V21</f>
        <v>1467.377703936</v>
      </c>
      <c r="W22" s="15">
        <f>F22-G22</f>
        <v>0</v>
      </c>
      <c r="X22" s="15"/>
      <c r="Y22" s="15"/>
      <c r="Z22" s="15">
        <v>14.328</v>
      </c>
    </row>
    <row r="23" ht="20.05" customHeight="1">
      <c r="B23" s="13"/>
      <c r="C23" s="14">
        <v>149.9</v>
      </c>
      <c r="D23" s="15">
        <v>2.5</v>
      </c>
      <c r="E23" s="15">
        <v>4.15</v>
      </c>
      <c r="F23" s="15">
        <v>19</v>
      </c>
      <c r="G23" s="15">
        <v>97</v>
      </c>
      <c r="H23" s="15">
        <v>248</v>
      </c>
      <c r="I23" s="15">
        <v>170.05</v>
      </c>
      <c r="J23" s="15">
        <v>29</v>
      </c>
      <c r="K23" s="15">
        <v>-10.4</v>
      </c>
      <c r="L23" s="15">
        <v>-7.3</v>
      </c>
      <c r="M23" s="15">
        <v>-5.3</v>
      </c>
      <c r="N23" s="15">
        <f>SUM(C20:C23)/4</f>
        <v>151.5</v>
      </c>
      <c r="O23" s="15"/>
      <c r="P23" s="16">
        <f>C23/C22-1</f>
        <v>0</v>
      </c>
      <c r="Q23" s="16">
        <f>(E23+D23)/C23</f>
        <v>0.0443629086057372</v>
      </c>
      <c r="R23" s="16">
        <f>AVERAGE(Q20:Q23)</f>
        <v>0.0577399136709883</v>
      </c>
      <c r="S23" s="25">
        <f>SUM(J20:K23)/4</f>
        <v>5.5</v>
      </c>
      <c r="T23" s="15">
        <f>J23+K23+T22</f>
        <v>-88.40000000000001</v>
      </c>
      <c r="U23" s="15">
        <f>-(L23+M23)+U22</f>
        <v>-113.65</v>
      </c>
      <c r="V23" s="15">
        <f>V22</f>
        <v>1467.377703936</v>
      </c>
      <c r="W23" s="15">
        <f>F23-G23</f>
        <v>-78</v>
      </c>
      <c r="X23" s="15"/>
      <c r="Y23" s="15"/>
      <c r="Z23" s="15">
        <v>14.275</v>
      </c>
    </row>
    <row r="24" ht="20.05" customHeight="1">
      <c r="B24" s="21">
        <v>2022</v>
      </c>
      <c r="C24" s="14">
        <v>301</v>
      </c>
      <c r="D24" s="15">
        <v>3</v>
      </c>
      <c r="E24" s="15">
        <v>14.6</v>
      </c>
      <c r="F24" s="15">
        <v>15</v>
      </c>
      <c r="G24" s="15">
        <v>134</v>
      </c>
      <c r="H24" s="15">
        <v>299</v>
      </c>
      <c r="I24" s="15">
        <v>250.1</v>
      </c>
      <c r="J24" s="15">
        <v>-2.1</v>
      </c>
      <c r="K24" s="15">
        <v>-0.2</v>
      </c>
      <c r="L24" s="15">
        <v>-1.2</v>
      </c>
      <c r="M24" s="15">
        <v>0</v>
      </c>
      <c r="N24" s="15">
        <f>SUM(C21:C24)/4</f>
        <v>190.65</v>
      </c>
      <c r="O24" s="15"/>
      <c r="P24" s="16">
        <f>C24/C23-1</f>
        <v>1.00800533689126</v>
      </c>
      <c r="Q24" s="16">
        <f>(E24+D24)/C24</f>
        <v>0.0584717607973422</v>
      </c>
      <c r="R24" s="16">
        <f>AVERAGE(Q21:Q24)</f>
        <v>0.0534866627345898</v>
      </c>
      <c r="S24" s="25">
        <f>SUM(J21:K24)/4</f>
        <v>2.9</v>
      </c>
      <c r="T24" s="15">
        <f>J24+K24+T23</f>
        <v>-90.7</v>
      </c>
      <c r="U24" s="15">
        <f>-(L24+M24)+U23</f>
        <v>-112.45</v>
      </c>
      <c r="V24" s="15">
        <f>V23</f>
        <v>1467.377703936</v>
      </c>
      <c r="W24" s="15">
        <f>F24-G24</f>
        <v>-119</v>
      </c>
      <c r="X24" s="15"/>
      <c r="Y24" s="15"/>
      <c r="Z24" s="15">
        <v>14.327</v>
      </c>
    </row>
    <row r="25" ht="20.05" customHeight="1">
      <c r="B25" s="13"/>
      <c r="C25" s="14">
        <v>349.7</v>
      </c>
      <c r="D25" s="15">
        <v>3</v>
      </c>
      <c r="E25" s="15">
        <v>11.4</v>
      </c>
      <c r="F25" s="15">
        <v>253</v>
      </c>
      <c r="G25" s="15">
        <v>150</v>
      </c>
      <c r="H25" s="15">
        <v>742</v>
      </c>
      <c r="I25" s="15">
        <v>309.2</v>
      </c>
      <c r="J25" s="15">
        <v>-24</v>
      </c>
      <c r="K25" s="15">
        <v>-153</v>
      </c>
      <c r="L25" s="15">
        <v>-1.1</v>
      </c>
      <c r="M25" s="15">
        <v>416.1</v>
      </c>
      <c r="N25" s="15">
        <f>SUM(C22:C25)/4</f>
        <v>237.625</v>
      </c>
      <c r="O25" s="15"/>
      <c r="P25" s="16">
        <f>C25/C24-1</f>
        <v>0.161794019933555</v>
      </c>
      <c r="Q25" s="16">
        <f>(E25+D25)/C25</f>
        <v>0.0411781527023163</v>
      </c>
      <c r="R25" s="16">
        <f>AVERAGE(Q22:Q25)</f>
        <v>0.0470939326777832</v>
      </c>
      <c r="S25" s="25">
        <f>SUM(J22:K25)/4</f>
        <v>-35.525</v>
      </c>
      <c r="T25" s="15">
        <f>J25+K25+T24</f>
        <v>-267.7</v>
      </c>
      <c r="U25" s="15">
        <f>-(L25+M25)+U24</f>
        <v>-527.45</v>
      </c>
      <c r="V25" s="15">
        <f>V24</f>
        <v>1467.377703936</v>
      </c>
      <c r="W25" s="15">
        <f>F25-G25</f>
        <v>103</v>
      </c>
      <c r="X25" s="15">
        <v>570</v>
      </c>
      <c r="Y25" s="15"/>
      <c r="Z25" s="15">
        <v>14.66</v>
      </c>
    </row>
    <row r="26" ht="20.05" customHeight="1">
      <c r="B26" s="13"/>
      <c r="C26" s="14">
        <v>556.9</v>
      </c>
      <c r="D26" s="15">
        <v>4.4</v>
      </c>
      <c r="E26" s="15">
        <v>11.1</v>
      </c>
      <c r="F26" s="15">
        <v>138</v>
      </c>
      <c r="G26" s="15">
        <v>168</v>
      </c>
      <c r="H26" s="15">
        <v>778</v>
      </c>
      <c r="I26" s="15">
        <v>461.4</v>
      </c>
      <c r="J26" s="15">
        <v>-24.4</v>
      </c>
      <c r="K26" s="15">
        <v>-86.7</v>
      </c>
      <c r="L26" s="15">
        <v>-1.4</v>
      </c>
      <c r="M26" s="15">
        <v>-0.1</v>
      </c>
      <c r="N26" s="15">
        <f>SUM(C23:C26)/4</f>
        <v>339.375</v>
      </c>
      <c r="O26" s="15">
        <v>353.197</v>
      </c>
      <c r="P26" s="16">
        <f>C26/C25-1</f>
        <v>0.592507863883329</v>
      </c>
      <c r="Q26" s="16">
        <f>(E26+D26)/C26</f>
        <v>0.0278326449991022</v>
      </c>
      <c r="R26" s="16">
        <f>AVERAGE(Q23:Q26)</f>
        <v>0.0429613667761245</v>
      </c>
      <c r="S26" s="25">
        <f>SUM(J23:K26)/4</f>
        <v>-67.95</v>
      </c>
      <c r="T26" s="15">
        <f>J26+K26+T25</f>
        <v>-378.8</v>
      </c>
      <c r="U26" s="15">
        <f>-(L26+M26)+U25</f>
        <v>-525.95</v>
      </c>
      <c r="V26" s="15">
        <f>V25</f>
        <v>1467.377703936</v>
      </c>
      <c r="W26" s="15">
        <f>F26-G26</f>
        <v>-30</v>
      </c>
      <c r="X26" s="15">
        <v>434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568.0787845715</v>
      </c>
      <c r="P27" s="17"/>
      <c r="Q27" s="17"/>
      <c r="R27" s="17"/>
      <c r="S27" s="25"/>
      <c r="T27" s="17"/>
      <c r="U27" s="17"/>
      <c r="V27" s="17"/>
      <c r="W27" s="26"/>
      <c r="X27" s="15">
        <v>117</v>
      </c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339.375</v>
      </c>
      <c r="O28" s="15">
        <f>SUM(O26)</f>
        <v>353.197</v>
      </c>
      <c r="P28" s="17"/>
      <c r="Q28" s="17"/>
      <c r="R28" s="17"/>
      <c r="S28" s="17"/>
      <c r="T28" s="17"/>
      <c r="U28" s="17"/>
      <c r="V28" s="17"/>
      <c r="W28" s="26"/>
      <c r="X28" s="15">
        <v>123</v>
      </c>
      <c r="Y28" s="15">
        <f>AF87</f>
        <v>46.9591228229706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335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0.440576805177036</v>
      </c>
      <c r="AD49" s="35"/>
      <c r="AE49" s="35"/>
      <c r="AF49" s="35">
        <f>AVERAGE(AC51:AF51)</f>
        <v>0.0125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</v>
      </c>
      <c r="AD50" s="35">
        <f>P24</f>
        <v>1.00800533689126</v>
      </c>
      <c r="AE50" s="35">
        <f>P25</f>
        <v>0.161794019933555</v>
      </c>
      <c r="AF50" s="35">
        <f>P26</f>
        <v>0.592507863883329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0.01</v>
      </c>
      <c r="AD51" s="35">
        <v>-0.01</v>
      </c>
      <c r="AE51" s="35">
        <v>0.02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556.9</v>
      </c>
      <c r="AC52" s="23">
        <f>C26*(1+AC51)</f>
        <v>562.4690000000001</v>
      </c>
      <c r="AD52" s="23">
        <f>AC52*(1+AD51)</f>
        <v>556.84431</v>
      </c>
      <c r="AE52" s="23">
        <f>AD52*(1+AE51)</f>
        <v>567.9811962</v>
      </c>
      <c r="AF52" s="23">
        <f>AE52*(1+AF51)</f>
        <v>585.020632086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0.0429613667761245</v>
      </c>
      <c r="AD53" s="35">
        <f>AC53</f>
        <v>0.0429613667761245</v>
      </c>
      <c r="AE53" s="35">
        <f>AD53</f>
        <v>0.0429613667761245</v>
      </c>
      <c r="AF53" s="35">
        <f>AE53</f>
        <v>0.0429613667761245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AVERAGE(K23)</f>
        <v>-10.4</v>
      </c>
      <c r="AD54" s="15">
        <f>AC54</f>
        <v>-10.4</v>
      </c>
      <c r="AE54" s="15">
        <f>AD54</f>
        <v>-10.4</v>
      </c>
      <c r="AF54" s="15">
        <f>AE54</f>
        <v>-10.4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13.7644370092</v>
      </c>
      <c r="AD55" s="15">
        <f>(AD52*AD53)+AD54</f>
        <v>13.522792639108</v>
      </c>
      <c r="AE55" s="15">
        <f>(AE52*AE53)+AE54</f>
        <v>14.0012484918901</v>
      </c>
      <c r="AF55" s="15">
        <f>(AF52*AF53)+AF54</f>
        <v>14.7332859466468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-8.4</v>
      </c>
      <c r="AD56" s="15">
        <f>-AC71/20</f>
        <v>-7.98</v>
      </c>
      <c r="AE56" s="15">
        <f>-AD71/20</f>
        <v>-7.581</v>
      </c>
      <c r="AF56" s="15">
        <f>-AE71/20</f>
        <v>-7.20195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5.3644370092</v>
      </c>
      <c r="AD59" s="15">
        <f>AD55+AD56+AD58</f>
        <v>5.542792639108</v>
      </c>
      <c r="AE59" s="15">
        <f>AE55+AE56+AE58</f>
        <v>6.4202484918901</v>
      </c>
      <c r="AF59" s="15">
        <f>AF55+AF56+AF58</f>
        <v>7.5313359466468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138</v>
      </c>
      <c r="AD61" s="15">
        <f>AC63</f>
        <v>143.3644370092</v>
      </c>
      <c r="AE61" s="15">
        <f>AD63</f>
        <v>148.907229648308</v>
      </c>
      <c r="AF61" s="15">
        <f>AE63</f>
        <v>155.327478140198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5.3644370092</v>
      </c>
      <c r="AD62" s="15">
        <f>AD55+AD56+AD58+AD60</f>
        <v>5.542792639108</v>
      </c>
      <c r="AE62" s="15">
        <f>AE55+AE56+AE58+AE60</f>
        <v>6.4202484918901</v>
      </c>
      <c r="AF62" s="15">
        <f>AF55+AF56+AF58+AF60</f>
        <v>7.5313359466468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143.3644370092</v>
      </c>
      <c r="AD63" s="15">
        <f>AD61+AD62</f>
        <v>148.907229648308</v>
      </c>
      <c r="AE63" s="15">
        <f>AE61+AE62</f>
        <v>155.327478140198</v>
      </c>
      <c r="AF63" s="15">
        <f>AF61+AF62</f>
        <v>162.858814086845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-3.46666666666667</v>
      </c>
      <c r="AD65" s="15">
        <f>AC65</f>
        <v>-3.46666666666667</v>
      </c>
      <c r="AE65" s="15">
        <f>AD65</f>
        <v>-3.46666666666667</v>
      </c>
      <c r="AF65" s="15">
        <f>AE65</f>
        <v>-3.46666666666667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20.6977703425333</v>
      </c>
      <c r="AD66" s="15">
        <f>(AD52*AD53)+AD65</f>
        <v>20.4561259724413</v>
      </c>
      <c r="AE66" s="15">
        <f>(AE52*AE53)+AE65</f>
        <v>20.9345818252235</v>
      </c>
      <c r="AF66" s="15">
        <f>(AF52*AF53)+AF65</f>
        <v>21.6666192799802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650.4</v>
      </c>
      <c r="AD68" s="15">
        <f>AC68-AD54</f>
        <v>660.8</v>
      </c>
      <c r="AE68" s="15">
        <f>AD68-AE54</f>
        <v>671.2</v>
      </c>
      <c r="AF68" s="15">
        <f>AE68-AF54</f>
        <v>681.6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3.46666666666667</v>
      </c>
      <c r="AD69" s="15">
        <f>AC69-AD65</f>
        <v>6.93333333333334</v>
      </c>
      <c r="AE69" s="15">
        <f>AD69-AE65</f>
        <v>10.4</v>
      </c>
      <c r="AF69" s="15">
        <f>AE69-AF65</f>
        <v>13.8666666666667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646.9333333333331</v>
      </c>
      <c r="AD70" s="15">
        <f>AD68-AD69</f>
        <v>653.866666666667</v>
      </c>
      <c r="AE70" s="15">
        <f>AE68-AE69</f>
        <v>660.8</v>
      </c>
      <c r="AF70" s="15">
        <f>AF68-AF69</f>
        <v>667.733333333333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159.6</v>
      </c>
      <c r="AD71" s="15">
        <f>AC71+AD56</f>
        <v>151.62</v>
      </c>
      <c r="AE71" s="15">
        <f>AD71+AE56</f>
        <v>144.039</v>
      </c>
      <c r="AF71" s="15">
        <f>AE71+AF56</f>
        <v>136.83705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630.697770342533</v>
      </c>
      <c r="AD73" s="15">
        <f>AC73+AD66+AD58</f>
        <v>651.153896314974</v>
      </c>
      <c r="AE73" s="15">
        <f>AD73+AE66+AE58</f>
        <v>672.088478140198</v>
      </c>
      <c r="AF73" s="15">
        <f>AE73+AF66+AF58</f>
        <v>693.755097420178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0</v>
      </c>
      <c r="AD74" s="15">
        <f>AD71+AD72+AD73-AD63-AD70</f>
        <v>-1e-12</v>
      </c>
      <c r="AE74" s="15">
        <f>AE71+AE72+AE73-AE63-AE70</f>
        <v>0</v>
      </c>
      <c r="AF74" s="15">
        <f>AF71+AF72+AF73-AF63-AF70</f>
        <v>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-16.2355629908</v>
      </c>
      <c r="AD75" s="15">
        <f>AD63-AD71-AD72</f>
        <v>-2.712770351692</v>
      </c>
      <c r="AE75" s="15">
        <f>AE63-AE71-AE72</f>
        <v>11.288478140198</v>
      </c>
      <c r="AF75" s="15">
        <f>AF63-AF71-AF72</f>
        <v>26.021764086845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-8.4</v>
      </c>
      <c r="AD76" s="15">
        <f>AD56+AD58+AD60</f>
        <v>-7.98</v>
      </c>
      <c r="AE76" s="15">
        <f>AE56+AE58+AE60</f>
        <v>-7.581</v>
      </c>
      <c r="AF76" s="15">
        <f>AF56+AF58+AF60</f>
        <v>-7.20195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806</v>
      </c>
      <c r="AB78" s="14"/>
      <c r="AC78" s="15"/>
      <c r="AD78" s="15"/>
      <c r="AE78" s="15"/>
      <c r="AF78" s="15">
        <v>123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1467.377703936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11.929900032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1.76666455190274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-271.8</v>
      </c>
      <c r="AF83" s="15">
        <f>SUM(AC55:AF55)</f>
        <v>56.0217640868449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11.9191772022426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26.192993524111</v>
      </c>
      <c r="AF85" s="15">
        <v>10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560.2176408684491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46.9591228229706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-0.618218513634385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2.71514342895264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0.0407278084714549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806</v>
      </c>
      <c r="AD92" t="s" s="44">
        <f>AC114</f>
        <v>15</v>
      </c>
      <c r="AE92" t="s" s="44">
        <f>AD114</f>
        <v>58</v>
      </c>
      <c r="AF92" t="s" s="44">
        <f>AE114</f>
        <v>485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123</v>
      </c>
      <c r="AE93" t="s" s="44">
        <v>61</v>
      </c>
      <c r="AF93" s="15">
        <f>AF87</f>
        <v>46.9591228229706</v>
      </c>
      <c r="AG93" t="s" s="44">
        <f>IF(AH93&gt;0,"+","")</f>
      </c>
      <c r="AH93" s="16">
        <f>AF93/AD93-1</f>
        <v>-0.618218513634385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2.71514342895264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</c>
      <c r="AF97" s="16">
        <f>(AE118+AE119+AG118+AG119+AI118+AI119+AK118+AK119)/AD135</f>
        <v>-0.18522838344275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</c>
      <c r="AF98" s="16">
        <f>(AE132+AE133+AG132+AG133+AI132+AI133+AK132+AK133)/AD135</f>
        <v>-0.272390672781705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-0.0204446339340784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0.592507863883329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-0.0735475896168109</v>
      </c>
      <c r="AD102" s="16">
        <f>P23</f>
        <v>0</v>
      </c>
      <c r="AE102" s="16">
        <f>P24</f>
        <v>1.00800533689126</v>
      </c>
      <c r="AF102" s="16">
        <f>P25</f>
        <v>0.161794019933555</v>
      </c>
      <c r="AG102" s="16">
        <f>P26</f>
        <v>0.592507863883329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149.9</v>
      </c>
      <c r="AD103" t="s" s="44">
        <v>72</v>
      </c>
      <c r="AE103" s="15">
        <f>C23</f>
        <v>149.9</v>
      </c>
      <c r="AF103" t="s" s="44">
        <v>72</v>
      </c>
      <c r="AG103" s="15">
        <f>C24</f>
        <v>301</v>
      </c>
      <c r="AH103" t="s" s="44">
        <v>72</v>
      </c>
      <c r="AI103" s="15">
        <f>C25</f>
        <v>349.7</v>
      </c>
      <c r="AJ103" t="s" s="44">
        <v>72</v>
      </c>
      <c r="AK103" s="15">
        <f>C26</f>
        <v>556.9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0.592507863883329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556.9</v>
      </c>
      <c r="AK104" t="s" s="48">
        <f>AL103</f>
        <v>22</v>
      </c>
      <c r="AL104" t="s" s="44">
        <v>77</v>
      </c>
      <c r="AM104" t="s" s="44">
        <f>IF(AN104&gt;0,"+","")</f>
        <v>361</v>
      </c>
      <c r="AN104" s="16">
        <f>AF90</f>
        <v>0.0407278084714549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0.440576805177036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0.0125</v>
      </c>
      <c r="AE106" t="s" s="44">
        <v>82</v>
      </c>
      <c r="AF106" t="s" s="44">
        <v>83</v>
      </c>
      <c r="AG106" s="23">
        <f>AF52</f>
        <v>585.020632086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87</v>
      </c>
      <c r="AE107" t="s" s="44">
        <v>86</v>
      </c>
      <c r="AF107" t="s" s="44">
        <f>IF(AJ111&gt;AH111,"up","down")</f>
        <v>87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0.0443629086057372</v>
      </c>
      <c r="AD109" s="16">
        <f>(D23+E23)/C23</f>
        <v>0.0443629086057372</v>
      </c>
      <c r="AE109" s="16">
        <f>((E24+D24)/C24)</f>
        <v>0.0584717607973422</v>
      </c>
      <c r="AF109" s="16">
        <f>(D25+E25)/C25</f>
        <v>0.0411781527023163</v>
      </c>
      <c r="AG109" s="16">
        <f>(D26+E26)/C26</f>
        <v>0.0278326449991022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4.15</v>
      </c>
      <c r="AD110" t="s" s="44">
        <v>72</v>
      </c>
      <c r="AE110" s="15">
        <f>E23</f>
        <v>4.15</v>
      </c>
      <c r="AF110" t="s" s="44">
        <v>72</v>
      </c>
      <c r="AG110" s="15">
        <f>E24</f>
        <v>14.6</v>
      </c>
      <c r="AH110" t="s" s="44">
        <v>72</v>
      </c>
      <c r="AI110" s="15">
        <f>E25</f>
        <v>11.4</v>
      </c>
      <c r="AJ110" t="s" s="44">
        <v>72</v>
      </c>
      <c r="AK110" s="15">
        <f>E26</f>
        <v>11.1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0.0411781527023163</v>
      </c>
      <c r="AE111" t="s" s="44">
        <v>76</v>
      </c>
      <c r="AF111" s="16">
        <f>AG109</f>
        <v>0.0278326449991022</v>
      </c>
      <c r="AG111" t="s" s="44">
        <v>90</v>
      </c>
      <c r="AH111" s="15">
        <f>AI110</f>
        <v>11.4</v>
      </c>
      <c r="AI111" t="s" s="44">
        <v>76</v>
      </c>
      <c r="AJ111" s="15">
        <f>AK110</f>
        <v>11.1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0.0429613667761245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0.0429613667761245</v>
      </c>
      <c r="AE113" t="s" s="44">
        <v>94</v>
      </c>
      <c r="AF113" s="15">
        <f>AF66</f>
        <v>21.6666192799802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485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177</v>
      </c>
      <c r="AE115" s="15">
        <f>ABS(AF120)</f>
        <v>111.1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177</v>
      </c>
      <c r="AD116" s="15">
        <f>ABS(AF120)</f>
        <v>111.1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29</v>
      </c>
      <c r="AD118" t="s" s="44">
        <v>72</v>
      </c>
      <c r="AE118" s="15">
        <f>J23</f>
        <v>29</v>
      </c>
      <c r="AF118" t="s" s="44">
        <v>72</v>
      </c>
      <c r="AG118" s="15">
        <f>J24</f>
        <v>-2.1</v>
      </c>
      <c r="AH118" t="s" s="44">
        <v>72</v>
      </c>
      <c r="AI118" s="15">
        <f>J25</f>
        <v>-24</v>
      </c>
      <c r="AJ118" t="s" s="44">
        <v>72</v>
      </c>
      <c r="AK118" s="15">
        <f>J26</f>
        <v>-24.4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-10.4</v>
      </c>
      <c r="AD119" t="s" s="44">
        <v>72</v>
      </c>
      <c r="AE119" s="15">
        <f>K23</f>
        <v>-10.4</v>
      </c>
      <c r="AF119" t="s" s="44">
        <v>72</v>
      </c>
      <c r="AG119" s="15">
        <f>K24</f>
        <v>-0.2</v>
      </c>
      <c r="AH119" t="s" s="44">
        <v>72</v>
      </c>
      <c r="AI119" s="15">
        <f>K25</f>
        <v>-153</v>
      </c>
      <c r="AJ119" t="s" s="44">
        <v>72</v>
      </c>
      <c r="AK119" s="15">
        <f>K26</f>
        <v>-86.7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-177</v>
      </c>
      <c r="AE120" t="s" s="44">
        <v>76</v>
      </c>
      <c r="AF120" s="15">
        <f>AK118+AK119</f>
        <v>-111.1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-86.7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-67.95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-10.4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14.0054410217112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87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0</v>
      </c>
      <c r="AD125" t="s" s="44">
        <v>72</v>
      </c>
      <c r="AE125" s="15">
        <f>F23</f>
        <v>19</v>
      </c>
      <c r="AF125" t="s" s="44">
        <v>72</v>
      </c>
      <c r="AG125" s="15">
        <f>F24</f>
        <v>15</v>
      </c>
      <c r="AH125" t="s" s="44">
        <v>72</v>
      </c>
      <c r="AI125" s="15">
        <f>F25</f>
        <v>253</v>
      </c>
      <c r="AJ125" t="s" s="44">
        <v>72</v>
      </c>
      <c r="AK125" s="15">
        <f>F26</f>
        <v>138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0</v>
      </c>
      <c r="AD126" t="s" s="44">
        <v>72</v>
      </c>
      <c r="AE126" s="15">
        <f>G23</f>
        <v>97</v>
      </c>
      <c r="AF126" t="s" s="44">
        <v>72</v>
      </c>
      <c r="AG126" s="15">
        <f>G24</f>
        <v>134</v>
      </c>
      <c r="AH126" t="s" s="44">
        <v>72</v>
      </c>
      <c r="AI126" s="15">
        <f>G25</f>
        <v>150</v>
      </c>
      <c r="AJ126" t="s" s="44">
        <v>72</v>
      </c>
      <c r="AK126" s="15">
        <f>G26</f>
        <v>168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370</v>
      </c>
      <c r="AE127" s="15">
        <f>AI125</f>
        <v>253</v>
      </c>
      <c r="AF127" t="s" s="44">
        <v>76</v>
      </c>
      <c r="AG127" s="15">
        <f>AK125</f>
        <v>138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111</v>
      </c>
      <c r="AE128" s="15">
        <f>AI126</f>
        <v>150</v>
      </c>
      <c r="AF128" t="s" s="44">
        <v>76</v>
      </c>
      <c r="AG128" s="15">
        <f>AK126</f>
        <v>168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87</v>
      </c>
      <c r="AL128" s="15">
        <f>AE127-AE128</f>
        <v>103</v>
      </c>
      <c r="AM128" t="s" s="44">
        <v>76</v>
      </c>
      <c r="AN128" s="15">
        <f>AG127-AG128</f>
        <v>-30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-31.16295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26.021764086845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374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7.3</v>
      </c>
      <c r="AD132" t="s" s="44">
        <v>72</v>
      </c>
      <c r="AE132" s="15">
        <f>-L23</f>
        <v>7.3</v>
      </c>
      <c r="AF132" t="s" s="44">
        <v>72</v>
      </c>
      <c r="AG132" s="15">
        <f>-L24</f>
        <v>1.2</v>
      </c>
      <c r="AH132" t="s" s="44">
        <v>72</v>
      </c>
      <c r="AI132" s="15">
        <f>-L25</f>
        <v>1.1</v>
      </c>
      <c r="AJ132" t="s" s="44">
        <v>72</v>
      </c>
      <c r="AK132" s="15">
        <f>-L26</f>
        <v>1.4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5.3</v>
      </c>
      <c r="AD133" t="s" s="44">
        <v>72</v>
      </c>
      <c r="AE133" s="15">
        <f>-M23</f>
        <v>5.3</v>
      </c>
      <c r="AF133" t="s" s="44">
        <v>72</v>
      </c>
      <c r="AG133" s="15">
        <f>-M24</f>
        <v>0</v>
      </c>
      <c r="AH133" t="s" s="44">
        <v>72</v>
      </c>
      <c r="AI133" s="15">
        <f>-M25</f>
        <v>-416.1</v>
      </c>
      <c r="AJ133" t="s" s="44">
        <v>72</v>
      </c>
      <c r="AK133" s="15">
        <f>-M26</f>
        <v>0.1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806</v>
      </c>
      <c r="AD134" t="s" s="44">
        <f>IF(AE134&gt;0,"paid","(raised)")</f>
        <v>374</v>
      </c>
      <c r="AE134" s="15">
        <f>SUM(AK132:AK133)</f>
        <v>1.5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1.4</v>
      </c>
      <c r="AK134" t="s" s="48">
        <f>AL103</f>
        <v>22</v>
      </c>
      <c r="AL134" t="s" s="44">
        <v>123</v>
      </c>
      <c r="AM134" s="15">
        <f>AK133</f>
        <v>0.1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31.16295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1467.377703936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1.76666455190274</v>
      </c>
      <c r="AI135" t="s" s="44">
        <v>130</v>
      </c>
      <c r="AJ135" t="s" s="44">
        <v>131</v>
      </c>
      <c r="AK135" t="s" s="44">
        <v>132</v>
      </c>
      <c r="AL135" s="15">
        <f>AF84</f>
        <v>11.9191772022426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56.0217640868449</v>
      </c>
      <c r="AE136" t="s" s="48">
        <f>AE135</f>
        <v>22</v>
      </c>
      <c r="AF136" t="s" s="44">
        <v>136</v>
      </c>
      <c r="AG136" s="15">
        <f>AD135/AD136</f>
        <v>26.192993524111</v>
      </c>
      <c r="AH136" t="s" s="44">
        <v>130</v>
      </c>
      <c r="AI136" t="s" s="44">
        <v>137</v>
      </c>
      <c r="AJ136" t="s" s="44">
        <v>138</v>
      </c>
      <c r="AK136" s="15">
        <f>AF85</f>
        <v>10</v>
      </c>
      <c r="AL136" t="s" s="44">
        <v>139</v>
      </c>
      <c r="AM136" t="s" s="44">
        <v>140</v>
      </c>
      <c r="AN136" t="s" s="44">
        <v>141</v>
      </c>
      <c r="AO136" s="16">
        <f>AH93</f>
        <v>-0.618218513634385</v>
      </c>
      <c r="AP136" t="s" s="44">
        <f>IF(AO136&gt;0,"higher","lower")</f>
        <v>104</v>
      </c>
      <c r="AQ136" t="s" s="44">
        <v>142</v>
      </c>
      <c r="AR136" s="15">
        <f>AF93</f>
        <v>46.9591228229706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149.9</v>
      </c>
      <c r="AC138" s="15">
        <f>AE103</f>
        <v>149.9</v>
      </c>
      <c r="AD138" s="15">
        <f>AG103</f>
        <v>301</v>
      </c>
      <c r="AE138" s="15">
        <f>AI103</f>
        <v>349.7</v>
      </c>
      <c r="AF138" s="15">
        <f>AK103</f>
        <v>556.9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18.6</v>
      </c>
      <c r="AC139" s="15">
        <f>SUM(AE118:AE119)</f>
        <v>18.6</v>
      </c>
      <c r="AD139" s="15">
        <f>SUM(AG118:AG119)</f>
        <v>-2.3</v>
      </c>
      <c r="AE139" s="15">
        <f>SUM(AI118:AI119)</f>
        <v>-177</v>
      </c>
      <c r="AF139" s="15">
        <f>SUM(AK118:AK119)</f>
        <v>-111.1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12.6</v>
      </c>
      <c r="AC140" s="15">
        <f>SUM(AE132:AE133)</f>
        <v>12.6</v>
      </c>
      <c r="AD140" s="15">
        <f>SUM(AG132:AG133)</f>
        <v>1.2</v>
      </c>
      <c r="AE140" s="15">
        <f>SUM(AI132:AI133)</f>
        <v>-415</v>
      </c>
      <c r="AF140" s="15">
        <f>SUM(AK132:AK133)</f>
        <v>1.5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0</v>
      </c>
      <c r="AC141" s="15">
        <f>(AE125-AE126)</f>
        <v>-78</v>
      </c>
      <c r="AD141" s="15">
        <f>(AG125-AG126)</f>
        <v>-119</v>
      </c>
      <c r="AE141" s="15">
        <f>(AI125-AI126)</f>
        <v>103</v>
      </c>
      <c r="AF141" s="15">
        <f>(AK125-AK126)</f>
        <v>-30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46.9591228229706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08" customWidth="1"/>
    <col min="2" max="26" width="10.4844" style="108" customWidth="1"/>
    <col min="27" max="27" width="18.9766" style="109" customWidth="1"/>
    <col min="28" max="46" width="9" style="109" customWidth="1"/>
    <col min="47" max="16384" width="16.3516" style="109" customWidth="1"/>
  </cols>
  <sheetData>
    <row r="1" ht="11.65" customHeight="1"/>
    <row r="2" ht="27.65" customHeight="1">
      <c r="B2" t="s" s="2">
        <v>482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483</v>
      </c>
      <c r="W3" t="s" s="3">
        <v>18</v>
      </c>
      <c r="X3" t="s" s="3">
        <v>297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>
        <v>40.8025</v>
      </c>
      <c r="K4" s="8">
        <v>-50.8205</v>
      </c>
      <c r="L4" s="8"/>
      <c r="M4" s="8"/>
      <c r="N4" s="8"/>
      <c r="O4" s="8"/>
      <c r="P4" s="9"/>
      <c r="Q4" s="9"/>
      <c r="R4" s="9"/>
      <c r="S4" s="9"/>
      <c r="T4" s="8">
        <f>J4+K4</f>
        <v>-10.018</v>
      </c>
      <c r="U4" s="8">
        <f>-(L4+M4)</f>
        <v>0</v>
      </c>
      <c r="V4" s="8">
        <v>20022.55804416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>
        <v>40.8025</v>
      </c>
      <c r="K5" s="15">
        <v>-50.8205</v>
      </c>
      <c r="L5" s="15"/>
      <c r="M5" s="15"/>
      <c r="N5" s="15"/>
      <c r="O5" s="15"/>
      <c r="P5" s="16"/>
      <c r="Q5" s="17"/>
      <c r="R5" s="17"/>
      <c r="S5" s="17"/>
      <c r="T5" s="15">
        <f>J5+K5+T4</f>
        <v>-20.036</v>
      </c>
      <c r="U5" s="15">
        <f>-(L5+M5)+U4</f>
        <v>0</v>
      </c>
      <c r="V5" s="15">
        <f>V4</f>
        <v>20022.55804416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>
        <v>40.8025</v>
      </c>
      <c r="K6" s="15">
        <v>-50.8205</v>
      </c>
      <c r="L6" s="15"/>
      <c r="M6" s="15"/>
      <c r="N6" s="15"/>
      <c r="O6" s="15"/>
      <c r="P6" s="16"/>
      <c r="Q6" s="17"/>
      <c r="R6" s="17"/>
      <c r="S6" s="17"/>
      <c r="T6" s="15">
        <f>J6+K6+T5</f>
        <v>-30.054</v>
      </c>
      <c r="U6" s="15">
        <f>-(L6+M6)+U5</f>
        <v>0</v>
      </c>
      <c r="V6" s="15">
        <f>V5</f>
        <v>20022.55804416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>
        <v>40.8025</v>
      </c>
      <c r="K7" s="15">
        <v>-50.8205</v>
      </c>
      <c r="L7" s="15"/>
      <c r="M7" s="15"/>
      <c r="N7" s="15"/>
      <c r="O7" s="15"/>
      <c r="P7" s="16"/>
      <c r="Q7" s="17"/>
      <c r="R7" s="17"/>
      <c r="S7" s="17"/>
      <c r="T7" s="15">
        <f>J7+K7+T6</f>
        <v>-40.072</v>
      </c>
      <c r="U7" s="15">
        <f>-(L7+M7)+U6</f>
        <v>0</v>
      </c>
      <c r="V7" s="15">
        <f>V6</f>
        <v>20022.55804416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>
        <v>-70.90774999999999</v>
      </c>
      <c r="K8" s="15">
        <v>94.169</v>
      </c>
      <c r="L8" s="15"/>
      <c r="M8" s="15"/>
      <c r="N8" s="15">
        <f>SUM(C5:C8)/4</f>
        <v>0</v>
      </c>
      <c r="O8" s="15"/>
      <c r="P8" s="16"/>
      <c r="Q8" s="16"/>
      <c r="R8" s="16"/>
      <c r="S8" s="15">
        <f>SUM(J5:K8)/4</f>
        <v>-1.6981875</v>
      </c>
      <c r="T8" s="15">
        <f>J11+K11+T7</f>
        <v>-16.81075</v>
      </c>
      <c r="U8" s="15">
        <f>-(L8+M8)+U7</f>
        <v>0</v>
      </c>
      <c r="V8" s="15">
        <f>V7</f>
        <v>20022.55804416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>
        <v>-70.90774999999999</v>
      </c>
      <c r="K9" s="15">
        <v>94.169</v>
      </c>
      <c r="L9" s="15"/>
      <c r="M9" s="15"/>
      <c r="N9" s="15">
        <f>SUM(C6:C9)/4</f>
        <v>0</v>
      </c>
      <c r="O9" s="15"/>
      <c r="P9" s="16"/>
      <c r="Q9" s="16"/>
      <c r="R9" s="16"/>
      <c r="S9" s="15">
        <f>SUM(J6:K9)/4</f>
        <v>6.621625</v>
      </c>
      <c r="T9" s="15">
        <f>J15+K15+T8</f>
        <v>-81.974</v>
      </c>
      <c r="U9" s="15">
        <f>-(L9+M9)+U8</f>
        <v>0</v>
      </c>
      <c r="V9" s="15">
        <f>V8</f>
        <v>20022.55804416</v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>
        <v>-70.90774999999999</v>
      </c>
      <c r="K10" s="15">
        <v>94.169</v>
      </c>
      <c r="L10" s="15"/>
      <c r="M10" s="15"/>
      <c r="N10" s="15">
        <f>SUM(C7:C10)/4</f>
        <v>0</v>
      </c>
      <c r="O10" s="15"/>
      <c r="P10" s="16"/>
      <c r="Q10" s="16"/>
      <c r="R10" s="16"/>
      <c r="S10" s="15">
        <f>SUM(J7:K10)/4</f>
        <v>14.9414375</v>
      </c>
      <c r="T10" s="15">
        <f>J10+K10+T9</f>
        <v>-58.71275</v>
      </c>
      <c r="U10" s="15">
        <f>-(L10+M10)+U9</f>
        <v>0</v>
      </c>
      <c r="V10" s="15">
        <f>V9</f>
        <v>20022.55804416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>
        <v>-70.90774999999999</v>
      </c>
      <c r="K11" s="15">
        <v>94.169</v>
      </c>
      <c r="L11" s="15"/>
      <c r="M11" s="15"/>
      <c r="N11" s="15">
        <f>SUM(C8:C11)/4</f>
        <v>0</v>
      </c>
      <c r="O11" s="15"/>
      <c r="P11" s="16"/>
      <c r="Q11" s="16"/>
      <c r="R11" s="16"/>
      <c r="S11" s="15">
        <f>SUM(J8:K11)/4</f>
        <v>23.26125</v>
      </c>
      <c r="T11" s="15">
        <f>J11+K11+T10</f>
        <v>-35.4515</v>
      </c>
      <c r="U11" s="15">
        <f>-(L11+M11)+U10</f>
        <v>0</v>
      </c>
      <c r="V11" s="15">
        <f>V10</f>
        <v>20022.55804416</v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>
        <v>28.50925</v>
      </c>
      <c r="K12" s="15">
        <v>-93.6725</v>
      </c>
      <c r="L12" s="15"/>
      <c r="M12" s="15"/>
      <c r="N12" s="15">
        <f>SUM(C9:C12)/4</f>
        <v>0</v>
      </c>
      <c r="O12" s="23"/>
      <c r="P12" s="16"/>
      <c r="Q12" s="16"/>
      <c r="R12" s="16"/>
      <c r="S12" s="15">
        <f>SUM(J9:K12)/4</f>
        <v>1.155125</v>
      </c>
      <c r="T12" s="15">
        <f>J12+K12+T11</f>
        <v>-100.61475</v>
      </c>
      <c r="U12" s="15">
        <f>-(L12+M12)+U11</f>
        <v>0</v>
      </c>
      <c r="V12" s="15">
        <f>V11</f>
        <v>20022.55804416</v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>
        <v>28.50925</v>
      </c>
      <c r="K13" s="15">
        <v>-93.6725</v>
      </c>
      <c r="L13" s="15"/>
      <c r="M13" s="15"/>
      <c r="N13" s="15">
        <f>SUM(C10:C13)/4</f>
        <v>0</v>
      </c>
      <c r="O13" s="23"/>
      <c r="P13" s="16"/>
      <c r="Q13" s="16"/>
      <c r="R13" s="16"/>
      <c r="S13" s="15">
        <f>SUM(J10:K13)/4</f>
        <v>-20.951</v>
      </c>
      <c r="T13" s="15">
        <f>J13+K13+T12</f>
        <v>-165.778</v>
      </c>
      <c r="U13" s="15">
        <f>-(L13+M13)+U12</f>
        <v>0</v>
      </c>
      <c r="V13" s="15">
        <f>V12</f>
        <v>20022.55804416</v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>
        <v>28.50925</v>
      </c>
      <c r="K14" s="15">
        <v>-93.6725</v>
      </c>
      <c r="L14" s="15"/>
      <c r="M14" s="15"/>
      <c r="N14" s="15">
        <f>SUM(C11:C14)/4</f>
        <v>0</v>
      </c>
      <c r="O14" s="23"/>
      <c r="P14" s="16"/>
      <c r="Q14" s="16"/>
      <c r="R14" s="16"/>
      <c r="S14" s="15">
        <f>SUM(J11:K14)/4</f>
        <v>-43.057125</v>
      </c>
      <c r="T14" s="15">
        <f>J14+K14+T13</f>
        <v>-230.94125</v>
      </c>
      <c r="U14" s="15">
        <f>-(L14+M14)+U13</f>
        <v>0</v>
      </c>
      <c r="V14" s="15">
        <f>V13</f>
        <v>20022.55804416</v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>
        <v>28.50925</v>
      </c>
      <c r="K15" s="15">
        <v>-93.6725</v>
      </c>
      <c r="L15" s="15"/>
      <c r="M15" s="15"/>
      <c r="N15" s="15">
        <f>SUM(C12:C15)/4</f>
        <v>0</v>
      </c>
      <c r="O15" s="15"/>
      <c r="P15" s="16"/>
      <c r="Q15" s="16"/>
      <c r="R15" s="16"/>
      <c r="S15" s="15">
        <f>SUM(J12:K15)/4</f>
        <v>-65.16325000000001</v>
      </c>
      <c r="T15" s="15">
        <f>J15+K15+T14</f>
        <v>-296.1045</v>
      </c>
      <c r="U15" s="15">
        <f>-(L15+M15)+U14</f>
        <v>0</v>
      </c>
      <c r="V15" s="15">
        <f>V14</f>
        <v>20022.55804416</v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>
        <v>8.257</v>
      </c>
      <c r="D16" s="15">
        <v>-0.025</v>
      </c>
      <c r="E16" s="15">
        <v>8.927</v>
      </c>
      <c r="F16" s="15"/>
      <c r="G16" s="15"/>
      <c r="H16" s="15"/>
      <c r="I16" s="15"/>
      <c r="J16" s="15">
        <v>6.154</v>
      </c>
      <c r="K16" s="15">
        <v>-81.883</v>
      </c>
      <c r="L16" s="15">
        <v>0</v>
      </c>
      <c r="M16" s="15">
        <v>0</v>
      </c>
      <c r="N16" s="15">
        <f>SUM(C13:C16)/4</f>
        <v>2.06425</v>
      </c>
      <c r="O16" s="15"/>
      <c r="P16" s="16"/>
      <c r="Q16" s="16">
        <f>(E16+D16)/C16</f>
        <v>1.07811553833111</v>
      </c>
      <c r="R16" s="16">
        <f>AVERAGE(Q13:Q16)</f>
        <v>1.07811553833111</v>
      </c>
      <c r="S16" s="15">
        <f>SUM(J13:K16)/4</f>
        <v>-67.8046875</v>
      </c>
      <c r="T16" s="15">
        <f>J16+K16+T15</f>
        <v>-371.8335</v>
      </c>
      <c r="U16" s="15">
        <f>-(L16+M16)+U15</f>
        <v>0</v>
      </c>
      <c r="V16" s="15">
        <f>V15</f>
        <v>20022.55804416</v>
      </c>
      <c r="W16" s="15">
        <f>F16-G16</f>
        <v>0</v>
      </c>
      <c r="X16" s="15"/>
      <c r="Y16" s="24"/>
      <c r="Z16" s="15">
        <v>16.31</v>
      </c>
    </row>
    <row r="17" ht="20.05" customHeight="1">
      <c r="B17" s="13"/>
      <c r="C17" s="14">
        <v>8.712999999999999</v>
      </c>
      <c r="D17" s="15">
        <v>-0.036</v>
      </c>
      <c r="E17" s="15">
        <v>-4.534</v>
      </c>
      <c r="F17" s="15"/>
      <c r="G17" s="15"/>
      <c r="H17" s="15"/>
      <c r="I17" s="15"/>
      <c r="J17" s="15">
        <v>66.872</v>
      </c>
      <c r="K17" s="15">
        <v>7.722</v>
      </c>
      <c r="L17" s="15">
        <v>0</v>
      </c>
      <c r="M17" s="15">
        <v>0</v>
      </c>
      <c r="N17" s="15">
        <f>SUM(C14:C17)/4</f>
        <v>4.2425</v>
      </c>
      <c r="O17" s="15"/>
      <c r="P17" s="16">
        <f>C17/C16-1</f>
        <v>0.0552258689596706</v>
      </c>
      <c r="Q17" s="16">
        <f>(E17+D17)/C17</f>
        <v>-0.524503615287501</v>
      </c>
      <c r="R17" s="16">
        <f>AVERAGE(Q14:Q17)</f>
        <v>0.276805961521805</v>
      </c>
      <c r="S17" s="25">
        <f>SUM(J14:K17)/4</f>
        <v>-32.865375</v>
      </c>
      <c r="T17" s="15">
        <f>J17+K17+T16</f>
        <v>-297.2395</v>
      </c>
      <c r="U17" s="15">
        <f>-(L17+M17)+U16</f>
        <v>0</v>
      </c>
      <c r="V17" s="15">
        <f>V16</f>
        <v>20022.55804416</v>
      </c>
      <c r="W17" s="15">
        <f>F17-G17</f>
        <v>0</v>
      </c>
      <c r="X17" s="15"/>
      <c r="Y17" s="24"/>
      <c r="Z17" s="15">
        <v>14.255</v>
      </c>
    </row>
    <row r="18" ht="20.05" customHeight="1">
      <c r="B18" s="13"/>
      <c r="C18" s="14">
        <v>7.681</v>
      </c>
      <c r="D18" s="15">
        <v>-0.007</v>
      </c>
      <c r="E18" s="15">
        <v>-0.43</v>
      </c>
      <c r="F18" s="15"/>
      <c r="G18" s="15"/>
      <c r="H18" s="15"/>
      <c r="I18" s="15"/>
      <c r="J18" s="15">
        <v>-64.29900000000001</v>
      </c>
      <c r="K18" s="15">
        <v>210.054</v>
      </c>
      <c r="L18" s="15">
        <v>0</v>
      </c>
      <c r="M18" s="15">
        <v>0</v>
      </c>
      <c r="N18" s="15">
        <f>SUM(C15:C18)/4</f>
        <v>6.16275</v>
      </c>
      <c r="O18" s="15"/>
      <c r="P18" s="16">
        <f>C18/C17-1</f>
        <v>-0.118443704808906</v>
      </c>
      <c r="Q18" s="16">
        <f>(E18+D18)/C18</f>
        <v>-0.0568936336414529</v>
      </c>
      <c r="R18" s="16">
        <f>AVERAGE(Q15:Q18)</f>
        <v>0.165572763134052</v>
      </c>
      <c r="S18" s="25">
        <f>SUM(J15:K18)/4</f>
        <v>19.8641875</v>
      </c>
      <c r="T18" s="15">
        <f>J18+K18+T17</f>
        <v>-151.4845</v>
      </c>
      <c r="U18" s="15">
        <f>-(L18+M18)+U17</f>
        <v>0</v>
      </c>
      <c r="V18" s="15">
        <f>V17</f>
        <v>20022.55804416</v>
      </c>
      <c r="W18" s="15">
        <f>F18-G18</f>
        <v>0</v>
      </c>
      <c r="X18" s="15"/>
      <c r="Y18" s="24"/>
      <c r="Z18" s="15">
        <v>14.79</v>
      </c>
    </row>
    <row r="19" ht="20.05" customHeight="1">
      <c r="B19" s="13"/>
      <c r="C19" s="14">
        <v>7.102</v>
      </c>
      <c r="D19" s="15">
        <v>65.096</v>
      </c>
      <c r="E19" s="15">
        <v>0.475</v>
      </c>
      <c r="F19" s="15">
        <v>55.463</v>
      </c>
      <c r="G19" s="15">
        <v>80.123</v>
      </c>
      <c r="H19" s="15">
        <v>721.397</v>
      </c>
      <c r="I19" s="15"/>
      <c r="J19" s="15">
        <v>-0.958</v>
      </c>
      <c r="K19" s="15">
        <v>-209.94</v>
      </c>
      <c r="L19" s="15">
        <v>0</v>
      </c>
      <c r="M19" s="15">
        <v>0</v>
      </c>
      <c r="N19" s="15">
        <f>SUM(C16:C19)/4</f>
        <v>7.93825</v>
      </c>
      <c r="O19" s="15"/>
      <c r="P19" s="16">
        <f>C19/C18-1</f>
        <v>-0.0753808097903919</v>
      </c>
      <c r="Q19" s="16">
        <f>(E19+D19)/C19</f>
        <v>9.23275133765137</v>
      </c>
      <c r="R19" s="16">
        <f>AVERAGE(Q16:Q19)</f>
        <v>2.43236740676338</v>
      </c>
      <c r="S19" s="25">
        <f>SUM(J16:K19)/4</f>
        <v>-16.5695</v>
      </c>
      <c r="T19" s="15">
        <f>J19+K19+T18</f>
        <v>-362.3825</v>
      </c>
      <c r="U19" s="15">
        <f>-(L19+M19)+U18</f>
        <v>0</v>
      </c>
      <c r="V19" s="15">
        <f>V18</f>
        <v>20022.55804416</v>
      </c>
      <c r="W19" s="15">
        <f>F19-H19</f>
        <v>-665.934</v>
      </c>
      <c r="X19" s="15">
        <v>103</v>
      </c>
      <c r="Y19" s="24"/>
      <c r="Z19" s="15">
        <v>14.1</v>
      </c>
    </row>
    <row r="20" ht="20.05" customHeight="1">
      <c r="B20" s="21">
        <v>2021</v>
      </c>
      <c r="C20" s="14">
        <v>9.565</v>
      </c>
      <c r="D20" s="15">
        <v>4.664</v>
      </c>
      <c r="E20" s="15">
        <v>0</v>
      </c>
      <c r="F20" s="15">
        <v>42.025</v>
      </c>
      <c r="G20" s="15">
        <v>64.681</v>
      </c>
      <c r="H20" s="15">
        <v>1221.492</v>
      </c>
      <c r="I20" s="15">
        <v>9</v>
      </c>
      <c r="J20" s="15">
        <v>-18.329</v>
      </c>
      <c r="K20" s="15">
        <v>-505.681</v>
      </c>
      <c r="L20" s="15">
        <v>0</v>
      </c>
      <c r="M20" s="15">
        <v>510.388</v>
      </c>
      <c r="N20" s="15">
        <f>SUM(C17:C20)/4</f>
        <v>8.26525</v>
      </c>
      <c r="O20" s="15"/>
      <c r="P20" s="16">
        <f>C20/C19-1</f>
        <v>0.346803717262743</v>
      </c>
      <c r="Q20" s="16">
        <f>(E20+D20)/C20</f>
        <v>0.487611082070047</v>
      </c>
      <c r="R20" s="16">
        <f>AVERAGE(Q17:Q20)</f>
        <v>2.28474129269812</v>
      </c>
      <c r="S20" s="25">
        <f>SUM(J17:K20)/4</f>
        <v>-128.63975</v>
      </c>
      <c r="T20" s="15">
        <f>J20+K20+T19</f>
        <v>-886.3925</v>
      </c>
      <c r="U20" s="15">
        <f>-(L20+M20)+U19</f>
        <v>-510.388</v>
      </c>
      <c r="V20" s="15">
        <f>V19</f>
        <v>20022.55804416</v>
      </c>
      <c r="W20" s="15">
        <f>F20-H20</f>
        <v>-1179.467</v>
      </c>
      <c r="X20" s="15">
        <v>2650</v>
      </c>
      <c r="Y20" s="15"/>
      <c r="Z20" s="15">
        <v>14.606</v>
      </c>
    </row>
    <row r="21" ht="20.05" customHeight="1">
      <c r="B21" s="13"/>
      <c r="C21" s="14">
        <v>9.744</v>
      </c>
      <c r="D21" s="15">
        <v>0.707</v>
      </c>
      <c r="E21" s="15">
        <v>0</v>
      </c>
      <c r="F21" s="15">
        <v>80.762</v>
      </c>
      <c r="G21" s="15">
        <v>55.784</v>
      </c>
      <c r="H21" s="15">
        <v>1206.484</v>
      </c>
      <c r="I21" s="15">
        <v>9.33333333333333</v>
      </c>
      <c r="J21" s="15">
        <v>-20.421</v>
      </c>
      <c r="K21" s="15">
        <v>59.152</v>
      </c>
      <c r="L21" s="15">
        <v>0</v>
      </c>
      <c r="M21" s="15">
        <v>0</v>
      </c>
      <c r="N21" s="15">
        <f>SUM(C18:C21)/4</f>
        <v>8.523</v>
      </c>
      <c r="O21" s="15"/>
      <c r="P21" s="16">
        <f>C21/C20-1</f>
        <v>0.0187140616832201</v>
      </c>
      <c r="Q21" s="16">
        <f>(E21+D21)/C21</f>
        <v>0.0725574712643678</v>
      </c>
      <c r="R21" s="16">
        <f>AVERAGE(Q18:Q21)</f>
        <v>2.43400656433608</v>
      </c>
      <c r="S21" s="25">
        <f>SUM(J18:K21)/4</f>
        <v>-137.6055</v>
      </c>
      <c r="T21" s="15">
        <f>J21+K21+T20</f>
        <v>-847.6615</v>
      </c>
      <c r="U21" s="15">
        <f>-(L21+M21)+U20</f>
        <v>-510.388</v>
      </c>
      <c r="V21" s="15">
        <f>V20</f>
        <v>20022.55804416</v>
      </c>
      <c r="W21" s="15">
        <f>F21-H21</f>
        <v>-1125.722</v>
      </c>
      <c r="X21" s="15">
        <v>3210</v>
      </c>
      <c r="Y21" s="15"/>
      <c r="Z21" s="15">
        <v>14.45</v>
      </c>
    </row>
    <row r="22" ht="20.05" customHeight="1">
      <c r="B22" s="13"/>
      <c r="C22" s="14">
        <v>9.089</v>
      </c>
      <c r="D22" s="15">
        <v>0.659</v>
      </c>
      <c r="E22" s="15">
        <v>-0.172</v>
      </c>
      <c r="F22" s="15">
        <v>36.598</v>
      </c>
      <c r="G22" s="15">
        <v>81.358</v>
      </c>
      <c r="H22" s="15">
        <v>1182.382</v>
      </c>
      <c r="I22" s="15">
        <v>9.33333333333333</v>
      </c>
      <c r="J22" s="15">
        <v>-30.009</v>
      </c>
      <c r="K22" s="15">
        <v>-19.409</v>
      </c>
      <c r="L22" s="15">
        <v>0</v>
      </c>
      <c r="M22" s="15">
        <v>5.284</v>
      </c>
      <c r="N22" s="15">
        <f>SUM(C19:C22)/4</f>
        <v>8.875</v>
      </c>
      <c r="O22" s="15"/>
      <c r="P22" s="16">
        <f>C22/C21-1</f>
        <v>-0.0672208538587849</v>
      </c>
      <c r="Q22" s="16">
        <f>(E22+D22)/C22</f>
        <v>0.0535812520629332</v>
      </c>
      <c r="R22" s="16">
        <f>AVERAGE(Q19:Q22)</f>
        <v>2.46162528576218</v>
      </c>
      <c r="S22" s="25">
        <f>SUM(J19:K22)/4</f>
        <v>-186.39875</v>
      </c>
      <c r="T22" s="15">
        <f>J22+K22+T21</f>
        <v>-897.0795000000001</v>
      </c>
      <c r="U22" s="15">
        <f>-(L22+M22)+U21</f>
        <v>-515.672</v>
      </c>
      <c r="V22" s="15">
        <f>V21</f>
        <v>20022.55804416</v>
      </c>
      <c r="W22" s="15">
        <f>F22-H22</f>
        <v>-1145.784</v>
      </c>
      <c r="X22" s="15">
        <v>2950</v>
      </c>
      <c r="Y22" s="15"/>
      <c r="Z22" s="15">
        <v>14.328</v>
      </c>
    </row>
    <row r="23" ht="20.05" customHeight="1">
      <c r="B23" s="13"/>
      <c r="C23" s="14">
        <v>8.497999999999999</v>
      </c>
      <c r="D23" s="15">
        <v>7.395</v>
      </c>
      <c r="E23" s="15">
        <v>0.014</v>
      </c>
      <c r="F23" s="15">
        <v>1158.499</v>
      </c>
      <c r="G23" s="15">
        <v>1126.835</v>
      </c>
      <c r="H23" s="15">
        <v>2173.162</v>
      </c>
      <c r="I23" s="15">
        <v>9.33333333333333</v>
      </c>
      <c r="J23" s="15">
        <v>958.236</v>
      </c>
      <c r="K23" s="15">
        <v>161.081</v>
      </c>
      <c r="L23" s="15">
        <v>0</v>
      </c>
      <c r="M23" s="15">
        <v>2.71</v>
      </c>
      <c r="N23" s="15">
        <f>SUM(C20:C23)/4</f>
        <v>9.224</v>
      </c>
      <c r="O23" s="15"/>
      <c r="P23" s="16">
        <f>C23/C22-1</f>
        <v>-0.0650236549675432</v>
      </c>
      <c r="Q23" s="16">
        <f>(E23+D23)/C23</f>
        <v>0.871852200517769</v>
      </c>
      <c r="R23" s="16">
        <f>AVERAGE(Q20:Q23)</f>
        <v>0.371400501478779</v>
      </c>
      <c r="S23" s="25">
        <f>SUM(J20:K23)/4</f>
        <v>146.155</v>
      </c>
      <c r="T23" s="15">
        <f>J23+K23+T22</f>
        <v>222.2375</v>
      </c>
      <c r="U23" s="15">
        <f>-(L23+M23)+U22</f>
        <v>-518.3819999999999</v>
      </c>
      <c r="V23" s="15">
        <f>V22</f>
        <v>20022.55804416</v>
      </c>
      <c r="W23" s="15">
        <f>F23-H23</f>
        <v>-1014.663</v>
      </c>
      <c r="X23" s="15">
        <v>2290</v>
      </c>
      <c r="Y23" s="15"/>
      <c r="Z23" s="15">
        <v>14.275</v>
      </c>
    </row>
    <row r="24" ht="20.05" customHeight="1">
      <c r="B24" s="21">
        <v>2022</v>
      </c>
      <c r="C24" s="14">
        <v>18.157</v>
      </c>
      <c r="D24" s="15">
        <v>4.245</v>
      </c>
      <c r="E24" s="15">
        <v>-0.018</v>
      </c>
      <c r="F24" s="15">
        <v>366.076</v>
      </c>
      <c r="G24" s="15">
        <v>296.311</v>
      </c>
      <c r="H24" s="15">
        <v>1303.391</v>
      </c>
      <c r="I24" s="15">
        <v>17</v>
      </c>
      <c r="J24" s="15">
        <v>-870.502</v>
      </c>
      <c r="K24" s="15">
        <v>68.00700000000001</v>
      </c>
      <c r="L24" s="15">
        <v>0</v>
      </c>
      <c r="M24" s="15">
        <v>10.054</v>
      </c>
      <c r="N24" s="15">
        <f>SUM(C21:C24)/4</f>
        <v>11.372</v>
      </c>
      <c r="O24" s="15"/>
      <c r="P24" s="16">
        <f>C24/C23-1</f>
        <v>1.13662038126618</v>
      </c>
      <c r="Q24" s="16">
        <f>(E24+D24)/C24</f>
        <v>0.232802775788952</v>
      </c>
      <c r="R24" s="16">
        <f>AVERAGE(Q21:Q24)</f>
        <v>0.307698424908506</v>
      </c>
      <c r="S24" s="25">
        <f>SUM(J21:K24)/4</f>
        <v>76.53375</v>
      </c>
      <c r="T24" s="15">
        <f>J24+K24+T23</f>
        <v>-580.2575000000001</v>
      </c>
      <c r="U24" s="15">
        <f>-(L24+M24)+U23</f>
        <v>-528.436</v>
      </c>
      <c r="V24" s="15">
        <f>V23</f>
        <v>20022.55804416</v>
      </c>
      <c r="W24" s="15">
        <f>F24-H24</f>
        <v>-937.3150000000001</v>
      </c>
      <c r="X24" s="15">
        <v>2170</v>
      </c>
      <c r="Y24" s="17"/>
      <c r="Z24" s="15">
        <v>14.327</v>
      </c>
    </row>
    <row r="25" ht="20.05" customHeight="1">
      <c r="B25" s="13"/>
      <c r="C25" s="14">
        <v>16.92</v>
      </c>
      <c r="D25" s="15">
        <v>2.143</v>
      </c>
      <c r="E25" s="15">
        <v>0.018</v>
      </c>
      <c r="F25" s="15">
        <v>908.4299999999999</v>
      </c>
      <c r="G25" s="15">
        <v>785.36</v>
      </c>
      <c r="H25" s="15">
        <v>2797.666</v>
      </c>
      <c r="I25" s="15">
        <v>16.045</v>
      </c>
      <c r="J25" s="15">
        <v>193.284</v>
      </c>
      <c r="K25" s="15">
        <v>-694.557</v>
      </c>
      <c r="L25" s="15">
        <v>0</v>
      </c>
      <c r="M25" s="15">
        <v>1043.529</v>
      </c>
      <c r="N25" s="15">
        <f>SUM(C22:C25)/4</f>
        <v>13.166</v>
      </c>
      <c r="O25" s="15">
        <v>14.2313833333333</v>
      </c>
      <c r="P25" s="16">
        <f>C25/C24-1</f>
        <v>-0.0681279947127829</v>
      </c>
      <c r="Q25" s="16">
        <f>(E25+D25)/C25</f>
        <v>0.127718676122931</v>
      </c>
      <c r="R25" s="16">
        <f>AVERAGE(Q22:Q25)</f>
        <v>0.321488726123146</v>
      </c>
      <c r="S25" s="25">
        <f>SUM(J22:K25)/4</f>
        <v>-58.46725</v>
      </c>
      <c r="T25" s="15">
        <f>J25+K25+T24</f>
        <v>-1081.5305</v>
      </c>
      <c r="U25" s="15">
        <f>-(L25+M25)+U24</f>
        <v>-1571.965</v>
      </c>
      <c r="V25" s="15">
        <f>V24</f>
        <v>20022.55804416</v>
      </c>
      <c r="W25" s="15">
        <f>F25-H25</f>
        <v>-1889.236</v>
      </c>
      <c r="X25" s="15">
        <v>1915</v>
      </c>
      <c r="Y25" s="15">
        <v>1103.067799492390</v>
      </c>
      <c r="Z25" s="15">
        <v>14.66</v>
      </c>
    </row>
    <row r="26" ht="20.05" customHeight="1">
      <c r="B26" s="13"/>
      <c r="C26" s="14">
        <v>27.177</v>
      </c>
      <c r="D26" s="15">
        <v>7.624</v>
      </c>
      <c r="E26" s="15">
        <v>0</v>
      </c>
      <c r="F26" s="15">
        <v>554.827</v>
      </c>
      <c r="G26" s="15">
        <v>76.51900000000001</v>
      </c>
      <c r="H26" s="15">
        <v>2597.92</v>
      </c>
      <c r="I26" s="15">
        <v>25.32</v>
      </c>
      <c r="J26" s="15">
        <v>-380.916</v>
      </c>
      <c r="K26" s="15">
        <v>-42.524</v>
      </c>
      <c r="L26" s="15">
        <v>0</v>
      </c>
      <c r="M26" s="15">
        <v>69.81999999999999</v>
      </c>
      <c r="N26" s="15">
        <f>SUM(C23:C26)/4</f>
        <v>17.688</v>
      </c>
      <c r="O26" s="15">
        <v>16.1793833333333</v>
      </c>
      <c r="P26" s="16">
        <f>C26/C25-1</f>
        <v>0.606205673758865</v>
      </c>
      <c r="Q26" s="16">
        <f>(E26+D26)/C26</f>
        <v>0.280531331640726</v>
      </c>
      <c r="R26" s="16">
        <f>AVERAGE(Q23:Q26)</f>
        <v>0.378226246017595</v>
      </c>
      <c r="S26" s="25">
        <f>SUM(J23:K26)/4</f>
        <v>-151.97275</v>
      </c>
      <c r="T26" s="15">
        <f>J26+K26+T25</f>
        <v>-1504.9705</v>
      </c>
      <c r="U26" s="15">
        <f>-(L26+M26)+U25</f>
        <v>-1641.785</v>
      </c>
      <c r="V26" s="15">
        <f>V25</f>
        <v>20022.55804416</v>
      </c>
      <c r="W26" s="15">
        <f>F26-H26</f>
        <v>-2043.093</v>
      </c>
      <c r="X26" s="15">
        <v>1705</v>
      </c>
      <c r="Y26" s="15">
        <v>973.150925329950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31.66745571</v>
      </c>
      <c r="P27" s="17"/>
      <c r="Q27" s="17"/>
      <c r="R27" s="17"/>
      <c r="S27" s="25"/>
      <c r="T27" s="17"/>
      <c r="U27" s="17"/>
      <c r="V27" s="17"/>
      <c r="W27" s="26"/>
      <c r="X27" s="15">
        <v>1360</v>
      </c>
      <c r="Y27" s="15">
        <v>973.150925329950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95.45675</v>
      </c>
      <c r="O28" s="15">
        <f>SUM(O17:O26)</f>
        <v>30.4107666666666</v>
      </c>
      <c r="P28" s="17"/>
      <c r="Q28" s="17"/>
      <c r="R28" s="17"/>
      <c r="S28" s="17"/>
      <c r="T28" s="17"/>
      <c r="U28" s="17"/>
      <c r="V28" s="17"/>
      <c r="W28" s="26"/>
      <c r="X28" s="15">
        <v>1380</v>
      </c>
      <c r="Y28" s="15">
        <v>973.150925329950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AF87</f>
        <v>734.7427614730231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297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0.40241860133618</v>
      </c>
      <c r="AD49" s="35"/>
      <c r="AE49" s="35"/>
      <c r="AF49" s="35">
        <f>AVERAGE(AC51:AF51)</f>
        <v>0.08500000000000001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-0.0650236549675432</v>
      </c>
      <c r="AD50" s="35">
        <f>P24</f>
        <v>1.13662038126618</v>
      </c>
      <c r="AE50" s="35">
        <f>P25</f>
        <v>-0.0681279947127829</v>
      </c>
      <c r="AF50" s="35">
        <f>P26</f>
        <v>0.606205673758865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-0.01</v>
      </c>
      <c r="AD51" s="35">
        <v>0.2</v>
      </c>
      <c r="AE51" s="35">
        <v>-0.05</v>
      </c>
      <c r="AF51" s="35">
        <v>0.2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27.177</v>
      </c>
      <c r="AC52" s="23">
        <f>C26*(1+AC51)</f>
        <v>26.90523</v>
      </c>
      <c r="AD52" s="23">
        <f>AC52*(1+AD51)</f>
        <v>32.286276</v>
      </c>
      <c r="AE52" s="23">
        <f>AD52*(1+AE51)</f>
        <v>30.6719622</v>
      </c>
      <c r="AF52" s="23">
        <f>AE52*(1+AF51)</f>
        <v>36.80635464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AVERAGE(Q26)</f>
        <v>0.280531331640726</v>
      </c>
      <c r="AD53" s="35">
        <f>AC53</f>
        <v>0.280531331640726</v>
      </c>
      <c r="AE53" s="35">
        <f>AD53</f>
        <v>0.280531331640726</v>
      </c>
      <c r="AF53" s="35">
        <f>AE53</f>
        <v>0.280531331640726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AVERAGE(L26)</f>
        <v>0</v>
      </c>
      <c r="AD54" s="15">
        <f>AC54</f>
        <v>0</v>
      </c>
      <c r="AE54" s="15">
        <f>AD54</f>
        <v>0</v>
      </c>
      <c r="AF54" s="15">
        <f>AE54</f>
        <v>0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7.54776000000001</v>
      </c>
      <c r="AD55" s="15">
        <f>(AD52*AD53)+AD54</f>
        <v>9.05731200000001</v>
      </c>
      <c r="AE55" s="15">
        <f>(AE52*AE53)+AE54</f>
        <v>8.604446400000009</v>
      </c>
      <c r="AF55" s="15">
        <f>(AF52*AF53)+AF54</f>
        <v>10.32533568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-H26/10000</f>
        <v>-0.259792</v>
      </c>
      <c r="AD56" s="15">
        <f>-AC71/10000</f>
        <v>-0.2597660208</v>
      </c>
      <c r="AE56" s="15">
        <f>-AD71/10000</f>
        <v>-0.25974004419792</v>
      </c>
      <c r="AF56" s="15">
        <f>-AE71/10000</f>
        <v>-0.2597140701935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7.28796800000001</v>
      </c>
      <c r="AD59" s="15">
        <f>AD55+AD56+AD58</f>
        <v>8.797545979200009</v>
      </c>
      <c r="AE59" s="15">
        <f>AE55+AE56+AE58</f>
        <v>8.34470635580209</v>
      </c>
      <c r="AF59" s="15">
        <f>AF55+AF56+AF58</f>
        <v>10.0656216098065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554.827</v>
      </c>
      <c r="AD61" s="15">
        <f>AC63</f>
        <v>562.114968</v>
      </c>
      <c r="AE61" s="15">
        <f>AD63</f>
        <v>570.9125139792</v>
      </c>
      <c r="AF61" s="15">
        <f>AE63</f>
        <v>579.257220335002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7.28796800000001</v>
      </c>
      <c r="AD62" s="15">
        <f>AD55+AD56+AD58+AD60</f>
        <v>8.797545979200009</v>
      </c>
      <c r="AE62" s="15">
        <f>AE55+AE56+AE58+AE60</f>
        <v>8.34470635580209</v>
      </c>
      <c r="AF62" s="15">
        <f>AF55+AF56+AF58+AF60</f>
        <v>10.0656216098065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562.114968</v>
      </c>
      <c r="AD63" s="15">
        <f>AD61+AD62</f>
        <v>570.9125139792</v>
      </c>
      <c r="AE63" s="15">
        <f>AE61+AE62</f>
        <v>579.257220335002</v>
      </c>
      <c r="AF63" s="15">
        <f>AF61+AF62</f>
        <v>589.3228419448091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-4.67066666666667</v>
      </c>
      <c r="AD65" s="15">
        <f>AC65</f>
        <v>-4.67066666666667</v>
      </c>
      <c r="AE65" s="15">
        <f>AD65</f>
        <v>-4.67066666666667</v>
      </c>
      <c r="AF65" s="15">
        <f>AE65</f>
        <v>-4.67066666666667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2.87709333333334</v>
      </c>
      <c r="AD66" s="15">
        <f>(AD52*AD53)+AD65</f>
        <v>4.38664533333334</v>
      </c>
      <c r="AE66" s="15">
        <f>(AE52*AE53)+AE65</f>
        <v>3.93377973333334</v>
      </c>
      <c r="AF66" s="15">
        <f>(AF52*AF53)+AF65</f>
        <v>5.65466901333334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G26-F26-AC54</f>
        <v>-478.308</v>
      </c>
      <c r="AD68" s="15">
        <f>AC68-AD54</f>
        <v>-478.308</v>
      </c>
      <c r="AE68" s="15">
        <f>AD68-AE54</f>
        <v>-478.308</v>
      </c>
      <c r="AF68" s="15">
        <f>AE68-AF54</f>
        <v>-478.308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4.67066666666667</v>
      </c>
      <c r="AD69" s="15">
        <f>AC69-AD65</f>
        <v>9.34133333333334</v>
      </c>
      <c r="AE69" s="15">
        <f>AD69-AE65</f>
        <v>14.012</v>
      </c>
      <c r="AF69" s="15">
        <f>AE69-AF65</f>
        <v>18.6826666666667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-482.978666666667</v>
      </c>
      <c r="AD70" s="15">
        <f>AD68-AD69</f>
        <v>-487.649333333333</v>
      </c>
      <c r="AE70" s="15">
        <f>AE68-AE69</f>
        <v>-492.32</v>
      </c>
      <c r="AF70" s="15">
        <f>AF68-AF69</f>
        <v>-496.990666666667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H26+AC56</f>
        <v>2597.660208</v>
      </c>
      <c r="AD71" s="15">
        <f>AC71+AD56</f>
        <v>2597.4004419792</v>
      </c>
      <c r="AE71" s="15">
        <f>AD71+AE56</f>
        <v>2597.140701935</v>
      </c>
      <c r="AF71" s="15">
        <f>AE71+AF56</f>
        <v>2596.880987864810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(G26-H26)+AC66+AC58</f>
        <v>-2518.523906666670</v>
      </c>
      <c r="AD73" s="15">
        <f>AC73+AD66+AD58</f>
        <v>-2514.137261333340</v>
      </c>
      <c r="AE73" s="15">
        <f>AD73+AE66+AE58</f>
        <v>-2510.203481600010</v>
      </c>
      <c r="AF73" s="15">
        <f>AE73+AF66+AF58</f>
        <v>-2504.548812586680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-3e-12</v>
      </c>
      <c r="AD74" s="15">
        <f>AD71+AD72+AD73-AD63-AD70</f>
        <v>-7e-12</v>
      </c>
      <c r="AE74" s="15">
        <f>AE71+AE72+AE73-AE63-AE70</f>
        <v>-1.2e-11</v>
      </c>
      <c r="AF74" s="15">
        <f>AF71+AF72+AF73-AF63-AF70</f>
        <v>-1.2e-11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-2035.54524</v>
      </c>
      <c r="AD75" s="15">
        <f>AD63-AD71-AD72</f>
        <v>-2026.487928</v>
      </c>
      <c r="AE75" s="15">
        <f>AE63-AE71-AE72</f>
        <v>-2017.8834816</v>
      </c>
      <c r="AF75" s="15">
        <f>AF63-AF71-AF72</f>
        <v>-2007.55814592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-0.259792</v>
      </c>
      <c r="AD76" s="15">
        <f>AD56+AD58+AD60</f>
        <v>-0.2597660208</v>
      </c>
      <c r="AE76" s="15">
        <f>AE56+AE58+AE60</f>
        <v>-0.25974004419792</v>
      </c>
      <c r="AF76" s="15">
        <f>AF56+AF58+AF60</f>
        <v>-0.2597140701935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484</v>
      </c>
      <c r="AB78" s="14"/>
      <c r="AC78" s="15"/>
      <c r="AD78" s="15"/>
      <c r="AE78" s="15"/>
      <c r="AF78" s="15">
        <v>1380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20022.55804416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14.509100032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216.853528944205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-607.891</v>
      </c>
      <c r="AF83" s="15">
        <f>SUM(AC55:AF55)</f>
        <v>35.53485408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-13.9860055580301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563.462509205272</v>
      </c>
      <c r="AF85" s="15">
        <v>300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10660.456224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734.7427614730231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-0.46757770907752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1.99009792056332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-0.681418373591531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484</v>
      </c>
      <c r="AD92" t="s" s="44">
        <f>AC114</f>
        <v>15</v>
      </c>
      <c r="AE92" t="s" s="44">
        <f>AD114</f>
        <v>58</v>
      </c>
      <c r="AF92" t="s" s="44">
        <f>AE114</f>
        <v>485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1380</v>
      </c>
      <c r="AE93" t="s" s="44">
        <v>61</v>
      </c>
      <c r="AF93" s="15">
        <f>AF87</f>
        <v>734.7427614730231</v>
      </c>
      <c r="AG93" t="s" s="44">
        <f>IF(AH93&gt;0,"+","")</f>
      </c>
      <c r="AH93" s="16">
        <f>AF93/AD93-1</f>
        <v>-0.46757770907752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1.99009792056332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</c>
      <c r="AF97" s="16">
        <f>(AE118+AE119+AG118+AG119+AI118+AI119+AK118+AK119)/AD135</f>
        <v>-0.0303603065432144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</c>
      <c r="AF98" s="16">
        <f>(AE132+AE133+AG132+AG133+AI132+AI133+AK132+AK133)/AD135</f>
        <v>-0.0562422142823282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-0.102039559355699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0.606205673758865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-0.0672208538587849</v>
      </c>
      <c r="AD102" s="16">
        <f>P23</f>
        <v>-0.0650236549675432</v>
      </c>
      <c r="AE102" s="16">
        <f>P24</f>
        <v>1.13662038126618</v>
      </c>
      <c r="AF102" s="16">
        <f>P25</f>
        <v>-0.0681279947127829</v>
      </c>
      <c r="AG102" s="16">
        <f>P26</f>
        <v>0.606205673758865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9.089</v>
      </c>
      <c r="AD103" t="s" s="44">
        <v>72</v>
      </c>
      <c r="AE103" s="15">
        <f>C23</f>
        <v>8.497999999999999</v>
      </c>
      <c r="AF103" t="s" s="44">
        <v>72</v>
      </c>
      <c r="AG103" s="15">
        <f>C24</f>
        <v>18.157</v>
      </c>
      <c r="AH103" t="s" s="44">
        <v>72</v>
      </c>
      <c r="AI103" s="15">
        <f>C25</f>
        <v>16.92</v>
      </c>
      <c r="AJ103" t="s" s="44">
        <v>72</v>
      </c>
      <c r="AK103" s="15">
        <f>C26</f>
        <v>27.177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0.606205673758865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27.177</v>
      </c>
      <c r="AK104" t="s" s="48">
        <f>AL103</f>
        <v>22</v>
      </c>
      <c r="AL104" t="s" s="44">
        <v>77</v>
      </c>
      <c r="AM104" t="s" s="44">
        <f>IF(AN104&gt;0,"+","")</f>
      </c>
      <c r="AN104" s="16">
        <f>AF90</f>
        <v>-0.681418373591531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0.40241860133618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0.08500000000000001</v>
      </c>
      <c r="AE106" t="s" s="44">
        <v>82</v>
      </c>
      <c r="AF106" t="s" s="44">
        <v>83</v>
      </c>
      <c r="AG106" s="23">
        <f>AF52</f>
        <v>36.80635464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108</v>
      </c>
      <c r="AE107" t="s" s="44">
        <v>86</v>
      </c>
      <c r="AF107" t="s" s="44">
        <f>IF(AJ111&gt;AH111,"up","down")</f>
        <v>87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0.0535812520629332</v>
      </c>
      <c r="AD109" s="16">
        <f>(D23+E23)/C23</f>
        <v>0.871852200517769</v>
      </c>
      <c r="AE109" s="16">
        <f>((E24+D24)/C24)</f>
        <v>0.232802775788952</v>
      </c>
      <c r="AF109" s="16">
        <f>(D25+E25)/C25</f>
        <v>0.127718676122931</v>
      </c>
      <c r="AG109" s="16">
        <f>(D26+E26)/C26</f>
        <v>0.280531331640726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-0.172</v>
      </c>
      <c r="AD110" t="s" s="44">
        <v>72</v>
      </c>
      <c r="AE110" s="15">
        <f>E23</f>
        <v>0.014</v>
      </c>
      <c r="AF110" t="s" s="44">
        <v>72</v>
      </c>
      <c r="AG110" s="15">
        <f>E24</f>
        <v>-0.018</v>
      </c>
      <c r="AH110" t="s" s="44">
        <v>72</v>
      </c>
      <c r="AI110" s="15">
        <f>E25</f>
        <v>0.018</v>
      </c>
      <c r="AJ110" t="s" s="44">
        <v>72</v>
      </c>
      <c r="AK110" s="15">
        <f>E26</f>
        <v>0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0.127718676122931</v>
      </c>
      <c r="AE111" t="s" s="44">
        <v>76</v>
      </c>
      <c r="AF111" s="16">
        <f>AG109</f>
        <v>0.280531331640726</v>
      </c>
      <c r="AG111" t="s" s="44">
        <v>90</v>
      </c>
      <c r="AH111" s="15">
        <f>AI110</f>
        <v>0.018</v>
      </c>
      <c r="AI111" t="s" s="44">
        <v>76</v>
      </c>
      <c r="AJ111" s="15">
        <f>AK110</f>
        <v>0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0.378226246017595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0.280531331640726</v>
      </c>
      <c r="AE113" t="s" s="44">
        <v>94</v>
      </c>
      <c r="AF113" s="15">
        <f>AF66</f>
        <v>5.65466901333334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485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501.273</v>
      </c>
      <c r="AE115" s="15">
        <f>ABS(AF120)</f>
        <v>423.44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501.273</v>
      </c>
      <c r="AD116" s="15">
        <f>ABS(AF120)</f>
        <v>423.44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-30.009</v>
      </c>
      <c r="AD118" t="s" s="44">
        <v>72</v>
      </c>
      <c r="AE118" s="15">
        <f>J23</f>
        <v>958.236</v>
      </c>
      <c r="AF118" t="s" s="44">
        <v>72</v>
      </c>
      <c r="AG118" s="15">
        <f>J24</f>
        <v>-870.502</v>
      </c>
      <c r="AH118" t="s" s="44">
        <v>72</v>
      </c>
      <c r="AI118" s="15">
        <f>J25</f>
        <v>193.284</v>
      </c>
      <c r="AJ118" t="s" s="44">
        <v>72</v>
      </c>
      <c r="AK118" s="15">
        <f>J26</f>
        <v>-380.916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-19.409</v>
      </c>
      <c r="AD119" t="s" s="44">
        <v>72</v>
      </c>
      <c r="AE119" s="15">
        <f>K23</f>
        <v>161.081</v>
      </c>
      <c r="AF119" t="s" s="44">
        <v>72</v>
      </c>
      <c r="AG119" s="15">
        <f>K24</f>
        <v>68.00700000000001</v>
      </c>
      <c r="AH119" t="s" s="44">
        <v>72</v>
      </c>
      <c r="AI119" s="15">
        <f>K25</f>
        <v>-694.557</v>
      </c>
      <c r="AJ119" t="s" s="44">
        <v>72</v>
      </c>
      <c r="AK119" s="15">
        <f>K26</f>
        <v>-42.524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-501.273</v>
      </c>
      <c r="AE120" t="s" s="44">
        <v>76</v>
      </c>
      <c r="AF120" s="15">
        <f>AK118+AK119</f>
        <v>-423.44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-42.524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-151.97275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0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8.883713520000009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87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36.598</v>
      </c>
      <c r="AD125" t="s" s="44">
        <v>72</v>
      </c>
      <c r="AE125" s="15">
        <f>F23</f>
        <v>1158.499</v>
      </c>
      <c r="AF125" t="s" s="44">
        <v>72</v>
      </c>
      <c r="AG125" s="15">
        <f>F24</f>
        <v>366.076</v>
      </c>
      <c r="AH125" t="s" s="44">
        <v>72</v>
      </c>
      <c r="AI125" s="15">
        <f>F25</f>
        <v>908.4299999999999</v>
      </c>
      <c r="AJ125" t="s" s="44">
        <v>72</v>
      </c>
      <c r="AK125" s="15">
        <f>F26</f>
        <v>554.827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H22</f>
        <v>1182.382</v>
      </c>
      <c r="AD126" t="s" s="44">
        <v>72</v>
      </c>
      <c r="AE126" s="15">
        <f>H23</f>
        <v>2173.162</v>
      </c>
      <c r="AF126" t="s" s="44">
        <v>72</v>
      </c>
      <c r="AG126" s="15">
        <f>H24</f>
        <v>1303.391</v>
      </c>
      <c r="AH126" t="s" s="44">
        <v>72</v>
      </c>
      <c r="AI126" s="15">
        <f>H25</f>
        <v>2797.666</v>
      </c>
      <c r="AJ126" t="s" s="44">
        <v>72</v>
      </c>
      <c r="AK126" s="15">
        <f>H26</f>
        <v>2597.92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370</v>
      </c>
      <c r="AE127" s="15">
        <f>AI125</f>
        <v>908.4299999999999</v>
      </c>
      <c r="AF127" t="s" s="44">
        <v>76</v>
      </c>
      <c r="AG127" s="15">
        <f>AK125</f>
        <v>554.827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370</v>
      </c>
      <c r="AE128" s="15">
        <f>AI126</f>
        <v>2797.666</v>
      </c>
      <c r="AF128" t="s" s="44">
        <v>76</v>
      </c>
      <c r="AG128" s="15">
        <f>AK126</f>
        <v>2597.92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87</v>
      </c>
      <c r="AL128" s="15">
        <f>AE127-AE128</f>
        <v>-1889.236</v>
      </c>
      <c r="AM128" t="s" s="44">
        <v>76</v>
      </c>
      <c r="AN128" s="15">
        <f>AG127-AG128</f>
        <v>-2043.093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-1.03901213519142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-2007.55814592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121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0</v>
      </c>
      <c r="AD132" t="s" s="44">
        <v>72</v>
      </c>
      <c r="AE132" s="15">
        <f>-L23</f>
        <v>0</v>
      </c>
      <c r="AF132" t="s" s="44">
        <v>72</v>
      </c>
      <c r="AG132" s="15">
        <f>-L24</f>
        <v>0</v>
      </c>
      <c r="AH132" t="s" s="44">
        <v>72</v>
      </c>
      <c r="AI132" s="15">
        <f>-L25</f>
        <v>0</v>
      </c>
      <c r="AJ132" t="s" s="44">
        <v>72</v>
      </c>
      <c r="AK132" s="15">
        <f>-L26</f>
        <v>0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-5.284</v>
      </c>
      <c r="AD133" t="s" s="44">
        <v>72</v>
      </c>
      <c r="AE133" s="15">
        <f>-M23</f>
        <v>-2.71</v>
      </c>
      <c r="AF133" t="s" s="44">
        <v>72</v>
      </c>
      <c r="AG133" s="15">
        <f>-M24</f>
        <v>-10.054</v>
      </c>
      <c r="AH133" t="s" s="44">
        <v>72</v>
      </c>
      <c r="AI133" s="15">
        <f>-M25</f>
        <v>-1043.529</v>
      </c>
      <c r="AJ133" t="s" s="44">
        <v>72</v>
      </c>
      <c r="AK133" s="15">
        <f>-M26</f>
        <v>-69.81999999999999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484</v>
      </c>
      <c r="AD134" t="s" s="44">
        <f>IF(AE134&gt;0,"paid","(raised)")</f>
        <v>121</v>
      </c>
      <c r="AE134" s="15">
        <f>SUM(AK132:AK133)</f>
        <v>-69.81999999999999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0</v>
      </c>
      <c r="AK134" t="s" s="48">
        <f>AL103</f>
        <v>22</v>
      </c>
      <c r="AL134" t="s" s="44">
        <v>123</v>
      </c>
      <c r="AM134" s="15">
        <f>AK133</f>
        <v>-69.81999999999999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1.03901213519142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20022.55804416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216.853528944205</v>
      </c>
      <c r="AI135" t="s" s="44">
        <v>130</v>
      </c>
      <c r="AJ135" t="s" s="44">
        <v>131</v>
      </c>
      <c r="AK135" t="s" s="44">
        <v>132</v>
      </c>
      <c r="AL135" s="15">
        <f>AF84</f>
        <v>-13.9860055580301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35.53485408</v>
      </c>
      <c r="AE136" t="s" s="48">
        <f>AE135</f>
        <v>22</v>
      </c>
      <c r="AF136" t="s" s="44">
        <v>136</v>
      </c>
      <c r="AG136" s="15">
        <f>AD135/AD136</f>
        <v>563.462509205272</v>
      </c>
      <c r="AH136" t="s" s="44">
        <v>130</v>
      </c>
      <c r="AI136" t="s" s="44">
        <v>137</v>
      </c>
      <c r="AJ136" t="s" s="44">
        <v>138</v>
      </c>
      <c r="AK136" s="15">
        <f>AF85</f>
        <v>300</v>
      </c>
      <c r="AL136" t="s" s="44">
        <v>139</v>
      </c>
      <c r="AM136" t="s" s="44">
        <v>140</v>
      </c>
      <c r="AN136" t="s" s="44">
        <v>141</v>
      </c>
      <c r="AO136" s="16">
        <f>AH93</f>
        <v>-0.46757770907752</v>
      </c>
      <c r="AP136" t="s" s="44">
        <f>IF(AO136&gt;0,"higher","lower")</f>
        <v>104</v>
      </c>
      <c r="AQ136" t="s" s="44">
        <v>142</v>
      </c>
      <c r="AR136" s="15">
        <f>AF93</f>
        <v>734.7427614730231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9.089</v>
      </c>
      <c r="AC138" s="15">
        <f>AE103</f>
        <v>8.497999999999999</v>
      </c>
      <c r="AD138" s="15">
        <f>AG103</f>
        <v>18.157</v>
      </c>
      <c r="AE138" s="15">
        <f>AI103</f>
        <v>16.92</v>
      </c>
      <c r="AF138" s="15">
        <f>AK103</f>
        <v>27.177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-49.418</v>
      </c>
      <c r="AC139" s="15">
        <f>SUM(AE118:AE119)</f>
        <v>1119.317</v>
      </c>
      <c r="AD139" s="15">
        <f>SUM(AG118:AG119)</f>
        <v>-802.495</v>
      </c>
      <c r="AE139" s="15">
        <f>SUM(AI118:AI119)</f>
        <v>-501.273</v>
      </c>
      <c r="AF139" s="15">
        <f>SUM(AK118:AK119)</f>
        <v>-423.44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-5.284</v>
      </c>
      <c r="AC140" s="15">
        <f>SUM(AE132:AE133)</f>
        <v>-2.71</v>
      </c>
      <c r="AD140" s="15">
        <f>SUM(AG132:AG133)</f>
        <v>-10.054</v>
      </c>
      <c r="AE140" s="15">
        <f>SUM(AI132:AI133)</f>
        <v>-1043.529</v>
      </c>
      <c r="AF140" s="15">
        <f>SUM(AK132:AK133)</f>
        <v>-69.81999999999999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-1145.784</v>
      </c>
      <c r="AC141" s="15">
        <f>(AE125-AE126)</f>
        <v>-1014.663</v>
      </c>
      <c r="AD141" s="15">
        <f>(AG125-AG126)</f>
        <v>-937.3150000000001</v>
      </c>
      <c r="AE141" s="15">
        <f>(AI125-AI126)</f>
        <v>-1889.236</v>
      </c>
      <c r="AF141" s="15">
        <f>(AK125-AK126)</f>
        <v>-2043.093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734.7427614730231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5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34" customWidth="1"/>
    <col min="2" max="27" width="10.4844" style="434" customWidth="1"/>
    <col min="28" max="28" width="18.9766" style="435" customWidth="1"/>
    <col min="29" max="29" hidden="1" width="16.3333" style="435" customWidth="1"/>
    <col min="30" max="33" width="9" style="435" customWidth="1"/>
    <col min="34" max="47" hidden="1" width="16.3333" style="435" customWidth="1"/>
    <col min="48" max="16384" width="16.3516" style="435" customWidth="1"/>
  </cols>
  <sheetData>
    <row r="1" ht="11.65" customHeight="1"/>
    <row r="2" ht="27.65" customHeight="1">
      <c r="B2" t="s" s="2">
        <v>807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3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90">
        <v>330</v>
      </c>
      <c r="AA3" t="s" s="3">
        <v>19</v>
      </c>
    </row>
    <row r="4" ht="20.7" customHeight="1">
      <c r="B4" s="6">
        <v>2017</v>
      </c>
      <c r="C4" s="7">
        <v>466.18</v>
      </c>
      <c r="D4" s="8">
        <v>0</v>
      </c>
      <c r="E4" s="8">
        <v>54.39</v>
      </c>
      <c r="F4" s="8">
        <v>0</v>
      </c>
      <c r="G4" s="8">
        <v>0</v>
      </c>
      <c r="H4" s="8">
        <v>0</v>
      </c>
      <c r="I4" s="8">
        <v>482.9</v>
      </c>
      <c r="J4" s="8">
        <v>-5.58</v>
      </c>
      <c r="K4" s="8">
        <v>-11.58</v>
      </c>
      <c r="L4" s="8">
        <v>59.25</v>
      </c>
      <c r="M4" s="8">
        <v>78.25</v>
      </c>
      <c r="N4" s="59"/>
      <c r="O4" s="9"/>
      <c r="P4" s="9"/>
      <c r="Q4" s="9"/>
      <c r="R4" s="9"/>
      <c r="S4" s="9"/>
      <c r="T4" s="9"/>
      <c r="U4" s="9"/>
      <c r="V4" s="8">
        <f>-(L4+M4)</f>
        <v>-137.5</v>
      </c>
      <c r="W4" s="9"/>
      <c r="X4" s="9"/>
      <c r="Y4" s="9"/>
      <c r="Z4" s="91"/>
      <c r="AA4" s="9"/>
    </row>
    <row r="5" ht="20.35" customHeight="1">
      <c r="B5" s="13"/>
      <c r="C5" s="14">
        <v>380.02</v>
      </c>
      <c r="D5" s="15">
        <v>44</v>
      </c>
      <c r="E5" s="15">
        <v>36.31</v>
      </c>
      <c r="F5" s="15">
        <v>351</v>
      </c>
      <c r="G5" s="15">
        <v>1728</v>
      </c>
      <c r="H5" s="15">
        <v>3562</v>
      </c>
      <c r="I5" s="15">
        <v>341.8</v>
      </c>
      <c r="J5" s="15">
        <v>-16.32</v>
      </c>
      <c r="K5" s="15">
        <v>-25.42</v>
      </c>
      <c r="L5" s="15">
        <v>59.25</v>
      </c>
      <c r="M5" s="15">
        <v>78.25</v>
      </c>
      <c r="N5" s="26"/>
      <c r="O5" s="17"/>
      <c r="P5" s="17"/>
      <c r="Q5" s="17"/>
      <c r="R5" s="17"/>
      <c r="S5" s="17"/>
      <c r="T5" s="17"/>
      <c r="U5" s="17"/>
      <c r="V5" s="15">
        <f>-(L5+M5)+V4</f>
        <v>-275</v>
      </c>
      <c r="W5" s="17"/>
      <c r="X5" s="17"/>
      <c r="Y5" s="17"/>
      <c r="Z5" s="92"/>
      <c r="AA5" s="17"/>
    </row>
    <row r="6" ht="20.05" customHeight="1">
      <c r="B6" s="13"/>
      <c r="C6" s="14">
        <v>443</v>
      </c>
      <c r="D6" s="15">
        <v>21</v>
      </c>
      <c r="E6" s="15">
        <v>40</v>
      </c>
      <c r="F6" s="15">
        <v>186</v>
      </c>
      <c r="G6" s="15">
        <v>1749</v>
      </c>
      <c r="H6" s="15">
        <v>3628</v>
      </c>
      <c r="I6" s="15">
        <v>482</v>
      </c>
      <c r="J6" s="15">
        <v>30</v>
      </c>
      <c r="K6" s="15">
        <v>-226</v>
      </c>
      <c r="L6" s="15">
        <v>59.25</v>
      </c>
      <c r="M6" s="15">
        <v>78.25</v>
      </c>
      <c r="N6" s="26"/>
      <c r="O6" s="17"/>
      <c r="P6" s="17"/>
      <c r="Q6" s="17"/>
      <c r="R6" s="17"/>
      <c r="S6" s="17"/>
      <c r="T6" s="17"/>
      <c r="U6" s="17"/>
      <c r="V6" s="15">
        <f>-(L6+M6)+V5</f>
        <v>-412.5</v>
      </c>
      <c r="W6" s="17"/>
      <c r="X6" s="17"/>
      <c r="Y6" s="17"/>
      <c r="Z6" s="172">
        <v>224</v>
      </c>
      <c r="AA6" s="17"/>
    </row>
    <row r="7" ht="20.05" customHeight="1">
      <c r="B7" s="13"/>
      <c r="C7" s="14">
        <v>445.27</v>
      </c>
      <c r="D7" s="15">
        <v>26</v>
      </c>
      <c r="E7" s="15">
        <v>40.7</v>
      </c>
      <c r="F7" s="15">
        <v>54</v>
      </c>
      <c r="G7" s="15">
        <v>1930</v>
      </c>
      <c r="H7" s="15">
        <v>3843</v>
      </c>
      <c r="I7" s="15">
        <v>482.3</v>
      </c>
      <c r="J7" s="15">
        <v>33.35</v>
      </c>
      <c r="K7" s="15">
        <v>-227.25</v>
      </c>
      <c r="L7" s="15">
        <v>59.25</v>
      </c>
      <c r="M7" s="15">
        <v>78.25</v>
      </c>
      <c r="N7" s="26"/>
      <c r="O7" s="17"/>
      <c r="P7" s="17"/>
      <c r="Q7" s="17"/>
      <c r="R7" s="17"/>
      <c r="S7" s="17"/>
      <c r="T7" s="17"/>
      <c r="U7" s="17"/>
      <c r="V7" s="15">
        <f>-(L7+M7)+V6</f>
        <v>-550</v>
      </c>
      <c r="W7" s="17"/>
      <c r="X7" s="17"/>
      <c r="Y7" s="17"/>
      <c r="Z7" s="172">
        <v>244</v>
      </c>
      <c r="AA7" s="17"/>
    </row>
    <row r="8" ht="20.05" customHeight="1">
      <c r="B8" s="21">
        <v>2018</v>
      </c>
      <c r="C8" s="14">
        <v>468.39</v>
      </c>
      <c r="D8" s="15">
        <v>22</v>
      </c>
      <c r="E8" s="15">
        <v>57.158</v>
      </c>
      <c r="F8" s="15">
        <v>42</v>
      </c>
      <c r="G8" s="15">
        <v>1847</v>
      </c>
      <c r="H8" s="15">
        <v>3807</v>
      </c>
      <c r="I8" s="15">
        <v>440.9</v>
      </c>
      <c r="J8" s="15">
        <v>71</v>
      </c>
      <c r="K8" s="15">
        <v>-26.8</v>
      </c>
      <c r="L8" s="15">
        <v>147</v>
      </c>
      <c r="M8" s="15">
        <v>4.85</v>
      </c>
      <c r="N8" s="15">
        <f>SUM(C5:C8)/4</f>
        <v>434.17</v>
      </c>
      <c r="O8" s="17"/>
      <c r="P8" s="16"/>
      <c r="Q8" s="16">
        <f>((D8+E8)/C8)</f>
        <v>0.169000192147569</v>
      </c>
      <c r="R8" s="16"/>
      <c r="S8" s="17"/>
      <c r="T8" s="15">
        <f>SUM(J5:K8)/4</f>
        <v>-96.86</v>
      </c>
      <c r="U8" s="17"/>
      <c r="V8" s="15">
        <f>-(L8+M8)+V7</f>
        <v>-701.85</v>
      </c>
      <c r="W8" s="17"/>
      <c r="X8" s="15">
        <f>F8-G8</f>
        <v>-1805</v>
      </c>
      <c r="Y8" s="24"/>
      <c r="Z8" s="172">
        <v>320</v>
      </c>
      <c r="AA8" s="24"/>
    </row>
    <row r="9" ht="20.05" customHeight="1">
      <c r="B9" s="13"/>
      <c r="C9" s="14">
        <v>436.91</v>
      </c>
      <c r="D9" s="15">
        <v>23</v>
      </c>
      <c r="E9" s="15">
        <v>56.542</v>
      </c>
      <c r="F9" s="15">
        <v>37</v>
      </c>
      <c r="G9" s="15">
        <v>1869</v>
      </c>
      <c r="H9" s="15">
        <v>3887</v>
      </c>
      <c r="I9" s="15">
        <v>375.5</v>
      </c>
      <c r="J9" s="15">
        <v>-94.40000000000001</v>
      </c>
      <c r="K9" s="15">
        <v>-49.2</v>
      </c>
      <c r="L9" s="15">
        <v>147</v>
      </c>
      <c r="M9" s="15">
        <v>4.85</v>
      </c>
      <c r="N9" s="15">
        <f>SUM(C6:C9)/4</f>
        <v>448.3925</v>
      </c>
      <c r="O9" s="17"/>
      <c r="P9" s="16"/>
      <c r="Q9" s="16">
        <f>((D9+E9)/C9)</f>
        <v>0.182055800965874</v>
      </c>
      <c r="R9" s="16"/>
      <c r="S9" s="17"/>
      <c r="T9" s="15">
        <f>SUM(J6:K9)/4</f>
        <v>-122.325</v>
      </c>
      <c r="U9" s="17"/>
      <c r="V9" s="15">
        <f>-(L9+M9)+V8</f>
        <v>-853.7</v>
      </c>
      <c r="W9" s="17"/>
      <c r="X9" s="15">
        <f>F9-G9</f>
        <v>-1832</v>
      </c>
      <c r="Y9" s="24"/>
      <c r="Z9" s="172">
        <v>498</v>
      </c>
      <c r="AA9" s="24"/>
    </row>
    <row r="10" ht="20.05" customHeight="1">
      <c r="B10" s="13"/>
      <c r="C10" s="14">
        <v>473.7</v>
      </c>
      <c r="D10" s="15">
        <v>23</v>
      </c>
      <c r="E10" s="15">
        <v>67.3</v>
      </c>
      <c r="F10" s="15">
        <v>42</v>
      </c>
      <c r="G10" s="15">
        <v>1907</v>
      </c>
      <c r="H10" s="15">
        <v>4012</v>
      </c>
      <c r="I10" s="15">
        <v>393.6</v>
      </c>
      <c r="J10" s="15">
        <v>-40.2</v>
      </c>
      <c r="K10" s="15">
        <v>-24.8</v>
      </c>
      <c r="L10" s="15">
        <v>147</v>
      </c>
      <c r="M10" s="15">
        <v>4.85</v>
      </c>
      <c r="N10" s="15">
        <f>SUM(C7:C10)/4</f>
        <v>456.0675</v>
      </c>
      <c r="O10" s="17"/>
      <c r="P10" s="16"/>
      <c r="Q10" s="16">
        <f>((D10+E10)/C10)</f>
        <v>0.190626979100697</v>
      </c>
      <c r="R10" s="16"/>
      <c r="S10" s="17"/>
      <c r="T10" s="15">
        <f>SUM(J7:K10)/4</f>
        <v>-89.575</v>
      </c>
      <c r="U10" s="17"/>
      <c r="V10" s="15">
        <f>-(L10+M10)+V9</f>
        <v>-1005.55</v>
      </c>
      <c r="W10" s="17"/>
      <c r="X10" s="15">
        <f>F10-G10</f>
        <v>-1865</v>
      </c>
      <c r="Y10" s="24"/>
      <c r="Z10" s="172">
        <v>625</v>
      </c>
      <c r="AA10" s="24"/>
    </row>
    <row r="11" ht="20.05" customHeight="1">
      <c r="B11" s="13"/>
      <c r="C11" s="14">
        <v>937</v>
      </c>
      <c r="D11" s="15">
        <v>20</v>
      </c>
      <c r="E11" s="15">
        <v>61</v>
      </c>
      <c r="F11" s="15">
        <v>64</v>
      </c>
      <c r="G11" s="15">
        <v>2138</v>
      </c>
      <c r="H11" s="15">
        <v>4588</v>
      </c>
      <c r="I11" s="15">
        <v>552</v>
      </c>
      <c r="J11" s="15">
        <v>-350.8</v>
      </c>
      <c r="K11" s="15">
        <v>-44.1</v>
      </c>
      <c r="L11" s="15">
        <v>147</v>
      </c>
      <c r="M11" s="15">
        <v>4.85</v>
      </c>
      <c r="N11" s="15">
        <f>SUM(C8:C11)/4</f>
        <v>579</v>
      </c>
      <c r="O11" s="17"/>
      <c r="P11" s="16"/>
      <c r="Q11" s="16">
        <f>((D11+E11)/C11)</f>
        <v>0.0864461045891142</v>
      </c>
      <c r="R11" s="16"/>
      <c r="S11" s="17"/>
      <c r="T11" s="15">
        <f>SUM(J8:K11)/4</f>
        <v>-139.825</v>
      </c>
      <c r="U11" s="17"/>
      <c r="V11" s="15">
        <f>-(L11+M11)+V10</f>
        <v>-1157.4</v>
      </c>
      <c r="W11" s="17"/>
      <c r="X11" s="15">
        <f>F11-G11</f>
        <v>-2074</v>
      </c>
      <c r="Y11" s="24"/>
      <c r="Z11" s="172">
        <v>615</v>
      </c>
      <c r="AA11" s="24"/>
    </row>
    <row r="12" ht="20.05" customHeight="1">
      <c r="B12" s="21">
        <v>2019</v>
      </c>
      <c r="C12" s="14">
        <v>492.5</v>
      </c>
      <c r="D12" s="15">
        <v>39</v>
      </c>
      <c r="E12" s="15">
        <v>59.7</v>
      </c>
      <c r="F12" s="15">
        <v>52</v>
      </c>
      <c r="G12" s="15">
        <v>1993</v>
      </c>
      <c r="H12" s="15">
        <v>4503</v>
      </c>
      <c r="I12" s="15">
        <v>548</v>
      </c>
      <c r="J12" s="15">
        <v>-10.15</v>
      </c>
      <c r="K12" s="15">
        <v>-5.7</v>
      </c>
      <c r="L12" s="15">
        <v>134</v>
      </c>
      <c r="M12" s="15">
        <v>0</v>
      </c>
      <c r="N12" s="15">
        <f>SUM(C9:C12)/4</f>
        <v>585.0275</v>
      </c>
      <c r="O12" s="17"/>
      <c r="P12" s="16"/>
      <c r="Q12" s="16">
        <f>((D12+E12)/C12)</f>
        <v>0.200406091370558</v>
      </c>
      <c r="R12" s="16">
        <f>AVERAGE(Q9:Q12)</f>
        <v>0.164883744006561</v>
      </c>
      <c r="S12" s="17"/>
      <c r="T12" s="15">
        <f>SUM(J9:K12)/4</f>
        <v>-154.8375</v>
      </c>
      <c r="U12" s="17"/>
      <c r="V12" s="15">
        <f>-(L12+M12)+V11</f>
        <v>-1291.4</v>
      </c>
      <c r="W12" s="17"/>
      <c r="X12" s="15">
        <f>F12-G12</f>
        <v>-1941</v>
      </c>
      <c r="Y12" s="24"/>
      <c r="Z12" s="172">
        <v>880</v>
      </c>
      <c r="AA12" s="24"/>
    </row>
    <row r="13" ht="20.05" customHeight="1">
      <c r="B13" s="13"/>
      <c r="C13" s="14">
        <v>485.7</v>
      </c>
      <c r="D13" s="15">
        <v>13</v>
      </c>
      <c r="E13" s="15">
        <v>63.3</v>
      </c>
      <c r="F13" s="15">
        <v>54</v>
      </c>
      <c r="G13" s="15">
        <v>2295</v>
      </c>
      <c r="H13" s="15">
        <v>4868</v>
      </c>
      <c r="I13" s="15">
        <v>444</v>
      </c>
      <c r="J13" s="15">
        <v>-18.15</v>
      </c>
      <c r="K13" s="15">
        <v>-186.2</v>
      </c>
      <c r="L13" s="15">
        <v>134</v>
      </c>
      <c r="M13" s="15">
        <v>0</v>
      </c>
      <c r="N13" s="15">
        <f>SUM(C10:C13)/4</f>
        <v>597.225</v>
      </c>
      <c r="O13" s="17"/>
      <c r="P13" s="16"/>
      <c r="Q13" s="16">
        <f>((D13+E13)/C13)</f>
        <v>0.157092855672226</v>
      </c>
      <c r="R13" s="16">
        <f>AVERAGE(Q10:Q13)</f>
        <v>0.158643007683149</v>
      </c>
      <c r="S13" s="17"/>
      <c r="T13" s="15">
        <f>SUM(J10:K13)/4</f>
        <v>-170.025</v>
      </c>
      <c r="U13" s="17"/>
      <c r="V13" s="15">
        <f>-(L13+M13)+V12</f>
        <v>-1425.4</v>
      </c>
      <c r="W13" s="17"/>
      <c r="X13" s="15">
        <f>F13-G13</f>
        <v>-2241</v>
      </c>
      <c r="Y13" s="24"/>
      <c r="Z13" s="172">
        <v>855</v>
      </c>
      <c r="AA13" s="24"/>
    </row>
    <row r="14" ht="20.05" customHeight="1">
      <c r="B14" s="13"/>
      <c r="C14" s="14">
        <v>430.8</v>
      </c>
      <c r="D14" s="15">
        <v>24</v>
      </c>
      <c r="E14" s="15">
        <v>59</v>
      </c>
      <c r="F14" s="15">
        <v>50</v>
      </c>
      <c r="G14" s="15">
        <v>2522</v>
      </c>
      <c r="H14" s="15">
        <v>5154</v>
      </c>
      <c r="I14" s="15">
        <v>381</v>
      </c>
      <c r="J14" s="15">
        <v>-80.2</v>
      </c>
      <c r="K14" s="15">
        <v>-54.8</v>
      </c>
      <c r="L14" s="15">
        <v>134</v>
      </c>
      <c r="M14" s="15">
        <v>0</v>
      </c>
      <c r="N14" s="15">
        <f>SUM(C11:C14)/4</f>
        <v>586.5</v>
      </c>
      <c r="O14" s="17"/>
      <c r="P14" s="16"/>
      <c r="Q14" s="16">
        <f>((D14+E14)/C14)</f>
        <v>0.192664809656453</v>
      </c>
      <c r="R14" s="16">
        <f>AVERAGE(Q11:Q14)</f>
        <v>0.159152465322088</v>
      </c>
      <c r="S14" s="17"/>
      <c r="T14" s="15">
        <f>SUM(J11:K14)/4</f>
        <v>-187.525</v>
      </c>
      <c r="U14" s="17"/>
      <c r="V14" s="15">
        <f>-(L14+M14)+V13</f>
        <v>-1559.4</v>
      </c>
      <c r="W14" s="17"/>
      <c r="X14" s="15">
        <f>F14-G14</f>
        <v>-2472</v>
      </c>
      <c r="Y14" s="24"/>
      <c r="Z14" s="172">
        <v>800</v>
      </c>
      <c r="AA14" s="24"/>
    </row>
    <row r="15" ht="20.05" customHeight="1">
      <c r="B15" s="13"/>
      <c r="C15" s="14">
        <v>888</v>
      </c>
      <c r="D15" s="15">
        <v>26</v>
      </c>
      <c r="E15" s="15">
        <v>36</v>
      </c>
      <c r="F15" s="15">
        <v>24</v>
      </c>
      <c r="G15" s="15">
        <v>2811</v>
      </c>
      <c r="H15" s="15">
        <v>5515</v>
      </c>
      <c r="I15" s="15">
        <v>286.4</v>
      </c>
      <c r="J15" s="15">
        <v>-297.5</v>
      </c>
      <c r="K15" s="15">
        <v>38.7</v>
      </c>
      <c r="L15" s="15">
        <v>134</v>
      </c>
      <c r="M15" s="15">
        <v>0</v>
      </c>
      <c r="N15" s="15">
        <f>SUM(C12:C15)/4</f>
        <v>574.25</v>
      </c>
      <c r="O15" s="17"/>
      <c r="P15" s="16"/>
      <c r="Q15" s="16">
        <f>((D15+E15)/C15)</f>
        <v>0.0698198198198198</v>
      </c>
      <c r="R15" s="16">
        <f>AVERAGE(Q12:Q15)</f>
        <v>0.154995894129764</v>
      </c>
      <c r="S15" s="17"/>
      <c r="T15" s="15">
        <f>SUM(J12:K15)/4</f>
        <v>-153.5</v>
      </c>
      <c r="U15" s="17"/>
      <c r="V15" s="15">
        <f>-(L15+M15)+V14</f>
        <v>-1693.4</v>
      </c>
      <c r="W15" s="17"/>
      <c r="X15" s="15">
        <f>F15-G15</f>
        <v>-2787</v>
      </c>
      <c r="Y15" s="24"/>
      <c r="Z15" s="172">
        <v>685</v>
      </c>
      <c r="AA15" s="24"/>
    </row>
    <row r="16" ht="20.05" customHeight="1">
      <c r="B16" s="21">
        <v>2020</v>
      </c>
      <c r="C16" s="14">
        <v>482</v>
      </c>
      <c r="D16" s="15">
        <v>25</v>
      </c>
      <c r="E16" s="15">
        <v>57.131</v>
      </c>
      <c r="F16" s="15">
        <v>30</v>
      </c>
      <c r="G16" s="15">
        <v>2911</v>
      </c>
      <c r="H16" s="15">
        <v>5672</v>
      </c>
      <c r="I16" s="15">
        <v>666</v>
      </c>
      <c r="J16" s="15">
        <v>57.23</v>
      </c>
      <c r="K16" s="15">
        <v>-26.7</v>
      </c>
      <c r="L16" s="15">
        <v>3.25</v>
      </c>
      <c r="M16" s="15">
        <v>0</v>
      </c>
      <c r="N16" s="15">
        <f>SUM(C13:C16)/4</f>
        <v>571.625</v>
      </c>
      <c r="O16" s="15"/>
      <c r="P16" s="16"/>
      <c r="Q16" s="16">
        <f>((D16+E16)/C16)</f>
        <v>0.170396265560166</v>
      </c>
      <c r="R16" s="16">
        <f>AVERAGE(Q13:Q16)</f>
        <v>0.147493437677166</v>
      </c>
      <c r="S16" s="17"/>
      <c r="T16" s="15">
        <f>SUM(J13:K16)/4</f>
        <v>-141.905</v>
      </c>
      <c r="U16" s="17"/>
      <c r="V16" s="15">
        <f>-(L16+M16)+V15</f>
        <v>-1696.65</v>
      </c>
      <c r="W16" s="17"/>
      <c r="X16" s="15">
        <f>F16-G16</f>
        <v>-2881</v>
      </c>
      <c r="Y16" s="24"/>
      <c r="Z16" s="172">
        <v>248</v>
      </c>
      <c r="AA16" s="24"/>
    </row>
    <row r="17" ht="20.05" customHeight="1">
      <c r="B17" s="13"/>
      <c r="C17" s="14">
        <v>652</v>
      </c>
      <c r="D17" s="15">
        <v>25</v>
      </c>
      <c r="E17" s="15">
        <v>56.369</v>
      </c>
      <c r="F17" s="15">
        <v>23</v>
      </c>
      <c r="G17" s="15">
        <v>2775</v>
      </c>
      <c r="H17" s="15">
        <v>5592</v>
      </c>
      <c r="I17" s="15">
        <v>667.98</v>
      </c>
      <c r="J17" s="15">
        <v>47.06</v>
      </c>
      <c r="K17" s="15">
        <v>-6.93</v>
      </c>
      <c r="L17" s="15">
        <v>3.25</v>
      </c>
      <c r="M17" s="15">
        <v>0</v>
      </c>
      <c r="N17" s="15">
        <f>SUM(C14:C17)/4</f>
        <v>613.2</v>
      </c>
      <c r="O17" s="15"/>
      <c r="P17" s="16"/>
      <c r="Q17" s="16">
        <f>((D17+E17)/C17)</f>
        <v>0.124799079754601</v>
      </c>
      <c r="R17" s="16">
        <f>AVERAGE(Q14:Q17)</f>
        <v>0.13941999369776</v>
      </c>
      <c r="S17" s="17"/>
      <c r="T17" s="15">
        <f>SUM(J14:K17)/4</f>
        <v>-80.785</v>
      </c>
      <c r="U17" s="17"/>
      <c r="V17" s="15">
        <f>-(L17+M17)+V16</f>
        <v>-1699.9</v>
      </c>
      <c r="W17" s="17"/>
      <c r="X17" s="15">
        <f>F17-G17</f>
        <v>-2752</v>
      </c>
      <c r="Y17" s="24"/>
      <c r="Z17" s="172">
        <v>392</v>
      </c>
      <c r="AA17" s="24"/>
    </row>
    <row r="18" ht="20.05" customHeight="1">
      <c r="B18" s="13"/>
      <c r="C18" s="14">
        <v>751</v>
      </c>
      <c r="D18" s="15">
        <v>19</v>
      </c>
      <c r="E18" s="15">
        <v>75.5</v>
      </c>
      <c r="F18" s="15">
        <v>32</v>
      </c>
      <c r="G18" s="15">
        <v>2737</v>
      </c>
      <c r="H18" s="15">
        <v>5645</v>
      </c>
      <c r="I18" s="15">
        <v>901.02</v>
      </c>
      <c r="J18" s="15">
        <v>72.70999999999999</v>
      </c>
      <c r="K18" s="15">
        <v>-43.37</v>
      </c>
      <c r="L18" s="15">
        <v>3.25</v>
      </c>
      <c r="M18" s="15">
        <v>0</v>
      </c>
      <c r="N18" s="15">
        <f>SUM(C15:C18)/4</f>
        <v>693.25</v>
      </c>
      <c r="O18" s="15"/>
      <c r="P18" s="16"/>
      <c r="Q18" s="16">
        <f>((D18+E18)/C18)</f>
        <v>0.125832223701731</v>
      </c>
      <c r="R18" s="16">
        <f>AVERAGE(Q15:Q18)</f>
        <v>0.122711847209079</v>
      </c>
      <c r="S18" s="17"/>
      <c r="T18" s="15">
        <f>SUM(J15:K18)/4</f>
        <v>-39.7</v>
      </c>
      <c r="U18" s="17"/>
      <c r="V18" s="15">
        <f>-(L18+M18)+V17</f>
        <v>-1703.15</v>
      </c>
      <c r="W18" s="17"/>
      <c r="X18" s="15">
        <f>F18-G18</f>
        <v>-2705</v>
      </c>
      <c r="Y18" s="24"/>
      <c r="Z18" s="15">
        <v>380</v>
      </c>
      <c r="AA18" s="24"/>
    </row>
    <row r="19" ht="20.05" customHeight="1">
      <c r="B19" s="13"/>
      <c r="C19" s="14">
        <v>1083.6</v>
      </c>
      <c r="D19" s="15">
        <v>30</v>
      </c>
      <c r="E19" s="15">
        <v>125.4</v>
      </c>
      <c r="F19" s="15">
        <v>42</v>
      </c>
      <c r="G19" s="15">
        <v>2919</v>
      </c>
      <c r="H19" s="15">
        <v>5949</v>
      </c>
      <c r="I19" s="15">
        <v>980.6</v>
      </c>
      <c r="J19" s="15">
        <v>-6.4</v>
      </c>
      <c r="K19" s="15">
        <v>-63.9</v>
      </c>
      <c r="L19" s="15">
        <v>3.25</v>
      </c>
      <c r="M19" s="15">
        <v>0</v>
      </c>
      <c r="N19" s="15">
        <f>SUM(C16:C19)/4</f>
        <v>742.15</v>
      </c>
      <c r="O19" s="15">
        <v>811.875</v>
      </c>
      <c r="P19" s="16"/>
      <c r="Q19" s="16">
        <f>((D19+E19)/C19)</f>
        <v>0.143410852713178</v>
      </c>
      <c r="R19" s="16">
        <f>AVERAGE(Q16:Q19)</f>
        <v>0.141109605432419</v>
      </c>
      <c r="S19" s="17"/>
      <c r="T19" s="15">
        <f>SUM(J16:K19)/4</f>
        <v>7.425</v>
      </c>
      <c r="U19" s="17"/>
      <c r="V19" s="15">
        <f>-(L19+M19)+V18</f>
        <v>-1706.4</v>
      </c>
      <c r="W19" s="17"/>
      <c r="X19" s="15">
        <f>F19-G19</f>
        <v>-2877</v>
      </c>
      <c r="Y19" s="24"/>
      <c r="Z19" s="15">
        <v>560</v>
      </c>
      <c r="AA19" s="24"/>
    </row>
    <row r="20" ht="20.05" customHeight="1">
      <c r="B20" s="21">
        <v>2021</v>
      </c>
      <c r="C20" s="14">
        <v>912.1</v>
      </c>
      <c r="D20" s="15">
        <v>23.1</v>
      </c>
      <c r="E20" s="15">
        <v>101.8</v>
      </c>
      <c r="F20" s="15">
        <v>30</v>
      </c>
      <c r="G20" s="15">
        <v>2908</v>
      </c>
      <c r="H20" s="15">
        <v>6040</v>
      </c>
      <c r="I20" s="15">
        <v>1006.3</v>
      </c>
      <c r="J20" s="15">
        <v>37.9</v>
      </c>
      <c r="K20" s="15">
        <v>9.4</v>
      </c>
      <c r="L20" s="15">
        <v>-78.34999999999999</v>
      </c>
      <c r="M20" s="15">
        <v>0</v>
      </c>
      <c r="N20" s="15">
        <f>SUM(C17:C20)/4</f>
        <v>849.675</v>
      </c>
      <c r="O20" s="15">
        <v>760.291666666667</v>
      </c>
      <c r="P20" s="16"/>
      <c r="Q20" s="16">
        <f>((D20+E20)/C20)</f>
        <v>0.13693673939261</v>
      </c>
      <c r="R20" s="16">
        <f>AVERAGE(Q17:Q20)</f>
        <v>0.13274472389053</v>
      </c>
      <c r="S20" s="17"/>
      <c r="T20" s="15">
        <f>SUM(J17:K20)/4</f>
        <v>11.6175</v>
      </c>
      <c r="U20" s="17"/>
      <c r="V20" s="15">
        <f>-(L20+M20)+V19</f>
        <v>-1628.05</v>
      </c>
      <c r="W20" s="17"/>
      <c r="X20" s="15">
        <f>F20-G20</f>
        <v>-2878</v>
      </c>
      <c r="Y20" s="15"/>
      <c r="Z20" s="15">
        <v>740</v>
      </c>
      <c r="AA20" s="17"/>
    </row>
    <row r="21" ht="20.05" customHeight="1">
      <c r="B21" s="13"/>
      <c r="C21" s="14">
        <v>1228.1</v>
      </c>
      <c r="D21" s="15">
        <v>25.3</v>
      </c>
      <c r="E21" s="15">
        <v>120</v>
      </c>
      <c r="F21" s="15">
        <v>38</v>
      </c>
      <c r="G21" s="15">
        <v>3013</v>
      </c>
      <c r="H21" s="15">
        <v>6335</v>
      </c>
      <c r="I21" s="15">
        <v>1062.1</v>
      </c>
      <c r="J21" s="15">
        <v>-77.59999999999999</v>
      </c>
      <c r="K21" s="15">
        <v>89.3</v>
      </c>
      <c r="L21" s="15">
        <v>-9.15</v>
      </c>
      <c r="M21" s="15">
        <v>0</v>
      </c>
      <c r="N21" s="15">
        <f>SUM(C18:C21)/4</f>
        <v>993.7</v>
      </c>
      <c r="O21" s="15">
        <v>795.96875</v>
      </c>
      <c r="P21" s="16">
        <f>C21/C20-1</f>
        <v>0.34645323977634</v>
      </c>
      <c r="Q21" s="16">
        <f>((D21+E21)/C21)</f>
        <v>0.118312840973862</v>
      </c>
      <c r="R21" s="16">
        <f>AVERAGE(Q18:Q21)</f>
        <v>0.131123164195345</v>
      </c>
      <c r="S21" s="17"/>
      <c r="T21" s="15">
        <f>SUM(J18:K21)/4</f>
        <v>4.51</v>
      </c>
      <c r="U21" s="17"/>
      <c r="V21" s="15">
        <f>-(L21+M21)+V20</f>
        <v>-1618.9</v>
      </c>
      <c r="W21" s="17"/>
      <c r="X21" s="15">
        <f>F21-G21</f>
        <v>-2975</v>
      </c>
      <c r="Y21" s="15"/>
      <c r="Z21" s="15">
        <v>740</v>
      </c>
      <c r="AA21" s="17"/>
    </row>
    <row r="22" ht="20.05" customHeight="1">
      <c r="B22" s="13"/>
      <c r="C22" s="14">
        <v>1380.8</v>
      </c>
      <c r="D22" s="15">
        <v>24.5</v>
      </c>
      <c r="E22" s="15">
        <v>134.2</v>
      </c>
      <c r="F22" s="15">
        <v>25</v>
      </c>
      <c r="G22" s="15">
        <v>3048</v>
      </c>
      <c r="H22" s="15">
        <v>6488</v>
      </c>
      <c r="I22" s="15">
        <v>1371</v>
      </c>
      <c r="J22" s="15">
        <v>-90.45999999999999</v>
      </c>
      <c r="K22" s="15">
        <v>-65.3</v>
      </c>
      <c r="L22" s="15">
        <v>207.12</v>
      </c>
      <c r="M22" s="15">
        <v>-15.9</v>
      </c>
      <c r="N22" s="15">
        <f>SUM(C19:C22)/4</f>
        <v>1151.15</v>
      </c>
      <c r="O22" s="23">
        <v>916.3925</v>
      </c>
      <c r="P22" s="16">
        <f>C22/C21-1</f>
        <v>0.124338408924355</v>
      </c>
      <c r="Q22" s="16">
        <f>((D22+E22)/C22)</f>
        <v>0.114933371958285</v>
      </c>
      <c r="R22" s="16">
        <f>AVERAGE(Q19:Q22)</f>
        <v>0.128398451259484</v>
      </c>
      <c r="S22" s="17"/>
      <c r="T22" s="15">
        <f>SUM(J19:K22)/4</f>
        <v>-41.765</v>
      </c>
      <c r="U22" s="17"/>
      <c r="V22" s="15">
        <f>-(L22+M22)+V21</f>
        <v>-1810.12</v>
      </c>
      <c r="W22" s="17"/>
      <c r="X22" s="15">
        <f>F22-G22</f>
        <v>-3023</v>
      </c>
      <c r="Y22" s="15"/>
      <c r="Z22" s="15">
        <v>685</v>
      </c>
      <c r="AA22" s="26">
        <v>218.978008961367</v>
      </c>
    </row>
    <row r="23" ht="20.05" customHeight="1">
      <c r="B23" s="13"/>
      <c r="C23" s="14">
        <v>1895.3</v>
      </c>
      <c r="D23" s="15">
        <v>25.5</v>
      </c>
      <c r="E23" s="15">
        <v>179.3</v>
      </c>
      <c r="F23" s="15">
        <v>117</v>
      </c>
      <c r="G23" s="15">
        <v>3158</v>
      </c>
      <c r="H23" s="15">
        <v>6801</v>
      </c>
      <c r="I23" s="15">
        <v>2002.5</v>
      </c>
      <c r="J23" s="15">
        <v>11.86</v>
      </c>
      <c r="K23" s="15">
        <v>-44.2</v>
      </c>
      <c r="L23" s="15">
        <v>97.98</v>
      </c>
      <c r="M23" s="15">
        <v>19.3</v>
      </c>
      <c r="N23" s="15">
        <f>SUM(C20:C23)/4</f>
        <v>1354.075</v>
      </c>
      <c r="O23" s="23">
        <v>1095.945</v>
      </c>
      <c r="P23" s="16">
        <f>C23/C22-1</f>
        <v>0.372610081112399</v>
      </c>
      <c r="Q23" s="16">
        <f>((D23+E23)/C23)</f>
        <v>0.108056772014984</v>
      </c>
      <c r="R23" s="16">
        <f>AVERAGE(Q20:Q23)</f>
        <v>0.119559931084935</v>
      </c>
      <c r="S23" s="17"/>
      <c r="T23" s="15">
        <f>SUM(J20:K23)/4</f>
        <v>-32.275</v>
      </c>
      <c r="U23" s="17"/>
      <c r="V23" s="15">
        <f>-(L23+M23)+V22</f>
        <v>-1927.4</v>
      </c>
      <c r="W23" s="17"/>
      <c r="X23" s="15">
        <f>F23-G23</f>
        <v>-3041</v>
      </c>
      <c r="Y23" s="15"/>
      <c r="Z23" s="15">
        <v>840</v>
      </c>
      <c r="AA23" s="26">
        <v>546.256181923437</v>
      </c>
    </row>
    <row r="24" ht="20.05" customHeight="1">
      <c r="B24" s="21">
        <v>2022</v>
      </c>
      <c r="C24" s="14">
        <v>1975.7</v>
      </c>
      <c r="D24" s="15">
        <v>25</v>
      </c>
      <c r="E24" s="15">
        <v>206.8</v>
      </c>
      <c r="F24" s="15">
        <v>378</v>
      </c>
      <c r="G24" s="15">
        <v>3132</v>
      </c>
      <c r="H24" s="15">
        <v>6981</v>
      </c>
      <c r="I24" s="15">
        <v>1849</v>
      </c>
      <c r="J24" s="15">
        <v>312.4</v>
      </c>
      <c r="K24" s="15">
        <v>-21.5</v>
      </c>
      <c r="L24" s="15">
        <v>-2</v>
      </c>
      <c r="M24" s="15">
        <v>0</v>
      </c>
      <c r="N24" s="15">
        <f>SUM(C21:C24)/4</f>
        <v>1619.975</v>
      </c>
      <c r="O24" s="23">
        <v>1345.90375</v>
      </c>
      <c r="P24" s="16">
        <f>C24/C23-1</f>
        <v>0.0424207249511951</v>
      </c>
      <c r="Q24" s="16">
        <f>((D24+E24)/C24)</f>
        <v>0.117325504884345</v>
      </c>
      <c r="R24" s="16">
        <f>AVERAGE(Q21:Q24)</f>
        <v>0.114657122457869</v>
      </c>
      <c r="S24" s="35"/>
      <c r="T24" s="15">
        <f>SUM(J21:K24)/4</f>
        <v>28.625</v>
      </c>
      <c r="U24" s="15">
        <v>50.440708540540</v>
      </c>
      <c r="V24" s="15">
        <f>-(L24+M24)+V23</f>
        <v>-1925.4</v>
      </c>
      <c r="W24" s="15"/>
      <c r="X24" s="15">
        <f>F24-G24</f>
        <v>-2754</v>
      </c>
      <c r="Y24" s="15">
        <v>-2882.914818962160</v>
      </c>
      <c r="Z24" s="15">
        <v>745</v>
      </c>
      <c r="AA24" s="26">
        <v>546.256181923437</v>
      </c>
    </row>
    <row r="25" ht="20.05" customHeight="1">
      <c r="B25" s="13"/>
      <c r="C25" s="14">
        <v>1160.3</v>
      </c>
      <c r="D25" s="15">
        <v>25</v>
      </c>
      <c r="E25" s="15">
        <v>93.2</v>
      </c>
      <c r="F25" s="15">
        <v>53</v>
      </c>
      <c r="G25" s="15">
        <v>2997</v>
      </c>
      <c r="H25" s="15">
        <v>6890</v>
      </c>
      <c r="I25" s="15">
        <v>1154</v>
      </c>
      <c r="J25" s="15">
        <v>-269.5</v>
      </c>
      <c r="K25" s="15">
        <v>-14.5</v>
      </c>
      <c r="L25" s="15">
        <v>-31</v>
      </c>
      <c r="M25" s="15">
        <v>-50</v>
      </c>
      <c r="N25" s="15">
        <f>SUM(C22:C25)/4</f>
        <v>1603.025</v>
      </c>
      <c r="O25" s="23">
        <v>1628.8965</v>
      </c>
      <c r="P25" s="16">
        <f>C25/C24-1</f>
        <v>-0.412714480943463</v>
      </c>
      <c r="Q25" s="16">
        <f>((D25+E25)/C25)</f>
        <v>0.101870205981212</v>
      </c>
      <c r="R25" s="16">
        <f>AVERAGE(Q22:Q25)</f>
        <v>0.110546463709707</v>
      </c>
      <c r="S25" s="35"/>
      <c r="T25" s="15">
        <f>SUM(J22:K25)/4</f>
        <v>-45.3</v>
      </c>
      <c r="U25" s="15">
        <v>119.405786967708</v>
      </c>
      <c r="V25" s="15">
        <f>-(L25+M25)+V24</f>
        <v>-1844.4</v>
      </c>
      <c r="W25" s="15"/>
      <c r="X25" s="15">
        <f>F25-G25</f>
        <v>-2944</v>
      </c>
      <c r="Y25" s="15">
        <v>-2026.5791202457</v>
      </c>
      <c r="Z25" s="15">
        <v>603</v>
      </c>
      <c r="AA25" s="26">
        <v>487.045785029702</v>
      </c>
    </row>
    <row r="26" ht="20.05" customHeight="1">
      <c r="B26" s="13"/>
      <c r="C26" s="14">
        <v>758.9</v>
      </c>
      <c r="D26" s="15">
        <v>26.3</v>
      </c>
      <c r="E26" s="15">
        <v>0.8</v>
      </c>
      <c r="F26" s="15">
        <v>36</v>
      </c>
      <c r="G26" s="15">
        <v>3303</v>
      </c>
      <c r="H26" s="15">
        <v>7178</v>
      </c>
      <c r="I26" s="15">
        <v>643.7</v>
      </c>
      <c r="J26" s="15">
        <v>-317.4</v>
      </c>
      <c r="K26" s="15">
        <v>0</v>
      </c>
      <c r="L26" s="15">
        <v>303.1</v>
      </c>
      <c r="M26" s="15">
        <v>-18.1</v>
      </c>
      <c r="N26" s="15">
        <f>AVERAGE(C26)</f>
        <v>758.9</v>
      </c>
      <c r="O26" s="23">
        <v>1636</v>
      </c>
      <c r="P26" s="16">
        <f>C26/C25-1</f>
        <v>-0.34594501422046</v>
      </c>
      <c r="Q26" s="16">
        <f>((D26+E26)/C26)</f>
        <v>0.0357095796547635</v>
      </c>
      <c r="R26" s="16">
        <f>AVERAGE(Q23:Q26)</f>
        <v>0.0907405156338261</v>
      </c>
      <c r="S26" s="35">
        <f>S27</f>
        <v>0.0907405156338261</v>
      </c>
      <c r="T26" s="15">
        <f>SUM(J23:K26)/4</f>
        <v>-85.70999999999999</v>
      </c>
      <c r="U26" s="15">
        <v>110.672453634375</v>
      </c>
      <c r="V26" s="15">
        <f>-(L26+M26)+V25</f>
        <v>-2129.4</v>
      </c>
      <c r="W26" s="15">
        <f>W27</f>
        <v>-1849.611712797190</v>
      </c>
      <c r="X26" s="15">
        <f>F26-G26</f>
        <v>-3267</v>
      </c>
      <c r="Y26" s="15">
        <v>-2501.3101854625</v>
      </c>
      <c r="Z26" s="15">
        <v>505</v>
      </c>
      <c r="AA26" s="26">
        <v>487.045785029702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AVERAGE(AD50:AG50)</f>
        <v>850.745350756250</v>
      </c>
      <c r="P27" s="17"/>
      <c r="Q27" s="17"/>
      <c r="R27" s="17"/>
      <c r="S27" s="35">
        <f>AD51</f>
        <v>0.0907405156338261</v>
      </c>
      <c r="T27" s="17"/>
      <c r="U27" s="15">
        <f>SUM(AD53:AG53)/4</f>
        <v>69.9470718007024</v>
      </c>
      <c r="V27" s="17"/>
      <c r="W27" s="15">
        <f>-SUM(AD74:AG74)+V26</f>
        <v>-1849.611712797190</v>
      </c>
      <c r="X27" s="17"/>
      <c r="Y27" s="15">
        <f>AG73</f>
        <v>-2987.211712797190</v>
      </c>
      <c r="Z27" s="15">
        <v>322</v>
      </c>
      <c r="AA27" s="26">
        <v>398.118912249285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SUM(N19:N26)</f>
        <v>9072.65</v>
      </c>
      <c r="O28" s="15">
        <f>SUM(O19:O26)</f>
        <v>8991.273166666670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AG86</f>
        <v>351.796662294694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26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4" ht="27.65" customHeight="1">
      <c r="AB44" t="s" s="2">
        <v>330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ht="20.25" customHeight="1">
      <c r="AB45" t="s" s="28">
        <v>366</v>
      </c>
      <c r="AC45" t="s" s="29">
        <v>23</v>
      </c>
      <c r="AD45" t="s" s="29">
        <v>24</v>
      </c>
      <c r="AE45" t="s" s="29">
        <v>25</v>
      </c>
      <c r="AF45" t="s" s="29">
        <v>26</v>
      </c>
      <c r="AG45" t="s" s="29">
        <v>23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ht="20.25" customHeight="1">
      <c r="AB46" t="s" s="31">
        <v>15</v>
      </c>
      <c r="AC46" s="174"/>
      <c r="AD46" s="32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ht="20.05" customHeight="1">
      <c r="AB47" t="s" s="33">
        <v>27</v>
      </c>
      <c r="AC47" s="175"/>
      <c r="AD47" s="71">
        <f>AVERAGE(P23:P26)</f>
        <v>-0.0859071722750822</v>
      </c>
      <c r="AE47" s="35"/>
      <c r="AF47" s="35"/>
      <c r="AG47" s="35">
        <f>AVERAGE(AD49:AG49)</f>
        <v>0.03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8.35" customHeight="1" hidden="1">
      <c r="AB48" s="36"/>
      <c r="AC48" s="176"/>
      <c r="AD48" s="37">
        <f>P23</f>
        <v>0.372610081112399</v>
      </c>
      <c r="AE48" s="35">
        <f>P24</f>
        <v>0.0424207249511951</v>
      </c>
      <c r="AF48" s="35">
        <f>P25</f>
        <v>-0.412714480943463</v>
      </c>
      <c r="AG48" s="35">
        <f>P26</f>
        <v>-0.34594501422046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20.05" customHeight="1">
      <c r="AB49" t="s" s="33">
        <v>13</v>
      </c>
      <c r="AC49" s="176"/>
      <c r="AD49" s="37">
        <v>0.15</v>
      </c>
      <c r="AE49" s="35">
        <v>-0.01</v>
      </c>
      <c r="AF49" s="35">
        <v>-0.05</v>
      </c>
      <c r="AG49" s="35">
        <v>0.03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28</v>
      </c>
      <c r="AC50" s="177">
        <f>C26</f>
        <v>758.9</v>
      </c>
      <c r="AD50" s="38">
        <f>C26*(1+AD49)</f>
        <v>872.735</v>
      </c>
      <c r="AE50" s="23">
        <f>AD50*(1+AE49)</f>
        <v>864.00765</v>
      </c>
      <c r="AF50" s="23">
        <f>AE50*(1+AF49)</f>
        <v>820.8072675</v>
      </c>
      <c r="AG50" s="23">
        <f>AF50*(1+AG49)</f>
        <v>845.431485525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ht="20.05" customHeight="1">
      <c r="AB51" t="s" s="33">
        <v>14</v>
      </c>
      <c r="AC51" s="176"/>
      <c r="AD51" s="37">
        <f>AVERAGE(R26)</f>
        <v>0.0907405156338261</v>
      </c>
      <c r="AE51" s="35">
        <f>AD51</f>
        <v>0.0907405156338261</v>
      </c>
      <c r="AF51" s="35">
        <f>AE51</f>
        <v>0.0907405156338261</v>
      </c>
      <c r="AG51" s="35">
        <f>AF51</f>
        <v>0.0907405156338261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29</v>
      </c>
      <c r="AC52" s="178"/>
      <c r="AD52" s="14">
        <f>AVERAGE(K25:K26)</f>
        <v>-7.25</v>
      </c>
      <c r="AE52" s="15">
        <f>AD52</f>
        <v>-7.25</v>
      </c>
      <c r="AF52" s="15">
        <f>AE52</f>
        <v>-7.25</v>
      </c>
      <c r="AG52" s="15">
        <f>AF52</f>
        <v>-7.25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30</v>
      </c>
      <c r="AC53" s="178"/>
      <c r="AD53" s="14">
        <f>(AD50*AD51)+AD52</f>
        <v>71.9424239116872</v>
      </c>
      <c r="AE53" s="15">
        <f>(AE50*AE51)+AE52</f>
        <v>71.15049967257031</v>
      </c>
      <c r="AF53" s="15">
        <f>(AF50*AF51)+AF52</f>
        <v>67.2304746889418</v>
      </c>
      <c r="AG53" s="15">
        <f>(AG50*AG51)+AG52</f>
        <v>69.4648889296101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31</v>
      </c>
      <c r="AC54" s="178"/>
      <c r="AD54" s="14">
        <f>-G26/20</f>
        <v>-165.15</v>
      </c>
      <c r="AE54" s="15">
        <f>-AD69/20</f>
        <v>-156.8925</v>
      </c>
      <c r="AF54" s="15">
        <f>-AE69/20</f>
        <v>-149.047875</v>
      </c>
      <c r="AG54" s="15">
        <f>-AF69/20</f>
        <v>-141.59548125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32</v>
      </c>
      <c r="AC55" s="179"/>
      <c r="AD55" s="39">
        <v>0</v>
      </c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33</v>
      </c>
      <c r="AC56" s="178"/>
      <c r="AD56" s="14">
        <f>IF(AD64&gt;0,AD64*$AD$55,0)</f>
        <v>0</v>
      </c>
      <c r="AE56" s="15">
        <f>IF(AE64&gt;0,AE64*$AD$55,0)</f>
        <v>0</v>
      </c>
      <c r="AF56" s="15">
        <f>IF(AF64&gt;0,AF64*$AD$55,0)</f>
        <v>0</v>
      </c>
      <c r="AG56" s="15">
        <f>IF(AG64&gt;0,AG64*$AD$55,0)</f>
        <v>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34</v>
      </c>
      <c r="AC57" s="178"/>
      <c r="AD57" s="14">
        <f>AD53+AD54+AD56</f>
        <v>-93.20757608831281</v>
      </c>
      <c r="AE57" s="15">
        <f>AE53+AE54+AE56</f>
        <v>-85.74200032742969</v>
      </c>
      <c r="AF57" s="15">
        <f>AF53+AF54+AF56</f>
        <v>-81.81740031105819</v>
      </c>
      <c r="AG57" s="15">
        <f>AG53+AG54+AG56</f>
        <v>-72.13059232038989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35</v>
      </c>
      <c r="AC58" s="178"/>
      <c r="AD58" s="14">
        <f>-MIN(0,AD57)</f>
        <v>93.20757608831281</v>
      </c>
      <c r="AE58" s="15">
        <f>-MIN(AD70,AE57)</f>
        <v>85.74200032742969</v>
      </c>
      <c r="AF58" s="15">
        <f>-MIN(AE70,AF57)</f>
        <v>81.81740031105819</v>
      </c>
      <c r="AG58" s="15">
        <f>-MIN(AF70,AG57)</f>
        <v>72.13059232038989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36</v>
      </c>
      <c r="AC59" s="178"/>
      <c r="AD59" s="14">
        <f>F26</f>
        <v>36</v>
      </c>
      <c r="AE59" s="15">
        <f>AD61</f>
        <v>36</v>
      </c>
      <c r="AF59" s="15">
        <f>AE61</f>
        <v>36</v>
      </c>
      <c r="AG59" s="15">
        <f>AF61</f>
        <v>36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37</v>
      </c>
      <c r="AC60" s="178"/>
      <c r="AD60" s="14">
        <f>AD53+AD54+AD56+AD58</f>
        <v>0</v>
      </c>
      <c r="AE60" s="15">
        <f>AE53+AE54+AE56+AE58</f>
        <v>0</v>
      </c>
      <c r="AF60" s="15">
        <f>AF53+AF54+AF56+AF58</f>
        <v>0</v>
      </c>
      <c r="AG60" s="15">
        <f>AG53+AG54+AG56+AG58</f>
        <v>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38</v>
      </c>
      <c r="AC61" s="178"/>
      <c r="AD61" s="14">
        <f>AD59+AD60</f>
        <v>36</v>
      </c>
      <c r="AE61" s="15">
        <f>AE59+AE60</f>
        <v>36</v>
      </c>
      <c r="AF61" s="15">
        <f>AF59+AF60</f>
        <v>36</v>
      </c>
      <c r="AG61" s="15">
        <f>AG59+AG60</f>
        <v>36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41">
        <v>4</v>
      </c>
      <c r="AC62" s="178"/>
      <c r="AD62" s="14"/>
      <c r="AE62" s="15"/>
      <c r="AF62" s="1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ht="20.05" customHeight="1">
      <c r="AB63" t="s" s="33">
        <v>3</v>
      </c>
      <c r="AC63" s="178"/>
      <c r="AD63" s="14">
        <f>-AVERAGE(D24:D26)</f>
        <v>-25.4333333333333</v>
      </c>
      <c r="AE63" s="15">
        <f>AD63</f>
        <v>-25.4333333333333</v>
      </c>
      <c r="AF63" s="15">
        <f>AE63</f>
        <v>-25.4333333333333</v>
      </c>
      <c r="AG63" s="15">
        <f>AF63</f>
        <v>-25.4333333333333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4</v>
      </c>
      <c r="AC64" s="178"/>
      <c r="AD64" s="14">
        <f>(AD50*AD51)+AD63</f>
        <v>53.7590905783539</v>
      </c>
      <c r="AE64" s="15">
        <f>(AE50*AE51)+AE63</f>
        <v>52.967166339237</v>
      </c>
      <c r="AF64" s="15">
        <f>(AF50*AF51)+AF63</f>
        <v>49.0471413556085</v>
      </c>
      <c r="AG64" s="15">
        <f>(AG50*AG51)+AG63</f>
        <v>51.2815555962768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39</v>
      </c>
      <c r="AC65" s="178"/>
      <c r="AD65" s="14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40</v>
      </c>
      <c r="AC66" s="178"/>
      <c r="AD66" s="14">
        <f>H26-F26-AD52</f>
        <v>7149.25</v>
      </c>
      <c r="AE66" s="15">
        <f>AD66-AE52</f>
        <v>7156.5</v>
      </c>
      <c r="AF66" s="15">
        <f>AE66-AF52</f>
        <v>7163.75</v>
      </c>
      <c r="AG66" s="15">
        <f>AF66-AG52</f>
        <v>7171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41</v>
      </c>
      <c r="AC67" s="178"/>
      <c r="AD67" s="14">
        <f>0-AD63</f>
        <v>25.4333333333333</v>
      </c>
      <c r="AE67" s="15">
        <f>AD67-AE63</f>
        <v>50.8666666666666</v>
      </c>
      <c r="AF67" s="15">
        <f>AE67-AF63</f>
        <v>76.2999999999999</v>
      </c>
      <c r="AG67" s="15">
        <f>AF67-AG63</f>
        <v>101.733333333333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42</v>
      </c>
      <c r="AC68" s="178"/>
      <c r="AD68" s="14">
        <f>AD66-AD67</f>
        <v>7123.816666666670</v>
      </c>
      <c r="AE68" s="15">
        <f>AE66-AE67</f>
        <v>7105.633333333330</v>
      </c>
      <c r="AF68" s="15">
        <f>AF66-AF67</f>
        <v>7087.45</v>
      </c>
      <c r="AG68" s="15">
        <f>AG66-AG67</f>
        <v>7069.266666666670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6</v>
      </c>
      <c r="AC69" s="178"/>
      <c r="AD69" s="14">
        <f>G26+AD54</f>
        <v>3137.85</v>
      </c>
      <c r="AE69" s="15">
        <f>AD69+AE54</f>
        <v>2980.9575</v>
      </c>
      <c r="AF69" s="15">
        <f>AE69+AF54</f>
        <v>2831.909625</v>
      </c>
      <c r="AG69" s="15">
        <f>AF69+AG54</f>
        <v>2690.31414375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35</v>
      </c>
      <c r="AC70" s="178"/>
      <c r="AD70" s="14">
        <f>AD58</f>
        <v>93.20757608831281</v>
      </c>
      <c r="AE70" s="15">
        <f>AD70+AE58</f>
        <v>178.949576415743</v>
      </c>
      <c r="AF70" s="15">
        <f>AE70+AF58</f>
        <v>260.766976726801</v>
      </c>
      <c r="AG70" s="15">
        <f>AF70+AG58</f>
        <v>332.897569047191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11</v>
      </c>
      <c r="AC71" s="178"/>
      <c r="AD71" s="14">
        <f>(H26-G26)+AD64+AD56</f>
        <v>3928.759090578350</v>
      </c>
      <c r="AE71" s="15">
        <f>AD71+AE64+AE56</f>
        <v>3981.726256917590</v>
      </c>
      <c r="AF71" s="15">
        <f>AE71+AF64+AF56</f>
        <v>4030.7733982732</v>
      </c>
      <c r="AG71" s="15">
        <f>AF71+AG64+AG56</f>
        <v>4082.054953869480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43</v>
      </c>
      <c r="AC72" s="178"/>
      <c r="AD72" s="14">
        <f>AD69+AD70+AD71-AD61-AD68</f>
        <v>-7.2e-12</v>
      </c>
      <c r="AE72" s="15">
        <f>AE69+AE70+AE71-AE61-AE68</f>
        <v>3e-12</v>
      </c>
      <c r="AF72" s="15">
        <f>AF69+AF70+AF71-AF61-AF68</f>
        <v>1e-12</v>
      </c>
      <c r="AG72" s="15">
        <f>AG69+AG70+AG71-AG61-AG68</f>
        <v>1e-12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18</v>
      </c>
      <c r="AC73" s="178"/>
      <c r="AD73" s="14">
        <f>AD61-AD69-AD70</f>
        <v>-3195.057576088310</v>
      </c>
      <c r="AE73" s="15">
        <f>AE61-AE69-AE70</f>
        <v>-3123.907076415740</v>
      </c>
      <c r="AF73" s="15">
        <f>AF61-AF69-AF70</f>
        <v>-3056.6766017268</v>
      </c>
      <c r="AG73" s="15">
        <f>AG61-AG69-AG70</f>
        <v>-2987.211712797190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44</v>
      </c>
      <c r="AC74" s="178"/>
      <c r="AD74" s="14">
        <f>AD54+AD56+AD58</f>
        <v>-71.9424239116872</v>
      </c>
      <c r="AE74" s="15">
        <f>AE54+AE56+AE58</f>
        <v>-71.15049967257031</v>
      </c>
      <c r="AF74" s="15">
        <f>AF54+AF56+AF58</f>
        <v>-67.2304746889418</v>
      </c>
      <c r="AG74" s="15">
        <f>AG54+AG56+AG58</f>
        <v>-69.4648889296101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45</v>
      </c>
      <c r="AC75" s="178"/>
      <c r="AD75" s="14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330</v>
      </c>
      <c r="AC76" s="178"/>
      <c r="AD76" s="14"/>
      <c r="AE76" s="15"/>
      <c r="AF76" s="15"/>
      <c r="AG76" s="15">
        <v>322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8.35" customHeight="1" hidden="1">
      <c r="AB77" t="s" s="33">
        <f>$AB76</f>
        <v>808</v>
      </c>
      <c r="AC77" s="178"/>
      <c r="AD77" s="14"/>
      <c r="AE77" s="15"/>
      <c r="AF77" s="15"/>
      <c r="AG77" s="15">
        <v>2048725030912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46</v>
      </c>
      <c r="AC78" s="178"/>
      <c r="AD78" s="14"/>
      <c r="AE78" s="15"/>
      <c r="AF78" s="15"/>
      <c r="AG78" s="15">
        <f>AG77/1000000000</f>
        <v>2048.725030912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47</v>
      </c>
      <c r="AC79" s="178"/>
      <c r="AD79" s="14"/>
      <c r="AE79" s="15"/>
      <c r="AF79" s="15"/>
      <c r="AG79" s="15">
        <f>AG78/AG76</f>
        <v>6.362500096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48</v>
      </c>
      <c r="AC80" s="178"/>
      <c r="AD80" s="14"/>
      <c r="AE80" s="15"/>
      <c r="AF80" s="15"/>
      <c r="AG80" s="43">
        <f>AG78/(AG61+AG68)</f>
        <v>0.288338936035054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ht="20.05" customHeight="1">
      <c r="AB81" t="s" s="33">
        <v>49</v>
      </c>
      <c r="AC81" s="178"/>
      <c r="AD81" s="14"/>
      <c r="AE81" s="15"/>
      <c r="AF81" s="15"/>
      <c r="AG81" s="16">
        <f>-(AD56+AE56+AF56+AG56)/AG78</f>
        <v>0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ht="20.05" customHeight="1">
      <c r="AB82" t="s" s="33">
        <v>50</v>
      </c>
      <c r="AC82" s="178"/>
      <c r="AD82" s="14"/>
      <c r="AE82" s="15"/>
      <c r="AF82" s="15"/>
      <c r="AG82" s="15">
        <f>SUM(AD53:AG53)</f>
        <v>279.788287202809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51</v>
      </c>
      <c r="AC83" s="178"/>
      <c r="AD83" s="14"/>
      <c r="AE83" s="15"/>
      <c r="AF83" s="15"/>
      <c r="AG83" s="15">
        <f>(H26+F26)/AG82</f>
        <v>25.7837812730553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52</v>
      </c>
      <c r="AC84" s="178"/>
      <c r="AD84" s="14"/>
      <c r="AE84" s="15"/>
      <c r="AF84" s="15">
        <f>AG78/AG82</f>
        <v>7.32241171134855</v>
      </c>
      <c r="AG84" s="15">
        <v>8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53</v>
      </c>
      <c r="AC85" s="178"/>
      <c r="AD85" s="14"/>
      <c r="AE85" s="15"/>
      <c r="AF85" s="15"/>
      <c r="AG85" s="15">
        <f>AG82*AG84</f>
        <v>2238.306297622470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54</v>
      </c>
      <c r="AC86" s="178"/>
      <c r="AD86" s="14"/>
      <c r="AE86" s="15"/>
      <c r="AF86" s="15"/>
      <c r="AG86" s="15">
        <f>(AG85/AG79)</f>
        <v>351.796662294694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55</v>
      </c>
      <c r="AC87" s="177"/>
      <c r="AD87" s="38"/>
      <c r="AE87" s="23"/>
      <c r="AF87" s="23"/>
      <c r="AG87" s="16">
        <f>AG86/AG76-1</f>
        <v>0.0925362183065031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ht="20.05" customHeight="1">
      <c r="AB88" t="s" s="33">
        <v>56</v>
      </c>
      <c r="AC88" s="177"/>
      <c r="AD88" s="38"/>
      <c r="AE88" s="23"/>
      <c r="AF88" s="23"/>
      <c r="AG88" s="16">
        <f>C26/C22-1</f>
        <v>-0.450391077636153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57</v>
      </c>
      <c r="AC89" s="177"/>
      <c r="AD89" s="38"/>
      <c r="AE89" s="23"/>
      <c r="AF89" s="23"/>
      <c r="AG89" s="16">
        <f>O28/N28-1</f>
        <v>-0.008969466840816081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8.35" customHeight="1" hidden="1">
      <c r="AB90" s="36"/>
      <c r="AC90" s="177"/>
      <c r="AD90" s="38"/>
      <c r="AE90" s="23"/>
      <c r="AF90" s="2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8.35" customHeight="1" hidden="1">
      <c r="AB91" s="36"/>
      <c r="AC91" s="177"/>
      <c r="AD91" s="38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8.35" customHeight="1" hidden="1">
      <c r="AB92" s="36"/>
      <c r="AC92" s="180"/>
      <c r="AD92" t="s" s="45">
        <f>$AB76</f>
        <v>808</v>
      </c>
      <c r="AE92" t="s" s="44">
        <v>60</v>
      </c>
      <c r="AF92" s="26">
        <f>AG76</f>
        <v>322</v>
      </c>
      <c r="AG92" t="s" s="44">
        <v>61</v>
      </c>
      <c r="AH92" s="26">
        <f>AG86</f>
        <v>351.796662294694</v>
      </c>
      <c r="AI92" t="s" s="44">
        <f>IF(AJ92&gt;0,"+","")</f>
        <v>361</v>
      </c>
      <c r="AJ92" s="16">
        <f>AH92/AF92-1</f>
        <v>0.0925362183065031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ht="8.35" customHeight="1" hidden="1">
      <c r="AB93" s="36"/>
      <c r="AC93" s="181"/>
      <c r="AD93" s="46">
        <f>TODAY()</f>
        <v>44942</v>
      </c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8.35" customHeight="1" hidden="1">
      <c r="AB94" s="36"/>
      <c r="AC94" s="175"/>
      <c r="AD94" t="s" s="45">
        <v>62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8.35" customHeight="1" hidden="1">
      <c r="AB95" s="36"/>
      <c r="AC95" s="175"/>
      <c r="AD95" t="s" s="45">
        <v>63</v>
      </c>
      <c r="AE95" t="s" s="44">
        <v>64</v>
      </c>
      <c r="AF95" t="s" s="44">
        <f>IF(AG95&gt;0,"+","")</f>
      </c>
      <c r="AG95" s="16">
        <f>AH102/AD102-1</f>
        <v>-0.450391077636153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8.35" customHeight="1" hidden="1">
      <c r="AB96" s="36"/>
      <c r="AC96" s="175"/>
      <c r="AD96" t="s" s="45">
        <v>63</v>
      </c>
      <c r="AE96" t="s" s="44">
        <v>65</v>
      </c>
      <c r="AF96" t="s" s="44">
        <f>IF(AG96&gt;0,"+","")</f>
      </c>
      <c r="AG96" s="16">
        <f>SUM(AE115:AH116)/AE132</f>
        <v>-0.167343101112687</v>
      </c>
      <c r="AH96" t="s" s="44">
        <v>66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8.35" customHeight="1" hidden="1">
      <c r="AB97" s="36"/>
      <c r="AC97" s="175"/>
      <c r="AD97" t="s" s="45">
        <v>63</v>
      </c>
      <c r="AE97" t="s" s="44">
        <v>17</v>
      </c>
      <c r="AF97" t="s" s="44">
        <f>IF(AG97&gt;0,"+","")</f>
      </c>
      <c r="AG97" s="16">
        <f>SUM(AE129:AH130)/AE132</f>
        <v>-0.155843266022806</v>
      </c>
      <c r="AH97" t="s" s="44">
        <f>AH96</f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8.35" customHeight="1" hidden="1">
      <c r="AB98" s="36"/>
      <c r="AC98" s="175"/>
      <c r="AD98" t="s" s="45">
        <v>68</v>
      </c>
      <c r="AE98" t="s" s="44">
        <v>369</v>
      </c>
      <c r="AF98" s="16">
        <f>AO125/AE132</f>
        <v>-1.59465030724288</v>
      </c>
      <c r="AG98" t="s" s="44">
        <f>AH97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8.35" customHeight="1" hidden="1">
      <c r="AB99" s="36"/>
      <c r="AC99" s="175"/>
      <c r="AD99" t="s" s="45">
        <v>28</v>
      </c>
      <c r="AE99" t="s" s="44">
        <f>AE103</f>
        <v>370</v>
      </c>
      <c r="AF99" s="16">
        <f>AF103</f>
        <v>-0.34594501422046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8.35" customHeight="1" hidden="1">
      <c r="AB100" s="36"/>
      <c r="AC100" s="175"/>
      <c r="AD100" t="s" s="45">
        <v>70</v>
      </c>
      <c r="AE100" t="s" s="44">
        <v>371</v>
      </c>
      <c r="AF100" t="s" s="44">
        <f>AL103</f>
        <v>372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8.35" customHeight="1" hidden="1">
      <c r="AB101" s="36"/>
      <c r="AC101" s="182"/>
      <c r="AD101" s="71">
        <f>P22</f>
        <v>0.124338408924355</v>
      </c>
      <c r="AE101" s="16">
        <f>P23</f>
        <v>0.372610081112399</v>
      </c>
      <c r="AF101" s="16">
        <f>P24</f>
        <v>0.0424207249511951</v>
      </c>
      <c r="AG101" s="16">
        <f>P25</f>
        <v>-0.412714480943463</v>
      </c>
      <c r="AH101" s="16">
        <f>P26</f>
        <v>-0.34594501422046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8.35" customHeight="1" hidden="1">
      <c r="AB102" s="36"/>
      <c r="AC102" s="175"/>
      <c r="AD102" s="14">
        <f>C22</f>
        <v>1380.8</v>
      </c>
      <c r="AE102" s="26">
        <f>C23</f>
        <v>1895.3</v>
      </c>
      <c r="AF102" s="26">
        <f>C24</f>
        <v>1975.7</v>
      </c>
      <c r="AG102" s="15">
        <f>C25</f>
        <v>1160.3</v>
      </c>
      <c r="AH102" s="26">
        <f>C26</f>
        <v>758.9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8.35" customHeight="1" hidden="1">
      <c r="AB103" s="36"/>
      <c r="AC103" s="175"/>
      <c r="AD103" t="s" s="45">
        <v>2</v>
      </c>
      <c r="AE103" t="s" s="44">
        <f>IF(AF103&lt;0,"declined","grew")</f>
        <v>370</v>
      </c>
      <c r="AF103" s="16">
        <f>AH102/AG102-1</f>
        <v>-0.34594501422046</v>
      </c>
      <c r="AG103" t="s" s="44">
        <v>73</v>
      </c>
      <c r="AH103" t="s" s="44">
        <v>74</v>
      </c>
      <c r="AI103" t="s" s="44">
        <v>75</v>
      </c>
      <c r="AJ103" t="s" s="44">
        <v>76</v>
      </c>
      <c r="AK103" s="26">
        <f>AH102</f>
        <v>758.9</v>
      </c>
      <c r="AL103" t="s" s="44">
        <v>372</v>
      </c>
      <c r="AM103" t="s" s="44">
        <v>378</v>
      </c>
      <c r="AN103" s="16">
        <v>0.0297063450445726</v>
      </c>
      <c r="AO103" t="s" s="44">
        <v>78</v>
      </c>
      <c r="AP103" s="17"/>
      <c r="AQ103" s="17"/>
      <c r="AR103" s="17"/>
      <c r="AS103" s="17"/>
      <c r="AT103" s="17"/>
      <c r="AU103" s="17"/>
    </row>
    <row r="104" ht="8.35" customHeight="1" hidden="1">
      <c r="AB104" s="36"/>
      <c r="AC104" s="175"/>
      <c r="AD104" t="s" s="45">
        <v>79</v>
      </c>
      <c r="AE104" s="16">
        <f>AVERAGE(AE101:AH101)</f>
        <v>-0.0859071722750822</v>
      </c>
      <c r="AF104" t="s" s="44">
        <v>80</v>
      </c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8.35" customHeight="1" hidden="1">
      <c r="AB105" s="36"/>
      <c r="AC105" s="175"/>
      <c r="AD105" t="s" s="45">
        <v>81</v>
      </c>
      <c r="AE105" s="35">
        <f>AG47</f>
        <v>0.03</v>
      </c>
      <c r="AF105" t="s" s="44">
        <v>82</v>
      </c>
      <c r="AG105" t="s" s="44">
        <v>83</v>
      </c>
      <c r="AH105" s="26">
        <f>AG50</f>
        <v>845.431485525</v>
      </c>
      <c r="AI105" t="s" s="44">
        <f>AL103</f>
        <v>372</v>
      </c>
      <c r="AJ105" t="s" s="44">
        <v>84</v>
      </c>
      <c r="AK105" t="s" s="44">
        <f>AH103</f>
        <v>74</v>
      </c>
      <c r="AL105" t="s" s="44">
        <f>AI103</f>
        <v>75</v>
      </c>
      <c r="AM105" t="s" s="44">
        <v>85</v>
      </c>
      <c r="AN105" s="17"/>
      <c r="AO105" s="17"/>
      <c r="AP105" s="17"/>
      <c r="AQ105" s="17"/>
      <c r="AR105" s="17"/>
      <c r="AS105" s="17"/>
      <c r="AT105" s="17"/>
      <c r="AU105" s="17"/>
    </row>
    <row r="106" ht="8.35" customHeight="1" hidden="1">
      <c r="AB106" s="36"/>
      <c r="AC106" s="175"/>
      <c r="AD106" t="s" s="45">
        <v>14</v>
      </c>
      <c r="AE106" t="s" s="44">
        <f>IF(AG110&lt;AE110,"down","up")</f>
        <v>87</v>
      </c>
      <c r="AF106" t="s" s="44">
        <v>86</v>
      </c>
      <c r="AG106" t="s" s="44">
        <f>IF(AK110&gt;AI110,"up","down")</f>
        <v>87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8.35" customHeight="1" hidden="1">
      <c r="AB107" s="36"/>
      <c r="AC107" s="175"/>
      <c r="AD107" t="s" s="45">
        <f>AD100</f>
        <v>70</v>
      </c>
      <c r="AE107" t="s" s="44">
        <v>88</v>
      </c>
      <c r="AF107" t="s" s="44">
        <f>AL103</f>
        <v>372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8.35" customHeight="1" hidden="1">
      <c r="AB108" s="36"/>
      <c r="AC108" s="182"/>
      <c r="AD108" s="71">
        <f>(D22+E22)/C22</f>
        <v>0.114933371958285</v>
      </c>
      <c r="AE108" s="16">
        <f>(D23+E23)/C23</f>
        <v>0.108056772014984</v>
      </c>
      <c r="AF108" s="16">
        <f>((E24+D24)/C24)</f>
        <v>0.117325504884345</v>
      </c>
      <c r="AG108" s="16">
        <f>(D25+E25)/C25</f>
        <v>0.101870205981212</v>
      </c>
      <c r="AH108" s="16">
        <f>(D26+E26)/C26</f>
        <v>0.0357095796547635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8.35" customHeight="1" hidden="1">
      <c r="AB109" s="36"/>
      <c r="AC109" s="175"/>
      <c r="AD109" s="14">
        <f>E22</f>
        <v>134.2</v>
      </c>
      <c r="AE109" s="26">
        <f>E23</f>
        <v>179.3</v>
      </c>
      <c r="AF109" s="26">
        <f>E24</f>
        <v>206.8</v>
      </c>
      <c r="AG109" s="15">
        <f>E25</f>
        <v>93.2</v>
      </c>
      <c r="AH109" s="26">
        <f>E26</f>
        <v>0.8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8.35" customHeight="1" hidden="1">
      <c r="AB110" s="36"/>
      <c r="AC110" s="175"/>
      <c r="AD110" t="s" s="45">
        <v>89</v>
      </c>
      <c r="AE110" s="16">
        <f>AG108</f>
        <v>0.101870205981212</v>
      </c>
      <c r="AF110" t="s" s="44">
        <v>76</v>
      </c>
      <c r="AG110" s="16">
        <f>AH108</f>
        <v>0.0357095796547635</v>
      </c>
      <c r="AH110" t="s" s="44">
        <v>90</v>
      </c>
      <c r="AI110" s="26">
        <f>AG109</f>
        <v>93.2</v>
      </c>
      <c r="AJ110" t="s" s="44">
        <v>76</v>
      </c>
      <c r="AK110" s="26">
        <f>AH109</f>
        <v>0.8</v>
      </c>
      <c r="AL110" t="s" s="44">
        <f>AI105</f>
        <v>372</v>
      </c>
      <c r="AM110" t="s" s="44">
        <v>73</v>
      </c>
      <c r="AN110" t="s" s="44">
        <f>AK105</f>
        <v>74</v>
      </c>
      <c r="AO110" t="s" s="44">
        <v>91</v>
      </c>
      <c r="AP110" s="17"/>
      <c r="AQ110" s="17"/>
      <c r="AR110" s="17"/>
      <c r="AS110" s="17"/>
      <c r="AT110" s="17"/>
      <c r="AU110" s="17"/>
    </row>
    <row r="111" ht="8.35" customHeight="1" hidden="1">
      <c r="AB111" s="36"/>
      <c r="AC111" s="175"/>
      <c r="AD111" t="s" s="45">
        <v>92</v>
      </c>
      <c r="AE111" s="16">
        <f>AVERAGE(AE108:AH108)</f>
        <v>0.0907405156338261</v>
      </c>
      <c r="AF111" t="s" s="44">
        <v>78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8.35" customHeight="1" hidden="1">
      <c r="AB112" s="36"/>
      <c r="AC112" s="175"/>
      <c r="AD112" t="s" s="45">
        <v>93</v>
      </c>
      <c r="AE112" s="35">
        <f>AD51</f>
        <v>0.0907405156338261</v>
      </c>
      <c r="AF112" t="s" s="44">
        <v>94</v>
      </c>
      <c r="AG112" s="15">
        <f>AG64</f>
        <v>51.2815555962768</v>
      </c>
      <c r="AH112" t="s" s="44">
        <f>AL110</f>
        <v>372</v>
      </c>
      <c r="AI112" t="s" s="44">
        <v>95</v>
      </c>
      <c r="AJ112" t="s" s="44">
        <f>AN110</f>
        <v>74</v>
      </c>
      <c r="AK112" t="s" s="44">
        <f>AI103</f>
        <v>75</v>
      </c>
      <c r="AL112" t="s" s="44">
        <f>AM105</f>
        <v>85</v>
      </c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8.35" customHeight="1" hidden="1">
      <c r="AB113" s="36"/>
      <c r="AC113" s="175"/>
      <c r="AD113" t="s" s="45">
        <v>15</v>
      </c>
      <c r="AE113" t="s" s="44">
        <f>IF(AG117&lt;AE117,"lower","higher")</f>
        <v>104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8.35" customHeight="1" hidden="1">
      <c r="AB114" s="36"/>
      <c r="AC114" s="175"/>
      <c r="AD114" t="s" s="45">
        <f>AD107</f>
        <v>70</v>
      </c>
      <c r="AE114" t="s" s="44">
        <v>96</v>
      </c>
      <c r="AF114" t="s" s="44">
        <f>AL103</f>
        <v>372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8.35" customHeight="1" hidden="1">
      <c r="AB115" s="36"/>
      <c r="AC115" s="175"/>
      <c r="AD115" s="14">
        <f>J22</f>
        <v>-90.45999999999999</v>
      </c>
      <c r="AE115" s="26">
        <f>J23</f>
        <v>11.86</v>
      </c>
      <c r="AF115" s="26">
        <f>J24</f>
        <v>312.4</v>
      </c>
      <c r="AG115" s="15">
        <f>J25</f>
        <v>-269.5</v>
      </c>
      <c r="AH115" s="26">
        <f>J26</f>
        <v>-317.4</v>
      </c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8.35" customHeight="1" hidden="1">
      <c r="AB116" s="36"/>
      <c r="AC116" s="175"/>
      <c r="AD116" s="14">
        <f>K22</f>
        <v>-65.3</v>
      </c>
      <c r="AE116" s="26">
        <f>K23</f>
        <v>-44.2</v>
      </c>
      <c r="AF116" s="26">
        <f>K24</f>
        <v>-21.5</v>
      </c>
      <c r="AG116" s="15">
        <f>K25</f>
        <v>-14.5</v>
      </c>
      <c r="AH116" s="26">
        <f>K26</f>
        <v>0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8.35" customHeight="1" hidden="1">
      <c r="AB117" s="36"/>
      <c r="AC117" s="175"/>
      <c r="AD117" t="s" s="45">
        <v>97</v>
      </c>
      <c r="AE117" s="26">
        <f>AG115+AG116</f>
        <v>-284</v>
      </c>
      <c r="AF117" t="s" s="44">
        <v>76</v>
      </c>
      <c r="AG117" s="15">
        <f>AH115+AH116</f>
        <v>-317.4</v>
      </c>
      <c r="AH117" t="s" s="44">
        <f>AH112</f>
        <v>372</v>
      </c>
      <c r="AI117" t="s" s="44">
        <v>84</v>
      </c>
      <c r="AJ117" t="s" s="44">
        <f>AJ112</f>
        <v>74</v>
      </c>
      <c r="AK117" t="s" s="44">
        <v>98</v>
      </c>
      <c r="AL117" s="26">
        <f>AH116</f>
        <v>0</v>
      </c>
      <c r="AM117" t="s" s="44">
        <f>AL103</f>
        <v>372</v>
      </c>
      <c r="AN117" t="s" s="44">
        <v>99</v>
      </c>
      <c r="AO117" s="17"/>
      <c r="AP117" s="17"/>
      <c r="AQ117" s="17"/>
      <c r="AR117" s="17"/>
      <c r="AS117" s="17"/>
      <c r="AT117" s="17"/>
      <c r="AU117" s="17"/>
    </row>
    <row r="118" ht="8.35" customHeight="1" hidden="1">
      <c r="AB118" s="36"/>
      <c r="AC118" s="175"/>
      <c r="AD118" t="s" s="45">
        <v>100</v>
      </c>
      <c r="AE118" s="26">
        <f>SUM(AE115:AH116)/4</f>
        <v>-85.70999999999999</v>
      </c>
      <c r="AF118" t="s" s="44">
        <f>AL103</f>
        <v>372</v>
      </c>
      <c r="AG118" t="s" s="44">
        <v>78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8.35" customHeight="1" hidden="1">
      <c r="AB119" s="36"/>
      <c r="AC119" s="175"/>
      <c r="AD119" t="s" s="45">
        <v>101</v>
      </c>
      <c r="AE119" s="26">
        <f>AD52</f>
        <v>-7.25</v>
      </c>
      <c r="AF119" t="s" s="44">
        <f>AF118</f>
        <v>372</v>
      </c>
      <c r="AG119" t="s" s="44">
        <v>102</v>
      </c>
      <c r="AH119" t="s" s="44">
        <v>103</v>
      </c>
      <c r="AI119" t="s" s="44">
        <f>IF(AH105&gt;AK103,"higher","lower")</f>
        <v>363</v>
      </c>
      <c r="AJ119" t="s" s="44">
        <v>105</v>
      </c>
      <c r="AK119" s="26">
        <f>SUM(AD53:AG53)/4</f>
        <v>69.9470718007024</v>
      </c>
      <c r="AL119" t="s" s="44">
        <f>AF119</f>
        <v>372</v>
      </c>
      <c r="AM119" t="s" s="44">
        <v>106</v>
      </c>
      <c r="AN119" t="s" s="44">
        <v>107</v>
      </c>
      <c r="AO119" s="17"/>
      <c r="AP119" s="17"/>
      <c r="AQ119" s="17"/>
      <c r="AR119" s="17"/>
      <c r="AS119" s="17"/>
      <c r="AT119" s="17"/>
      <c r="AU119" s="17"/>
    </row>
    <row r="120" ht="8.35" customHeight="1" hidden="1">
      <c r="AB120" s="36"/>
      <c r="AC120" s="175"/>
      <c r="AD120" t="s" s="45">
        <v>18</v>
      </c>
      <c r="AE120" t="s" s="44">
        <f>AL125</f>
        <v>87</v>
      </c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8.35" customHeight="1" hidden="1">
      <c r="AB121" s="36"/>
      <c r="AC121" s="175"/>
      <c r="AD121" t="s" s="45">
        <f>AD100</f>
        <v>70</v>
      </c>
      <c r="AE121" t="s" s="44">
        <v>109</v>
      </c>
      <c r="AF121" t="s" s="44">
        <f>AL103</f>
        <v>372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8.35" customHeight="1" hidden="1">
      <c r="AB122" s="36"/>
      <c r="AC122" s="175"/>
      <c r="AD122" s="14">
        <f>F22</f>
        <v>25</v>
      </c>
      <c r="AE122" s="26">
        <f>F23</f>
        <v>117</v>
      </c>
      <c r="AF122" s="26">
        <f>F24</f>
        <v>378</v>
      </c>
      <c r="AG122" s="15">
        <f>F25</f>
        <v>53</v>
      </c>
      <c r="AH122" s="26">
        <f>F26</f>
        <v>36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8.35" customHeight="1" hidden="1">
      <c r="AB123" s="36"/>
      <c r="AC123" s="175"/>
      <c r="AD123" s="14">
        <f>G22</f>
        <v>3048</v>
      </c>
      <c r="AE123" s="26">
        <f>G23</f>
        <v>3158</v>
      </c>
      <c r="AF123" s="26">
        <f>G24</f>
        <v>3132</v>
      </c>
      <c r="AG123" s="15">
        <f>G25</f>
        <v>2997</v>
      </c>
      <c r="AH123" s="26">
        <f>G26</f>
        <v>3303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8.35" customHeight="1" hidden="1">
      <c r="AB124" s="36"/>
      <c r="AC124" s="175"/>
      <c r="AD124" t="s" s="45">
        <v>110</v>
      </c>
      <c r="AE124" t="s" s="44">
        <f>IF(AH124&lt;AF124,"declined","increased")</f>
        <v>370</v>
      </c>
      <c r="AF124" s="26">
        <f>AG122</f>
        <v>53</v>
      </c>
      <c r="AG124" t="s" s="44">
        <v>76</v>
      </c>
      <c r="AH124" s="26">
        <f>AH122</f>
        <v>36</v>
      </c>
      <c r="AI124" t="s" s="44">
        <f>AL119</f>
        <v>372</v>
      </c>
      <c r="AJ124" t="s" s="44">
        <v>84</v>
      </c>
      <c r="AK124" t="s" s="44">
        <f>AH103</f>
        <v>74</v>
      </c>
      <c r="AL124" t="s" s="44">
        <f>AO110</f>
        <v>91</v>
      </c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8.35" customHeight="1" hidden="1">
      <c r="AB125" s="36"/>
      <c r="AC125" s="175"/>
      <c r="AD125" t="s" s="45">
        <v>112</v>
      </c>
      <c r="AE125" t="s" s="44">
        <f>IF(AH125&lt;AF125,"declined","increased")</f>
        <v>111</v>
      </c>
      <c r="AF125" s="26">
        <f>AG123</f>
        <v>2997</v>
      </c>
      <c r="AG125" t="s" s="44">
        <v>76</v>
      </c>
      <c r="AH125" s="26">
        <f>AH123</f>
        <v>3303</v>
      </c>
      <c r="AI125" t="s" s="44">
        <f>AI124</f>
        <v>372</v>
      </c>
      <c r="AJ125" t="s" s="44">
        <v>113</v>
      </c>
      <c r="AK125" t="s" s="44">
        <v>114</v>
      </c>
      <c r="AL125" t="s" s="44">
        <f>IF(AO125&lt;AM125,"down","up")</f>
        <v>87</v>
      </c>
      <c r="AM125" s="26">
        <f>AF124-AF125</f>
        <v>-2944</v>
      </c>
      <c r="AN125" t="s" s="44">
        <v>76</v>
      </c>
      <c r="AO125" s="26">
        <f>AH124-AH125</f>
        <v>-3267</v>
      </c>
      <c r="AP125" t="s" s="44">
        <f>AI125</f>
        <v>372</v>
      </c>
      <c r="AQ125" t="s" s="44">
        <v>115</v>
      </c>
      <c r="AR125" s="17"/>
      <c r="AS125" s="17"/>
      <c r="AT125" s="17"/>
      <c r="AU125" s="17"/>
    </row>
    <row r="126" ht="8.35" customHeight="1" hidden="1">
      <c r="AB126" s="36"/>
      <c r="AC126" s="175"/>
      <c r="AD126" t="s" s="45">
        <v>116</v>
      </c>
      <c r="AE126" s="26">
        <f>SUM(AD56:AG56)</f>
        <v>0</v>
      </c>
      <c r="AF126" t="s" s="44">
        <f>AI125</f>
        <v>372</v>
      </c>
      <c r="AG126" t="s" s="44">
        <v>117</v>
      </c>
      <c r="AH126" t="s" s="44">
        <f>IF(AI126&gt;0,"+","")</f>
      </c>
      <c r="AI126" s="26">
        <f>AD54+AE54+AF54+AG54+AD58+AE58+AF58+AG58</f>
        <v>-279.788287202809</v>
      </c>
      <c r="AJ126" t="s" s="44">
        <f>AP125</f>
        <v>372</v>
      </c>
      <c r="AK126" t="s" s="44">
        <v>118</v>
      </c>
      <c r="AL126" t="s" s="44">
        <v>119</v>
      </c>
      <c r="AM126" s="26">
        <f>AG73</f>
        <v>-2987.211712797190</v>
      </c>
      <c r="AN126" t="s" s="44">
        <f>AI125</f>
        <v>372</v>
      </c>
      <c r="AO126" t="s" s="44">
        <v>120</v>
      </c>
      <c r="AP126" s="17"/>
      <c r="AQ126" s="17"/>
      <c r="AR126" s="17"/>
      <c r="AS126" s="17"/>
      <c r="AT126" s="17"/>
      <c r="AU126" s="17"/>
    </row>
    <row r="127" ht="8.35" customHeight="1" hidden="1">
      <c r="AB127" s="36"/>
      <c r="AC127" s="175"/>
      <c r="AD127" t="s" s="45">
        <v>17</v>
      </c>
      <c r="AE127" t="s" s="44">
        <f>AE131</f>
        <v>121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8.35" customHeight="1" hidden="1">
      <c r="AB128" s="36"/>
      <c r="AC128" s="175"/>
      <c r="AD128" t="s" s="45">
        <f>AD100</f>
        <v>70</v>
      </c>
      <c r="AE128" t="s" s="44">
        <v>379</v>
      </c>
      <c r="AF128" t="s" s="44">
        <f>AL103</f>
        <v>372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8.35" customHeight="1" hidden="1">
      <c r="AB129" s="36"/>
      <c r="AC129" s="175"/>
      <c r="AD129" s="14">
        <f>-L22</f>
        <v>-207.12</v>
      </c>
      <c r="AE129" s="26">
        <f>-L23</f>
        <v>-97.98</v>
      </c>
      <c r="AF129" s="26">
        <f>-L24</f>
        <v>2</v>
      </c>
      <c r="AG129" s="15">
        <f>-L25</f>
        <v>31</v>
      </c>
      <c r="AH129" s="26">
        <f>-L26</f>
        <v>-303.1</v>
      </c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8.35" customHeight="1" hidden="1">
      <c r="AB130" s="36"/>
      <c r="AC130" s="175"/>
      <c r="AD130" s="14">
        <f>-M22</f>
        <v>15.9</v>
      </c>
      <c r="AE130" s="26">
        <f>-M23</f>
        <v>-19.3</v>
      </c>
      <c r="AF130" s="26">
        <f>-M24</f>
        <v>0</v>
      </c>
      <c r="AG130" s="15">
        <f>-M25</f>
        <v>50</v>
      </c>
      <c r="AH130" s="26">
        <f>-M26</f>
        <v>18.1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8.35" customHeight="1" hidden="1">
      <c r="AB131" s="36"/>
      <c r="AC131" s="175"/>
      <c r="AD131" t="s" s="45">
        <f>AD92</f>
        <v>808</v>
      </c>
      <c r="AE131" t="s" s="44">
        <f>IF(AF131&gt;0,"paid","(raised)")</f>
        <v>121</v>
      </c>
      <c r="AF131" s="26">
        <f>SUM(AH129:AH130)</f>
        <v>-285</v>
      </c>
      <c r="AG131" t="s" s="44">
        <f>AL103</f>
        <v>372</v>
      </c>
      <c r="AH131" t="s" s="44">
        <f>AG103</f>
        <v>73</v>
      </c>
      <c r="AI131" t="s" s="44">
        <f>AH103</f>
        <v>74</v>
      </c>
      <c r="AJ131" t="s" s="44">
        <f>AI103</f>
        <v>75</v>
      </c>
      <c r="AK131" s="26">
        <f>AH129</f>
        <v>-303.1</v>
      </c>
      <c r="AL131" t="s" s="44">
        <f>AL103</f>
        <v>372</v>
      </c>
      <c r="AM131" t="s" s="44">
        <v>123</v>
      </c>
      <c r="AN131" s="26">
        <f>AH130</f>
        <v>18.1</v>
      </c>
      <c r="AO131" t="s" s="44">
        <f>AL103</f>
        <v>372</v>
      </c>
      <c r="AP131" t="s" s="44">
        <v>389</v>
      </c>
      <c r="AQ131" t="s" s="44">
        <v>475</v>
      </c>
      <c r="AR131" t="s" s="44">
        <f>IF(AS131&gt;0,"pay","raise")</f>
        <v>364</v>
      </c>
      <c r="AS131" s="26">
        <f>-SUM(AD74:AG74)</f>
        <v>279.788287202809</v>
      </c>
      <c r="AT131" t="s" s="44">
        <f>AL103</f>
        <v>372</v>
      </c>
      <c r="AU131" t="s" s="44">
        <v>126</v>
      </c>
    </row>
    <row r="132" ht="8.35" customHeight="1" hidden="1">
      <c r="AB132" s="36"/>
      <c r="AC132" s="175"/>
      <c r="AD132" t="s" s="45">
        <v>375</v>
      </c>
      <c r="AE132" s="26">
        <f>AG78</f>
        <v>2048.725030912</v>
      </c>
      <c r="AF132" t="s" s="44">
        <f>AL103</f>
        <v>372</v>
      </c>
      <c r="AG132" t="s" s="44">
        <v>128</v>
      </c>
      <c r="AH132" t="s" s="44">
        <v>129</v>
      </c>
      <c r="AI132" s="26">
        <f>AG80</f>
        <v>0.288338936035054</v>
      </c>
      <c r="AJ132" t="s" s="44">
        <v>130</v>
      </c>
      <c r="AK132" t="s" s="44">
        <v>131</v>
      </c>
      <c r="AL132" t="s" s="44">
        <v>132</v>
      </c>
      <c r="AM132" s="26">
        <f>AG83</f>
        <v>25.7837812730553</v>
      </c>
      <c r="AN132" t="s" s="44">
        <v>133</v>
      </c>
      <c r="AO132" s="16">
        <f>-AE126/AE132</f>
        <v>0</v>
      </c>
      <c r="AP132" t="s" s="44">
        <v>134</v>
      </c>
      <c r="AQ132" s="17"/>
      <c r="AR132" s="17"/>
      <c r="AS132" s="17"/>
      <c r="AT132" s="17"/>
      <c r="AU132" s="17"/>
    </row>
    <row r="133" ht="8.35" customHeight="1" hidden="1">
      <c r="AB133" s="36"/>
      <c r="AC133" s="175"/>
      <c r="AD133" t="s" s="45">
        <v>135</v>
      </c>
      <c r="AE133" s="26">
        <f>AG82</f>
        <v>279.788287202809</v>
      </c>
      <c r="AF133" t="s" s="44">
        <f>AF132</f>
        <v>372</v>
      </c>
      <c r="AG133" t="s" s="44">
        <v>136</v>
      </c>
      <c r="AH133" s="26">
        <f>AE132/AE133</f>
        <v>7.32241171134855</v>
      </c>
      <c r="AI133" t="s" s="44">
        <v>130</v>
      </c>
      <c r="AJ133" t="s" s="44">
        <v>137</v>
      </c>
      <c r="AK133" t="s" s="44">
        <v>138</v>
      </c>
      <c r="AL133" s="26">
        <f>AG84</f>
        <v>8</v>
      </c>
      <c r="AM133" t="s" s="44">
        <v>139</v>
      </c>
      <c r="AN133" t="s" s="44">
        <v>140</v>
      </c>
      <c r="AO133" t="s" s="44">
        <v>141</v>
      </c>
      <c r="AP133" s="16">
        <f>AJ92</f>
        <v>0.0925362183065031</v>
      </c>
      <c r="AQ133" t="s" s="44">
        <f>IF(AP133&gt;0,"higher","lower")</f>
        <v>363</v>
      </c>
      <c r="AR133" t="s" s="44">
        <v>142</v>
      </c>
      <c r="AS133" s="26">
        <f>AH92</f>
        <v>351.796662294694</v>
      </c>
      <c r="AT133" t="s" s="44">
        <v>143</v>
      </c>
      <c r="AU133" s="17"/>
    </row>
    <row r="134" ht="8.35" customHeight="1" hidden="1">
      <c r="AB134" s="36"/>
      <c r="AC134" s="175"/>
      <c r="AD134" s="34"/>
      <c r="AE134" s="17"/>
      <c r="AF134" s="17"/>
      <c r="AG134" s="17"/>
      <c r="AH134" s="26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ht="8.35" customHeight="1" hidden="1">
      <c r="AB135" t="s" s="33">
        <v>28</v>
      </c>
      <c r="AC135" s="178">
        <f>AD102</f>
        <v>1380.8</v>
      </c>
      <c r="AD135" s="14">
        <f>AE102</f>
        <v>1895.3</v>
      </c>
      <c r="AE135" s="26">
        <f>AF102</f>
        <v>1975.7</v>
      </c>
      <c r="AF135" s="26">
        <f>AG102</f>
        <v>1160.3</v>
      </c>
      <c r="AG135" s="15">
        <f>AH102</f>
        <v>758.9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8.35" customHeight="1" hidden="1">
      <c r="AB136" t="s" s="33">
        <v>144</v>
      </c>
      <c r="AC136" s="178">
        <f>SUM(AD115:AD116)</f>
        <v>-155.76</v>
      </c>
      <c r="AD136" s="14">
        <f>SUM(AE115:AE116)</f>
        <v>-32.34</v>
      </c>
      <c r="AE136" s="26">
        <f>SUM(AF115:AF116)</f>
        <v>290.9</v>
      </c>
      <c r="AF136" s="26">
        <f>SUM(AG115:AG116)</f>
        <v>-284</v>
      </c>
      <c r="AG136" s="15">
        <f>SUM(AH115:AH116)</f>
        <v>-317.4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8.35" customHeight="1" hidden="1">
      <c r="AB137" t="s" s="33">
        <v>145</v>
      </c>
      <c r="AC137" s="178">
        <f>SUM(AD129:AD130)</f>
        <v>-191.22</v>
      </c>
      <c r="AD137" s="14">
        <f>SUM(AE129:AE130)</f>
        <v>-117.28</v>
      </c>
      <c r="AE137" s="26">
        <f>SUM(AF129:AF130)</f>
        <v>2</v>
      </c>
      <c r="AF137" s="26">
        <f>SUM(AG129:AG130)</f>
        <v>81</v>
      </c>
      <c r="AG137" s="15">
        <f>SUM(AH129:AH130)</f>
        <v>-285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8.35" customHeight="1" hidden="1">
      <c r="AB138" t="s" s="33">
        <v>146</v>
      </c>
      <c r="AC138" s="178">
        <f>(AD122-AD123)</f>
        <v>-3023</v>
      </c>
      <c r="AD138" s="14">
        <f>(AE122-AE123)</f>
        <v>-3041</v>
      </c>
      <c r="AE138" s="26">
        <f>(AF122-AF123)</f>
        <v>-2754</v>
      </c>
      <c r="AF138" s="26">
        <f>(AG122-AG123)</f>
        <v>-2944</v>
      </c>
      <c r="AG138" s="15">
        <f>(AH122-AH123)</f>
        <v>-3267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8.35" customHeight="1" hidden="1">
      <c r="AB139" s="36"/>
      <c r="AC139" s="175"/>
      <c r="AD139" s="34"/>
      <c r="AE139" s="17"/>
      <c r="AF139" s="17"/>
      <c r="AG139" s="15">
        <f>AS133</f>
        <v>351.796662294694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8.35" customHeight="1" hidden="1">
      <c r="AB140" s="36"/>
      <c r="AC140" s="175"/>
      <c r="AD140" s="34"/>
      <c r="AE140" s="17"/>
      <c r="AF140" s="17"/>
      <c r="AG140" s="17"/>
      <c r="AH140" s="26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8.35" customHeight="1" hidden="1">
      <c r="AB141" s="36"/>
      <c r="AC141" s="175"/>
      <c r="AD141" s="34"/>
      <c r="AE141" s="17"/>
      <c r="AF141" s="17"/>
      <c r="AG141" s="17"/>
      <c r="AH141" s="26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8.35" customHeight="1" hidden="1">
      <c r="AB142" s="36"/>
      <c r="AC142" s="175"/>
      <c r="AD142" s="34"/>
      <c r="AE142" s="17"/>
      <c r="AF142" s="17"/>
      <c r="AG142" s="17"/>
      <c r="AH142" s="26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8.35" customHeight="1" hidden="1">
      <c r="AB143" s="36"/>
      <c r="AC143" s="175"/>
      <c r="AD143" s="34"/>
      <c r="AE143" s="17"/>
      <c r="AF143" s="17"/>
      <c r="AG143" s="17"/>
      <c r="AH143" s="26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8.35" customHeight="1" hidden="1">
      <c r="AB144" s="36"/>
      <c r="AC144" s="175"/>
      <c r="AD144" s="34"/>
      <c r="AE144" s="17"/>
      <c r="AF144" s="17"/>
      <c r="AG144" s="17"/>
      <c r="AH144" s="26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8.35" customHeight="1" hidden="1">
      <c r="AB145" s="36"/>
      <c r="AC145" s="175"/>
      <c r="AD145" s="34"/>
      <c r="AE145" s="17"/>
      <c r="AF145" s="17"/>
      <c r="AG145" s="17"/>
      <c r="AH145" s="26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8.35" customHeight="1" hidden="1">
      <c r="AB146" s="36"/>
      <c r="AC146" s="175"/>
      <c r="AD146" s="34"/>
      <c r="AE146" s="17"/>
      <c r="AF146" s="17"/>
      <c r="AG146" s="17"/>
      <c r="AH146" s="26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</sheetData>
  <mergeCells count="2">
    <mergeCell ref="B2:AA2"/>
    <mergeCell ref="AB44:AU4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5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36" customWidth="1"/>
    <col min="2" max="28" width="10.4844" style="436" customWidth="1"/>
    <col min="29" max="29" width="18.9766" style="437" customWidth="1"/>
    <col min="30" max="48" width="9" style="437" customWidth="1"/>
    <col min="49" max="16384" width="16.3516" style="437" customWidth="1"/>
  </cols>
  <sheetData>
    <row r="1" ht="11.65" customHeight="1"/>
    <row r="2" ht="27.65" customHeight="1">
      <c r="B2" t="s" s="2">
        <v>809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328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626</v>
      </c>
      <c r="D8" s="15">
        <v>110.25</v>
      </c>
      <c r="E8" s="15">
        <v>55</v>
      </c>
      <c r="F8" s="15">
        <v>393.9</v>
      </c>
      <c r="G8" s="15">
        <v>7133</v>
      </c>
      <c r="H8" s="15">
        <v>8177</v>
      </c>
      <c r="I8" s="15">
        <v>2138</v>
      </c>
      <c r="J8" s="15">
        <v>-662.8</v>
      </c>
      <c r="K8" s="15">
        <v>-64.90000000000001</v>
      </c>
      <c r="L8" s="15">
        <v>437.3</v>
      </c>
      <c r="M8" s="15">
        <v>0</v>
      </c>
      <c r="N8" s="15">
        <f>SUM(C5:C8)/4</f>
        <v>156.5</v>
      </c>
      <c r="O8" s="15"/>
      <c r="P8" s="16"/>
      <c r="Q8" s="16"/>
      <c r="R8" s="16"/>
      <c r="S8" s="17"/>
      <c r="T8" s="15">
        <f>SUM(J5:K8)/4</f>
        <v>-181.925</v>
      </c>
      <c r="U8" s="25"/>
      <c r="V8" s="15">
        <f>-(L8+M8)+V7</f>
        <v>-437.3</v>
      </c>
      <c r="W8" s="17"/>
      <c r="X8" s="15">
        <f>F8-G8</f>
        <v>-6739.1</v>
      </c>
      <c r="Y8" s="24"/>
      <c r="Z8" s="15">
        <v>288</v>
      </c>
      <c r="AA8" s="22"/>
      <c r="AB8" s="20">
        <v>13.761</v>
      </c>
    </row>
    <row r="9" ht="20.05" customHeight="1">
      <c r="B9" s="13"/>
      <c r="C9" s="14">
        <v>663.7</v>
      </c>
      <c r="D9" s="15">
        <v>141.25</v>
      </c>
      <c r="E9" s="15">
        <v>50.5</v>
      </c>
      <c r="F9" s="15">
        <v>855.4</v>
      </c>
      <c r="G9" s="15">
        <v>8277.5</v>
      </c>
      <c r="H9" s="15">
        <v>9330.700000000001</v>
      </c>
      <c r="I9" s="15">
        <v>2149.4</v>
      </c>
      <c r="J9" s="15">
        <v>-662.5</v>
      </c>
      <c r="K9" s="15">
        <v>-0.3</v>
      </c>
      <c r="L9" s="15">
        <v>1175.8</v>
      </c>
      <c r="M9" s="15">
        <v>-51.5</v>
      </c>
      <c r="N9" s="15">
        <f>SUM(C6:C9)/4</f>
        <v>322.425</v>
      </c>
      <c r="O9" s="15"/>
      <c r="P9" s="16"/>
      <c r="Q9" s="16"/>
      <c r="R9" s="16"/>
      <c r="S9" s="17"/>
      <c r="T9" s="15">
        <f>SUM(J6:K9)/4</f>
        <v>-347.625</v>
      </c>
      <c r="U9" s="25"/>
      <c r="V9" s="15">
        <f>-(L9+M9)+V8</f>
        <v>-1561.6</v>
      </c>
      <c r="W9" s="17"/>
      <c r="X9" s="15">
        <f>F13-G9</f>
        <v>-7400.3</v>
      </c>
      <c r="Y9" s="24"/>
      <c r="Z9" s="15">
        <v>278</v>
      </c>
      <c r="AA9" s="22"/>
      <c r="AB9" s="20">
        <v>14</v>
      </c>
    </row>
    <row r="10" ht="20.05" customHeight="1">
      <c r="B10" s="13"/>
      <c r="C10" s="14">
        <v>676.8</v>
      </c>
      <c r="D10" s="15">
        <v>143.05</v>
      </c>
      <c r="E10" s="15">
        <v>46.8</v>
      </c>
      <c r="F10" s="15">
        <v>428.18</v>
      </c>
      <c r="G10" s="15">
        <v>7805.3</v>
      </c>
      <c r="H10" s="15">
        <v>8905.299999999999</v>
      </c>
      <c r="I10" s="15">
        <v>2540.3</v>
      </c>
      <c r="J10" s="15">
        <v>113.1</v>
      </c>
      <c r="K10" s="15">
        <v>-44.7</v>
      </c>
      <c r="L10" s="15">
        <v>-495.62</v>
      </c>
      <c r="M10" s="15">
        <v>0</v>
      </c>
      <c r="N10" s="15">
        <f>SUM(C7:C10)/4</f>
        <v>491.625</v>
      </c>
      <c r="O10" s="15"/>
      <c r="P10" s="16"/>
      <c r="Q10" s="16"/>
      <c r="R10" s="16"/>
      <c r="S10" s="17"/>
      <c r="T10" s="15">
        <f>SUM(J7:K10)/4</f>
        <v>-330.525</v>
      </c>
      <c r="U10" s="25"/>
      <c r="V10" s="15">
        <f>-(L10+M10)+V9</f>
        <v>-1065.98</v>
      </c>
      <c r="W10" s="17"/>
      <c r="X10" s="15">
        <f>F10-G10</f>
        <v>-7377.12</v>
      </c>
      <c r="Y10" s="24"/>
      <c r="Z10" s="15">
        <v>290</v>
      </c>
      <c r="AA10" s="22"/>
      <c r="AB10" s="20">
        <v>14.902</v>
      </c>
    </row>
    <row r="11" ht="20.05" customHeight="1">
      <c r="B11" s="13"/>
      <c r="C11" s="14">
        <v>649.5</v>
      </c>
      <c r="D11" s="15">
        <v>116.75</v>
      </c>
      <c r="E11" s="15">
        <v>62.7</v>
      </c>
      <c r="F11" s="15">
        <v>1243.7</v>
      </c>
      <c r="G11" s="15">
        <v>7655.7</v>
      </c>
      <c r="H11" s="15">
        <v>8827.299999999999</v>
      </c>
      <c r="I11" s="15">
        <v>3195.8</v>
      </c>
      <c r="J11" s="15">
        <v>997.2</v>
      </c>
      <c r="K11" s="15">
        <v>-1</v>
      </c>
      <c r="L11" s="15">
        <v>-180.68</v>
      </c>
      <c r="M11" s="15">
        <v>0</v>
      </c>
      <c r="N11" s="15">
        <f>SUM(C8:C11)/4</f>
        <v>654</v>
      </c>
      <c r="O11" s="15"/>
      <c r="P11" s="16"/>
      <c r="Q11" s="16"/>
      <c r="R11" s="16"/>
      <c r="S11" s="17"/>
      <c r="T11" s="15">
        <f>SUM(J8:K11)/4</f>
        <v>-81.47499999999999</v>
      </c>
      <c r="U11" s="25"/>
      <c r="V11" s="15">
        <f>-(L11+M11)+V10</f>
        <v>-885.3</v>
      </c>
      <c r="W11" s="17"/>
      <c r="X11" s="15">
        <f>F11-G11</f>
        <v>-6412</v>
      </c>
      <c r="Y11" s="24"/>
      <c r="Z11" s="15">
        <v>312</v>
      </c>
      <c r="AA11" s="22"/>
      <c r="AB11" s="20">
        <v>14.38</v>
      </c>
    </row>
    <row r="12" ht="20.05" customHeight="1">
      <c r="B12" s="21">
        <v>2019</v>
      </c>
      <c r="C12" s="14">
        <v>634.6</v>
      </c>
      <c r="D12" s="15">
        <v>140.6</v>
      </c>
      <c r="E12" s="15">
        <v>43.4</v>
      </c>
      <c r="F12" s="15">
        <v>1194.1</v>
      </c>
      <c r="G12" s="15">
        <v>7517.1</v>
      </c>
      <c r="H12" s="15">
        <v>8667.700000000001</v>
      </c>
      <c r="I12" s="15">
        <v>2238.7</v>
      </c>
      <c r="J12" s="15">
        <v>163.2</v>
      </c>
      <c r="K12" s="15">
        <v>-13.5</v>
      </c>
      <c r="L12" s="15">
        <v>-199.3</v>
      </c>
      <c r="M12" s="15">
        <v>0</v>
      </c>
      <c r="N12" s="15">
        <f>SUM(C9:C12)/4</f>
        <v>656.15</v>
      </c>
      <c r="O12" s="23"/>
      <c r="P12" s="16"/>
      <c r="Q12" s="16">
        <f>(E12+D12)/C12</f>
        <v>0.289946422943587</v>
      </c>
      <c r="R12" s="16">
        <f>AVERAGE(Q9:Q12)</f>
        <v>0.289946422943587</v>
      </c>
      <c r="S12" s="17"/>
      <c r="T12" s="15">
        <f>SUM(J9:K12)/4</f>
        <v>137.875</v>
      </c>
      <c r="U12" s="25"/>
      <c r="V12" s="15">
        <f>-(L12+M12)+V11</f>
        <v>-686</v>
      </c>
      <c r="W12" s="17"/>
      <c r="X12" s="15">
        <f>F12-G12</f>
        <v>-6323</v>
      </c>
      <c r="Y12" s="24"/>
      <c r="Z12" s="15">
        <v>350</v>
      </c>
      <c r="AA12" s="22"/>
      <c r="AB12" s="20">
        <v>14.24</v>
      </c>
    </row>
    <row r="13" ht="20.05" customHeight="1">
      <c r="B13" s="13"/>
      <c r="C13" s="14">
        <v>617</v>
      </c>
      <c r="D13" s="15">
        <v>129.2</v>
      </c>
      <c r="E13" s="15">
        <v>34.7</v>
      </c>
      <c r="F13" s="15">
        <v>877.2</v>
      </c>
      <c r="G13" s="15">
        <v>7168.5</v>
      </c>
      <c r="H13" s="15">
        <v>8360.799999999999</v>
      </c>
      <c r="I13" s="15">
        <v>2159.5</v>
      </c>
      <c r="J13" s="15">
        <v>-34.5</v>
      </c>
      <c r="K13" s="15">
        <v>-12.8</v>
      </c>
      <c r="L13" s="15">
        <v>-208.2</v>
      </c>
      <c r="M13" s="15">
        <v>-61.4</v>
      </c>
      <c r="N13" s="15">
        <f>SUM(C10:C13)/4</f>
        <v>644.475</v>
      </c>
      <c r="O13" s="23"/>
      <c r="P13" s="16">
        <f>C13/C12-1</f>
        <v>-0.0277340056728648</v>
      </c>
      <c r="Q13" s="16">
        <f>(E13+D13)/C13</f>
        <v>0.265640194489465</v>
      </c>
      <c r="R13" s="16">
        <f>AVERAGE(Q10:Q13)</f>
        <v>0.277793308716526</v>
      </c>
      <c r="S13" s="17"/>
      <c r="T13" s="15">
        <f>SUM(J10:K13)/4</f>
        <v>291.75</v>
      </c>
      <c r="U13" s="25"/>
      <c r="V13" s="15">
        <f>-(L13+M13)+V12</f>
        <v>-416.4</v>
      </c>
      <c r="W13" s="17"/>
      <c r="X13" s="15">
        <f>F13-G13</f>
        <v>-6291.3</v>
      </c>
      <c r="Y13" s="24"/>
      <c r="Z13" s="15">
        <v>320</v>
      </c>
      <c r="AA13" s="24"/>
      <c r="AB13" s="15">
        <v>14.127</v>
      </c>
    </row>
    <row r="14" ht="20.05" customHeight="1">
      <c r="B14" s="13"/>
      <c r="C14" s="14">
        <v>657.4</v>
      </c>
      <c r="D14" s="15">
        <v>95.2</v>
      </c>
      <c r="E14" s="15">
        <v>77.59999999999999</v>
      </c>
      <c r="F14" s="15">
        <v>660</v>
      </c>
      <c r="G14" s="15">
        <v>6897.4</v>
      </c>
      <c r="H14" s="15">
        <v>8167.1</v>
      </c>
      <c r="I14" s="15">
        <v>2254.4</v>
      </c>
      <c r="J14" s="15">
        <v>84.7</v>
      </c>
      <c r="K14" s="15">
        <v>-7.4</v>
      </c>
      <c r="L14" s="15">
        <v>-294.5</v>
      </c>
      <c r="M14" s="15">
        <v>0</v>
      </c>
      <c r="N14" s="15">
        <f>SUM(C11:C14)/4</f>
        <v>639.625</v>
      </c>
      <c r="O14" s="23"/>
      <c r="P14" s="16">
        <f>C14/C13-1</f>
        <v>0.06547811993517021</v>
      </c>
      <c r="Q14" s="16">
        <f>(E14+D14)/C14</f>
        <v>0.2628536659568</v>
      </c>
      <c r="R14" s="16">
        <f>AVERAGE(Q11:Q14)</f>
        <v>0.272813427796617</v>
      </c>
      <c r="S14" s="17"/>
      <c r="T14" s="15">
        <f>SUM(J11:K14)/4</f>
        <v>293.975</v>
      </c>
      <c r="U14" s="25"/>
      <c r="V14" s="15">
        <f>-(L14+M14)+V13</f>
        <v>-121.9</v>
      </c>
      <c r="W14" s="17"/>
      <c r="X14" s="15">
        <f>F14-G14</f>
        <v>-6237.4</v>
      </c>
      <c r="Y14" s="24"/>
      <c r="Z14" s="15">
        <v>264</v>
      </c>
      <c r="AA14" s="24"/>
      <c r="AB14" s="15">
        <v>14.195</v>
      </c>
    </row>
    <row r="15" ht="20.05" customHeight="1">
      <c r="B15" s="13"/>
      <c r="C15" s="14">
        <v>734.7</v>
      </c>
      <c r="D15" s="15">
        <v>84.8</v>
      </c>
      <c r="E15" s="15">
        <v>104</v>
      </c>
      <c r="F15" s="15">
        <v>751.6</v>
      </c>
      <c r="G15" s="15">
        <v>6900.6</v>
      </c>
      <c r="H15" s="15">
        <v>8271.200000000001</v>
      </c>
      <c r="I15" s="15">
        <v>2424.8</v>
      </c>
      <c r="J15" s="15">
        <v>118</v>
      </c>
      <c r="K15" s="15">
        <v>-6.7</v>
      </c>
      <c r="L15" s="15">
        <v>-19.7</v>
      </c>
      <c r="M15" s="15">
        <v>0</v>
      </c>
      <c r="N15" s="15">
        <f>SUM(C12:C15)/4</f>
        <v>660.925</v>
      </c>
      <c r="O15" s="15"/>
      <c r="P15" s="16">
        <f>C15/C14-1</f>
        <v>0.117584423486462</v>
      </c>
      <c r="Q15" s="16">
        <f>(E15+D15)/C15</f>
        <v>0.256975636314142</v>
      </c>
      <c r="R15" s="16">
        <f>AVERAGE(Q12:Q15)</f>
        <v>0.268853979925999</v>
      </c>
      <c r="S15" s="17"/>
      <c r="T15" s="15">
        <f>SUM(J12:K15)/4</f>
        <v>72.75</v>
      </c>
      <c r="U15" s="25"/>
      <c r="V15" s="15">
        <f>-(L15+M15)+V14</f>
        <v>-102.2</v>
      </c>
      <c r="W15" s="17"/>
      <c r="X15" s="15">
        <f>F15-G15</f>
        <v>-6149</v>
      </c>
      <c r="Y15" s="24"/>
      <c r="Z15" s="15">
        <v>276</v>
      </c>
      <c r="AA15" s="24"/>
      <c r="AB15" s="15">
        <v>13.882</v>
      </c>
    </row>
    <row r="16" ht="20.05" customHeight="1">
      <c r="B16" s="21">
        <v>2020</v>
      </c>
      <c r="C16" s="14">
        <v>633.6</v>
      </c>
      <c r="D16" s="15">
        <v>133.8</v>
      </c>
      <c r="E16" s="15">
        <v>44.2</v>
      </c>
      <c r="F16" s="15">
        <v>937.9</v>
      </c>
      <c r="G16" s="15">
        <v>6981</v>
      </c>
      <c r="H16" s="15">
        <v>8166.1</v>
      </c>
      <c r="I16" s="15">
        <v>2257.6</v>
      </c>
      <c r="J16" s="15">
        <v>191.9</v>
      </c>
      <c r="K16" s="15">
        <v>-21.2</v>
      </c>
      <c r="L16" s="15">
        <v>15.6</v>
      </c>
      <c r="M16" s="15">
        <v>0</v>
      </c>
      <c r="N16" s="15">
        <f>SUM(C13:C16)/4</f>
        <v>660.675</v>
      </c>
      <c r="O16" s="15"/>
      <c r="P16" s="16">
        <f>C16/C15-1</f>
        <v>-0.137607186606778</v>
      </c>
      <c r="Q16" s="16">
        <f>(E16+D16)/C16</f>
        <v>0.280934343434343</v>
      </c>
      <c r="R16" s="16">
        <f>AVERAGE(Q13:Q16)</f>
        <v>0.266600960048688</v>
      </c>
      <c r="S16" s="17"/>
      <c r="T16" s="15">
        <f>SUM(J13:K16)/4</f>
        <v>78</v>
      </c>
      <c r="U16" s="25"/>
      <c r="V16" s="15">
        <f>-(L16+M16)+V15</f>
        <v>-117.8</v>
      </c>
      <c r="W16" s="17"/>
      <c r="X16" s="15">
        <f>F16-G16</f>
        <v>-6043.1</v>
      </c>
      <c r="Y16" s="24"/>
      <c r="Z16" s="15">
        <v>191</v>
      </c>
      <c r="AA16" s="24"/>
      <c r="AB16" s="15">
        <v>16.31</v>
      </c>
    </row>
    <row r="17" ht="20.05" customHeight="1">
      <c r="B17" s="13"/>
      <c r="C17" s="14">
        <v>495.4</v>
      </c>
      <c r="D17" s="15">
        <v>115.9</v>
      </c>
      <c r="E17" s="15">
        <v>13.1</v>
      </c>
      <c r="F17" s="15">
        <v>658.2</v>
      </c>
      <c r="G17" s="15">
        <v>5565.7</v>
      </c>
      <c r="H17" s="15">
        <v>6762.2</v>
      </c>
      <c r="I17" s="15">
        <v>1700</v>
      </c>
      <c r="J17" s="15">
        <v>1047.4</v>
      </c>
      <c r="K17" s="15">
        <v>-0.9</v>
      </c>
      <c r="L17" s="15">
        <v>-1248.9</v>
      </c>
      <c r="M17" s="15">
        <v>-77.3</v>
      </c>
      <c r="N17" s="15">
        <f>SUM(C14:C17)/4</f>
        <v>630.275</v>
      </c>
      <c r="O17" s="15"/>
      <c r="P17" s="16">
        <f>C17/C16-1</f>
        <v>-0.218118686868687</v>
      </c>
      <c r="Q17" s="16">
        <f>(E17+D17)/C17</f>
        <v>0.26039563988696</v>
      </c>
      <c r="R17" s="16">
        <f>AVERAGE(Q14:Q17)</f>
        <v>0.265289821398061</v>
      </c>
      <c r="S17" s="17"/>
      <c r="T17" s="25">
        <f>SUM(J14:K17)/4</f>
        <v>351.45</v>
      </c>
      <c r="U17" s="25"/>
      <c r="V17" s="15">
        <f>-(L17+M17)+V16</f>
        <v>1208.4</v>
      </c>
      <c r="W17" s="17"/>
      <c r="X17" s="15">
        <f>F17-G17</f>
        <v>-4907.5</v>
      </c>
      <c r="Y17" s="24"/>
      <c r="Z17" s="15">
        <v>206</v>
      </c>
      <c r="AA17" s="24"/>
      <c r="AB17" s="15">
        <v>14.255</v>
      </c>
    </row>
    <row r="18" ht="20.05" customHeight="1">
      <c r="B18" s="13"/>
      <c r="C18" s="14">
        <v>431.1</v>
      </c>
      <c r="D18" s="15">
        <v>89.2</v>
      </c>
      <c r="E18" s="15">
        <v>-1</v>
      </c>
      <c r="F18" s="15">
        <v>1070.44</v>
      </c>
      <c r="G18" s="15">
        <v>5074.2</v>
      </c>
      <c r="H18" s="15">
        <v>6269.7</v>
      </c>
      <c r="I18" s="15">
        <v>1534.1</v>
      </c>
      <c r="J18" s="15">
        <v>928.8</v>
      </c>
      <c r="K18" s="15">
        <v>-7.7</v>
      </c>
      <c r="L18" s="15">
        <v>-508.86</v>
      </c>
      <c r="M18" s="15">
        <v>0</v>
      </c>
      <c r="N18" s="15">
        <f>SUM(C15:C18)/4</f>
        <v>573.7</v>
      </c>
      <c r="O18" s="15"/>
      <c r="P18" s="16">
        <f>C18/C17-1</f>
        <v>-0.129794105773113</v>
      </c>
      <c r="Q18" s="16">
        <f>(E18+D18)/C18</f>
        <v>0.204592901878914</v>
      </c>
      <c r="R18" s="16">
        <f>AVERAGE(Q15:Q18)</f>
        <v>0.25072463037859</v>
      </c>
      <c r="S18" s="17"/>
      <c r="T18" s="25">
        <f>SUM(J15:K18)/4</f>
        <v>562.4</v>
      </c>
      <c r="U18" s="25"/>
      <c r="V18" s="15">
        <f>-(L18+M18)+V17</f>
        <v>1717.26</v>
      </c>
      <c r="W18" s="17"/>
      <c r="X18" s="15">
        <f>F18-G18</f>
        <v>-4003.76</v>
      </c>
      <c r="Y18" s="24"/>
      <c r="Z18" s="15">
        <v>206</v>
      </c>
      <c r="AA18" s="24"/>
      <c r="AB18" s="15">
        <v>14.79</v>
      </c>
    </row>
    <row r="19" ht="20.05" customHeight="1">
      <c r="B19" s="13"/>
      <c r="C19" s="14">
        <v>440.8</v>
      </c>
      <c r="D19" s="15">
        <v>113.8</v>
      </c>
      <c r="E19" s="15">
        <v>1.1</v>
      </c>
      <c r="F19" s="15">
        <v>636.1</v>
      </c>
      <c r="G19" s="15">
        <v>4070.4</v>
      </c>
      <c r="H19" s="15">
        <v>5283.7</v>
      </c>
      <c r="I19" s="15">
        <v>1584.9</v>
      </c>
      <c r="J19" s="15">
        <v>569.7</v>
      </c>
      <c r="K19" s="15">
        <v>-8.4</v>
      </c>
      <c r="L19" s="15">
        <v>-995.64</v>
      </c>
      <c r="M19" s="15">
        <v>0</v>
      </c>
      <c r="N19" s="15">
        <f>SUM(C16:C19)/4</f>
        <v>500.225</v>
      </c>
      <c r="O19" s="15"/>
      <c r="P19" s="16">
        <f>C19/C18-1</f>
        <v>0.0225005799118534</v>
      </c>
      <c r="Q19" s="16">
        <f>(E19+D19)/C19</f>
        <v>0.260662431941924</v>
      </c>
      <c r="R19" s="16">
        <f>AVERAGE(Q16:Q19)</f>
        <v>0.251646329285535</v>
      </c>
      <c r="S19" s="17"/>
      <c r="T19" s="25">
        <f>SUM(J16:K19)/4</f>
        <v>674.9</v>
      </c>
      <c r="U19" s="25"/>
      <c r="V19" s="15">
        <f>-(L19+M19)+V18</f>
        <v>2712.9</v>
      </c>
      <c r="W19" s="17"/>
      <c r="X19" s="15">
        <f>F19-G19</f>
        <v>-3434.3</v>
      </c>
      <c r="Y19" s="24"/>
      <c r="Z19" s="15">
        <v>254</v>
      </c>
      <c r="AA19" s="24"/>
      <c r="AB19" s="15">
        <v>14.1</v>
      </c>
    </row>
    <row r="20" ht="20.05" customHeight="1">
      <c r="B20" s="21">
        <v>2021</v>
      </c>
      <c r="C20" s="14">
        <v>382.2</v>
      </c>
      <c r="D20" s="15">
        <v>69.7</v>
      </c>
      <c r="E20" s="15">
        <v>24.4</v>
      </c>
      <c r="F20" s="15">
        <v>345.22</v>
      </c>
      <c r="G20" s="15">
        <v>3532.4</v>
      </c>
      <c r="H20" s="15">
        <v>4770.1</v>
      </c>
      <c r="I20" s="15">
        <v>1354.8</v>
      </c>
      <c r="J20" s="15">
        <v>275.12</v>
      </c>
      <c r="K20" s="15">
        <v>-6.9</v>
      </c>
      <c r="L20" s="15">
        <v>-559.1</v>
      </c>
      <c r="M20" s="15">
        <v>0</v>
      </c>
      <c r="N20" s="15">
        <f>SUM(C17:C20)/4</f>
        <v>437.375</v>
      </c>
      <c r="O20" s="15"/>
      <c r="P20" s="16">
        <f>C20/C19-1</f>
        <v>-0.132940108892922</v>
      </c>
      <c r="Q20" s="16">
        <f>(E20+D20)/C20</f>
        <v>0.246206174777603</v>
      </c>
      <c r="R20" s="16">
        <f>AVERAGE(Q17:Q20)</f>
        <v>0.24296428712135</v>
      </c>
      <c r="S20" s="17"/>
      <c r="T20" s="25">
        <f>SUM(J17:K20)/4</f>
        <v>699.28</v>
      </c>
      <c r="U20" s="25"/>
      <c r="V20" s="15">
        <f>-(L20+M20)+V19</f>
        <v>3272</v>
      </c>
      <c r="W20" s="17"/>
      <c r="X20" s="15">
        <f>F20-G20</f>
        <v>-3187.18</v>
      </c>
      <c r="Y20" s="15"/>
      <c r="Z20" s="15">
        <v>244</v>
      </c>
      <c r="AA20" s="15"/>
      <c r="AB20" s="15">
        <v>14.606</v>
      </c>
    </row>
    <row r="21" ht="20.05" customHeight="1">
      <c r="B21" s="13"/>
      <c r="C21" s="14">
        <v>374.9</v>
      </c>
      <c r="D21" s="15">
        <v>64.2</v>
      </c>
      <c r="E21" s="15">
        <v>25.4</v>
      </c>
      <c r="F21" s="15">
        <v>183.6</v>
      </c>
      <c r="G21" s="15">
        <v>3360.1</v>
      </c>
      <c r="H21" s="15">
        <v>4623.2</v>
      </c>
      <c r="I21" s="15">
        <v>1341.1</v>
      </c>
      <c r="J21" s="15">
        <v>5.28</v>
      </c>
      <c r="K21" s="15">
        <v>-15.7</v>
      </c>
      <c r="L21" s="15">
        <v>-151.2</v>
      </c>
      <c r="M21" s="15">
        <v>0</v>
      </c>
      <c r="N21" s="15">
        <f>SUM(C18:C21)/4</f>
        <v>407.25</v>
      </c>
      <c r="O21" s="15"/>
      <c r="P21" s="16">
        <f>C21/C20-1</f>
        <v>-0.0190999476713762</v>
      </c>
      <c r="Q21" s="16">
        <f>(E21+D21)/C21</f>
        <v>0.238997065884236</v>
      </c>
      <c r="R21" s="16">
        <f>AVERAGE(Q18:Q21)</f>
        <v>0.237614643620669</v>
      </c>
      <c r="S21" s="17"/>
      <c r="T21" s="25">
        <f>SUM(J18:K21)/4</f>
        <v>435.05</v>
      </c>
      <c r="U21" s="25"/>
      <c r="V21" s="15">
        <f>-(L21+M21)+V20</f>
        <v>3423.2</v>
      </c>
      <c r="W21" s="17"/>
      <c r="X21" s="15">
        <f>F21-G21</f>
        <v>-3176.5</v>
      </c>
      <c r="Y21" s="15"/>
      <c r="Z21" s="15">
        <v>238</v>
      </c>
      <c r="AA21" s="15"/>
      <c r="AB21" s="15">
        <v>14.45</v>
      </c>
    </row>
    <row r="22" ht="20.05" customHeight="1">
      <c r="B22" s="13"/>
      <c r="C22" s="14">
        <v>391</v>
      </c>
      <c r="D22" s="15">
        <v>69.09999999999999</v>
      </c>
      <c r="E22" s="15">
        <v>25.8</v>
      </c>
      <c r="F22" s="15">
        <v>250.8</v>
      </c>
      <c r="G22" s="15">
        <v>3534.8</v>
      </c>
      <c r="H22" s="15">
        <v>4823.8</v>
      </c>
      <c r="I22" s="15">
        <v>1366.2</v>
      </c>
      <c r="J22" s="15">
        <v>-70.59999999999999</v>
      </c>
      <c r="K22" s="15">
        <v>-17</v>
      </c>
      <c r="L22" s="15">
        <v>154.8</v>
      </c>
      <c r="M22" s="15">
        <v>0</v>
      </c>
      <c r="N22" s="15">
        <f>SUM(C19:C22)/4</f>
        <v>397.225</v>
      </c>
      <c r="O22" s="15"/>
      <c r="P22" s="16">
        <f>C22/C21-1</f>
        <v>0.0429447852760736</v>
      </c>
      <c r="Q22" s="16">
        <f>(E22+D22)/C22</f>
        <v>0.242710997442455</v>
      </c>
      <c r="R22" s="16">
        <f>AVERAGE(Q19:Q22)</f>
        <v>0.247144167511555</v>
      </c>
      <c r="S22" s="17"/>
      <c r="T22" s="25">
        <f>SUM(J19:K22)/4</f>
        <v>182.875</v>
      </c>
      <c r="U22" s="25"/>
      <c r="V22" s="15">
        <f>-(L22+M22)+V21</f>
        <v>3268.4</v>
      </c>
      <c r="W22" s="17"/>
      <c r="X22" s="15">
        <f>F22-G22</f>
        <v>-3284</v>
      </c>
      <c r="Y22" s="15"/>
      <c r="Z22" s="15">
        <v>234</v>
      </c>
      <c r="AA22" s="15"/>
      <c r="AB22" s="15">
        <v>14.328</v>
      </c>
    </row>
    <row r="23" ht="20.05" customHeight="1">
      <c r="B23" s="13"/>
      <c r="C23" s="14">
        <v>422.88</v>
      </c>
      <c r="D23" s="15">
        <v>76.7</v>
      </c>
      <c r="E23" s="15">
        <v>35</v>
      </c>
      <c r="F23" s="15">
        <v>450.06</v>
      </c>
      <c r="G23" s="15">
        <v>3817.4</v>
      </c>
      <c r="H23" s="15">
        <v>5151.1</v>
      </c>
      <c r="I23" s="15">
        <v>1447.9</v>
      </c>
      <c r="J23" s="15">
        <v>-92.34</v>
      </c>
      <c r="K23" s="15">
        <v>-6.6</v>
      </c>
      <c r="L23" s="15">
        <v>298.2</v>
      </c>
      <c r="M23" s="15">
        <v>0</v>
      </c>
      <c r="N23" s="15">
        <f>SUM(C20:C23)/4</f>
        <v>392.745</v>
      </c>
      <c r="O23" s="15"/>
      <c r="P23" s="16">
        <f>C23/C22-1</f>
        <v>0.0815345268542199</v>
      </c>
      <c r="Q23" s="16">
        <f>(E23+D23)/C23</f>
        <v>0.264141127506621</v>
      </c>
      <c r="R23" s="16">
        <f>AVERAGE(Q20:Q23)</f>
        <v>0.248013841402729</v>
      </c>
      <c r="S23" s="17"/>
      <c r="T23" s="25">
        <f>SUM(J20:K23)/4</f>
        <v>17.815</v>
      </c>
      <c r="U23" s="25"/>
      <c r="V23" s="15">
        <f>-(L23+M23)+V22</f>
        <v>2970.2</v>
      </c>
      <c r="W23" s="17"/>
      <c r="X23" s="15">
        <f>F23-G23</f>
        <v>-3367.34</v>
      </c>
      <c r="Y23" s="15"/>
      <c r="Z23" s="15">
        <v>246</v>
      </c>
      <c r="AA23" s="15"/>
      <c r="AB23" s="15">
        <v>14.275</v>
      </c>
    </row>
    <row r="24" ht="20.05" customHeight="1">
      <c r="B24" s="21">
        <v>2022</v>
      </c>
      <c r="C24" s="14">
        <v>425</v>
      </c>
      <c r="D24" s="15">
        <v>86.7</v>
      </c>
      <c r="E24" s="15">
        <v>24.5</v>
      </c>
      <c r="F24" s="15">
        <v>388.11</v>
      </c>
      <c r="G24" s="15">
        <v>3803</v>
      </c>
      <c r="H24" s="15">
        <v>5128</v>
      </c>
      <c r="I24" s="15">
        <v>1397</v>
      </c>
      <c r="J24" s="15">
        <v>20.85</v>
      </c>
      <c r="K24" s="15">
        <v>-12.5</v>
      </c>
      <c r="L24" s="15">
        <v>-70.3</v>
      </c>
      <c r="M24" s="15">
        <v>0</v>
      </c>
      <c r="N24" s="15">
        <f>SUM(C21:C24)/4</f>
        <v>403.445</v>
      </c>
      <c r="O24" s="15">
        <v>418.6512</v>
      </c>
      <c r="P24" s="16">
        <f>C24/C23-1</f>
        <v>0.00501324252743095</v>
      </c>
      <c r="Q24" s="16">
        <f>(E24+D24)/C24</f>
        <v>0.261647058823529</v>
      </c>
      <c r="R24" s="16">
        <f>AVERAGE(Q21:Q24)</f>
        <v>0.25187406241421</v>
      </c>
      <c r="S24" s="35"/>
      <c r="T24" s="25">
        <f>SUM(J21:K24)/4</f>
        <v>-47.1525</v>
      </c>
      <c r="U24" s="15">
        <v>114.690198975</v>
      </c>
      <c r="V24" s="15">
        <f>-(L24+M24)+V23</f>
        <v>3040.5</v>
      </c>
      <c r="W24" s="15"/>
      <c r="X24" s="15">
        <f>F24-G24</f>
        <v>-3414.89</v>
      </c>
      <c r="Y24" s="15"/>
      <c r="Z24" s="15">
        <v>390</v>
      </c>
      <c r="AA24" s="17"/>
      <c r="AB24" s="15">
        <v>14.327</v>
      </c>
    </row>
    <row r="25" ht="20.05" customHeight="1">
      <c r="B25" s="13"/>
      <c r="C25" s="14">
        <v>406</v>
      </c>
      <c r="D25" s="15">
        <v>31.3</v>
      </c>
      <c r="E25" s="15">
        <v>55.5</v>
      </c>
      <c r="F25" s="15">
        <v>540</v>
      </c>
      <c r="G25" s="15">
        <v>3915</v>
      </c>
      <c r="H25" s="15">
        <v>5302</v>
      </c>
      <c r="I25" s="15">
        <v>1398</v>
      </c>
      <c r="J25" s="15">
        <v>39.15</v>
      </c>
      <c r="K25" s="15">
        <v>-13.5</v>
      </c>
      <c r="L25" s="15">
        <v>126.3</v>
      </c>
      <c r="M25" s="15">
        <v>0</v>
      </c>
      <c r="N25" s="15">
        <f>SUM(C22:C25)/4</f>
        <v>411.22</v>
      </c>
      <c r="O25" s="15">
        <v>432.4506</v>
      </c>
      <c r="P25" s="16">
        <f>C25/C24-1</f>
        <v>-0.0447058823529412</v>
      </c>
      <c r="Q25" s="16">
        <f>(E25+D25)/C25</f>
        <v>0.213793103448276</v>
      </c>
      <c r="R25" s="16">
        <f>AVERAGE(Q22:Q25)</f>
        <v>0.24557307180522</v>
      </c>
      <c r="S25" s="35"/>
      <c r="T25" s="25">
        <f>SUM(J22:K25)/4</f>
        <v>-38.135</v>
      </c>
      <c r="U25" s="15">
        <v>107.928711148013</v>
      </c>
      <c r="V25" s="15">
        <f>-(L25+M25)+V24</f>
        <v>2914.2</v>
      </c>
      <c r="W25" s="15"/>
      <c r="X25" s="15">
        <f>F25-G25</f>
        <v>-3375</v>
      </c>
      <c r="Y25" s="15"/>
      <c r="Z25" s="26">
        <v>244</v>
      </c>
      <c r="AA25" s="17"/>
      <c r="AB25" s="15">
        <v>14.66</v>
      </c>
    </row>
    <row r="26" ht="20.05" customHeight="1">
      <c r="B26" s="13"/>
      <c r="C26" s="14">
        <v>422.5</v>
      </c>
      <c r="D26" s="15">
        <v>67.40000000000001</v>
      </c>
      <c r="E26" s="15">
        <v>42.8</v>
      </c>
      <c r="F26" s="15">
        <v>629</v>
      </c>
      <c r="G26" s="15">
        <v>4101</v>
      </c>
      <c r="H26" s="15">
        <v>5531</v>
      </c>
      <c r="I26" s="15">
        <v>1436.2</v>
      </c>
      <c r="J26" s="15">
        <v>-54.5</v>
      </c>
      <c r="K26" s="15">
        <v>-18.6</v>
      </c>
      <c r="L26" s="15">
        <v>194.9</v>
      </c>
      <c r="M26" s="15">
        <v>-32.9</v>
      </c>
      <c r="N26" s="15">
        <f>SUM(C23:C26)/4</f>
        <v>419.095</v>
      </c>
      <c r="O26" s="15">
        <v>430.4004</v>
      </c>
      <c r="P26" s="16">
        <f>C26/C25-1</f>
        <v>0.04064039408867</v>
      </c>
      <c r="Q26" s="16">
        <f>(E26+D26)/C26</f>
        <v>0.260828402366864</v>
      </c>
      <c r="R26" s="16">
        <f>AVERAGE(Q23:Q26)</f>
        <v>0.250102423036323</v>
      </c>
      <c r="S26" s="35">
        <f>S27</f>
        <v>0.250102423036323</v>
      </c>
      <c r="T26" s="25">
        <f>SUM(J23:K26)/4</f>
        <v>-34.51</v>
      </c>
      <c r="U26" s="15">
        <v>98.48279881277431</v>
      </c>
      <c r="V26" s="15">
        <f>-(L26+M26)+V25</f>
        <v>2752.2</v>
      </c>
      <c r="W26" s="15">
        <f>W27</f>
        <v>2816.584844760660</v>
      </c>
      <c r="X26" s="15">
        <f>F26-G26</f>
        <v>-3472</v>
      </c>
      <c r="Y26" s="15"/>
      <c r="Z26" s="26">
        <v>264</v>
      </c>
      <c r="AA26" s="15">
        <v>384.410090776798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456.162083325</v>
      </c>
      <c r="P27" s="17"/>
      <c r="Q27" s="17"/>
      <c r="R27" s="17"/>
      <c r="S27" s="35">
        <f>AE53</f>
        <v>0.250102423036323</v>
      </c>
      <c r="T27" s="25"/>
      <c r="U27" s="15">
        <f>SUM(AE55:AH55)/4</f>
        <v>98.0372423368796</v>
      </c>
      <c r="V27" s="17"/>
      <c r="W27" s="15">
        <f>-SUM(AE76:AH76)+V26</f>
        <v>2816.584844760660</v>
      </c>
      <c r="X27" s="26"/>
      <c r="Y27" s="15">
        <f>AH75</f>
        <v>-3142.595721456740</v>
      </c>
      <c r="Z27" s="15">
        <v>254</v>
      </c>
      <c r="AA27" s="15">
        <v>384.410090776798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1233.76</v>
      </c>
      <c r="O28" s="15">
        <f>SUM(O24:O26)</f>
        <v>1281.5022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337.915751252099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328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0.0206205702793449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0.0815345268542199</v>
      </c>
      <c r="AF50" s="35">
        <f>P24</f>
        <v>0.00501324252743095</v>
      </c>
      <c r="AG50" s="35">
        <f>P25</f>
        <v>-0.0447058823529412</v>
      </c>
      <c r="AH50" s="35">
        <f>P26</f>
        <v>0.04064039408867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0.08</v>
      </c>
      <c r="AF51" s="35">
        <v>0.01</v>
      </c>
      <c r="AG51" s="35">
        <v>-0.03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422.5</v>
      </c>
      <c r="AE52" s="23">
        <f>C26*(1+AE51)</f>
        <v>456.3</v>
      </c>
      <c r="AF52" s="23">
        <f>AE52*(1+AF51)</f>
        <v>460.863</v>
      </c>
      <c r="AG52" s="23">
        <f>AF52*(1+AG51)</f>
        <v>447.03711</v>
      </c>
      <c r="AH52" s="23">
        <f>AG52*(1+AH51)</f>
        <v>460.4482233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0.250102423036323</v>
      </c>
      <c r="AF53" s="35">
        <f>AE53</f>
        <v>0.250102423036323</v>
      </c>
      <c r="AG53" s="35">
        <f>AF53</f>
        <v>0.250102423036323</v>
      </c>
      <c r="AH53" s="35">
        <f>AG53</f>
        <v>0.250102423036323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AVERAGE(K25:K26)</f>
        <v>-16.05</v>
      </c>
      <c r="AF54" s="15">
        <f>AE54</f>
        <v>-16.05</v>
      </c>
      <c r="AG54" s="15">
        <f>AF54</f>
        <v>-16.05</v>
      </c>
      <c r="AH54" s="15">
        <f>AG54</f>
        <v>-16.05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98.0717356314742</v>
      </c>
      <c r="AF55" s="15">
        <f>(AF52*AF53)+AF54</f>
        <v>99.2129529877889</v>
      </c>
      <c r="AG55" s="15">
        <f>(AG52*AG53)+AG54</f>
        <v>95.7550643981553</v>
      </c>
      <c r="AH55" s="15">
        <f>(AH52*AH53)+AH54</f>
        <v>99.1092163300999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-G26/10000</f>
        <v>-0.4101</v>
      </c>
      <c r="AF56" s="15">
        <f>-AE71/10000</f>
        <v>-0.41005899</v>
      </c>
      <c r="AG56" s="15">
        <f>-AF71/10000</f>
        <v>-0.410017984101</v>
      </c>
      <c r="AH56" s="15">
        <f>-AG71/10000</f>
        <v>-0.40997698230259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-0.3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-15.6965206894423</v>
      </c>
      <c r="AF58" s="15">
        <f>IF(AF66&gt;0,AF66*$AE$57,0)</f>
        <v>-16.0388858963367</v>
      </c>
      <c r="AG58" s="15">
        <f>IF(AG66&gt;0,AG66*$AE$57,0)</f>
        <v>-15.0015193194466</v>
      </c>
      <c r="AH58" s="15">
        <f>IF(AH66&gt;0,AH66*$AE$57,0)</f>
        <v>-16.007764899030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81.9651149420319</v>
      </c>
      <c r="AF59" s="15">
        <f>AF55+AF56+AF58</f>
        <v>82.76400810145221</v>
      </c>
      <c r="AG59" s="15">
        <f>AG55+AG56+AG58</f>
        <v>80.34352709460769</v>
      </c>
      <c r="AH59" s="15">
        <f>AH55+AH56+AH58</f>
        <v>82.69147444876729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629</v>
      </c>
      <c r="AF61" s="15">
        <f>AE63</f>
        <v>710.965114942032</v>
      </c>
      <c r="AG61" s="15">
        <f>AF63</f>
        <v>793.729123043484</v>
      </c>
      <c r="AH61" s="15">
        <f>AG63</f>
        <v>874.0726501380919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81.9651149420319</v>
      </c>
      <c r="AF62" s="15">
        <f>AF55+AF56+AF58+AF60</f>
        <v>82.76400810145221</v>
      </c>
      <c r="AG62" s="15">
        <f>AG55+AG56+AG58+AG60</f>
        <v>80.34352709460769</v>
      </c>
      <c r="AH62" s="15">
        <f>AH55+AH56+AH58+AH60</f>
        <v>82.69147444876729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710.965114942032</v>
      </c>
      <c r="AF63" s="15">
        <f>AF61+AF62</f>
        <v>793.729123043484</v>
      </c>
      <c r="AG63" s="15">
        <f>AG61+AG62</f>
        <v>874.0726501380919</v>
      </c>
      <c r="AH63" s="15">
        <f>AH61+AH62</f>
        <v>956.764124586859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-61.8</v>
      </c>
      <c r="AF65" s="15">
        <f>AE65</f>
        <v>-61.8</v>
      </c>
      <c r="AG65" s="15">
        <f>AF65</f>
        <v>-61.8</v>
      </c>
      <c r="AH65" s="15">
        <f>AG65</f>
        <v>-61.8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52.3217356314742</v>
      </c>
      <c r="AF66" s="15">
        <f>(AF52*AF53)+AF65</f>
        <v>53.4629529877889</v>
      </c>
      <c r="AG66" s="15">
        <f>(AG52*AG53)+AG65</f>
        <v>50.0050643981553</v>
      </c>
      <c r="AH66" s="15">
        <f>(AH52*AH53)+AH65</f>
        <v>53.3592163300999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4918.05</v>
      </c>
      <c r="AF68" s="15">
        <f>AE68-AF54</f>
        <v>4934.1</v>
      </c>
      <c r="AG68" s="15">
        <f>AF68-AG54</f>
        <v>4950.15</v>
      </c>
      <c r="AH68" s="15">
        <f>AG68-AH54</f>
        <v>4966.2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61.8</v>
      </c>
      <c r="AF69" s="15">
        <f>AE69-AF65</f>
        <v>123.6</v>
      </c>
      <c r="AG69" s="15">
        <f>AF69-AG65</f>
        <v>185.4</v>
      </c>
      <c r="AH69" s="15">
        <f>AG69-AH65</f>
        <v>247.2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4856.25</v>
      </c>
      <c r="AF70" s="15">
        <f>AF68-AF69</f>
        <v>4810.5</v>
      </c>
      <c r="AG70" s="15">
        <f>AG68-AG69</f>
        <v>4764.75</v>
      </c>
      <c r="AH70" s="15">
        <f>AH68-AH69</f>
        <v>4719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4100.5899</v>
      </c>
      <c r="AF71" s="15">
        <f>AE71+AF56</f>
        <v>4100.17984101</v>
      </c>
      <c r="AG71" s="15">
        <f>AF71+AG56</f>
        <v>4099.7698230259</v>
      </c>
      <c r="AH71" s="15">
        <f>AG71+AH56</f>
        <v>4099.3598460436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1466.625214942030</v>
      </c>
      <c r="AF73" s="15">
        <f>AE73+AF66+AF58</f>
        <v>1504.049282033480</v>
      </c>
      <c r="AG73" s="15">
        <f>AF73+AG66+AG58</f>
        <v>1539.052827112190</v>
      </c>
      <c r="AH73" s="15">
        <f>AG73+AH66+AH58</f>
        <v>1576.404278543260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-2e-12</v>
      </c>
      <c r="AF74" s="15">
        <f>AF71+AF72+AF73-AF63-AF70</f>
        <v>-4e-12</v>
      </c>
      <c r="AG74" s="15">
        <f>AG71+AG72+AG73-AG63-AG70</f>
        <v>-2e-12</v>
      </c>
      <c r="AH74" s="15">
        <f>AH71+AH72+AH73-AH63-AH70</f>
        <v>1e-12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-3389.624785057970</v>
      </c>
      <c r="AF75" s="15">
        <f>AF63-AF71-AF72</f>
        <v>-3306.450717966520</v>
      </c>
      <c r="AG75" s="15">
        <f>AG63-AG71-AG72</f>
        <v>-3225.697172887810</v>
      </c>
      <c r="AH75" s="15">
        <f>AH63-AH71-AH72</f>
        <v>-3142.595721456740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-16.1066206894423</v>
      </c>
      <c r="AF76" s="15">
        <f>AF56+AF58+AF60</f>
        <v>-16.4489448863367</v>
      </c>
      <c r="AG76" s="15">
        <f>AG56+AG58+AG60</f>
        <v>-15.4115373035476</v>
      </c>
      <c r="AH76" s="15">
        <f>AH56+AH58+AH60</f>
        <v>-16.4177418813326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810</v>
      </c>
      <c r="AD78" s="14"/>
      <c r="AE78" s="15"/>
      <c r="AF78" s="15"/>
      <c r="AG78" s="15"/>
      <c r="AH78" s="15">
        <v>254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810</v>
      </c>
      <c r="AD79" s="14"/>
      <c r="AE79" s="15"/>
      <c r="AF79" s="15"/>
      <c r="AG79" s="15"/>
      <c r="AH79" s="15">
        <v>884295903744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884.295903744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3.481479936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0.155802088376667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0.07095440625542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-138.04</v>
      </c>
      <c r="AH84" s="15">
        <f>SUM(AE55:AH55)</f>
        <v>392.148969347518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12.0336922161284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2.2549999435555</v>
      </c>
      <c r="AH86" s="15">
        <v>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1176.446908042550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337.915751252099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0.330376973433461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0.0805626598465473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0.0386965049928673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810</v>
      </c>
      <c r="AF93" t="s" s="44">
        <f>AE115</f>
        <v>15</v>
      </c>
      <c r="AG93" t="s" s="44">
        <f>AF115</f>
        <v>360</v>
      </c>
      <c r="AH93" t="s" s="44">
        <f>AG115</f>
        <v>485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254</v>
      </c>
      <c r="AG94" t="s" s="44">
        <v>61</v>
      </c>
      <c r="AH94" s="15">
        <f>AH88</f>
        <v>337.915751252099</v>
      </c>
      <c r="AI94" t="s" s="44">
        <f>IF(AJ94&gt;0,"+","")</f>
        <v>361</v>
      </c>
      <c r="AJ94" s="16">
        <f>AH94/AF94-1</f>
        <v>0.330376973433461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0.0805626598465473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(AG119+AG120+AI119+AI120+AK119+AK120+AM119+AM120)/AF136</f>
        <v>-0.156101593839297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(AG133+AG134+AI133+AI134+AK133+AK134+AM133+AM134)/AF136</f>
        <v>-0.5837412542730021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-3.92628755295595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0.04064039408867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0.0429447852760736</v>
      </c>
      <c r="AF103" s="16">
        <f>P23</f>
        <v>0.0815345268542199</v>
      </c>
      <c r="AG103" s="16">
        <f>P24</f>
        <v>0.00501324252743095</v>
      </c>
      <c r="AH103" s="16">
        <f>P25</f>
        <v>-0.0447058823529412</v>
      </c>
      <c r="AI103" s="16">
        <f>P26</f>
        <v>0.04064039408867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391</v>
      </c>
      <c r="AF104" t="s" s="44">
        <v>72</v>
      </c>
      <c r="AG104" s="15">
        <f>C23</f>
        <v>422.88</v>
      </c>
      <c r="AH104" t="s" s="44">
        <v>72</v>
      </c>
      <c r="AI104" s="15">
        <f>C24</f>
        <v>425</v>
      </c>
      <c r="AJ104" t="s" s="44">
        <v>72</v>
      </c>
      <c r="AK104" s="15">
        <f>C25</f>
        <v>406</v>
      </c>
      <c r="AL104" t="s" s="44">
        <v>72</v>
      </c>
      <c r="AM104" s="15">
        <f>C26</f>
        <v>422.5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0.04064039408867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422.5</v>
      </c>
      <c r="AM105" t="s" s="48">
        <f>AN104</f>
        <v>22</v>
      </c>
      <c r="AN105" t="s" s="44">
        <v>77</v>
      </c>
      <c r="AO105" t="s" s="44">
        <f>IF(AP105&gt;0,"+","")</f>
        <v>361</v>
      </c>
      <c r="AP105" s="16">
        <f>AH91</f>
        <v>0.0386965049928673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0.0206205702793449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460.4482233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0.242710997442455</v>
      </c>
      <c r="AF110" s="16">
        <f>(D23+E23)/C23</f>
        <v>0.264141127506621</v>
      </c>
      <c r="AG110" s="16">
        <f>((E24+D24)/C24)</f>
        <v>0.261647058823529</v>
      </c>
      <c r="AH110" s="16">
        <f>(D25+E25)/C25</f>
        <v>0.213793103448276</v>
      </c>
      <c r="AI110" s="16">
        <f>(D26+E26)/C26</f>
        <v>0.260828402366864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25.8</v>
      </c>
      <c r="AF111" t="s" s="44">
        <v>72</v>
      </c>
      <c r="AG111" s="15">
        <f>E23</f>
        <v>35</v>
      </c>
      <c r="AH111" t="s" s="44">
        <v>72</v>
      </c>
      <c r="AI111" s="15">
        <f>E24</f>
        <v>24.5</v>
      </c>
      <c r="AJ111" t="s" s="44">
        <v>72</v>
      </c>
      <c r="AK111" s="15">
        <f>E25</f>
        <v>55.5</v>
      </c>
      <c r="AL111" t="s" s="44">
        <v>72</v>
      </c>
      <c r="AM111" s="15">
        <f>E26</f>
        <v>42.8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0.213793103448276</v>
      </c>
      <c r="AG112" t="s" s="44">
        <v>76</v>
      </c>
      <c r="AH112" s="16">
        <f>AI110</f>
        <v>0.260828402366864</v>
      </c>
      <c r="AI112" t="s" s="44">
        <v>90</v>
      </c>
      <c r="AJ112" s="15">
        <f>AK111</f>
        <v>55.5</v>
      </c>
      <c r="AK112" t="s" s="44">
        <v>76</v>
      </c>
      <c r="AL112" s="15">
        <f>AM111</f>
        <v>42.8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0.250102423036323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0.250102423036323</v>
      </c>
      <c r="AG114" t="s" s="44">
        <v>94</v>
      </c>
      <c r="AH114" s="15">
        <f>AH66</f>
        <v>53.3592163300999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360</v>
      </c>
      <c r="AG115" t="s" s="44">
        <f>IF(AH121&lt;0,"negative","positive")</f>
        <v>485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25.65</v>
      </c>
      <c r="AG116" s="15">
        <f>ABS(AH121)</f>
        <v>73.09999999999999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25.65</v>
      </c>
      <c r="AF117" s="15">
        <f>ABS(AH121)</f>
        <v>73.09999999999999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-70.59999999999999</v>
      </c>
      <c r="AF119" t="s" s="44">
        <v>72</v>
      </c>
      <c r="AG119" s="15">
        <f>J23</f>
        <v>-92.34</v>
      </c>
      <c r="AH119" t="s" s="44">
        <v>72</v>
      </c>
      <c r="AI119" s="15">
        <f>J24</f>
        <v>20.85</v>
      </c>
      <c r="AJ119" t="s" s="44">
        <v>72</v>
      </c>
      <c r="AK119" s="15">
        <f>J25</f>
        <v>39.15</v>
      </c>
      <c r="AL119" t="s" s="44">
        <v>72</v>
      </c>
      <c r="AM119" s="15">
        <f>J26</f>
        <v>-54.5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-17</v>
      </c>
      <c r="AF120" t="s" s="44">
        <v>72</v>
      </c>
      <c r="AG120" s="15">
        <f>K23</f>
        <v>-6.6</v>
      </c>
      <c r="AH120" t="s" s="44">
        <v>72</v>
      </c>
      <c r="AI120" s="15">
        <f>K24</f>
        <v>-12.5</v>
      </c>
      <c r="AJ120" t="s" s="44">
        <v>72</v>
      </c>
      <c r="AK120" s="15">
        <f>K25</f>
        <v>-13.5</v>
      </c>
      <c r="AL120" t="s" s="44">
        <v>72</v>
      </c>
      <c r="AM120" s="15">
        <f>K26</f>
        <v>-18.6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25.65</v>
      </c>
      <c r="AG121" t="s" s="44">
        <v>76</v>
      </c>
      <c r="AH121" s="15">
        <f>AM119+AM120</f>
        <v>-73.09999999999999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-18.6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-34.51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-16.05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98.0372423368796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87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250.8</v>
      </c>
      <c r="AF126" t="s" s="44">
        <v>72</v>
      </c>
      <c r="AG126" s="15">
        <f>F23</f>
        <v>450.06</v>
      </c>
      <c r="AH126" t="s" s="44">
        <v>72</v>
      </c>
      <c r="AI126" s="15">
        <f>F24</f>
        <v>388.11</v>
      </c>
      <c r="AJ126" t="s" s="44">
        <v>72</v>
      </c>
      <c r="AK126" s="15">
        <f>F25</f>
        <v>540</v>
      </c>
      <c r="AL126" t="s" s="44">
        <v>72</v>
      </c>
      <c r="AM126" s="15">
        <f>F26</f>
        <v>629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3534.8</v>
      </c>
      <c r="AF127" t="s" s="44">
        <v>72</v>
      </c>
      <c r="AG127" s="15">
        <f>G23</f>
        <v>3817.4</v>
      </c>
      <c r="AH127" t="s" s="44">
        <v>72</v>
      </c>
      <c r="AI127" s="15">
        <f>G24</f>
        <v>3803</v>
      </c>
      <c r="AJ127" t="s" s="44">
        <v>72</v>
      </c>
      <c r="AK127" s="15">
        <f>G25</f>
        <v>3915</v>
      </c>
      <c r="AL127" t="s" s="44">
        <v>72</v>
      </c>
      <c r="AM127" s="15">
        <f>G26</f>
        <v>4101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540</v>
      </c>
      <c r="AH128" t="s" s="44">
        <v>76</v>
      </c>
      <c r="AI128" s="15">
        <f>AM126</f>
        <v>629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3915</v>
      </c>
      <c r="AH129" t="s" s="44">
        <v>76</v>
      </c>
      <c r="AI129" s="15">
        <f>AM127</f>
        <v>4101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87</v>
      </c>
      <c r="AN129" s="15">
        <f>AG128-AG129</f>
        <v>-3375</v>
      </c>
      <c r="AO129" t="s" s="44">
        <v>76</v>
      </c>
      <c r="AP129" s="15">
        <f>AI128-AI129</f>
        <v>-3472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-62.7446908042556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-1.64015395640359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-3142.595721456740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-154.8</v>
      </c>
      <c r="AF133" t="s" s="44">
        <v>72</v>
      </c>
      <c r="AG133" s="15">
        <f>-L23</f>
        <v>-298.2</v>
      </c>
      <c r="AH133" t="s" s="44">
        <v>72</v>
      </c>
      <c r="AI133" s="15">
        <f>-L24</f>
        <v>70.3</v>
      </c>
      <c r="AJ133" t="s" s="44">
        <v>72</v>
      </c>
      <c r="AK133" s="15">
        <f>-L25</f>
        <v>-126.3</v>
      </c>
      <c r="AL133" t="s" s="44">
        <v>72</v>
      </c>
      <c r="AM133" s="15">
        <f>-L26</f>
        <v>-194.9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0</v>
      </c>
      <c r="AF134" t="s" s="44">
        <v>72</v>
      </c>
      <c r="AG134" s="15">
        <f>-M23</f>
        <v>0</v>
      </c>
      <c r="AH134" t="s" s="44">
        <v>72</v>
      </c>
      <c r="AI134" s="15">
        <f>-M24</f>
        <v>0</v>
      </c>
      <c r="AJ134" t="s" s="44">
        <v>72</v>
      </c>
      <c r="AK134" s="15">
        <f>-M25</f>
        <v>0</v>
      </c>
      <c r="AL134" t="s" s="44">
        <v>72</v>
      </c>
      <c r="AM134" s="15">
        <f>-M26</f>
        <v>32.9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810</v>
      </c>
      <c r="AF135" t="s" s="44">
        <f>IF(AG135&gt;0,"paid","(raised)")</f>
        <v>121</v>
      </c>
      <c r="AG135" s="15">
        <f>SUM(AM133:AM134)</f>
        <v>-162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-194.9</v>
      </c>
      <c r="AM135" t="s" s="48">
        <f>AN104</f>
        <v>22</v>
      </c>
      <c r="AN135" t="s" s="44">
        <v>123</v>
      </c>
      <c r="AO135" s="15">
        <f>AM134</f>
        <v>32.9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64.38484476065921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884.295903744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0.155802088376667</v>
      </c>
      <c r="AK136" t="s" s="44">
        <v>130</v>
      </c>
      <c r="AL136" t="s" s="44">
        <v>131</v>
      </c>
      <c r="AM136" t="s" s="44">
        <v>132</v>
      </c>
      <c r="AN136" s="15">
        <f>AH85</f>
        <v>12.0336922161284</v>
      </c>
      <c r="AO136" t="s" s="44">
        <v>133</v>
      </c>
      <c r="AP136" s="16">
        <f>-AF130/AF136</f>
        <v>0.07095440625542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392.148969347518</v>
      </c>
      <c r="AG137" t="s" s="48">
        <f>AG136</f>
        <v>22</v>
      </c>
      <c r="AH137" t="s" s="44">
        <v>136</v>
      </c>
      <c r="AI137" s="15">
        <f>AF136/AF137</f>
        <v>2.2549999435555</v>
      </c>
      <c r="AJ137" t="s" s="44">
        <v>130</v>
      </c>
      <c r="AK137" t="s" s="44">
        <v>137</v>
      </c>
      <c r="AL137" t="s" s="44">
        <v>138</v>
      </c>
      <c r="AM137" s="15">
        <f>AH86</f>
        <v>3</v>
      </c>
      <c r="AN137" t="s" s="44">
        <v>139</v>
      </c>
      <c r="AO137" t="s" s="44">
        <v>140</v>
      </c>
      <c r="AP137" t="s" s="44">
        <v>141</v>
      </c>
      <c r="AQ137" s="16">
        <f>AJ94</f>
        <v>0.330376973433461</v>
      </c>
      <c r="AR137" t="s" s="44">
        <f>IF(AQ137&gt;0,"higher","lower")</f>
        <v>363</v>
      </c>
      <c r="AS137" t="s" s="44">
        <v>142</v>
      </c>
      <c r="AT137" s="15">
        <f>AH94</f>
        <v>337.915751252099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391</v>
      </c>
      <c r="AE140" s="15">
        <f>AG104</f>
        <v>422.88</v>
      </c>
      <c r="AF140" s="15">
        <f>AI104</f>
        <v>425</v>
      </c>
      <c r="AG140" s="15">
        <f>AK104</f>
        <v>406</v>
      </c>
      <c r="AH140" s="15">
        <f>AM104</f>
        <v>422.5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-87.59999999999999</v>
      </c>
      <c r="AE141" s="15">
        <f>SUM(AG119:AG120)</f>
        <v>-98.94</v>
      </c>
      <c r="AF141" s="15">
        <f>SUM(AI119:AI120)</f>
        <v>8.35</v>
      </c>
      <c r="AG141" s="15">
        <f>SUM(AK119:AK120)</f>
        <v>25.65</v>
      </c>
      <c r="AH141" s="15">
        <f>SUM(AM119:AM120)</f>
        <v>-73.09999999999999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-154.8</v>
      </c>
      <c r="AE142" s="15">
        <f>SUM(AG133:AG134)</f>
        <v>-298.2</v>
      </c>
      <c r="AF142" s="15">
        <f>SUM(AI133:AI134)</f>
        <v>70.3</v>
      </c>
      <c r="AG142" s="15">
        <f>SUM(AK133:AK134)</f>
        <v>-126.3</v>
      </c>
      <c r="AH142" s="15">
        <f>SUM(AM133:AM134)</f>
        <v>-162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-3284</v>
      </c>
      <c r="AE143" s="15">
        <f>(AG126-AG127)</f>
        <v>-3367.34</v>
      </c>
      <c r="AF143" s="15">
        <f>(AI126-AI127)</f>
        <v>-3414.89</v>
      </c>
      <c r="AG143" s="15">
        <f>(AK126-AK127)</f>
        <v>-3375</v>
      </c>
      <c r="AH143" s="15">
        <f>(AM126-AM127)</f>
        <v>-3472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337.915751252099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5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438" customWidth="1"/>
    <col min="2" max="28" width="10.4844" style="438" customWidth="1"/>
    <col min="29" max="29" width="18.9766" style="439" customWidth="1"/>
    <col min="30" max="48" width="9" style="439" customWidth="1"/>
    <col min="49" max="16384" width="16.3516" style="439" customWidth="1"/>
  </cols>
  <sheetData>
    <row r="1" ht="11.65" customHeight="1"/>
    <row r="2" ht="27.65" customHeight="1">
      <c r="B2" t="s" s="2">
        <v>356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356</v>
      </c>
      <c r="AA3" t="s" s="3">
        <v>19</v>
      </c>
      <c r="AB3" t="s" s="3">
        <v>20</v>
      </c>
    </row>
    <row r="4" ht="20.25" customHeight="1">
      <c r="B4" s="6">
        <v>2017</v>
      </c>
      <c r="C4" s="87">
        <v>7355</v>
      </c>
      <c r="D4" s="59">
        <v>198</v>
      </c>
      <c r="E4" s="59">
        <v>426</v>
      </c>
      <c r="F4" s="8">
        <v>9172</v>
      </c>
      <c r="G4" s="59">
        <v>48252</v>
      </c>
      <c r="H4" s="8">
        <v>68463</v>
      </c>
      <c r="I4" s="59">
        <v>3378</v>
      </c>
      <c r="J4" s="59">
        <v>-591</v>
      </c>
      <c r="K4" s="59">
        <v>-2655</v>
      </c>
      <c r="L4" s="59">
        <v>4628</v>
      </c>
      <c r="M4" s="59">
        <v>531.75</v>
      </c>
      <c r="N4" s="59"/>
      <c r="O4" s="59"/>
      <c r="P4" s="9"/>
      <c r="Q4" s="9"/>
      <c r="R4" s="9"/>
      <c r="S4" s="9"/>
      <c r="T4" s="9"/>
      <c r="U4" s="9"/>
      <c r="V4" s="59">
        <f>-(L4+M4)</f>
        <v>-5159.75</v>
      </c>
      <c r="W4" s="9"/>
      <c r="X4" s="8">
        <f>F4-G4</f>
        <v>-39080</v>
      </c>
      <c r="Y4" s="9"/>
      <c r="Z4" s="59">
        <v>2370</v>
      </c>
      <c r="AA4" s="11"/>
      <c r="AB4" s="12">
        <v>13.3</v>
      </c>
    </row>
    <row r="5" ht="20.05" customHeight="1">
      <c r="B5" s="13"/>
      <c r="C5" s="38">
        <v>8193</v>
      </c>
      <c r="D5" s="26">
        <v>-16</v>
      </c>
      <c r="E5" s="26">
        <v>1000</v>
      </c>
      <c r="F5" s="15">
        <v>7540</v>
      </c>
      <c r="G5" s="26">
        <v>55031</v>
      </c>
      <c r="H5" s="15">
        <v>75902</v>
      </c>
      <c r="I5" s="26">
        <v>3423</v>
      </c>
      <c r="J5" s="26">
        <v>-3414</v>
      </c>
      <c r="K5" s="26">
        <v>-5605</v>
      </c>
      <c r="L5" s="26">
        <v>4628</v>
      </c>
      <c r="M5" s="26">
        <v>531.75</v>
      </c>
      <c r="N5" s="26"/>
      <c r="O5" s="26"/>
      <c r="P5" s="16"/>
      <c r="Q5" s="17"/>
      <c r="R5" s="17"/>
      <c r="S5" s="17"/>
      <c r="T5" s="17"/>
      <c r="U5" s="17"/>
      <c r="V5" s="26">
        <f>-(L5+M5)+V4</f>
        <v>-10319.5</v>
      </c>
      <c r="W5" s="17"/>
      <c r="X5" s="15">
        <f>F5-G5</f>
        <v>-47491</v>
      </c>
      <c r="Y5" s="17"/>
      <c r="Z5" s="26">
        <v>2320</v>
      </c>
      <c r="AA5" s="19"/>
      <c r="AB5" s="20">
        <v>13.327</v>
      </c>
    </row>
    <row r="6" ht="20.05" customHeight="1">
      <c r="B6" s="13"/>
      <c r="C6" s="38">
        <v>12986</v>
      </c>
      <c r="D6" s="26">
        <v>116</v>
      </c>
      <c r="E6" s="26">
        <v>1497</v>
      </c>
      <c r="F6" s="15">
        <v>6918</v>
      </c>
      <c r="G6" s="26">
        <v>65735</v>
      </c>
      <c r="H6" s="15">
        <v>87690</v>
      </c>
      <c r="I6" s="26">
        <v>7447</v>
      </c>
      <c r="J6" s="26">
        <v>-1076</v>
      </c>
      <c r="K6" s="26">
        <v>-2095</v>
      </c>
      <c r="L6" s="26">
        <v>4628</v>
      </c>
      <c r="M6" s="26">
        <v>531.75</v>
      </c>
      <c r="N6" s="26"/>
      <c r="O6" s="26"/>
      <c r="P6" s="16"/>
      <c r="Q6" s="17"/>
      <c r="R6" s="17"/>
      <c r="S6" s="17"/>
      <c r="T6" s="17"/>
      <c r="U6" s="17"/>
      <c r="V6" s="26">
        <f>-(L6+M6)+V5</f>
        <v>-15479.25</v>
      </c>
      <c r="W6" s="17"/>
      <c r="X6" s="15">
        <f>F6-G6</f>
        <v>-58817</v>
      </c>
      <c r="Y6" s="17"/>
      <c r="Z6" s="26">
        <v>1775</v>
      </c>
      <c r="AA6" s="19"/>
      <c r="AB6" s="20">
        <v>13.305</v>
      </c>
    </row>
    <row r="7" ht="20.05" customHeight="1">
      <c r="B7" s="13"/>
      <c r="C7" s="38">
        <v>16679</v>
      </c>
      <c r="D7" s="26">
        <v>227</v>
      </c>
      <c r="E7" s="26">
        <v>1279</v>
      </c>
      <c r="F7" s="15">
        <v>6089</v>
      </c>
      <c r="G7" s="26">
        <v>75141</v>
      </c>
      <c r="H7" s="15">
        <v>97896</v>
      </c>
      <c r="I7" s="26">
        <v>14405</v>
      </c>
      <c r="J7" s="26">
        <v>-879</v>
      </c>
      <c r="K7" s="26">
        <v>-8884</v>
      </c>
      <c r="L7" s="26">
        <v>4628</v>
      </c>
      <c r="M7" s="26">
        <v>531.75</v>
      </c>
      <c r="N7" s="26"/>
      <c r="O7" s="26"/>
      <c r="P7" s="16"/>
      <c r="Q7" s="17"/>
      <c r="R7" s="17"/>
      <c r="S7" s="17"/>
      <c r="T7" s="17"/>
      <c r="U7" s="17"/>
      <c r="V7" s="26">
        <f>-(L7+M7)+V6</f>
        <v>-20639</v>
      </c>
      <c r="W7" s="17"/>
      <c r="X7" s="15">
        <f>F7-G7</f>
        <v>-69052</v>
      </c>
      <c r="Y7" s="17"/>
      <c r="Z7" s="26">
        <v>2210</v>
      </c>
      <c r="AA7" s="19"/>
      <c r="AB7" s="20">
        <v>13.557</v>
      </c>
    </row>
    <row r="8" ht="20.05" customHeight="1">
      <c r="B8" s="21">
        <v>2018</v>
      </c>
      <c r="C8" s="38">
        <v>12397</v>
      </c>
      <c r="D8" s="26">
        <v>87</v>
      </c>
      <c r="E8" s="26">
        <v>1736</v>
      </c>
      <c r="F8" s="15">
        <v>7254</v>
      </c>
      <c r="G8" s="26">
        <v>86682</v>
      </c>
      <c r="H8" s="15">
        <v>111174</v>
      </c>
      <c r="I8" s="26">
        <v>6681</v>
      </c>
      <c r="J8" s="26">
        <v>-1766</v>
      </c>
      <c r="K8" s="26">
        <v>-4445</v>
      </c>
      <c r="L8" s="26">
        <v>4993</v>
      </c>
      <c r="M8" s="26">
        <v>184.25</v>
      </c>
      <c r="N8" s="26">
        <f>SUM(C5:C8)/4</f>
        <v>12563.75</v>
      </c>
      <c r="O8" s="26"/>
      <c r="P8" s="16"/>
      <c r="Q8" s="16"/>
      <c r="R8" s="16"/>
      <c r="S8" s="17"/>
      <c r="T8" s="26">
        <f>SUM(J5:K8)/4</f>
        <v>-7041</v>
      </c>
      <c r="U8" s="17"/>
      <c r="V8" s="26">
        <f>-(L8+M8)+V7</f>
        <v>-25816.25</v>
      </c>
      <c r="W8" s="17"/>
      <c r="X8" s="15">
        <f>F8-G8</f>
        <v>-79428</v>
      </c>
      <c r="Y8" s="24"/>
      <c r="Z8" s="26">
        <v>2470</v>
      </c>
      <c r="AA8" s="22"/>
      <c r="AB8" s="20">
        <v>13.761</v>
      </c>
    </row>
    <row r="9" ht="20.05" customHeight="1">
      <c r="B9" s="13"/>
      <c r="C9" s="38">
        <v>10503</v>
      </c>
      <c r="D9" s="26">
        <v>286</v>
      </c>
      <c r="E9" s="26">
        <v>2202</v>
      </c>
      <c r="F9" s="15">
        <v>7626</v>
      </c>
      <c r="G9" s="26">
        <v>91366</v>
      </c>
      <c r="H9" s="15">
        <v>117604</v>
      </c>
      <c r="I9" s="26">
        <v>7457</v>
      </c>
      <c r="J9" s="26">
        <v>-1271</v>
      </c>
      <c r="K9" s="26">
        <v>-2752</v>
      </c>
      <c r="L9" s="26">
        <v>4993</v>
      </c>
      <c r="M9" s="26">
        <v>184.25</v>
      </c>
      <c r="N9" s="26">
        <f>SUM(C6:C9)/4</f>
        <v>13141.25</v>
      </c>
      <c r="O9" s="26"/>
      <c r="P9" s="16"/>
      <c r="Q9" s="16">
        <f>(E9+D9)/C9</f>
        <v>0.236884699609635</v>
      </c>
      <c r="R9" s="16"/>
      <c r="S9" s="17"/>
      <c r="T9" s="26">
        <f>SUM(J6:K9)/4</f>
        <v>-5792</v>
      </c>
      <c r="U9" s="17"/>
      <c r="V9" s="26">
        <f>-(L9+M9)+V8</f>
        <v>-30993.5</v>
      </c>
      <c r="W9" s="17"/>
      <c r="X9" s="15">
        <f>F9-G9</f>
        <v>-83740</v>
      </c>
      <c r="Y9" s="24"/>
      <c r="Z9" s="26">
        <v>1925</v>
      </c>
      <c r="AA9" s="22"/>
      <c r="AB9" s="20">
        <v>14</v>
      </c>
    </row>
    <row r="10" ht="20.05" customHeight="1">
      <c r="B10" s="13"/>
      <c r="C10" s="38">
        <v>13333</v>
      </c>
      <c r="D10" s="26">
        <v>176</v>
      </c>
      <c r="E10" s="26">
        <v>556</v>
      </c>
      <c r="F10" s="15">
        <v>6765</v>
      </c>
      <c r="G10" s="26">
        <v>102232</v>
      </c>
      <c r="H10" s="15">
        <v>129245</v>
      </c>
      <c r="I10" s="26">
        <v>13892</v>
      </c>
      <c r="J10" s="26">
        <v>1491</v>
      </c>
      <c r="K10" s="26">
        <v>-7557</v>
      </c>
      <c r="L10" s="26">
        <v>4993</v>
      </c>
      <c r="M10" s="26">
        <v>184.25</v>
      </c>
      <c r="N10" s="26">
        <f>SUM(C7:C10)/4</f>
        <v>13228</v>
      </c>
      <c r="O10" s="26"/>
      <c r="P10" s="16">
        <f>C10/C9-1</f>
        <v>0.269446824716748</v>
      </c>
      <c r="Q10" s="16">
        <f>(E10+D10)/C10</f>
        <v>0.0549013725343134</v>
      </c>
      <c r="R10" s="16"/>
      <c r="S10" s="17"/>
      <c r="T10" s="26">
        <f>SUM(J7:K10)/4</f>
        <v>-6515.75</v>
      </c>
      <c r="U10" s="17"/>
      <c r="V10" s="26">
        <f>-(L10+M10)+V9</f>
        <v>-36170.75</v>
      </c>
      <c r="W10" s="17"/>
      <c r="X10" s="15">
        <f>F10-G10</f>
        <v>-95467</v>
      </c>
      <c r="Y10" s="24"/>
      <c r="Z10" s="26">
        <v>1700</v>
      </c>
      <c r="AA10" s="22"/>
      <c r="AB10" s="20">
        <v>14.902</v>
      </c>
    </row>
    <row r="11" ht="20.05" customHeight="1">
      <c r="B11" s="13"/>
      <c r="C11" s="38">
        <v>12556</v>
      </c>
      <c r="D11" s="26">
        <v>98</v>
      </c>
      <c r="E11" s="26">
        <v>126</v>
      </c>
      <c r="F11" s="15">
        <v>10846</v>
      </c>
      <c r="G11" s="26">
        <v>95505</v>
      </c>
      <c r="H11" s="15">
        <v>124392</v>
      </c>
      <c r="I11" s="26">
        <v>21123</v>
      </c>
      <c r="J11" s="26">
        <v>2968</v>
      </c>
      <c r="K11" s="26">
        <v>-4014</v>
      </c>
      <c r="L11" s="26">
        <v>4993</v>
      </c>
      <c r="M11" s="26">
        <v>184.25</v>
      </c>
      <c r="N11" s="26">
        <f>SUM(C8:C11)/4</f>
        <v>12197.25</v>
      </c>
      <c r="O11" s="26"/>
      <c r="P11" s="16">
        <f>C11/C10-1</f>
        <v>-0.0582764569114228</v>
      </c>
      <c r="Q11" s="16">
        <f>(E11+D11)/C11</f>
        <v>0.0178400764574705</v>
      </c>
      <c r="R11" s="16"/>
      <c r="S11" s="17"/>
      <c r="T11" s="26">
        <f>SUM(J8:K11)/4</f>
        <v>-4336.5</v>
      </c>
      <c r="U11" s="17"/>
      <c r="V11" s="26">
        <f>-(L11+M11)+V10</f>
        <v>-41348</v>
      </c>
      <c r="W11" s="17"/>
      <c r="X11" s="15">
        <f>F11-G11</f>
        <v>-84659</v>
      </c>
      <c r="Y11" s="24"/>
      <c r="Z11" s="26">
        <v>1680</v>
      </c>
      <c r="AA11" s="22"/>
      <c r="AB11" s="20">
        <v>14.38</v>
      </c>
    </row>
    <row r="12" ht="20.05" customHeight="1">
      <c r="B12" s="21">
        <v>2019</v>
      </c>
      <c r="C12" s="38">
        <v>8678</v>
      </c>
      <c r="D12" s="26">
        <v>159</v>
      </c>
      <c r="E12" s="26">
        <v>742</v>
      </c>
      <c r="F12" s="15">
        <v>6325</v>
      </c>
      <c r="G12" s="26">
        <v>99273</v>
      </c>
      <c r="H12" s="15">
        <v>128952</v>
      </c>
      <c r="I12" s="26">
        <v>10203.4</v>
      </c>
      <c r="J12" s="26">
        <v>-3027.75</v>
      </c>
      <c r="K12" s="26">
        <v>-6888.9</v>
      </c>
      <c r="L12" s="26">
        <v>1945.5</v>
      </c>
      <c r="M12" s="26">
        <v>-183</v>
      </c>
      <c r="N12" s="26">
        <f>SUM(C9:C12)/4</f>
        <v>11267.5</v>
      </c>
      <c r="O12" s="23"/>
      <c r="P12" s="16">
        <f>C12/C11-1</f>
        <v>-0.308856323669959</v>
      </c>
      <c r="Q12" s="16">
        <f>(E12+D12)/C12</f>
        <v>0.1038257663056</v>
      </c>
      <c r="R12" s="16">
        <f>AVERAGE(Q9:Q12)</f>
        <v>0.103362978726755</v>
      </c>
      <c r="S12" s="17"/>
      <c r="T12" s="26">
        <f>SUM(J9:K12)/4</f>
        <v>-5262.9125</v>
      </c>
      <c r="U12" s="17"/>
      <c r="V12" s="26">
        <f>-(L12+M12)+V11</f>
        <v>-43110.5</v>
      </c>
      <c r="W12" s="17"/>
      <c r="X12" s="15">
        <f>F12-G12</f>
        <v>-92948</v>
      </c>
      <c r="Y12" s="24"/>
      <c r="Z12" s="26">
        <v>1985</v>
      </c>
      <c r="AA12" s="22"/>
      <c r="AB12" s="20">
        <v>14.24</v>
      </c>
    </row>
    <row r="13" ht="20.05" customHeight="1">
      <c r="B13" s="13"/>
      <c r="C13" s="38">
        <v>6117</v>
      </c>
      <c r="D13" s="26">
        <v>36</v>
      </c>
      <c r="E13" s="26">
        <v>271</v>
      </c>
      <c r="F13" s="15">
        <v>4243</v>
      </c>
      <c r="G13" s="26">
        <v>103719</v>
      </c>
      <c r="H13" s="15">
        <v>132574</v>
      </c>
      <c r="I13" s="26">
        <v>10131.6</v>
      </c>
      <c r="J13" s="26">
        <v>-381.25</v>
      </c>
      <c r="K13" s="26">
        <v>-4771.1</v>
      </c>
      <c r="L13" s="26">
        <v>1945.5</v>
      </c>
      <c r="M13" s="26">
        <v>-183</v>
      </c>
      <c r="N13" s="26">
        <f>SUM(C10:C13)/4</f>
        <v>10171</v>
      </c>
      <c r="O13" s="23"/>
      <c r="P13" s="16">
        <f>C13/C12-1</f>
        <v>-0.295114081585619</v>
      </c>
      <c r="Q13" s="16">
        <f>(E13+D13)/C13</f>
        <v>0.0501880006539153</v>
      </c>
      <c r="R13" s="16">
        <f>AVERAGE(Q10:Q13)</f>
        <v>0.0566888039878248</v>
      </c>
      <c r="S13" s="17"/>
      <c r="T13" s="26">
        <f>SUM(J10:K13)/4</f>
        <v>-5545.25</v>
      </c>
      <c r="U13" s="17"/>
      <c r="V13" s="26">
        <f>-(L13+M13)+V12</f>
        <v>-44873</v>
      </c>
      <c r="W13" s="17"/>
      <c r="X13" s="15">
        <f>F13-G13</f>
        <v>-99476</v>
      </c>
      <c r="Y13" s="24"/>
      <c r="Z13" s="26">
        <v>2010</v>
      </c>
      <c r="AA13" s="24"/>
      <c r="AB13" s="15">
        <v>14.127</v>
      </c>
    </row>
    <row r="14" ht="20.05" customHeight="1">
      <c r="B14" s="13"/>
      <c r="C14" s="38">
        <v>7220</v>
      </c>
      <c r="D14" s="26">
        <v>202</v>
      </c>
      <c r="E14" s="26">
        <v>90</v>
      </c>
      <c r="F14" s="15">
        <v>3496</v>
      </c>
      <c r="G14" s="26">
        <v>108013</v>
      </c>
      <c r="H14" s="15">
        <v>137240</v>
      </c>
      <c r="I14" s="26">
        <v>9412</v>
      </c>
      <c r="J14" s="26">
        <v>-4028</v>
      </c>
      <c r="K14" s="26">
        <v>-1808</v>
      </c>
      <c r="L14" s="26">
        <v>1945.5</v>
      </c>
      <c r="M14" s="26">
        <v>-183</v>
      </c>
      <c r="N14" s="26">
        <f>SUM(C11:C14)/4</f>
        <v>8642.75</v>
      </c>
      <c r="O14" s="23"/>
      <c r="P14" s="16">
        <f>C14/C13-1</f>
        <v>0.180317148929214</v>
      </c>
      <c r="Q14" s="16">
        <f>(E14+D14)/C14</f>
        <v>0.0404432132963989</v>
      </c>
      <c r="R14" s="16">
        <f>AVERAGE(Q11:Q14)</f>
        <v>0.0530742641783462</v>
      </c>
      <c r="S14" s="17"/>
      <c r="T14" s="26">
        <f>SUM(J11:K14)/4</f>
        <v>-5487.75</v>
      </c>
      <c r="U14" s="17"/>
      <c r="V14" s="26">
        <f>-(L14+M14)+V13</f>
        <v>-46635.5</v>
      </c>
      <c r="W14" s="17"/>
      <c r="X14" s="15">
        <f>F14-G14</f>
        <v>-104517</v>
      </c>
      <c r="Y14" s="24"/>
      <c r="Z14" s="26">
        <v>1650</v>
      </c>
      <c r="AA14" s="24"/>
      <c r="AB14" s="15">
        <v>14.195</v>
      </c>
    </row>
    <row r="15" ht="20.05" customHeight="1">
      <c r="B15" s="13"/>
      <c r="C15" s="38">
        <v>9372</v>
      </c>
      <c r="D15" s="26">
        <v>321</v>
      </c>
      <c r="E15" s="26">
        <v>-74</v>
      </c>
      <c r="F15" s="15">
        <v>9258</v>
      </c>
      <c r="G15" s="26">
        <v>93471</v>
      </c>
      <c r="H15" s="15">
        <v>122589</v>
      </c>
      <c r="I15" s="26">
        <v>23875</v>
      </c>
      <c r="J15" s="26">
        <v>12808</v>
      </c>
      <c r="K15" s="26">
        <v>-1457</v>
      </c>
      <c r="L15" s="26">
        <v>1945.5</v>
      </c>
      <c r="M15" s="26">
        <v>-183</v>
      </c>
      <c r="N15" s="26">
        <f>SUM(C12:C15)/4</f>
        <v>7846.75</v>
      </c>
      <c r="O15" s="26"/>
      <c r="P15" s="16">
        <f>C15/C14-1</f>
        <v>0.298060941828255</v>
      </c>
      <c r="Q15" s="16">
        <f>(E15+D15)/C15</f>
        <v>0.0263551002987623</v>
      </c>
      <c r="R15" s="16">
        <f>AVERAGE(Q12:Q15)</f>
        <v>0.0552030201386691</v>
      </c>
      <c r="S15" s="17"/>
      <c r="T15" s="26">
        <f>SUM(J12:K15)/4</f>
        <v>-2388.5</v>
      </c>
      <c r="U15" s="17"/>
      <c r="V15" s="26">
        <f>-(L15+M15)+V14</f>
        <v>-48398</v>
      </c>
      <c r="W15" s="17"/>
      <c r="X15" s="15">
        <f>F15-G15</f>
        <v>-84213</v>
      </c>
      <c r="Y15" s="24"/>
      <c r="Z15" s="26">
        <v>1485</v>
      </c>
      <c r="AA15" s="24"/>
      <c r="AB15" s="15">
        <v>13.882</v>
      </c>
    </row>
    <row r="16" ht="20.05" customHeight="1">
      <c r="B16" s="21">
        <v>2020</v>
      </c>
      <c r="C16" s="38">
        <v>4170</v>
      </c>
      <c r="D16" s="26">
        <v>390</v>
      </c>
      <c r="E16" s="26">
        <v>10</v>
      </c>
      <c r="F16" s="15">
        <v>6096</v>
      </c>
      <c r="G16" s="26">
        <v>89096</v>
      </c>
      <c r="H16" s="15">
        <v>116366</v>
      </c>
      <c r="I16" s="26">
        <v>9505.68</v>
      </c>
      <c r="J16" s="26">
        <v>2449.5</v>
      </c>
      <c r="K16" s="26">
        <v>-494.12</v>
      </c>
      <c r="L16" s="26">
        <v>-712.25</v>
      </c>
      <c r="M16" s="26">
        <v>39.75</v>
      </c>
      <c r="N16" s="26">
        <f>SUM(C13:C16)/4</f>
        <v>6719.75</v>
      </c>
      <c r="O16" s="26"/>
      <c r="P16" s="16">
        <f>C16/C15-1</f>
        <v>-0.5550576184379</v>
      </c>
      <c r="Q16" s="16">
        <f>(E16+D16)/C16</f>
        <v>0.0959232613908873</v>
      </c>
      <c r="R16" s="16">
        <f>AVERAGE(Q13:Q16)</f>
        <v>0.053227393909991</v>
      </c>
      <c r="S16" s="17"/>
      <c r="T16" s="26">
        <f>SUM(J13:K16)/4</f>
        <v>579.5075000000001</v>
      </c>
      <c r="U16" s="17"/>
      <c r="V16" s="26">
        <f>-(L16+M16)+V15</f>
        <v>-47725.5</v>
      </c>
      <c r="W16" s="17"/>
      <c r="X16" s="15">
        <f>F16-G16</f>
        <v>-83000</v>
      </c>
      <c r="Y16" s="24"/>
      <c r="Z16" s="26">
        <v>484</v>
      </c>
      <c r="AA16" s="24"/>
      <c r="AB16" s="15">
        <v>16.31</v>
      </c>
    </row>
    <row r="17" ht="20.05" customHeight="1">
      <c r="B17" s="13"/>
      <c r="C17" s="38">
        <v>3868</v>
      </c>
      <c r="D17" s="26">
        <v>262</v>
      </c>
      <c r="E17" s="26">
        <v>-1332</v>
      </c>
      <c r="F17" s="15">
        <v>1366</v>
      </c>
      <c r="G17" s="26">
        <v>88248</v>
      </c>
      <c r="H17" s="15">
        <v>114072</v>
      </c>
      <c r="I17" s="26">
        <v>6345.32</v>
      </c>
      <c r="J17" s="26">
        <v>-4018.5</v>
      </c>
      <c r="K17" s="26">
        <v>-1404.88</v>
      </c>
      <c r="L17" s="26">
        <v>-712.25</v>
      </c>
      <c r="M17" s="26">
        <v>39.75</v>
      </c>
      <c r="N17" s="26">
        <f>SUM(C14:C17)/4</f>
        <v>6157.5</v>
      </c>
      <c r="O17" s="26"/>
      <c r="P17" s="16">
        <f>C17/C16-1</f>
        <v>-0.0724220623501199</v>
      </c>
      <c r="Q17" s="16">
        <f>(E17+D17)/C17</f>
        <v>-0.276628748707342</v>
      </c>
      <c r="R17" s="16">
        <f>AVERAGE(Q14:Q17)</f>
        <v>-0.0284767934303234</v>
      </c>
      <c r="S17" s="17"/>
      <c r="T17" s="26">
        <f>SUM(J14:K17)/4</f>
        <v>511.75</v>
      </c>
      <c r="U17" s="17"/>
      <c r="V17" s="26">
        <f>-(L17+M17)+V16</f>
        <v>-47053</v>
      </c>
      <c r="W17" s="17"/>
      <c r="X17" s="15">
        <f>F17-G17</f>
        <v>-86882</v>
      </c>
      <c r="Y17" s="24"/>
      <c r="Z17" s="26">
        <v>710</v>
      </c>
      <c r="AA17" s="24"/>
      <c r="AB17" s="15">
        <v>14.255</v>
      </c>
    </row>
    <row r="18" ht="20.05" customHeight="1">
      <c r="B18" s="13"/>
      <c r="C18" s="38">
        <v>3702</v>
      </c>
      <c r="D18" s="26">
        <v>186</v>
      </c>
      <c r="E18" s="26">
        <v>-4702</v>
      </c>
      <c r="F18" s="15">
        <v>1197</v>
      </c>
      <c r="G18" s="26">
        <v>91861</v>
      </c>
      <c r="H18" s="15">
        <v>115628</v>
      </c>
      <c r="I18" s="26">
        <v>2863</v>
      </c>
      <c r="J18" s="26">
        <v>-2254</v>
      </c>
      <c r="K18" s="26">
        <v>-828</v>
      </c>
      <c r="L18" s="26">
        <v>-712.25</v>
      </c>
      <c r="M18" s="26">
        <v>39.75</v>
      </c>
      <c r="N18" s="26">
        <f>SUM(C15:C18)/4</f>
        <v>5278</v>
      </c>
      <c r="O18" s="26">
        <v>5850.785</v>
      </c>
      <c r="P18" s="16">
        <f>C18/C17-1</f>
        <v>-0.0429162357807653</v>
      </c>
      <c r="Q18" s="16">
        <f>(E18+D18)/C18</f>
        <v>-1.21988114532685</v>
      </c>
      <c r="R18" s="16">
        <f>AVERAGE(Q15:Q18)</f>
        <v>-0.343557883086136</v>
      </c>
      <c r="S18" s="17"/>
      <c r="T18" s="26">
        <f>SUM(J15:K18)/4</f>
        <v>1200.25</v>
      </c>
      <c r="U18" s="17"/>
      <c r="V18" s="26">
        <f>-(L18+M18)+V17</f>
        <v>-46380.5</v>
      </c>
      <c r="W18" s="17"/>
      <c r="X18" s="15">
        <f>F18-G18</f>
        <v>-90664</v>
      </c>
      <c r="Y18" s="24"/>
      <c r="Z18" s="26">
        <v>498</v>
      </c>
      <c r="AA18" s="24"/>
      <c r="AB18" s="15">
        <v>14.79</v>
      </c>
    </row>
    <row r="19" ht="20.05" customHeight="1">
      <c r="B19" s="13"/>
      <c r="C19" s="38">
        <v>4451</v>
      </c>
      <c r="D19" s="26">
        <v>214.8</v>
      </c>
      <c r="E19" s="26">
        <v>-3472</v>
      </c>
      <c r="F19" s="15">
        <v>1213</v>
      </c>
      <c r="G19" s="15">
        <v>89011</v>
      </c>
      <c r="H19" s="15">
        <v>105589</v>
      </c>
      <c r="I19" s="26">
        <v>4676</v>
      </c>
      <c r="J19" s="26">
        <v>1938</v>
      </c>
      <c r="K19" s="26">
        <v>1671</v>
      </c>
      <c r="L19" s="26">
        <v>-712.25</v>
      </c>
      <c r="M19" s="26">
        <v>39.75</v>
      </c>
      <c r="N19" s="26">
        <f>SUM(C16:C19)/4</f>
        <v>4047.75</v>
      </c>
      <c r="O19" s="26">
        <v>4792.235</v>
      </c>
      <c r="P19" s="16">
        <f>C19/C18-1</f>
        <v>0.202323068611561</v>
      </c>
      <c r="Q19" s="16">
        <f>(E19+D19)/C19</f>
        <v>-0.731790608851943</v>
      </c>
      <c r="R19" s="16">
        <f>AVERAGE(Q16:Q19)</f>
        <v>-0.5330943103738121</v>
      </c>
      <c r="S19" s="17"/>
      <c r="T19" s="26">
        <f>SUM(J16:K19)/4</f>
        <v>-735.25</v>
      </c>
      <c r="U19" s="17"/>
      <c r="V19" s="26">
        <f>-(L19+M19)+V18</f>
        <v>-45708</v>
      </c>
      <c r="W19" s="17"/>
      <c r="X19" s="15">
        <f>F19-G19</f>
        <v>-87798</v>
      </c>
      <c r="Y19" s="24"/>
      <c r="Z19" s="26">
        <v>1440</v>
      </c>
      <c r="AA19" s="24"/>
      <c r="AB19" s="15">
        <v>14.1</v>
      </c>
    </row>
    <row r="20" ht="20.05" customHeight="1">
      <c r="B20" s="21">
        <v>2021</v>
      </c>
      <c r="C20" s="38">
        <v>2671.4</v>
      </c>
      <c r="D20" s="26">
        <v>226.1</v>
      </c>
      <c r="E20" s="26">
        <v>-136.9</v>
      </c>
      <c r="F20" s="26">
        <v>806</v>
      </c>
      <c r="G20" s="26">
        <v>88524</v>
      </c>
      <c r="H20" s="26">
        <v>105018</v>
      </c>
      <c r="I20" s="26">
        <v>5509.4</v>
      </c>
      <c r="J20" s="26">
        <v>342.1</v>
      </c>
      <c r="K20" s="26">
        <v>-316</v>
      </c>
      <c r="L20" s="26">
        <v>-430.059</v>
      </c>
      <c r="M20" s="26">
        <v>0</v>
      </c>
      <c r="N20" s="26">
        <f>SUM(C17:C20)/4</f>
        <v>3673.1</v>
      </c>
      <c r="O20" s="26">
        <v>4279.86</v>
      </c>
      <c r="P20" s="16">
        <f>C20/C19-1</f>
        <v>-0.399820265108964</v>
      </c>
      <c r="Q20" s="16">
        <f>(E20+D20)/C20</f>
        <v>0.0333907314516733</v>
      </c>
      <c r="R20" s="16">
        <f>AVERAGE(Q17:Q20)</f>
        <v>-0.548727442858615</v>
      </c>
      <c r="S20" s="17"/>
      <c r="T20" s="26">
        <f>SUM(J17:K20)/4</f>
        <v>-1217.57</v>
      </c>
      <c r="U20" s="17"/>
      <c r="V20" s="26">
        <f>-(L20+M20)+V19</f>
        <v>-45277.941</v>
      </c>
      <c r="W20" s="17"/>
      <c r="X20" s="26">
        <f>F20-G20</f>
        <v>-87718</v>
      </c>
      <c r="Y20" s="26"/>
      <c r="Z20" s="26">
        <v>1155</v>
      </c>
      <c r="AA20" s="17"/>
      <c r="AB20" s="15">
        <v>14.606</v>
      </c>
    </row>
    <row r="21" ht="20.05" customHeight="1">
      <c r="B21" s="13"/>
      <c r="C21" s="38">
        <v>2045.9</v>
      </c>
      <c r="D21" s="26">
        <v>215.5</v>
      </c>
      <c r="E21" s="26">
        <v>170.3</v>
      </c>
      <c r="F21" s="26">
        <v>3641</v>
      </c>
      <c r="G21" s="26">
        <v>89734</v>
      </c>
      <c r="H21" s="26">
        <v>105344</v>
      </c>
      <c r="I21" s="26">
        <v>3012.1</v>
      </c>
      <c r="J21" s="26">
        <v>-63.8</v>
      </c>
      <c r="K21" s="26">
        <v>2039.7</v>
      </c>
      <c r="L21" s="26">
        <v>858.996</v>
      </c>
      <c r="M21" s="26">
        <v>0</v>
      </c>
      <c r="N21" s="26">
        <f>SUM(C18:C21)/4</f>
        <v>3217.575</v>
      </c>
      <c r="O21" s="26">
        <v>4283.735</v>
      </c>
      <c r="P21" s="16">
        <f>C21/C20-1</f>
        <v>-0.234146889271543</v>
      </c>
      <c r="Q21" s="16">
        <f>(E21+D21)/C21</f>
        <v>0.188572266484188</v>
      </c>
      <c r="R21" s="16">
        <f>AVERAGE(Q18:Q21)</f>
        <v>-0.432427189060733</v>
      </c>
      <c r="S21" s="17"/>
      <c r="T21" s="26">
        <f>SUM(J18:K21)/4</f>
        <v>632.25</v>
      </c>
      <c r="U21" s="17"/>
      <c r="V21" s="26">
        <f>-(L21+M21)+V20</f>
        <v>-46136.937</v>
      </c>
      <c r="W21" s="17"/>
      <c r="X21" s="26">
        <f>F21-G21</f>
        <v>-86093</v>
      </c>
      <c r="Y21" s="26"/>
      <c r="Z21" s="26">
        <v>880</v>
      </c>
      <c r="AA21" s="17"/>
      <c r="AB21" s="15">
        <v>14.45</v>
      </c>
    </row>
    <row r="22" ht="20.05" customHeight="1">
      <c r="B22" s="13"/>
      <c r="C22" s="38">
        <v>2407.9</v>
      </c>
      <c r="D22" s="26">
        <v>185.3</v>
      </c>
      <c r="E22" s="26">
        <v>33.3</v>
      </c>
      <c r="F22" s="26">
        <v>2075</v>
      </c>
      <c r="G22" s="26">
        <v>89916</v>
      </c>
      <c r="H22" s="26">
        <v>105540</v>
      </c>
      <c r="I22" s="26">
        <v>4939.5</v>
      </c>
      <c r="J22" s="26">
        <v>-2347.2</v>
      </c>
      <c r="K22" s="26">
        <v>-427</v>
      </c>
      <c r="L22" s="26">
        <v>1206.815</v>
      </c>
      <c r="M22" s="26">
        <v>4.8</v>
      </c>
      <c r="N22" s="26">
        <f>SUM(C19:C22)/4</f>
        <v>2894.05</v>
      </c>
      <c r="O22" s="26">
        <v>3927.06875</v>
      </c>
      <c r="P22" s="16">
        <f>C22/C21-1</f>
        <v>0.176939244342343</v>
      </c>
      <c r="Q22" s="16">
        <f>(E22+D22)/C22</f>
        <v>0.0907845010174841</v>
      </c>
      <c r="R22" s="16">
        <f>AVERAGE(Q19:Q22)</f>
        <v>-0.104760777474649</v>
      </c>
      <c r="S22" s="17"/>
      <c r="T22" s="26">
        <f>SUM(J19:K22)/4</f>
        <v>709.2</v>
      </c>
      <c r="U22" s="17"/>
      <c r="V22" s="26">
        <f>-(L22+M22)+V21</f>
        <v>-47348.552</v>
      </c>
      <c r="W22" s="17"/>
      <c r="X22" s="26">
        <f>F22-G22</f>
        <v>-87841</v>
      </c>
      <c r="Y22" s="26"/>
      <c r="Z22" s="26">
        <v>835</v>
      </c>
      <c r="AA22" s="17"/>
      <c r="AB22" s="15">
        <v>14.328</v>
      </c>
    </row>
    <row r="23" ht="20.05" customHeight="1">
      <c r="B23" s="13"/>
      <c r="C23" s="38">
        <v>5098.9</v>
      </c>
      <c r="D23" s="26">
        <v>215.9</v>
      </c>
      <c r="E23" s="26">
        <v>-1905.4</v>
      </c>
      <c r="F23" s="26">
        <v>13166</v>
      </c>
      <c r="G23" s="26">
        <v>88140</v>
      </c>
      <c r="H23" s="26">
        <v>103602</v>
      </c>
      <c r="I23" s="26">
        <v>4063.7</v>
      </c>
      <c r="J23" s="26">
        <v>-1529.2</v>
      </c>
      <c r="K23" s="26">
        <v>-2838.9</v>
      </c>
      <c r="L23" s="26">
        <v>7584.5</v>
      </c>
      <c r="M23" s="26">
        <v>7900</v>
      </c>
      <c r="N23" s="26">
        <f>SUM(C20:C23)/4</f>
        <v>3056.025</v>
      </c>
      <c r="O23" s="26">
        <v>3714.92375</v>
      </c>
      <c r="P23" s="16">
        <f>C23/C22-1</f>
        <v>1.11757132771294</v>
      </c>
      <c r="Q23" s="16">
        <f>(E23+D23)/C23</f>
        <v>-0.331345976583185</v>
      </c>
      <c r="R23" s="16">
        <f>AVERAGE(Q20:Q23)</f>
        <v>-0.0046496194074599</v>
      </c>
      <c r="S23" s="17"/>
      <c r="T23" s="26">
        <f>SUM(J20:K23)/4</f>
        <v>-1285.075</v>
      </c>
      <c r="U23" s="17"/>
      <c r="V23" s="26">
        <f>-(L23+M23)+V22</f>
        <v>-62833.052</v>
      </c>
      <c r="W23" s="17"/>
      <c r="X23" s="26">
        <f>F23-G23</f>
        <v>-74974</v>
      </c>
      <c r="Y23" s="26"/>
      <c r="Z23" s="26">
        <v>635</v>
      </c>
      <c r="AA23" s="17"/>
      <c r="AB23" s="15">
        <v>14.275</v>
      </c>
    </row>
    <row r="24" ht="20.05" customHeight="1">
      <c r="B24" s="21">
        <v>2022</v>
      </c>
      <c r="C24" s="38">
        <v>2748.3</v>
      </c>
      <c r="D24" s="26">
        <v>176.9</v>
      </c>
      <c r="E24" s="26">
        <v>-967.7</v>
      </c>
      <c r="F24" s="26">
        <v>10384</v>
      </c>
      <c r="G24" s="26">
        <v>86082</v>
      </c>
      <c r="H24" s="26">
        <v>102120</v>
      </c>
      <c r="I24" s="26">
        <v>3197.4</v>
      </c>
      <c r="J24" s="26">
        <v>-487.2</v>
      </c>
      <c r="K24" s="26">
        <v>-1213.3</v>
      </c>
      <c r="L24" s="26">
        <v>-2624.2</v>
      </c>
      <c r="M24" s="26">
        <v>1544.4</v>
      </c>
      <c r="N24" s="26">
        <f>SUM(C21:C24)/4</f>
        <v>3075.25</v>
      </c>
      <c r="O24" s="26">
        <v>3574.45375</v>
      </c>
      <c r="P24" s="16">
        <f>C24/C23-1</f>
        <v>-0.461001392457197</v>
      </c>
      <c r="Q24" s="16">
        <f>(E24+D24)/C24</f>
        <v>-0.287741512935269</v>
      </c>
      <c r="R24" s="16">
        <f>AVERAGE(Q21:Q24)</f>
        <v>-0.0849326805041955</v>
      </c>
      <c r="S24" s="35"/>
      <c r="T24" s="26">
        <f>SUM(J21:K24)/4</f>
        <v>-1716.725</v>
      </c>
      <c r="U24" s="26">
        <v>148.79825</v>
      </c>
      <c r="V24" s="26">
        <f>-(L24+M24)+V23</f>
        <v>-61753.252</v>
      </c>
      <c r="W24" s="26"/>
      <c r="X24" s="26">
        <f>F24-G24</f>
        <v>-75698</v>
      </c>
      <c r="Y24" s="26">
        <v>-87541.312275</v>
      </c>
      <c r="Z24" s="26">
        <v>550</v>
      </c>
      <c r="AA24" s="17"/>
      <c r="AB24" s="15">
        <v>14.327</v>
      </c>
    </row>
    <row r="25" ht="20.05" customHeight="1">
      <c r="B25" s="13"/>
      <c r="C25" s="38">
        <v>3342.1</v>
      </c>
      <c r="D25" s="26">
        <v>66.40000000000001</v>
      </c>
      <c r="E25" s="26">
        <v>1261.6</v>
      </c>
      <c r="F25" s="26">
        <v>11103</v>
      </c>
      <c r="G25" s="26">
        <v>77207</v>
      </c>
      <c r="H25" s="26">
        <v>97144</v>
      </c>
      <c r="I25" s="26">
        <v>3230.7</v>
      </c>
      <c r="J25" s="26">
        <v>-266.4</v>
      </c>
      <c r="K25" s="26">
        <v>-1985.3</v>
      </c>
      <c r="L25" s="26">
        <v>2698.4</v>
      </c>
      <c r="M25" s="26">
        <v>0</v>
      </c>
      <c r="N25" s="26">
        <f>SUM(C22:C25)/4</f>
        <v>3399.3</v>
      </c>
      <c r="O25" s="26">
        <v>3562.23625</v>
      </c>
      <c r="P25" s="16">
        <f>C25/C24-1</f>
        <v>0.216060837608704</v>
      </c>
      <c r="Q25" s="16">
        <f>(E25+D25)/C25</f>
        <v>0.397354956464498</v>
      </c>
      <c r="R25" s="16">
        <f>AVERAGE(Q22:Q25)</f>
        <v>-0.032737008009118</v>
      </c>
      <c r="S25" s="35"/>
      <c r="T25" s="26">
        <f>SUM(J22:K25)/4</f>
        <v>-2773.625</v>
      </c>
      <c r="U25" s="26">
        <v>148.79825</v>
      </c>
      <c r="V25" s="26">
        <f>-(L25+M25)+V24</f>
        <v>-64451.652</v>
      </c>
      <c r="W25" s="26"/>
      <c r="X25" s="26">
        <f>F25-G25</f>
        <v>-66104</v>
      </c>
      <c r="Y25" s="26">
        <v>-75506.2048545866</v>
      </c>
      <c r="Z25" s="26">
        <v>550</v>
      </c>
      <c r="AA25" s="26">
        <v>432.021904392193</v>
      </c>
      <c r="AB25" s="15">
        <v>14.66</v>
      </c>
    </row>
    <row r="26" ht="20.05" customHeight="1">
      <c r="B26" s="13"/>
      <c r="C26" s="38">
        <v>4213.3</v>
      </c>
      <c r="D26" s="26">
        <v>70.8</v>
      </c>
      <c r="E26" s="26">
        <v>284.3</v>
      </c>
      <c r="F26" s="26">
        <v>10728</v>
      </c>
      <c r="G26" s="26">
        <v>82406</v>
      </c>
      <c r="H26" s="26">
        <v>99906</v>
      </c>
      <c r="I26" s="26">
        <v>5866.7</v>
      </c>
      <c r="J26" s="26">
        <v>-860.7</v>
      </c>
      <c r="K26" s="26">
        <v>-887.6</v>
      </c>
      <c r="L26" s="26">
        <v>1071.6</v>
      </c>
      <c r="M26" s="26">
        <v>0</v>
      </c>
      <c r="N26" s="26">
        <f>SUM(C23:C26)/4</f>
        <v>3850.65</v>
      </c>
      <c r="O26" s="26">
        <v>3908.812</v>
      </c>
      <c r="P26" s="16">
        <f>C26/C25-1</f>
        <v>0.260674426258939</v>
      </c>
      <c r="Q26" s="16">
        <f>(E26+D26)/C26</f>
        <v>0.084280730069067</v>
      </c>
      <c r="R26" s="16">
        <f>AVERAGE(Q23:Q26)</f>
        <v>-0.0343629507462223</v>
      </c>
      <c r="S26" s="35">
        <f>S27</f>
        <v>0.0263551002987623</v>
      </c>
      <c r="T26" s="26">
        <f>SUM(J23:K26)/4</f>
        <v>-2517.15</v>
      </c>
      <c r="U26" s="26">
        <v>-112.757142857143</v>
      </c>
      <c r="V26" s="26">
        <f>-(L26+M26)+V25</f>
        <v>-65523.252</v>
      </c>
      <c r="W26" s="26">
        <f>W27</f>
        <v>-65478.4702960522</v>
      </c>
      <c r="X26" s="26">
        <f>F26-G26</f>
        <v>-71678</v>
      </c>
      <c r="Y26" s="26">
        <v>-65911.7605699776</v>
      </c>
      <c r="Z26" s="26">
        <v>505</v>
      </c>
      <c r="AA26" s="26">
        <v>466.058724926722</v>
      </c>
      <c r="AB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4703.1719644</v>
      </c>
      <c r="P27" s="17"/>
      <c r="Q27" s="17"/>
      <c r="R27" s="17"/>
      <c r="S27" s="35">
        <f>AE53</f>
        <v>0.0263551002987623</v>
      </c>
      <c r="T27" s="17"/>
      <c r="U27" s="26">
        <f>SUM(AE55:AH55)/4</f>
        <v>11.1954259869459</v>
      </c>
      <c r="V27" s="17"/>
      <c r="W27" s="26">
        <f>-SUM(AE76:AH76)+V26</f>
        <v>-65478.4702960522</v>
      </c>
      <c r="X27" s="17"/>
      <c r="Y27" s="26">
        <f>AH75</f>
        <v>-71633.2182960522</v>
      </c>
      <c r="Z27" s="26">
        <v>288</v>
      </c>
      <c r="AA27" s="26">
        <v>520.525566008007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SUM(N23:N26)</f>
        <v>13381.225</v>
      </c>
      <c r="O28" s="26">
        <f>SUM(O23:O26)</f>
        <v>14760.42575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7.77276631606042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167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0.283326299780847</v>
      </c>
      <c r="AF49" s="35"/>
      <c r="AG49" s="35"/>
      <c r="AH49" s="35">
        <f>AVERAGE(AE51:AH51)</f>
        <v>0.0575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1.11757132771294</v>
      </c>
      <c r="AF50" s="35">
        <f>P24</f>
        <v>-0.461001392457197</v>
      </c>
      <c r="AG50" s="35">
        <f>P25</f>
        <v>0.216060837608704</v>
      </c>
      <c r="AH50" s="35">
        <f>P26</f>
        <v>0.260674426258939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0.16</v>
      </c>
      <c r="AF51" s="35">
        <v>-0.15</v>
      </c>
      <c r="AG51" s="35">
        <v>0.12</v>
      </c>
      <c r="AH51" s="35">
        <v>0.1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4213.3</v>
      </c>
      <c r="AE52" s="23">
        <f>C26*(1+AE51)</f>
        <v>4887.428</v>
      </c>
      <c r="AF52" s="23">
        <f>AE52*(1+AF51)</f>
        <v>4154.3138</v>
      </c>
      <c r="AG52" s="23">
        <f>AF52*(1+AG51)</f>
        <v>4652.831456</v>
      </c>
      <c r="AH52" s="23">
        <f>AG52*(1+AH51)</f>
        <v>5118.1146016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AVERAGE(Q15)</f>
        <v>0.0263551002987623</v>
      </c>
      <c r="AF53" s="35">
        <f>AE53</f>
        <v>0.0263551002987623</v>
      </c>
      <c r="AG53" s="35">
        <f>AF53</f>
        <v>0.0263551002987623</v>
      </c>
      <c r="AH53" s="35">
        <f>AG53</f>
        <v>0.0263551002987623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AVERAGE(K15:K21)</f>
        <v>-112.757142857143</v>
      </c>
      <c r="AF54" s="15">
        <f>AE54</f>
        <v>-112.757142857143</v>
      </c>
      <c r="AG54" s="15">
        <f>AF54</f>
        <v>-112.757142857143</v>
      </c>
      <c r="AH54" s="15">
        <f>AG54</f>
        <v>-112.757142857143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16.0515122858362</v>
      </c>
      <c r="AF55" s="15">
        <f>(AF52*AF53)+AF54</f>
        <v>-3.26978598561065</v>
      </c>
      <c r="AG55" s="15">
        <f>(AG52*AG53)+AG54</f>
        <v>9.86869683897323</v>
      </c>
      <c r="AH55" s="15">
        <f>(AH52*AH53)+AH54</f>
        <v>22.1312808085849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-4120.3</v>
      </c>
      <c r="AF56" s="15">
        <f>-AE71/20</f>
        <v>-3914.285</v>
      </c>
      <c r="AG56" s="15">
        <f>-AF71/20</f>
        <v>-3718.57075</v>
      </c>
      <c r="AH56" s="15">
        <f>-AG71/20</f>
        <v>-3532.6422125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-4104.248487714160</v>
      </c>
      <c r="AF59" s="15">
        <f>AF55+AF56+AF58</f>
        <v>-3917.554785985610</v>
      </c>
      <c r="AG59" s="15">
        <f>AG55+AG56+AG58</f>
        <v>-3708.702053161030</v>
      </c>
      <c r="AH59" s="15">
        <f>AH55+AH56+AH58</f>
        <v>-3510.510931691420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4104.248487714160</v>
      </c>
      <c r="AF60" s="15">
        <f>-MIN(AE72,AF59)</f>
        <v>3917.554785985610</v>
      </c>
      <c r="AG60" s="15">
        <f>-MIN(AF72,AG59)</f>
        <v>3708.702053161030</v>
      </c>
      <c r="AH60" s="15">
        <f>-MIN(AG72,AH59)</f>
        <v>3510.510931691420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10728</v>
      </c>
      <c r="AF61" s="15">
        <f>AE63</f>
        <v>10728</v>
      </c>
      <c r="AG61" s="15">
        <f>AF63</f>
        <v>10728</v>
      </c>
      <c r="AH61" s="15">
        <f>AG63</f>
        <v>10728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-3.8e-12</v>
      </c>
      <c r="AF62" s="15">
        <f>AF55+AF56+AF58+AF60</f>
        <v>-6.5e-13</v>
      </c>
      <c r="AG62" s="15">
        <f>AG55+AG56+AG58+AG60</f>
        <v>3.23e-12</v>
      </c>
      <c r="AH62" s="15">
        <f>AH55+AH56+AH58+AH60</f>
        <v>4.9e-12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10728</v>
      </c>
      <c r="AF63" s="15">
        <f>AF61+AF62</f>
        <v>10728</v>
      </c>
      <c r="AG63" s="15">
        <f>AG61+AG62</f>
        <v>10728</v>
      </c>
      <c r="AH63" s="15">
        <f>AH61+AH62</f>
        <v>10728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-104.7</v>
      </c>
      <c r="AF65" s="15">
        <f>AE65</f>
        <v>-104.7</v>
      </c>
      <c r="AG65" s="15">
        <f>AF65</f>
        <v>-104.7</v>
      </c>
      <c r="AH65" s="15">
        <f>AG65</f>
        <v>-104.7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24.1086551429792</v>
      </c>
      <c r="AF66" s="15">
        <f>(AF52*AF53)+AF65</f>
        <v>4.78735687153235</v>
      </c>
      <c r="AG66" s="15">
        <f>(AG52*AG53)+AG65</f>
        <v>17.9258396961162</v>
      </c>
      <c r="AH66" s="15">
        <f>(AH52*AH53)+AH65</f>
        <v>30.1884236657279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89290.7571428571</v>
      </c>
      <c r="AF68" s="15">
        <f>AE68-AF54</f>
        <v>89403.514285714205</v>
      </c>
      <c r="AG68" s="15">
        <f>AF68-AG54</f>
        <v>89516.2714285713</v>
      </c>
      <c r="AH68" s="15">
        <f>AG68-AH54</f>
        <v>89629.0285714284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104.7</v>
      </c>
      <c r="AF69" s="15">
        <f>AE69-AF65</f>
        <v>209.4</v>
      </c>
      <c r="AG69" s="15">
        <f>AF69-AG65</f>
        <v>314.1</v>
      </c>
      <c r="AH69" s="15">
        <f>AG69-AH65</f>
        <v>418.8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89186.0571428571</v>
      </c>
      <c r="AF70" s="15">
        <f>AF68-AF69</f>
        <v>89194.1142857142</v>
      </c>
      <c r="AG70" s="15">
        <f>AG68-AG69</f>
        <v>89202.1714285713</v>
      </c>
      <c r="AH70" s="15">
        <f>AH68-AH69</f>
        <v>89210.228571428393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78285.7</v>
      </c>
      <c r="AF71" s="15">
        <f>AE71+AF56</f>
        <v>74371.414999999994</v>
      </c>
      <c r="AG71" s="15">
        <f>AF71+AG56</f>
        <v>70652.844249999995</v>
      </c>
      <c r="AH71" s="15">
        <f>AG71+AH56</f>
        <v>67120.2020375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4104.248487714160</v>
      </c>
      <c r="AF72" s="15">
        <f>AE72+AF60</f>
        <v>8021.803273699770</v>
      </c>
      <c r="AG72" s="15">
        <f>AF72+AG60</f>
        <v>11730.5053268608</v>
      </c>
      <c r="AH72" s="15">
        <f>AG72+AH60</f>
        <v>15241.0162585522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17524.108655143</v>
      </c>
      <c r="AF73" s="15">
        <f>AE73+AF66+AF58</f>
        <v>17528.8960120145</v>
      </c>
      <c r="AG73" s="15">
        <f>AF73+AG66+AG58</f>
        <v>17546.8218517106</v>
      </c>
      <c r="AH73" s="15">
        <f>AG73+AH66+AH58</f>
        <v>17577.0102753763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6e-11</v>
      </c>
      <c r="AF74" s="15">
        <f>AF71+AF72+AF73-AF63-AF70</f>
        <v>7e-11</v>
      </c>
      <c r="AG74" s="15">
        <f>AG71+AG72+AG73-AG63-AG70</f>
        <v>1e-10</v>
      </c>
      <c r="AH74" s="15">
        <f>AH71+AH72+AH73-AH63-AH70</f>
        <v>1e-10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-71661.948487714195</v>
      </c>
      <c r="AF75" s="15">
        <f>AF63-AF71-AF72</f>
        <v>-71665.218273699793</v>
      </c>
      <c r="AG75" s="15">
        <f>AG63-AG71-AG72</f>
        <v>-71655.3495768608</v>
      </c>
      <c r="AH75" s="15">
        <f>AH63-AH71-AH72</f>
        <v>-71633.2182960522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-16.051512285840</v>
      </c>
      <c r="AF76" s="15">
        <f>AF56+AF58+AF60</f>
        <v>3.269785985610</v>
      </c>
      <c r="AG76" s="15">
        <f>AG56+AG58+AG60</f>
        <v>-9.868696838969999</v>
      </c>
      <c r="AH76" s="15">
        <f>AH56+AH58+AH60</f>
        <v>-22.131280808580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811</v>
      </c>
      <c r="AD78" s="14"/>
      <c r="AE78" s="15"/>
      <c r="AF78" s="15"/>
      <c r="AG78" s="15"/>
      <c r="AH78" s="15">
        <v>288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811</v>
      </c>
      <c r="AD79" s="14"/>
      <c r="AE79" s="15"/>
      <c r="AF79" s="15"/>
      <c r="AG79" s="15"/>
      <c r="AH79" s="15">
        <v>8296358215680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8296.35821568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28.80679936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0.0830148616227511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44.7817039477837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1992.113312067120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185.262227300545</v>
      </c>
      <c r="AH86" s="15">
        <v>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223.908519738919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7.77276631606042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-0.973011228069235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0.749781967689688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0.103069842260331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811</v>
      </c>
      <c r="AF94" t="s" s="44">
        <v>60</v>
      </c>
      <c r="AG94" s="15">
        <f>AH78</f>
        <v>288</v>
      </c>
      <c r="AH94" t="s" s="44">
        <v>61</v>
      </c>
      <c r="AI94" s="15">
        <f>AH88</f>
        <v>7.77276631606042</v>
      </c>
      <c r="AJ94" t="s" s="44">
        <f>IF(AK94&gt;0,"+","")</f>
      </c>
      <c r="AK94" s="16">
        <f>AI94/AG94-1</f>
        <v>-0.973011228069235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0.749781967689688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-1.21361683503136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-2.19068409626408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-8.639694446236611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0.260674426258939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0.176939244342343</v>
      </c>
      <c r="AF103" s="16">
        <f>P23</f>
        <v>1.11757132771294</v>
      </c>
      <c r="AG103" s="16">
        <f>P24</f>
        <v>-0.461001392457197</v>
      </c>
      <c r="AH103" s="16">
        <f>P25</f>
        <v>0.216060837608704</v>
      </c>
      <c r="AI103" s="16">
        <f>P26</f>
        <v>0.260674426258939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23">
        <f>C22</f>
        <v>2407.9</v>
      </c>
      <c r="AF104" s="23">
        <f>C23</f>
        <v>5098.9</v>
      </c>
      <c r="AG104" s="23">
        <f>C24</f>
        <v>2748.3</v>
      </c>
      <c r="AH104" s="23">
        <f>C25</f>
        <v>3342.1</v>
      </c>
      <c r="AI104" s="23">
        <f>C26</f>
        <v>4213.3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0.260674426258939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23">
        <f>AI104</f>
        <v>4213.3</v>
      </c>
      <c r="AM105" t="s" s="44">
        <v>372</v>
      </c>
      <c r="AN105" t="s" s="44">
        <v>378</v>
      </c>
      <c r="AO105" s="16">
        <f>AH91</f>
        <v>0.103069842260331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0.283326299780847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0.0575</v>
      </c>
      <c r="AG107" t="s" s="44">
        <v>82</v>
      </c>
      <c r="AH107" t="s" s="44">
        <v>83</v>
      </c>
      <c r="AI107" s="23">
        <f>AH52</f>
        <v>5118.1146016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0.0907845010174841</v>
      </c>
      <c r="AF110" s="16">
        <f>(D23+E23)/C23</f>
        <v>-0.331345976583185</v>
      </c>
      <c r="AG110" s="16">
        <f>((E24+D24)/C24)</f>
        <v>-0.287741512935269</v>
      </c>
      <c r="AH110" s="16">
        <f>(D25+E25)/C25</f>
        <v>0.397354956464498</v>
      </c>
      <c r="AI110" s="16">
        <f>(D26+E26)/C26</f>
        <v>0.084280730069067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33.3</v>
      </c>
      <c r="AF111" s="15">
        <f>E23</f>
        <v>-1905.4</v>
      </c>
      <c r="AG111" s="15">
        <f>E24</f>
        <v>-967.7</v>
      </c>
      <c r="AH111" s="15">
        <f>E25</f>
        <v>1261.6</v>
      </c>
      <c r="AI111" s="15">
        <f>E26</f>
        <v>284.3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0.397354956464498</v>
      </c>
      <c r="AG112" t="s" s="44">
        <v>76</v>
      </c>
      <c r="AH112" s="16">
        <f>AI110</f>
        <v>0.084280730069067</v>
      </c>
      <c r="AI112" t="s" s="44">
        <v>90</v>
      </c>
      <c r="AJ112" s="15">
        <f>AH111</f>
        <v>1261.6</v>
      </c>
      <c r="AK112" t="s" s="44">
        <v>76</v>
      </c>
      <c r="AL112" s="15">
        <f>AI111</f>
        <v>284.3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-0.0343629507462223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0.0263551002987623</v>
      </c>
      <c r="AG114" t="s" s="44">
        <v>94</v>
      </c>
      <c r="AH114" s="15">
        <f>AH66</f>
        <v>30.1884236657279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-2347.2</v>
      </c>
      <c r="AF117" s="15">
        <f>J23</f>
        <v>-1529.2</v>
      </c>
      <c r="AG117" s="15">
        <f>J24</f>
        <v>-487.2</v>
      </c>
      <c r="AH117" s="15">
        <f>J25</f>
        <v>-266.4</v>
      </c>
      <c r="AI117" s="15">
        <f>J26</f>
        <v>-860.7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-427</v>
      </c>
      <c r="AF118" s="15">
        <f>K23</f>
        <v>-2838.9</v>
      </c>
      <c r="AG118" s="15">
        <f>K24</f>
        <v>-1213.3</v>
      </c>
      <c r="AH118" s="15">
        <f>K25</f>
        <v>-1985.3</v>
      </c>
      <c r="AI118" s="15">
        <f>K26</f>
        <v>-887.6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-2251.7</v>
      </c>
      <c r="AG119" t="s" s="44">
        <v>76</v>
      </c>
      <c r="AH119" s="15">
        <f>AI117+AI118</f>
        <v>-1748.3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-887.6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-2517.15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-112.757142857143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11.1954259869459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2075</v>
      </c>
      <c r="AF124" s="15">
        <f>F23</f>
        <v>13166</v>
      </c>
      <c r="AG124" s="15">
        <f>F24</f>
        <v>10384</v>
      </c>
      <c r="AH124" s="15">
        <f>F25</f>
        <v>11103</v>
      </c>
      <c r="AI124" s="15">
        <f>F26</f>
        <v>10728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89916</v>
      </c>
      <c r="AF125" s="15">
        <f>G23</f>
        <v>88140</v>
      </c>
      <c r="AG125" s="15">
        <f>G24</f>
        <v>86082</v>
      </c>
      <c r="AH125" s="15">
        <f>G25</f>
        <v>77207</v>
      </c>
      <c r="AI125" s="15">
        <f>G26</f>
        <v>82406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AH124</f>
        <v>11103</v>
      </c>
      <c r="AH126" t="s" s="44">
        <v>76</v>
      </c>
      <c r="AI126" s="15">
        <f>AI124</f>
        <v>10728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77207</v>
      </c>
      <c r="AH127" t="s" s="44">
        <v>76</v>
      </c>
      <c r="AI127" s="15">
        <f>AI125</f>
        <v>82406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-66104</v>
      </c>
      <c r="AO127" t="s" s="44">
        <v>76</v>
      </c>
      <c r="AP127" s="15">
        <f>AI126-AI127</f>
        <v>-71678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-44.781703947780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-71633.2182960522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-1206.815</v>
      </c>
      <c r="AF131" s="15">
        <f>-L23</f>
        <v>-7584.5</v>
      </c>
      <c r="AG131" s="15">
        <f>-L24</f>
        <v>2624.2</v>
      </c>
      <c r="AH131" s="15">
        <f>-L25</f>
        <v>-2698.4</v>
      </c>
      <c r="AI131" s="15">
        <f>-L26</f>
        <v>-1071.6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-4.8</v>
      </c>
      <c r="AF132" s="15">
        <f>-M23</f>
        <v>-7900</v>
      </c>
      <c r="AG132" s="15">
        <f>-M24</f>
        <v>-1544.4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811</v>
      </c>
      <c r="AF133" t="s" s="44">
        <f>IF(AG133&gt;0,"paid","(raised)")</f>
        <v>121</v>
      </c>
      <c r="AG133" s="15">
        <f>SUM(AI131:AI132)</f>
        <v>-1071.6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-1071.6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44.781703947780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8296.35821568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0.0830148616227511</v>
      </c>
      <c r="AK134" t="s" s="44">
        <v>130</v>
      </c>
      <c r="AL134" t="s" s="44">
        <v>131</v>
      </c>
      <c r="AM134" t="s" s="44">
        <v>132</v>
      </c>
      <c r="AN134" s="15">
        <f>AH85</f>
        <v>1992.113312067120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44.7817039477837</v>
      </c>
      <c r="AG135" t="s" s="44">
        <f>AG134</f>
        <v>372</v>
      </c>
      <c r="AH135" t="s" s="44">
        <v>136</v>
      </c>
      <c r="AI135" s="15">
        <f>AF134/AF135</f>
        <v>185.262227300545</v>
      </c>
      <c r="AJ135" t="s" s="44">
        <v>130</v>
      </c>
      <c r="AK135" t="s" s="44">
        <v>137</v>
      </c>
      <c r="AL135" t="s" s="44">
        <v>138</v>
      </c>
      <c r="AM135" s="15">
        <f>AH86</f>
        <v>5</v>
      </c>
      <c r="AN135" t="s" s="44">
        <v>139</v>
      </c>
      <c r="AO135" t="s" s="44">
        <v>140</v>
      </c>
      <c r="AP135" t="s" s="44">
        <v>141</v>
      </c>
      <c r="AQ135" s="16">
        <f>AK94</f>
        <v>-0.973011228069235</v>
      </c>
      <c r="AR135" t="s" s="44">
        <f>IF(AQ135&gt;0,"higher","lower")</f>
        <v>104</v>
      </c>
      <c r="AS135" t="s" s="44">
        <v>142</v>
      </c>
      <c r="AT135" s="15">
        <f>AI94</f>
        <v>7.77276631606042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38">
        <f>AE104</f>
        <v>2407.9</v>
      </c>
      <c r="AE137" s="23">
        <f>AF104</f>
        <v>5098.9</v>
      </c>
      <c r="AF137" s="23">
        <f>AG104</f>
        <v>2748.3</v>
      </c>
      <c r="AG137" s="23">
        <f>AH104</f>
        <v>3342.1</v>
      </c>
      <c r="AH137" s="23">
        <f>AI104</f>
        <v>4213.3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-2774.2</v>
      </c>
      <c r="AE138" s="15">
        <f>SUM(AF117:AF118)</f>
        <v>-4368.1</v>
      </c>
      <c r="AF138" s="15">
        <f>SUM(AG117:AG118)</f>
        <v>-1700.5</v>
      </c>
      <c r="AG138" s="15">
        <f>SUM(AH117:AH118)</f>
        <v>-2251.7</v>
      </c>
      <c r="AH138" s="15">
        <f>SUM(AI117:AI118)</f>
        <v>-1748.3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-1211.615</v>
      </c>
      <c r="AE139" s="15">
        <f>SUM(AF131:AF132)</f>
        <v>-15484.5</v>
      </c>
      <c r="AF139" s="15">
        <f>SUM(AG131:AG132)</f>
        <v>1079.8</v>
      </c>
      <c r="AG139" s="15">
        <f>SUM(AH131:AH132)</f>
        <v>-2698.4</v>
      </c>
      <c r="AH139" s="15">
        <f>SUM(AI131:AI132)</f>
        <v>-1071.6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-87841</v>
      </c>
      <c r="AE140" s="15">
        <f>(AF124-AF125)</f>
        <v>-74974</v>
      </c>
      <c r="AF140" s="15">
        <f>(AG124-AG125)</f>
        <v>-75698</v>
      </c>
      <c r="AG140" s="15">
        <f>(AH124-AH125)</f>
        <v>-66104</v>
      </c>
      <c r="AH140" s="15">
        <f>(AI124-AI125)</f>
        <v>-71678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7.77276631606042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53.xml><?xml version="1.0" encoding="utf-8"?>
<worksheet xmlns:r="http://schemas.openxmlformats.org/officeDocument/2006/relationships" xmlns="http://schemas.openxmlformats.org/spreadsheetml/2006/main">
  <sheetPr>
    <pageSetUpPr fitToPage="1"/>
  </sheetPr>
  <dimension ref="A2:L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2" width="10.4844" style="440" customWidth="1"/>
    <col min="13" max="16384" width="16.3516" style="440" customWidth="1"/>
  </cols>
  <sheetData>
    <row r="1" ht="27.65" customHeight="1">
      <c r="A1" t="s" s="2">
        <v>812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32.25" customHeight="1">
      <c r="A2" t="s" s="3">
        <v>366</v>
      </c>
      <c r="B2" t="s" s="3">
        <v>2</v>
      </c>
      <c r="C2" t="s" s="3">
        <v>3</v>
      </c>
      <c r="D2" t="s" s="3">
        <v>4</v>
      </c>
      <c r="E2" t="s" s="3">
        <v>5</v>
      </c>
      <c r="F2" t="s" s="3">
        <v>6</v>
      </c>
      <c r="G2" t="s" s="3">
        <v>7</v>
      </c>
      <c r="H2" t="s" s="3">
        <v>8</v>
      </c>
      <c r="I2" t="s" s="3">
        <v>9</v>
      </c>
      <c r="J2" t="s" s="3">
        <v>10</v>
      </c>
      <c r="K2" t="s" s="3">
        <v>6</v>
      </c>
      <c r="L2" t="s" s="3">
        <v>11</v>
      </c>
    </row>
    <row r="3" ht="20.25" customHeight="1">
      <c r="A3" s="6">
        <v>2017</v>
      </c>
      <c r="B3" s="65">
        <v>729</v>
      </c>
      <c r="C3" s="59">
        <v>38</v>
      </c>
      <c r="D3" s="59">
        <v>52</v>
      </c>
      <c r="E3" s="59">
        <v>157</v>
      </c>
      <c r="F3" s="59">
        <v>2610</v>
      </c>
      <c r="G3" s="59">
        <v>5071</v>
      </c>
      <c r="H3" s="59">
        <v>658</v>
      </c>
      <c r="I3" s="59">
        <v>-185</v>
      </c>
      <c r="J3" s="59">
        <v>-113</v>
      </c>
      <c r="K3" s="59">
        <v>88</v>
      </c>
      <c r="L3" s="59">
        <v>-20.5</v>
      </c>
    </row>
    <row r="4" ht="20.05" customHeight="1">
      <c r="A4" s="13"/>
      <c r="B4" s="14">
        <v>1267</v>
      </c>
      <c r="C4" s="26">
        <v>38</v>
      </c>
      <c r="D4" s="26">
        <v>86</v>
      </c>
      <c r="E4" s="26">
        <v>242</v>
      </c>
      <c r="F4" s="26">
        <v>3415</v>
      </c>
      <c r="G4" s="26">
        <v>5959</v>
      </c>
      <c r="H4" s="26">
        <v>852</v>
      </c>
      <c r="I4" s="26">
        <v>10</v>
      </c>
      <c r="J4" s="26">
        <v>-168</v>
      </c>
      <c r="K4" s="26">
        <v>88</v>
      </c>
      <c r="L4" s="26">
        <v>-20.5</v>
      </c>
    </row>
    <row r="5" ht="20.05" customHeight="1">
      <c r="A5" s="13"/>
      <c r="B5" s="14">
        <v>1429</v>
      </c>
      <c r="C5" s="26">
        <v>43</v>
      </c>
      <c r="D5" s="26">
        <v>85</v>
      </c>
      <c r="E5" s="26">
        <v>258</v>
      </c>
      <c r="F5" s="26">
        <v>4002</v>
      </c>
      <c r="G5" s="26">
        <v>6631</v>
      </c>
      <c r="H5" s="26">
        <v>1195</v>
      </c>
      <c r="I5" s="26">
        <v>283</v>
      </c>
      <c r="J5" s="26">
        <v>-152</v>
      </c>
      <c r="K5" s="26">
        <v>88</v>
      </c>
      <c r="L5" s="26">
        <v>-20.5</v>
      </c>
    </row>
    <row r="6" ht="20.05" customHeight="1">
      <c r="A6" s="13"/>
      <c r="B6" s="14">
        <v>1937</v>
      </c>
      <c r="C6" s="26">
        <v>60</v>
      </c>
      <c r="D6" s="26">
        <v>117</v>
      </c>
      <c r="E6" s="26">
        <v>638</v>
      </c>
      <c r="F6" s="26">
        <v>4320</v>
      </c>
      <c r="G6" s="26">
        <v>7068</v>
      </c>
      <c r="H6" s="26">
        <v>1898</v>
      </c>
      <c r="I6" s="26">
        <v>448</v>
      </c>
      <c r="J6" s="26">
        <v>-99</v>
      </c>
      <c r="K6" s="26">
        <v>88</v>
      </c>
      <c r="L6" s="26">
        <v>-20.5</v>
      </c>
    </row>
    <row r="7" ht="20.05" customHeight="1">
      <c r="A7" s="21">
        <v>2018</v>
      </c>
      <c r="B7" s="14">
        <v>1193</v>
      </c>
      <c r="C7" s="26">
        <v>52</v>
      </c>
      <c r="D7" s="26">
        <v>58</v>
      </c>
      <c r="E7" s="26">
        <v>129</v>
      </c>
      <c r="F7" s="26">
        <v>4412</v>
      </c>
      <c r="G7" s="26">
        <v>7116</v>
      </c>
      <c r="H7" s="26">
        <v>966</v>
      </c>
      <c r="I7" s="26">
        <v>-367</v>
      </c>
      <c r="J7" s="26">
        <v>-138</v>
      </c>
      <c r="K7" s="26">
        <v>6.75</v>
      </c>
      <c r="L7" s="26">
        <v>-25.25</v>
      </c>
    </row>
    <row r="8" ht="20.05" customHeight="1">
      <c r="A8" s="13"/>
      <c r="B8" s="14">
        <v>1403</v>
      </c>
      <c r="C8" s="26">
        <v>43</v>
      </c>
      <c r="D8" s="26">
        <v>102</v>
      </c>
      <c r="E8" s="26">
        <v>180</v>
      </c>
      <c r="F8" s="26">
        <v>4575</v>
      </c>
      <c r="G8" s="26">
        <v>7382</v>
      </c>
      <c r="H8" s="26">
        <v>1473</v>
      </c>
      <c r="I8" s="26">
        <v>82</v>
      </c>
      <c r="J8" s="26">
        <v>-185</v>
      </c>
      <c r="K8" s="26">
        <v>6.75</v>
      </c>
      <c r="L8" s="26">
        <v>-25.25</v>
      </c>
    </row>
    <row r="9" ht="20.05" customHeight="1">
      <c r="A9" s="13"/>
      <c r="B9" s="14">
        <v>1510</v>
      </c>
      <c r="C9" s="26">
        <v>72</v>
      </c>
      <c r="D9" s="26">
        <v>119</v>
      </c>
      <c r="E9" s="26">
        <v>477</v>
      </c>
      <c r="F9" s="26">
        <v>4827</v>
      </c>
      <c r="G9" s="26">
        <v>7753</v>
      </c>
      <c r="H9" s="26">
        <v>1616</v>
      </c>
      <c r="I9" s="26">
        <v>440</v>
      </c>
      <c r="J9" s="26">
        <v>-69</v>
      </c>
      <c r="K9" s="26">
        <v>6.75</v>
      </c>
      <c r="L9" s="26">
        <v>-25.25</v>
      </c>
    </row>
    <row r="10" ht="20.05" customHeight="1">
      <c r="A10" s="13"/>
      <c r="B10" s="14">
        <v>2825</v>
      </c>
      <c r="C10" s="26">
        <v>59</v>
      </c>
      <c r="D10" s="26">
        <v>208</v>
      </c>
      <c r="E10" s="26">
        <v>856</v>
      </c>
      <c r="F10" s="26">
        <v>5745</v>
      </c>
      <c r="G10" s="26">
        <v>8882</v>
      </c>
      <c r="H10" s="26">
        <v>2214</v>
      </c>
      <c r="I10" s="26">
        <v>578</v>
      </c>
      <c r="J10" s="26">
        <v>-48</v>
      </c>
      <c r="K10" s="26">
        <v>6.75</v>
      </c>
      <c r="L10" s="26">
        <v>-25.25</v>
      </c>
    </row>
    <row r="11" ht="20.05" customHeight="1">
      <c r="A11" s="21">
        <v>2019</v>
      </c>
      <c r="B11" s="14">
        <v>1294</v>
      </c>
      <c r="C11" s="26">
        <v>62</v>
      </c>
      <c r="D11" s="26">
        <v>71</v>
      </c>
      <c r="E11" s="26">
        <v>267</v>
      </c>
      <c r="F11" s="26">
        <v>5547</v>
      </c>
      <c r="G11" s="26">
        <v>8608</v>
      </c>
      <c r="H11" s="26">
        <v>1083.5</v>
      </c>
      <c r="I11" s="26">
        <v>720</v>
      </c>
      <c r="J11" s="26">
        <v>-105</v>
      </c>
      <c r="K11" s="26">
        <v>48</v>
      </c>
      <c r="L11" s="26">
        <v>-36.5</v>
      </c>
    </row>
    <row r="12" ht="20.05" customHeight="1">
      <c r="A12" s="13"/>
      <c r="B12" s="14">
        <v>1344</v>
      </c>
      <c r="C12" s="26">
        <v>62</v>
      </c>
      <c r="D12" s="26">
        <v>94</v>
      </c>
      <c r="E12" s="26">
        <v>390</v>
      </c>
      <c r="F12" s="26">
        <v>5695</v>
      </c>
      <c r="G12" s="26">
        <v>8848</v>
      </c>
      <c r="H12" s="26">
        <v>1460.1</v>
      </c>
      <c r="I12" s="26">
        <v>-1715</v>
      </c>
      <c r="J12" s="26">
        <v>-56</v>
      </c>
      <c r="K12" s="26">
        <v>48</v>
      </c>
      <c r="L12" s="26">
        <v>-36.5</v>
      </c>
    </row>
    <row r="13" ht="20.05" customHeight="1">
      <c r="A13" s="13"/>
      <c r="B13" s="14">
        <v>1733</v>
      </c>
      <c r="C13" s="26">
        <v>62</v>
      </c>
      <c r="D13" s="26">
        <v>136</v>
      </c>
      <c r="E13" s="26">
        <v>207</v>
      </c>
      <c r="F13" s="26">
        <v>5854</v>
      </c>
      <c r="G13" s="26">
        <v>9146</v>
      </c>
      <c r="H13" s="26">
        <v>1382.3</v>
      </c>
      <c r="I13" s="26">
        <v>198</v>
      </c>
      <c r="J13" s="26">
        <v>-190</v>
      </c>
      <c r="K13" s="26">
        <v>48</v>
      </c>
      <c r="L13" s="26">
        <v>-36.5</v>
      </c>
    </row>
    <row r="14" ht="20.05" customHeight="1">
      <c r="A14" s="13"/>
      <c r="B14" s="14">
        <v>2712</v>
      </c>
      <c r="C14" s="26">
        <v>62</v>
      </c>
      <c r="D14" s="26">
        <v>210</v>
      </c>
      <c r="E14" s="26">
        <v>1602</v>
      </c>
      <c r="F14" s="26">
        <v>6829</v>
      </c>
      <c r="G14" s="26">
        <v>10338</v>
      </c>
      <c r="H14" s="26">
        <v>2807.8</v>
      </c>
      <c r="I14" s="26">
        <v>1923</v>
      </c>
      <c r="J14" s="26">
        <v>-28</v>
      </c>
      <c r="K14" s="26">
        <v>48</v>
      </c>
      <c r="L14" s="26">
        <v>-36.5</v>
      </c>
    </row>
    <row r="15" ht="20.05" customHeight="1">
      <c r="A15" s="21">
        <v>2020</v>
      </c>
      <c r="B15" s="14">
        <v>1166</v>
      </c>
      <c r="C15" s="26">
        <v>62</v>
      </c>
      <c r="D15" s="26">
        <v>72</v>
      </c>
      <c r="E15" s="26">
        <v>892</v>
      </c>
      <c r="F15" s="26">
        <v>6411</v>
      </c>
      <c r="G15" s="26">
        <v>9620</v>
      </c>
      <c r="H15" s="26">
        <v>1273.9</v>
      </c>
      <c r="I15" s="26">
        <v>-128</v>
      </c>
      <c r="J15" s="26">
        <v>-69</v>
      </c>
      <c r="K15" s="26">
        <v>-85.75</v>
      </c>
      <c r="L15" s="26">
        <v>-13</v>
      </c>
    </row>
    <row r="16" ht="20.05" customHeight="1">
      <c r="A16" s="13"/>
      <c r="B16" s="14">
        <v>703</v>
      </c>
      <c r="C16" s="26">
        <v>62</v>
      </c>
      <c r="D16" s="26">
        <v>-38</v>
      </c>
      <c r="E16" s="26">
        <v>868</v>
      </c>
      <c r="F16" s="26">
        <v>5865</v>
      </c>
      <c r="G16" s="26">
        <v>9169</v>
      </c>
      <c r="H16" s="26">
        <v>1095.1</v>
      </c>
      <c r="I16" s="26">
        <v>-506.6</v>
      </c>
      <c r="J16" s="26">
        <v>-39</v>
      </c>
      <c r="K16" s="26">
        <v>-85.75</v>
      </c>
      <c r="L16" s="26">
        <v>-13</v>
      </c>
    </row>
    <row r="17" ht="20.05" customHeight="1">
      <c r="A17" s="13"/>
      <c r="B17" s="14">
        <v>1086.7</v>
      </c>
      <c r="C17" s="26">
        <v>62</v>
      </c>
      <c r="D17" s="26">
        <v>50</v>
      </c>
      <c r="E17" s="26">
        <v>1068</v>
      </c>
      <c r="F17" s="26">
        <v>5946</v>
      </c>
      <c r="G17" s="26">
        <v>9266</v>
      </c>
      <c r="H17" s="26">
        <v>1435.9</v>
      </c>
      <c r="I17" s="26">
        <v>-27.6</v>
      </c>
      <c r="J17" s="26">
        <v>-32.8</v>
      </c>
      <c r="K17" s="26">
        <v>-85.75</v>
      </c>
      <c r="L17" s="26">
        <v>-13</v>
      </c>
    </row>
    <row r="18" ht="20.05" customHeight="1">
      <c r="A18" s="13"/>
      <c r="B18" s="14">
        <v>1847.3</v>
      </c>
      <c r="C18" s="26">
        <v>62</v>
      </c>
      <c r="D18" s="26">
        <v>39</v>
      </c>
      <c r="E18" s="26">
        <v>1542</v>
      </c>
      <c r="F18" s="26">
        <v>5118</v>
      </c>
      <c r="G18" s="26">
        <v>8509</v>
      </c>
      <c r="H18" s="26">
        <v>2196.1</v>
      </c>
      <c r="I18" s="26">
        <v>1355.2</v>
      </c>
      <c r="J18" s="26">
        <v>-141.2</v>
      </c>
      <c r="K18" s="26">
        <v>-85.75</v>
      </c>
      <c r="L18" s="26">
        <v>-13</v>
      </c>
    </row>
    <row r="19" ht="20.05" customHeight="1">
      <c r="A19" s="21">
        <v>2021</v>
      </c>
      <c r="B19" s="67">
        <v>642</v>
      </c>
      <c r="C19" s="26">
        <v>43</v>
      </c>
      <c r="D19" s="26">
        <v>22</v>
      </c>
      <c r="E19" s="26">
        <v>416</v>
      </c>
      <c r="F19" s="26">
        <v>4175</v>
      </c>
      <c r="G19" s="26">
        <v>7587</v>
      </c>
      <c r="H19" s="26">
        <v>772</v>
      </c>
      <c r="I19" s="26">
        <v>-817</v>
      </c>
      <c r="J19" s="26">
        <v>-19</v>
      </c>
      <c r="K19" s="26">
        <v>-290.4</v>
      </c>
      <c r="L19" s="26">
        <v>0</v>
      </c>
    </row>
    <row r="20" ht="20.05" customHeight="1">
      <c r="A20" s="13"/>
      <c r="B20" s="14">
        <v>617.2</v>
      </c>
      <c r="C20" s="26">
        <v>44.6</v>
      </c>
      <c r="D20" s="26">
        <v>13.8</v>
      </c>
      <c r="E20" s="26">
        <v>731</v>
      </c>
      <c r="F20" s="26">
        <v>3954</v>
      </c>
      <c r="G20" s="26">
        <v>7355</v>
      </c>
      <c r="H20" s="26">
        <v>1019</v>
      </c>
      <c r="I20" s="26">
        <v>-109.5</v>
      </c>
      <c r="J20" s="26">
        <v>-20.7</v>
      </c>
      <c r="K20" s="26">
        <v>470.373</v>
      </c>
      <c r="L20" s="26">
        <v>-25.623</v>
      </c>
    </row>
    <row r="21" ht="20.05" customHeight="1">
      <c r="A21" s="13"/>
      <c r="B21" s="14">
        <v>1218.8</v>
      </c>
      <c r="C21" s="26">
        <v>29.577</v>
      </c>
      <c r="D21" s="26">
        <v>15.5</v>
      </c>
      <c r="E21" s="26">
        <v>1071.1</v>
      </c>
      <c r="F21" s="26">
        <v>5057.4</v>
      </c>
      <c r="G21" s="26">
        <v>8475.200000000001</v>
      </c>
      <c r="H21" s="26">
        <v>1047.4</v>
      </c>
      <c r="I21" s="26">
        <v>-121.7</v>
      </c>
      <c r="J21" s="26">
        <v>-81</v>
      </c>
      <c r="K21" s="26">
        <v>543.35</v>
      </c>
      <c r="L21" s="26">
        <v>0</v>
      </c>
    </row>
    <row r="22" ht="20.05" customHeight="1">
      <c r="A22" s="13"/>
      <c r="B22" s="14">
        <v>1834.8</v>
      </c>
      <c r="C22" s="26">
        <v>42.223</v>
      </c>
      <c r="D22" s="26">
        <v>30.1</v>
      </c>
      <c r="E22" s="26">
        <v>1739</v>
      </c>
      <c r="F22" s="26">
        <v>5480</v>
      </c>
      <c r="G22" s="26">
        <v>8928</v>
      </c>
      <c r="H22" s="26">
        <v>2003.2</v>
      </c>
      <c r="I22" s="26">
        <v>931.8</v>
      </c>
      <c r="J22" s="26">
        <v>-63.1</v>
      </c>
      <c r="K22" s="26">
        <v>-200.823</v>
      </c>
      <c r="L22" s="26">
        <v>0.023</v>
      </c>
    </row>
    <row r="23" ht="20.05" customHeight="1">
      <c r="A23" s="21">
        <v>2022</v>
      </c>
      <c r="B23" s="14">
        <v>773</v>
      </c>
      <c r="C23" s="26">
        <v>42</v>
      </c>
      <c r="D23" s="26">
        <v>18</v>
      </c>
      <c r="E23" s="26">
        <v>770</v>
      </c>
      <c r="F23" s="26">
        <v>4921</v>
      </c>
      <c r="G23" s="26">
        <v>8387</v>
      </c>
      <c r="H23" s="26">
        <v>807</v>
      </c>
      <c r="I23" s="26">
        <v>-454</v>
      </c>
      <c r="J23" s="26">
        <v>-63</v>
      </c>
      <c r="K23" s="26">
        <v>-452</v>
      </c>
      <c r="L23" s="26">
        <v>0</v>
      </c>
    </row>
    <row r="24" ht="20.05" customHeight="1">
      <c r="A24" s="13"/>
      <c r="B24" s="14">
        <v>1080.1</v>
      </c>
      <c r="C24" s="26">
        <v>47.2</v>
      </c>
      <c r="D24" s="26">
        <v>42.3</v>
      </c>
      <c r="E24" s="26">
        <v>755</v>
      </c>
      <c r="F24" s="26">
        <v>4950</v>
      </c>
      <c r="G24" s="26">
        <v>8442</v>
      </c>
      <c r="H24" s="26">
        <v>1206.9</v>
      </c>
      <c r="I24" s="26">
        <v>-170.9</v>
      </c>
      <c r="J24" s="26">
        <v>-18</v>
      </c>
      <c r="K24" s="26">
        <v>190.7</v>
      </c>
      <c r="L24" s="26">
        <v>-16.6</v>
      </c>
    </row>
    <row r="25" ht="20.05" customHeight="1">
      <c r="A25" s="13"/>
      <c r="B25" s="14">
        <v>1812.8</v>
      </c>
      <c r="C25" s="26">
        <v>63.7</v>
      </c>
      <c r="D25" s="26">
        <v>30.1</v>
      </c>
      <c r="E25" s="26">
        <v>664</v>
      </c>
      <c r="F25" s="26">
        <v>5323</v>
      </c>
      <c r="G25" s="26">
        <v>8881</v>
      </c>
      <c r="H25" s="26">
        <v>1670.4</v>
      </c>
      <c r="I25" s="26">
        <v>251.2</v>
      </c>
      <c r="J25" s="26">
        <v>-24.4</v>
      </c>
      <c r="K25" s="26">
        <v>-194.9</v>
      </c>
      <c r="L25" s="26">
        <v>0</v>
      </c>
    </row>
  </sheetData>
  <mergeCells count="1">
    <mergeCell ref="A1:L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10" customWidth="1"/>
    <col min="2" max="28" width="10.4844" style="110" customWidth="1"/>
    <col min="29" max="29" width="18.9766" style="111" customWidth="1"/>
    <col min="30" max="48" width="9" style="111" customWidth="1"/>
    <col min="49" max="16384" width="16.3516" style="111" customWidth="1"/>
  </cols>
  <sheetData>
    <row r="1" ht="11.65" customHeight="1"/>
    <row r="2" ht="27.65" customHeight="1">
      <c r="B2" t="s" s="2">
        <v>486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278</v>
      </c>
      <c r="AA3" t="s" s="3">
        <v>19</v>
      </c>
      <c r="AB3" t="s" s="3">
        <v>20</v>
      </c>
    </row>
    <row r="4" ht="20.25" customHeight="1">
      <c r="B4" s="6">
        <v>2017</v>
      </c>
      <c r="C4" s="87">
        <v>16369</v>
      </c>
      <c r="D4" s="59">
        <v>659</v>
      </c>
      <c r="E4" s="59">
        <v>4989</v>
      </c>
      <c r="F4" s="8">
        <v>86105</v>
      </c>
      <c r="G4" s="8">
        <v>571185</v>
      </c>
      <c r="H4" s="8">
        <v>689596</v>
      </c>
      <c r="I4" s="9"/>
      <c r="J4" s="8">
        <v>1706</v>
      </c>
      <c r="K4" s="8">
        <v>-19866</v>
      </c>
      <c r="L4" s="8">
        <v>-367.4055</v>
      </c>
      <c r="M4" s="8">
        <v>-1296.519</v>
      </c>
      <c r="N4" s="59"/>
      <c r="O4" s="8"/>
      <c r="P4" s="9"/>
      <c r="Q4" s="9"/>
      <c r="R4" s="9"/>
      <c r="S4" s="9"/>
      <c r="T4" s="9"/>
      <c r="U4" s="9"/>
      <c r="V4" s="8">
        <f>-(L4+M4)</f>
        <v>1663.9245</v>
      </c>
      <c r="W4" s="9"/>
      <c r="X4" s="8">
        <f>F4-G4</f>
        <v>-485080</v>
      </c>
      <c r="Y4" s="9"/>
      <c r="Z4" s="8">
        <v>3310</v>
      </c>
      <c r="AA4" s="11"/>
      <c r="AB4" s="12">
        <v>13.3</v>
      </c>
    </row>
    <row r="5" ht="20.05" customHeight="1">
      <c r="B5" s="13"/>
      <c r="C5" s="38">
        <v>16956</v>
      </c>
      <c r="D5" s="23">
        <v>1136</v>
      </c>
      <c r="E5" s="23">
        <v>5549</v>
      </c>
      <c r="F5" s="15">
        <v>118040</v>
      </c>
      <c r="G5" s="15">
        <v>617304</v>
      </c>
      <c r="H5" s="15">
        <v>738199</v>
      </c>
      <c r="I5" s="17"/>
      <c r="J5" s="15">
        <v>33227</v>
      </c>
      <c r="K5" s="15">
        <v>3615</v>
      </c>
      <c r="L5" s="15">
        <v>-367.4055</v>
      </c>
      <c r="M5" s="15">
        <v>-1296.519</v>
      </c>
      <c r="N5" s="26"/>
      <c r="O5" s="15"/>
      <c r="P5" s="16"/>
      <c r="Q5" s="17"/>
      <c r="R5" s="17"/>
      <c r="S5" s="17"/>
      <c r="T5" s="17"/>
      <c r="U5" s="17"/>
      <c r="V5" s="15">
        <f>-(L5+M5)+V4</f>
        <v>3327.849</v>
      </c>
      <c r="W5" s="17"/>
      <c r="X5" s="15">
        <f>F5-G5</f>
        <v>-499264</v>
      </c>
      <c r="Y5" s="17"/>
      <c r="Z5" s="15">
        <v>3630</v>
      </c>
      <c r="AA5" s="19"/>
      <c r="AB5" s="20">
        <v>13.327</v>
      </c>
    </row>
    <row r="6" ht="20.05" customHeight="1">
      <c r="B6" s="13"/>
      <c r="C6" s="38">
        <v>17508</v>
      </c>
      <c r="D6" s="23">
        <v>1323</v>
      </c>
      <c r="E6" s="23">
        <v>6313</v>
      </c>
      <c r="F6" s="15">
        <v>88996</v>
      </c>
      <c r="G6" s="15">
        <v>612334</v>
      </c>
      <c r="H6" s="15">
        <v>739883</v>
      </c>
      <c r="I6" s="17"/>
      <c r="J6" s="15">
        <v>-40400</v>
      </c>
      <c r="K6" s="15">
        <v>10807</v>
      </c>
      <c r="L6" s="15">
        <v>-367.4055</v>
      </c>
      <c r="M6" s="15">
        <v>-1296.519</v>
      </c>
      <c r="N6" s="26"/>
      <c r="O6" s="15"/>
      <c r="P6" s="16"/>
      <c r="Q6" s="17"/>
      <c r="R6" s="17"/>
      <c r="S6" s="17"/>
      <c r="T6" s="17"/>
      <c r="U6" s="17"/>
      <c r="V6" s="15">
        <f>-(L6+M6)+V5</f>
        <v>4991.7735</v>
      </c>
      <c r="W6" s="17"/>
      <c r="X6" s="15">
        <f>F6-G6</f>
        <v>-523338</v>
      </c>
      <c r="Y6" s="17"/>
      <c r="Z6" s="15">
        <v>4060</v>
      </c>
      <c r="AA6" s="19"/>
      <c r="AB6" s="20">
        <v>13.305</v>
      </c>
    </row>
    <row r="7" ht="20.05" customHeight="1">
      <c r="B7" s="13"/>
      <c r="C7" s="38">
        <v>18090</v>
      </c>
      <c r="D7" s="23">
        <v>1336</v>
      </c>
      <c r="E7" s="23">
        <v>6470</v>
      </c>
      <c r="F7" s="15">
        <v>86985</v>
      </c>
      <c r="G7" s="15">
        <v>618918</v>
      </c>
      <c r="H7" s="15">
        <v>750320</v>
      </c>
      <c r="I7" s="17"/>
      <c r="J7" s="15">
        <v>15126</v>
      </c>
      <c r="K7" s="15">
        <v>-15176</v>
      </c>
      <c r="L7" s="15">
        <v>-367.4055</v>
      </c>
      <c r="M7" s="15">
        <v>-1296.519</v>
      </c>
      <c r="N7" s="26"/>
      <c r="O7" s="15"/>
      <c r="P7" s="16"/>
      <c r="Q7" s="17"/>
      <c r="R7" s="17"/>
      <c r="S7" s="17"/>
      <c r="T7" s="17"/>
      <c r="U7" s="17"/>
      <c r="V7" s="15">
        <f>-(L7+M7)+V6</f>
        <v>6655.698</v>
      </c>
      <c r="W7" s="17"/>
      <c r="X7" s="15">
        <f>F7-G7</f>
        <v>-531933</v>
      </c>
      <c r="Y7" s="17"/>
      <c r="Z7" s="15">
        <v>4380</v>
      </c>
      <c r="AA7" s="19"/>
      <c r="AB7" s="20">
        <v>13.557</v>
      </c>
    </row>
    <row r="8" ht="20.05" customHeight="1">
      <c r="B8" s="21">
        <v>2018</v>
      </c>
      <c r="C8" s="38">
        <v>17332</v>
      </c>
      <c r="D8" s="23">
        <v>667</v>
      </c>
      <c r="E8" s="23">
        <v>5509</v>
      </c>
      <c r="F8" s="15">
        <v>83219</v>
      </c>
      <c r="G8" s="15">
        <v>623398</v>
      </c>
      <c r="H8" s="15">
        <v>759851</v>
      </c>
      <c r="I8" s="17"/>
      <c r="J8" s="15">
        <v>-881</v>
      </c>
      <c r="K8" s="15">
        <v>-1561</v>
      </c>
      <c r="L8" s="15">
        <v>-207.145</v>
      </c>
      <c r="M8" s="15">
        <v>-1617.26725</v>
      </c>
      <c r="N8" s="15">
        <f>SUM(C5:C8)/4</f>
        <v>17471.5</v>
      </c>
      <c r="O8" s="15"/>
      <c r="P8" s="16"/>
      <c r="Q8" s="16"/>
      <c r="R8" s="16"/>
      <c r="S8" s="17"/>
      <c r="T8" s="15">
        <f>SUM(J5:K8)/4</f>
        <v>1189.25</v>
      </c>
      <c r="U8" s="17"/>
      <c r="V8" s="15">
        <f>-(L8+M8)+V7</f>
        <v>8480.11025</v>
      </c>
      <c r="W8" s="17"/>
      <c r="X8" s="15">
        <f>F8-G8</f>
        <v>-540179</v>
      </c>
      <c r="Y8" s="24"/>
      <c r="Z8" s="15">
        <v>4660</v>
      </c>
      <c r="AA8" s="22"/>
      <c r="AB8" s="20">
        <v>13.761</v>
      </c>
    </row>
    <row r="9" ht="20.05" customHeight="1">
      <c r="B9" s="13"/>
      <c r="C9" s="38">
        <v>17504</v>
      </c>
      <c r="D9" s="23">
        <v>1162</v>
      </c>
      <c r="E9" s="23">
        <v>5913</v>
      </c>
      <c r="F9" s="15">
        <v>107639</v>
      </c>
      <c r="G9" s="15">
        <v>654885</v>
      </c>
      <c r="H9" s="15">
        <v>791730</v>
      </c>
      <c r="I9" s="17"/>
      <c r="J9" s="15">
        <v>11192</v>
      </c>
      <c r="K9" s="15">
        <v>17597</v>
      </c>
      <c r="L9" s="15">
        <v>837.34325</v>
      </c>
      <c r="M9" s="15">
        <v>-2171.06725</v>
      </c>
      <c r="N9" s="15">
        <f>SUM(C6:C9)/4</f>
        <v>17608.5</v>
      </c>
      <c r="O9" s="15"/>
      <c r="P9" s="16"/>
      <c r="Q9" s="16">
        <f>(E9+D9)/C9</f>
        <v>0.404193327239488</v>
      </c>
      <c r="R9" s="16"/>
      <c r="S9" s="17"/>
      <c r="T9" s="15">
        <f>SUM(J6:K9)/4</f>
        <v>-824</v>
      </c>
      <c r="U9" s="17"/>
      <c r="V9" s="15">
        <f>-(L9+M9)+V8</f>
        <v>9813.83425</v>
      </c>
      <c r="W9" s="17"/>
      <c r="X9" s="15">
        <f>F9-G9</f>
        <v>-547246</v>
      </c>
      <c r="Y9" s="24"/>
      <c r="Z9" s="15">
        <v>4295</v>
      </c>
      <c r="AA9" s="22"/>
      <c r="AB9" s="20">
        <v>14</v>
      </c>
    </row>
    <row r="10" ht="20.05" customHeight="1">
      <c r="B10" s="13"/>
      <c r="C10" s="38">
        <v>19417</v>
      </c>
      <c r="D10" s="23">
        <v>1452</v>
      </c>
      <c r="E10" s="23">
        <v>7088</v>
      </c>
      <c r="F10" s="15">
        <v>101793</v>
      </c>
      <c r="G10" s="15">
        <v>655261</v>
      </c>
      <c r="H10" s="15">
        <v>798966</v>
      </c>
      <c r="I10" s="17"/>
      <c r="J10" s="15">
        <v>-2592</v>
      </c>
      <c r="K10" s="15">
        <v>-3156</v>
      </c>
      <c r="L10" s="15">
        <v>-207.145</v>
      </c>
      <c r="M10" s="15">
        <v>-1617.26725</v>
      </c>
      <c r="N10" s="15">
        <f>SUM(C7:C10)/4</f>
        <v>18085.75</v>
      </c>
      <c r="O10" s="15"/>
      <c r="P10" s="16">
        <f>C10/C9-1</f>
        <v>0.109289305301645</v>
      </c>
      <c r="Q10" s="16">
        <f>(E10+D10)/C10</f>
        <v>0.439820775609002</v>
      </c>
      <c r="R10" s="16"/>
      <c r="S10" s="17"/>
      <c r="T10" s="15">
        <f>SUM(J7:K10)/4</f>
        <v>5137.25</v>
      </c>
      <c r="U10" s="17"/>
      <c r="V10" s="15">
        <f>-(L10+M10)+V9</f>
        <v>11638.2465</v>
      </c>
      <c r="W10" s="17"/>
      <c r="X10" s="15">
        <f>F10-G10</f>
        <v>-553468</v>
      </c>
      <c r="Y10" s="24"/>
      <c r="Z10" s="15">
        <v>4830</v>
      </c>
      <c r="AA10" s="22"/>
      <c r="AB10" s="20">
        <v>14.902</v>
      </c>
    </row>
    <row r="11" ht="20.05" customHeight="1">
      <c r="B11" s="13"/>
      <c r="C11" s="38">
        <v>20258</v>
      </c>
      <c r="D11" s="23">
        <v>1478</v>
      </c>
      <c r="E11" s="23">
        <v>7342</v>
      </c>
      <c r="F11" s="15">
        <v>105225</v>
      </c>
      <c r="G11" s="15">
        <v>673034.4</v>
      </c>
      <c r="H11" s="15">
        <v>824788</v>
      </c>
      <c r="I11" s="17"/>
      <c r="J11" s="15">
        <v>-2807</v>
      </c>
      <c r="K11" s="15">
        <v>7746</v>
      </c>
      <c r="L11" s="15">
        <v>-207.145</v>
      </c>
      <c r="M11" s="15">
        <v>-1617.26725</v>
      </c>
      <c r="N11" s="15">
        <f>SUM(C8:C11)/4</f>
        <v>18627.75</v>
      </c>
      <c r="O11" s="15"/>
      <c r="P11" s="16">
        <f>C11/C10-1</f>
        <v>0.0433125611577484</v>
      </c>
      <c r="Q11" s="16">
        <f>(E11+D11)/C11</f>
        <v>0.435383552176918</v>
      </c>
      <c r="R11" s="16"/>
      <c r="S11" s="17"/>
      <c r="T11" s="15">
        <f>SUM(J8:K11)/4</f>
        <v>6384.5</v>
      </c>
      <c r="U11" s="17"/>
      <c r="V11" s="15">
        <f>-(L11+M11)+V10</f>
        <v>13462.65875</v>
      </c>
      <c r="W11" s="17"/>
      <c r="X11" s="15">
        <f>F11-G11</f>
        <v>-567809.4</v>
      </c>
      <c r="Y11" s="24"/>
      <c r="Z11" s="15">
        <v>5200</v>
      </c>
      <c r="AA11" s="22"/>
      <c r="AB11" s="20">
        <v>14.38</v>
      </c>
    </row>
    <row r="12" ht="20.05" customHeight="1">
      <c r="B12" s="21">
        <v>2019</v>
      </c>
      <c r="C12" s="38">
        <v>19948</v>
      </c>
      <c r="D12" s="23">
        <v>1457</v>
      </c>
      <c r="E12" s="23">
        <v>6061</v>
      </c>
      <c r="F12" s="15">
        <v>98198</v>
      </c>
      <c r="G12" s="15">
        <v>671712.6</v>
      </c>
      <c r="H12" s="15">
        <v>830550</v>
      </c>
      <c r="I12" s="17"/>
      <c r="J12" s="15">
        <v>10891</v>
      </c>
      <c r="K12" s="15">
        <v>-17008</v>
      </c>
      <c r="L12" s="15">
        <v>837.34325</v>
      </c>
      <c r="M12" s="15">
        <v>-2171.06725</v>
      </c>
      <c r="N12" s="15">
        <f>SUM(C9:C12)/4</f>
        <v>19281.75</v>
      </c>
      <c r="O12" s="23"/>
      <c r="P12" s="16">
        <f>C12/C11-1</f>
        <v>-0.0153025965050844</v>
      </c>
      <c r="Q12" s="16">
        <f>(E12+D12)/C12</f>
        <v>0.376879887708041</v>
      </c>
      <c r="R12" s="16">
        <f>AVERAGE(Q9:Q12)</f>
        <v>0.414069385683362</v>
      </c>
      <c r="S12" s="17"/>
      <c r="T12" s="15">
        <f>SUM(J9:K12)/4</f>
        <v>5465.75</v>
      </c>
      <c r="U12" s="17"/>
      <c r="V12" s="15">
        <f>-(L12+M12)+V11</f>
        <v>14796.38275</v>
      </c>
      <c r="W12" s="17"/>
      <c r="X12" s="15">
        <f>F12-G12</f>
        <v>-573514.6</v>
      </c>
      <c r="Y12" s="24"/>
      <c r="Z12" s="15">
        <v>5550</v>
      </c>
      <c r="AA12" s="22"/>
      <c r="AB12" s="20">
        <v>14.24</v>
      </c>
    </row>
    <row r="13" ht="20.05" customHeight="1">
      <c r="B13" s="13"/>
      <c r="C13" s="38">
        <v>20969</v>
      </c>
      <c r="D13" s="23">
        <v>1939</v>
      </c>
      <c r="E13" s="23">
        <v>6801</v>
      </c>
      <c r="F13" s="15">
        <v>102388</v>
      </c>
      <c r="G13" s="15">
        <v>710773</v>
      </c>
      <c r="H13" s="15">
        <v>870457</v>
      </c>
      <c r="I13" s="17"/>
      <c r="J13" s="15">
        <v>3258</v>
      </c>
      <c r="K13" s="15">
        <v>6627</v>
      </c>
      <c r="L13" s="15">
        <v>837.34325</v>
      </c>
      <c r="M13" s="15">
        <v>-2171.06725</v>
      </c>
      <c r="N13" s="15">
        <f>SUM(C10:C13)/4</f>
        <v>20148</v>
      </c>
      <c r="O13" s="23"/>
      <c r="P13" s="16">
        <f>C13/C12-1</f>
        <v>0.0511830759975937</v>
      </c>
      <c r="Q13" s="16">
        <f>(E13+D13)/C13</f>
        <v>0.416805760885116</v>
      </c>
      <c r="R13" s="16">
        <f>AVERAGE(Q10:Q13)</f>
        <v>0.417222494094769</v>
      </c>
      <c r="S13" s="17"/>
      <c r="T13" s="15">
        <f>SUM(J10:K13)/4</f>
        <v>739.75</v>
      </c>
      <c r="U13" s="17"/>
      <c r="V13" s="15">
        <f>-(L13+M13)+V12</f>
        <v>16130.10675</v>
      </c>
      <c r="W13" s="17"/>
      <c r="X13" s="15">
        <f>F13-G13</f>
        <v>-608385</v>
      </c>
      <c r="Y13" s="24"/>
      <c r="Z13" s="15">
        <v>5995</v>
      </c>
      <c r="AA13" s="24"/>
      <c r="AB13" s="15">
        <v>14.127</v>
      </c>
    </row>
    <row r="14" ht="20.05" customHeight="1">
      <c r="B14" s="13"/>
      <c r="C14" s="38">
        <v>21710</v>
      </c>
      <c r="D14" s="23">
        <v>1532</v>
      </c>
      <c r="E14" s="23">
        <v>8061</v>
      </c>
      <c r="F14" s="15">
        <v>106071</v>
      </c>
      <c r="G14" s="15">
        <v>725611</v>
      </c>
      <c r="H14" s="15">
        <v>893594</v>
      </c>
      <c r="I14" s="17"/>
      <c r="J14" s="15">
        <v>9962</v>
      </c>
      <c r="K14" s="15">
        <v>-7106</v>
      </c>
      <c r="L14" s="15">
        <v>837.34325</v>
      </c>
      <c r="M14" s="15">
        <v>-2171.06725</v>
      </c>
      <c r="N14" s="15">
        <f>SUM(C11:C14)/4</f>
        <v>20721.25</v>
      </c>
      <c r="O14" s="23"/>
      <c r="P14" s="16">
        <f>C14/C13-1</f>
        <v>0.0353378797272164</v>
      </c>
      <c r="Q14" s="16">
        <f>(E14+D14)/C14</f>
        <v>0.441870105941962</v>
      </c>
      <c r="R14" s="16">
        <f>AVERAGE(Q11:Q14)</f>
        <v>0.417734826678009</v>
      </c>
      <c r="S14" s="17"/>
      <c r="T14" s="15">
        <f>SUM(J11:K14)/4</f>
        <v>2890.75</v>
      </c>
      <c r="U14" s="17"/>
      <c r="V14" s="15">
        <f>-(L14+M14)+V13</f>
        <v>17463.83075</v>
      </c>
      <c r="W14" s="17"/>
      <c r="X14" s="15">
        <f>F14-G14</f>
        <v>-619540</v>
      </c>
      <c r="Y14" s="24"/>
      <c r="Z14" s="15">
        <v>6070</v>
      </c>
      <c r="AA14" s="24"/>
      <c r="AB14" s="15">
        <v>14.195</v>
      </c>
    </row>
    <row r="15" ht="20.05" customHeight="1">
      <c r="B15" s="13"/>
      <c r="C15" s="38">
        <v>22355.7</v>
      </c>
      <c r="D15" s="23">
        <v>1679</v>
      </c>
      <c r="E15" s="23">
        <v>7646.9</v>
      </c>
      <c r="F15" s="15">
        <v>115099.8</v>
      </c>
      <c r="G15" s="15">
        <v>744846</v>
      </c>
      <c r="H15" s="15">
        <v>918989</v>
      </c>
      <c r="I15" s="17"/>
      <c r="J15" s="15">
        <v>27831</v>
      </c>
      <c r="K15" s="15">
        <v>-17245.4</v>
      </c>
      <c r="L15" s="15">
        <v>837.34325</v>
      </c>
      <c r="M15" s="15">
        <v>-2171.06725</v>
      </c>
      <c r="N15" s="15">
        <f>SUM(C12:C15)/4</f>
        <v>21245.675</v>
      </c>
      <c r="O15" s="15"/>
      <c r="P15" s="16">
        <f>C15/C14-1</f>
        <v>0.0297420543528328</v>
      </c>
      <c r="Q15" s="16">
        <f>(E15+D15)/C15</f>
        <v>0.417159829484203</v>
      </c>
      <c r="R15" s="16">
        <f>AVERAGE(Q12:Q15)</f>
        <v>0.413178896004831</v>
      </c>
      <c r="S15" s="17"/>
      <c r="T15" s="15">
        <f>SUM(J12:K15)/4</f>
        <v>4302.4</v>
      </c>
      <c r="U15" s="17"/>
      <c r="V15" s="15">
        <f>-(L15+M15)+V14</f>
        <v>18797.55475</v>
      </c>
      <c r="W15" s="17"/>
      <c r="X15" s="15">
        <f>F15-G15</f>
        <v>-629746.2</v>
      </c>
      <c r="Y15" s="24"/>
      <c r="Z15" s="15">
        <v>6571.3984376</v>
      </c>
      <c r="AA15" s="24"/>
      <c r="AB15" s="15">
        <v>13.882</v>
      </c>
    </row>
    <row r="16" ht="20.05" customHeight="1">
      <c r="B16" s="21">
        <v>2020</v>
      </c>
      <c r="C16" s="38">
        <v>22724</v>
      </c>
      <c r="D16" s="23">
        <v>2782</v>
      </c>
      <c r="E16" s="23">
        <v>6582</v>
      </c>
      <c r="F16" s="15">
        <v>110078.8</v>
      </c>
      <c r="G16" s="15">
        <v>801220</v>
      </c>
      <c r="H16" s="15">
        <v>972930</v>
      </c>
      <c r="I16" s="17"/>
      <c r="J16" s="15">
        <v>20635</v>
      </c>
      <c r="K16" s="15">
        <v>-29461</v>
      </c>
      <c r="L16" s="15">
        <v>-968</v>
      </c>
      <c r="M16" s="15">
        <v>0</v>
      </c>
      <c r="N16" s="15">
        <f>SUM(C13:C16)/4</f>
        <v>21939.675</v>
      </c>
      <c r="O16" s="15">
        <v>22352.410972374</v>
      </c>
      <c r="P16" s="16">
        <f>C16/C15-1</f>
        <v>0.0164745456416037</v>
      </c>
      <c r="Q16" s="16">
        <f>(E16+D16)/C16</f>
        <v>0.412075338848794</v>
      </c>
      <c r="R16" s="16">
        <f>AVERAGE(Q13:Q16)</f>
        <v>0.421977758790019</v>
      </c>
      <c r="S16" s="17"/>
      <c r="T16" s="15">
        <f>SUM(J13:K16)/4</f>
        <v>3625.15</v>
      </c>
      <c r="U16" s="17"/>
      <c r="V16" s="15">
        <f>-(L16+M16)+V15</f>
        <v>19765.55475</v>
      </c>
      <c r="W16" s="17"/>
      <c r="X16" s="15">
        <f>F16-G16</f>
        <v>-691141.2</v>
      </c>
      <c r="Y16" s="24"/>
      <c r="Z16" s="15">
        <v>5431.1109376</v>
      </c>
      <c r="AA16" s="24"/>
      <c r="AB16" s="15">
        <v>16.31</v>
      </c>
    </row>
    <row r="17" ht="20.05" customHeight="1">
      <c r="B17" s="13"/>
      <c r="C17" s="38">
        <v>20924</v>
      </c>
      <c r="D17" s="23">
        <v>4954</v>
      </c>
      <c r="E17" s="23">
        <v>5663</v>
      </c>
      <c r="F17" s="15">
        <v>93204.8</v>
      </c>
      <c r="G17" s="15">
        <v>805802</v>
      </c>
      <c r="H17" s="15">
        <v>975076</v>
      </c>
      <c r="I17" s="17"/>
      <c r="J17" s="15">
        <v>16973</v>
      </c>
      <c r="K17" s="15">
        <v>-16690</v>
      </c>
      <c r="L17" s="15">
        <v>-1052</v>
      </c>
      <c r="M17" s="15">
        <v>-11218</v>
      </c>
      <c r="N17" s="15">
        <f>SUM(C14:C17)/4</f>
        <v>21928.425</v>
      </c>
      <c r="O17" s="15">
        <v>22627.767314916</v>
      </c>
      <c r="P17" s="16">
        <f>C17/C16-1</f>
        <v>-0.07921140644252769</v>
      </c>
      <c r="Q17" s="16">
        <f>(E17+D17)/C17</f>
        <v>0.50740776142229</v>
      </c>
      <c r="R17" s="16">
        <f>AVERAGE(Q14:Q17)</f>
        <v>0.444628258924312</v>
      </c>
      <c r="S17" s="17"/>
      <c r="T17" s="15">
        <f>SUM(J14:K17)/4</f>
        <v>1224.65</v>
      </c>
      <c r="U17" s="17"/>
      <c r="V17" s="15">
        <f>-(L17+M17)+V16</f>
        <v>32035.55475</v>
      </c>
      <c r="W17" s="17"/>
      <c r="X17" s="15">
        <f>F17-G17</f>
        <v>-712597.2</v>
      </c>
      <c r="Y17" s="24"/>
      <c r="Z17" s="15">
        <v>5695</v>
      </c>
      <c r="AA17" s="24"/>
      <c r="AB17" s="15">
        <v>14.255</v>
      </c>
    </row>
    <row r="18" ht="20.05" customHeight="1">
      <c r="B18" s="13"/>
      <c r="C18" s="38">
        <v>21110</v>
      </c>
      <c r="D18" s="23">
        <v>3255</v>
      </c>
      <c r="E18" s="23">
        <v>7800</v>
      </c>
      <c r="F18" s="15">
        <v>94213.8</v>
      </c>
      <c r="G18" s="15">
        <v>824499</v>
      </c>
      <c r="H18" s="15">
        <v>1003638</v>
      </c>
      <c r="I18" s="17"/>
      <c r="J18" s="15">
        <v>-10480</v>
      </c>
      <c r="K18" s="15">
        <v>11383</v>
      </c>
      <c r="L18" s="15">
        <v>81</v>
      </c>
      <c r="M18" s="15">
        <v>0</v>
      </c>
      <c r="N18" s="15">
        <f>SUM(C15:C18)/4</f>
        <v>21778.425</v>
      </c>
      <c r="O18" s="15">
        <v>22512.5017708063</v>
      </c>
      <c r="P18" s="16">
        <f>C18/C17-1</f>
        <v>0.008889313706748231</v>
      </c>
      <c r="Q18" s="16">
        <f>(E18+D18)/C18</f>
        <v>0.523685457129323</v>
      </c>
      <c r="R18" s="16">
        <f>AVERAGE(Q15:Q18)</f>
        <v>0.465082096721153</v>
      </c>
      <c r="S18" s="17"/>
      <c r="T18" s="15">
        <f>SUM(J15:K18)/4</f>
        <v>736.4</v>
      </c>
      <c r="U18" s="17"/>
      <c r="V18" s="15">
        <f>-(L18+M18)+V17</f>
        <v>31954.55475</v>
      </c>
      <c r="W18" s="17"/>
      <c r="X18" s="15">
        <f>F18-G18</f>
        <v>-730285.2</v>
      </c>
      <c r="Y18" s="24"/>
      <c r="Z18" s="15">
        <v>5403.63125</v>
      </c>
      <c r="AA18" s="24"/>
      <c r="AB18" s="15">
        <v>14.79</v>
      </c>
    </row>
    <row r="19" ht="20.05" customHeight="1">
      <c r="B19" s="13"/>
      <c r="C19" s="38">
        <v>21649</v>
      </c>
      <c r="D19" s="23">
        <v>3182</v>
      </c>
      <c r="E19" s="23">
        <v>7102</v>
      </c>
      <c r="F19" s="15">
        <v>106427.8</v>
      </c>
      <c r="G19" s="15">
        <v>890856</v>
      </c>
      <c r="H19" s="15">
        <v>1075570</v>
      </c>
      <c r="I19" s="17"/>
      <c r="J19" s="15">
        <v>23851</v>
      </c>
      <c r="K19" s="15">
        <v>-9350</v>
      </c>
      <c r="L19" s="15">
        <v>156</v>
      </c>
      <c r="M19" s="15">
        <v>-2416</v>
      </c>
      <c r="N19" s="15">
        <f>SUM(C16:C19)/4</f>
        <v>21601.75</v>
      </c>
      <c r="O19" s="15">
        <v>22951.8702046861</v>
      </c>
      <c r="P19" s="16">
        <f>C19/C18-1</f>
        <v>0.0255329227854098</v>
      </c>
      <c r="Q19" s="16">
        <f>(E19+D19)/C19</f>
        <v>0.47503348884475</v>
      </c>
      <c r="R19" s="16">
        <f>AVERAGE(Q16:Q19)</f>
        <v>0.479550511561289</v>
      </c>
      <c r="S19" s="17"/>
      <c r="T19" s="15">
        <f>SUM(J16:K19)/4</f>
        <v>1715.25</v>
      </c>
      <c r="U19" s="17"/>
      <c r="V19" s="15">
        <f>-(L19+M19)+V18</f>
        <v>34214.55475</v>
      </c>
      <c r="W19" s="17"/>
      <c r="X19" s="15">
        <f>F19-G19</f>
        <v>-784428.2</v>
      </c>
      <c r="Y19" s="24"/>
      <c r="Z19" s="15">
        <v>6770</v>
      </c>
      <c r="AA19" s="24"/>
      <c r="AB19" s="15">
        <v>14.1</v>
      </c>
    </row>
    <row r="20" ht="20.05" customHeight="1">
      <c r="B20" s="21">
        <v>2021</v>
      </c>
      <c r="C20" s="14">
        <v>21676.1</v>
      </c>
      <c r="D20" s="15">
        <v>3824.4</v>
      </c>
      <c r="E20" s="15">
        <v>6585</v>
      </c>
      <c r="F20" s="15">
        <v>83585.899999999994</v>
      </c>
      <c r="G20" s="15">
        <v>911548</v>
      </c>
      <c r="H20" s="15">
        <v>1090382</v>
      </c>
      <c r="I20" s="17"/>
      <c r="J20" s="15">
        <v>-10432.9</v>
      </c>
      <c r="K20" s="15">
        <v>-11415.5</v>
      </c>
      <c r="L20" s="15">
        <v>-1162</v>
      </c>
      <c r="M20" s="15">
        <v>0</v>
      </c>
      <c r="N20" s="15">
        <f>SUM(C17:C20)/4</f>
        <v>21339.775</v>
      </c>
      <c r="O20" s="15">
        <v>22832.2147184991</v>
      </c>
      <c r="P20" s="16">
        <f>C20/C19-1</f>
        <v>0.00125178992101252</v>
      </c>
      <c r="Q20" s="16">
        <f>(E20+D20)/C20</f>
        <v>0.480224763679813</v>
      </c>
      <c r="R20" s="16">
        <f>AVERAGE(Q17:Q20)</f>
        <v>0.496587867769044</v>
      </c>
      <c r="S20" s="17"/>
      <c r="T20" s="15">
        <f>SUM(J17:K20)/4</f>
        <v>-1540.35</v>
      </c>
      <c r="U20" s="17"/>
      <c r="V20" s="15">
        <f>-(L20+M20)+V19</f>
        <v>35376.55475</v>
      </c>
      <c r="W20" s="17"/>
      <c r="X20" s="15">
        <f>F20-G20</f>
        <v>-827962.1</v>
      </c>
      <c r="Y20" s="15"/>
      <c r="Z20" s="15">
        <v>6129.0839844</v>
      </c>
      <c r="AA20" s="15"/>
      <c r="AB20" s="15">
        <v>14.606</v>
      </c>
    </row>
    <row r="21" ht="20.05" customHeight="1">
      <c r="B21" s="13"/>
      <c r="C21" s="14">
        <v>21585.9</v>
      </c>
      <c r="D21" s="15">
        <v>3862.6</v>
      </c>
      <c r="E21" s="15">
        <v>7222</v>
      </c>
      <c r="F21" s="15">
        <v>157688.8</v>
      </c>
      <c r="G21" s="15">
        <v>942001</v>
      </c>
      <c r="H21" s="15">
        <v>1129497</v>
      </c>
      <c r="I21" s="17"/>
      <c r="J21" s="15">
        <v>91560.899999999994</v>
      </c>
      <c r="K21" s="15">
        <v>-6795.5</v>
      </c>
      <c r="L21" s="15">
        <v>115</v>
      </c>
      <c r="M21" s="15">
        <v>-10651</v>
      </c>
      <c r="N21" s="15">
        <f>SUM(C18:C21)/4</f>
        <v>21505.25</v>
      </c>
      <c r="O21" s="15">
        <v>22740.0947184991</v>
      </c>
      <c r="P21" s="16">
        <f>C21/C20-1</f>
        <v>-0.00416126517224039</v>
      </c>
      <c r="Q21" s="16">
        <f>(E21+D21)/C21</f>
        <v>0.513511134583223</v>
      </c>
      <c r="R21" s="16">
        <f>AVERAGE(Q18:Q21)</f>
        <v>0.498113711059277</v>
      </c>
      <c r="S21" s="17"/>
      <c r="T21" s="15">
        <f>SUM(J18:K21)/4</f>
        <v>19580.25</v>
      </c>
      <c r="U21" s="17"/>
      <c r="V21" s="15">
        <f>-(L21+M21)+V20</f>
        <v>45912.55475</v>
      </c>
      <c r="W21" s="17"/>
      <c r="X21" s="15">
        <f>F21-G21</f>
        <v>-784312.2</v>
      </c>
      <c r="Y21" s="15"/>
      <c r="Z21" s="15">
        <v>6025</v>
      </c>
      <c r="AA21" s="15"/>
      <c r="AB21" s="15">
        <v>14.45</v>
      </c>
    </row>
    <row r="22" ht="20.05" customHeight="1">
      <c r="B22" s="13"/>
      <c r="C22" s="14">
        <v>21945.8</v>
      </c>
      <c r="D22" s="15">
        <v>1730.4</v>
      </c>
      <c r="E22" s="15">
        <v>9404.700000000001</v>
      </c>
      <c r="F22" s="15">
        <v>169673.8</v>
      </c>
      <c r="G22" s="15">
        <v>971349</v>
      </c>
      <c r="H22" s="15">
        <v>1169296</v>
      </c>
      <c r="I22" s="17"/>
      <c r="J22" s="15">
        <v>26093.1</v>
      </c>
      <c r="K22" s="15">
        <v>-14477.1</v>
      </c>
      <c r="L22" s="15">
        <v>368</v>
      </c>
      <c r="M22" s="15">
        <v>0</v>
      </c>
      <c r="N22" s="15">
        <f>SUM(C19:C22)/4</f>
        <v>21714.2</v>
      </c>
      <c r="O22" s="15">
        <v>22648.9184338799</v>
      </c>
      <c r="P22" s="16">
        <f>C22/C21-1</f>
        <v>0.0166729207491928</v>
      </c>
      <c r="Q22" s="16">
        <f>(E22+D22)/C22</f>
        <v>0.507390935851051</v>
      </c>
      <c r="R22" s="16">
        <f>AVERAGE(Q19:Q22)</f>
        <v>0.494040080739709</v>
      </c>
      <c r="S22" s="17"/>
      <c r="T22" s="15">
        <f>SUM(J19:K22)/4</f>
        <v>22258.5</v>
      </c>
      <c r="U22" s="17"/>
      <c r="V22" s="15">
        <f>-(L22+M22)+V21</f>
        <v>45544.55475</v>
      </c>
      <c r="W22" s="17"/>
      <c r="X22" s="15">
        <f>F22-G22</f>
        <v>-801675.2</v>
      </c>
      <c r="Y22" s="15"/>
      <c r="Z22" s="15">
        <v>7000</v>
      </c>
      <c r="AA22" s="15"/>
      <c r="AB22" s="15">
        <v>14.328</v>
      </c>
    </row>
    <row r="23" ht="20.05" customHeight="1">
      <c r="B23" s="13"/>
      <c r="C23" s="14">
        <v>22757.2</v>
      </c>
      <c r="D23" s="15">
        <v>2222.6</v>
      </c>
      <c r="E23" s="15">
        <v>8228.5</v>
      </c>
      <c r="F23" s="15">
        <v>177268</v>
      </c>
      <c r="G23" s="15">
        <v>1025496</v>
      </c>
      <c r="H23" s="15">
        <v>1228345</v>
      </c>
      <c r="I23" s="17"/>
      <c r="J23" s="15">
        <v>18965.2</v>
      </c>
      <c r="K23" s="15">
        <v>-8559.799999999999</v>
      </c>
      <c r="L23" s="15">
        <v>236</v>
      </c>
      <c r="M23" s="15">
        <v>-3082</v>
      </c>
      <c r="N23" s="15">
        <f>SUM(C20:C23)/4</f>
        <v>21991.25</v>
      </c>
      <c r="O23" s="15">
        <v>22379.408</v>
      </c>
      <c r="P23" s="16">
        <f>C23/C22-1</f>
        <v>0.0369729059774535</v>
      </c>
      <c r="Q23" s="16">
        <f>(E23+D23)/C23</f>
        <v>0.459243667938059</v>
      </c>
      <c r="R23" s="16">
        <f>AVERAGE(Q20:Q23)</f>
        <v>0.490092625513037</v>
      </c>
      <c r="S23" s="17"/>
      <c r="T23" s="15">
        <f>SUM(J20:K23)/4</f>
        <v>21234.6</v>
      </c>
      <c r="U23" s="17"/>
      <c r="V23" s="15">
        <f>-(L23+M23)+V22</f>
        <v>48390.55475</v>
      </c>
      <c r="W23" s="17"/>
      <c r="X23" s="15">
        <f>F23-G23</f>
        <v>-848228</v>
      </c>
      <c r="Y23" s="15"/>
      <c r="Z23" s="15">
        <v>7350</v>
      </c>
      <c r="AA23" s="15">
        <v>9238.551136712051</v>
      </c>
      <c r="AB23" s="15">
        <v>14.275</v>
      </c>
    </row>
    <row r="24" ht="20.05" customHeight="1">
      <c r="B24" s="21">
        <v>2022</v>
      </c>
      <c r="C24" s="14">
        <v>22529.4</v>
      </c>
      <c r="D24" s="15">
        <v>3394</v>
      </c>
      <c r="E24" s="15">
        <v>8067.7</v>
      </c>
      <c r="F24" s="15">
        <v>157291.3</v>
      </c>
      <c r="G24" s="15">
        <v>1064607</v>
      </c>
      <c r="H24" s="15">
        <v>1259435</v>
      </c>
      <c r="I24" s="17"/>
      <c r="J24" s="15">
        <v>-19257.4</v>
      </c>
      <c r="K24" s="15">
        <v>-661.7</v>
      </c>
      <c r="L24" s="15">
        <v>-57.6</v>
      </c>
      <c r="M24" s="15">
        <v>0</v>
      </c>
      <c r="N24" s="15">
        <f>SUM(C21:C24)/4</f>
        <v>22204.575</v>
      </c>
      <c r="O24" s="15">
        <v>22491.315</v>
      </c>
      <c r="P24" s="16">
        <f>C24/C23-1</f>
        <v>-0.0100100188072346</v>
      </c>
      <c r="Q24" s="16">
        <f>(E24+D24)/C24</f>
        <v>0.508744129892496</v>
      </c>
      <c r="R24" s="16">
        <f>AVERAGE(Q21:Q24)</f>
        <v>0.497222467066207</v>
      </c>
      <c r="S24" s="35"/>
      <c r="T24" s="15">
        <f>SUM(J21:K24)/4</f>
        <v>21716.925</v>
      </c>
      <c r="U24" s="15"/>
      <c r="V24" s="15">
        <f>-(L24+M24)+V23</f>
        <v>48448.15475</v>
      </c>
      <c r="W24" s="15"/>
      <c r="X24" s="15">
        <f>F24-G24</f>
        <v>-907315.7</v>
      </c>
      <c r="Y24" s="15"/>
      <c r="Z24" s="15">
        <v>7975</v>
      </c>
      <c r="AA24" s="15">
        <v>9188.737776665101</v>
      </c>
      <c r="AB24" s="15">
        <v>14.327</v>
      </c>
    </row>
    <row r="25" ht="20.05" customHeight="1">
      <c r="B25" s="13"/>
      <c r="C25" s="14">
        <v>22636.3</v>
      </c>
      <c r="D25" s="15">
        <v>1533.4</v>
      </c>
      <c r="E25" s="15">
        <v>9988.700000000001</v>
      </c>
      <c r="F25" s="15">
        <v>226616.5</v>
      </c>
      <c r="G25" s="15">
        <v>1061339</v>
      </c>
      <c r="H25" s="15">
        <v>1264468</v>
      </c>
      <c r="I25" s="17"/>
      <c r="J25" s="15">
        <v>93351.8</v>
      </c>
      <c r="K25" s="15">
        <v>-9001.4</v>
      </c>
      <c r="L25" s="15">
        <v>-232.2</v>
      </c>
      <c r="M25" s="15">
        <v>-14793</v>
      </c>
      <c r="N25" s="15">
        <f>SUM(C22:C25)/4</f>
        <v>22467.175</v>
      </c>
      <c r="O25" s="15">
        <v>22533.812</v>
      </c>
      <c r="P25" s="16">
        <f>C25/C24-1</f>
        <v>0.00474491109394835</v>
      </c>
      <c r="Q25" s="16">
        <f>(E25+D25)/C25</f>
        <v>0.509009864686367</v>
      </c>
      <c r="R25" s="16">
        <f>AVERAGE(Q22:Q25)</f>
        <v>0.496097149591993</v>
      </c>
      <c r="S25" s="35"/>
      <c r="T25" s="15">
        <f>SUM(J22:K25)/4</f>
        <v>21613.175</v>
      </c>
      <c r="U25" s="15">
        <v>11554.4148998606</v>
      </c>
      <c r="V25" s="15">
        <f>-(L25+M25)+V24</f>
        <v>63473.35475</v>
      </c>
      <c r="W25" s="15"/>
      <c r="X25" s="15">
        <f>F25-G25</f>
        <v>-834722.5</v>
      </c>
      <c r="Y25" s="15"/>
      <c r="Z25" s="15">
        <v>7250</v>
      </c>
      <c r="AA25" s="15">
        <v>9366.012460459229</v>
      </c>
      <c r="AB25" s="15">
        <v>14.66</v>
      </c>
    </row>
    <row r="26" ht="20.05" customHeight="1">
      <c r="B26" s="13"/>
      <c r="C26" s="14">
        <v>23640.3</v>
      </c>
      <c r="D26" s="15">
        <v>880.6</v>
      </c>
      <c r="E26" s="15">
        <v>10913.6</v>
      </c>
      <c r="F26" s="15">
        <v>153874</v>
      </c>
      <c r="G26" s="15">
        <v>1071270</v>
      </c>
      <c r="H26" s="15">
        <v>1288723</v>
      </c>
      <c r="I26" s="17"/>
      <c r="J26" s="15">
        <v>-56152.4</v>
      </c>
      <c r="K26" s="15">
        <v>-17424.9</v>
      </c>
      <c r="L26" s="15">
        <v>388.8</v>
      </c>
      <c r="M26" s="15">
        <v>0</v>
      </c>
      <c r="N26" s="15">
        <f>SUM(C23:C26)/4</f>
        <v>22890.8</v>
      </c>
      <c r="O26" s="15">
        <v>22860.3005289585</v>
      </c>
      <c r="P26" s="16">
        <f>C26/C25-1</f>
        <v>0.0443535383432805</v>
      </c>
      <c r="Q26" s="16">
        <f>(E26+D26)/C26</f>
        <v>0.498902298194185</v>
      </c>
      <c r="R26" s="16">
        <f>AVERAGE(Q23:Q26)</f>
        <v>0.493974990177777</v>
      </c>
      <c r="S26" s="35">
        <f>S27</f>
        <v>0.493974990177777</v>
      </c>
      <c r="T26" s="15">
        <f>SUM(J23:K26)/4</f>
        <v>314.85</v>
      </c>
      <c r="U26" s="15">
        <v>11180.6564445348</v>
      </c>
      <c r="V26" s="15">
        <f>-(L26+M26)+V25</f>
        <v>63084.55475</v>
      </c>
      <c r="W26" s="15">
        <f>W27</f>
        <v>110149.512548583</v>
      </c>
      <c r="X26" s="15">
        <f>F26-G26</f>
        <v>-917396</v>
      </c>
      <c r="Y26" s="15"/>
      <c r="Z26" s="26">
        <v>8550</v>
      </c>
      <c r="AA26" s="15">
        <v>9165.601719191360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25159.0458965805</v>
      </c>
      <c r="P27" s="17"/>
      <c r="Q27" s="17"/>
      <c r="R27" s="17"/>
      <c r="S27" s="35">
        <f>AE53</f>
        <v>0.493974990177777</v>
      </c>
      <c r="T27" s="17"/>
      <c r="U27" s="15">
        <f>SUM(AE55:AH55)/4</f>
        <v>11766.2394496456</v>
      </c>
      <c r="V27" s="17"/>
      <c r="W27" s="15">
        <f>-SUM(AE76:AH76)+V26</f>
        <v>110149.512548583</v>
      </c>
      <c r="X27" s="17"/>
      <c r="Y27" s="15">
        <f>AH75</f>
        <v>-891314.921100709</v>
      </c>
      <c r="Z27" s="15">
        <v>8050</v>
      </c>
      <c r="AA27" s="15">
        <v>9069.686539120990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241361.3</v>
      </c>
      <c r="O28" s="15">
        <f>SUM(O16:O26)</f>
        <v>248930.613662619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9544.708393831521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278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0.0190153341518619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v>0.04</v>
      </c>
      <c r="AF50" s="35">
        <v>-0.01</v>
      </c>
      <c r="AG50" s="35">
        <v>0.03</v>
      </c>
      <c r="AH50" s="35">
        <v>0.03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-0.03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23640.3</v>
      </c>
      <c r="AE52" s="23">
        <f>C26*(1+AE51)</f>
        <v>25295.121</v>
      </c>
      <c r="AF52" s="23">
        <f>AE52*(1+AF51)</f>
        <v>24536.26737</v>
      </c>
      <c r="AG52" s="23">
        <f>AF52*(1+AG51)</f>
        <v>25026.9927174</v>
      </c>
      <c r="AH52" s="23">
        <f>AG52*(1+AH51)</f>
        <v>25777.802498922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0.493974990177777</v>
      </c>
      <c r="AF53" s="35">
        <f>AE53</f>
        <v>0.493974990177777</v>
      </c>
      <c r="AG53" s="35">
        <f>AF53</f>
        <v>0.493974990177777</v>
      </c>
      <c r="AH53" s="35">
        <f>AG53</f>
        <v>0.493974990177777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AVERAGE(K24)</f>
        <v>-661.7</v>
      </c>
      <c r="AF54" s="15">
        <f>AE54</f>
        <v>-661.7</v>
      </c>
      <c r="AG54" s="15">
        <f>AF54</f>
        <v>-661.7</v>
      </c>
      <c r="AH54" s="15">
        <f>AG54</f>
        <v>-661.7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11833.4571475207</v>
      </c>
      <c r="AF55" s="15">
        <f>(AF52*AF53)+AF54</f>
        <v>11458.6024330951</v>
      </c>
      <c r="AG55" s="15">
        <f>(AG52*AG53)+AG54</f>
        <v>11701.008481757</v>
      </c>
      <c r="AH55" s="15">
        <f>(AH52*AH53)+AH54</f>
        <v>12071.8897362097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-53563.5</v>
      </c>
      <c r="AF56" s="15">
        <f>-AE71/20</f>
        <v>-50885.325</v>
      </c>
      <c r="AG56" s="15">
        <f>-AF71/20</f>
        <v>-48341.05875</v>
      </c>
      <c r="AH56" s="15">
        <f>-AG71/20</f>
        <v>-45924.0058125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-5279.578573760350</v>
      </c>
      <c r="AF58" s="15">
        <f>IF(AF66&gt;0,AF66*$AE$57,0)</f>
        <v>-5092.151216547550</v>
      </c>
      <c r="AG58" s="15">
        <f>IF(AG66&gt;0,AG66*$AE$57,0)</f>
        <v>-5213.3542408785</v>
      </c>
      <c r="AH58" s="15">
        <f>IF(AH66&gt;0,AH66*$AE$57,0)</f>
        <v>-5398.794868104850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-47009.6214262397</v>
      </c>
      <c r="AF59" s="15">
        <f>AF55+AF56+AF58</f>
        <v>-44518.8737834525</v>
      </c>
      <c r="AG59" s="15">
        <f>AG55+AG56+AG58</f>
        <v>-41853.4045091215</v>
      </c>
      <c r="AH59" s="15">
        <f>AH55+AH56+AH58</f>
        <v>-39250.9109443952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47009.6214262397</v>
      </c>
      <c r="AF60" s="15">
        <f>-MIN(AE72,AF59)</f>
        <v>44518.8737834525</v>
      </c>
      <c r="AG60" s="15">
        <f>-MIN(AF72,AG59)</f>
        <v>41853.4045091215</v>
      </c>
      <c r="AH60" s="15">
        <f>-MIN(AG72,AH59)</f>
        <v>39250.9109443952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153874</v>
      </c>
      <c r="AF61" s="15">
        <f>AE63</f>
        <v>153874</v>
      </c>
      <c r="AG61" s="15">
        <f>AF63</f>
        <v>153874</v>
      </c>
      <c r="AH61" s="15">
        <f>AG63</f>
        <v>153874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5e-11</v>
      </c>
      <c r="AF62" s="15">
        <f>AF55+AF56+AF58+AF60</f>
        <v>5e-11</v>
      </c>
      <c r="AG62" s="15">
        <f>AG55+AG56+AG58+AG60</f>
        <v>0</v>
      </c>
      <c r="AH62" s="15">
        <f>AH55+AH56+AH58+AH60</f>
        <v>5e-11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153874</v>
      </c>
      <c r="AF63" s="15">
        <f>AF61+AF62</f>
        <v>153874</v>
      </c>
      <c r="AG63" s="15">
        <f>AG61+AG62</f>
        <v>153874</v>
      </c>
      <c r="AH63" s="15">
        <f>AH61+AH62</f>
        <v>153874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-1936</v>
      </c>
      <c r="AF65" s="15">
        <f>AE65</f>
        <v>-1936</v>
      </c>
      <c r="AG65" s="15">
        <f>AF65</f>
        <v>-1936</v>
      </c>
      <c r="AH65" s="15">
        <f>AG65</f>
        <v>-1936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10559.1571475207</v>
      </c>
      <c r="AF66" s="15">
        <f>(AF52*AF53)+AF65</f>
        <v>10184.3024330951</v>
      </c>
      <c r="AG66" s="15">
        <f>(AG52*AG53)+AG65</f>
        <v>10426.708481757</v>
      </c>
      <c r="AH66" s="15">
        <f>(AH52*AH53)+AH65</f>
        <v>10797.5897362097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1135510.7</v>
      </c>
      <c r="AF68" s="15">
        <f>AE68-AF54</f>
        <v>1136172.4</v>
      </c>
      <c r="AG68" s="15">
        <f>AF68-AG54</f>
        <v>1136834.1</v>
      </c>
      <c r="AH68" s="15">
        <f>AG68-AH54</f>
        <v>1137495.8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1936</v>
      </c>
      <c r="AF69" s="15">
        <f>AE69-AF65</f>
        <v>3872</v>
      </c>
      <c r="AG69" s="15">
        <f>AF69-AG65</f>
        <v>5808</v>
      </c>
      <c r="AH69" s="15">
        <f>AG69-AH65</f>
        <v>7744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1133574.7</v>
      </c>
      <c r="AF70" s="15">
        <f>AF68-AF69</f>
        <v>1132300.4</v>
      </c>
      <c r="AG70" s="15">
        <f>AG68-AG69</f>
        <v>1131026.1</v>
      </c>
      <c r="AH70" s="15">
        <f>AH68-AH69</f>
        <v>1129751.8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1017706.5</v>
      </c>
      <c r="AF71" s="15">
        <f>AE71+AF56</f>
        <v>966821.175</v>
      </c>
      <c r="AG71" s="15">
        <f>AF71+AG56</f>
        <v>918480.11625</v>
      </c>
      <c r="AH71" s="15">
        <f>AG71+AH56</f>
        <v>872556.1104375001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47009.6214262397</v>
      </c>
      <c r="AF72" s="15">
        <f>AE72+AF60</f>
        <v>91528.495209692206</v>
      </c>
      <c r="AG72" s="15">
        <f>AF72+AG60</f>
        <v>133381.899718814</v>
      </c>
      <c r="AH72" s="15">
        <f>AG72+AH60</f>
        <v>172632.810663209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222732.57857376</v>
      </c>
      <c r="AF73" s="15">
        <f>AE73+AF66+AF58</f>
        <v>227824.729790308</v>
      </c>
      <c r="AG73" s="15">
        <f>AF73+AG66+AG58</f>
        <v>233038.084031187</v>
      </c>
      <c r="AH73" s="15">
        <f>AG73+AH66+AH58</f>
        <v>238436.878899292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-3e-10</v>
      </c>
      <c r="AF74" s="15">
        <f>AF71+AF72+AF73-AF63-AF70</f>
        <v>2e-10</v>
      </c>
      <c r="AG74" s="15">
        <f>AG71+AG72+AG73-AG63-AG70</f>
        <v>1e-09</v>
      </c>
      <c r="AH74" s="15">
        <f>AH71+AH72+AH73-AH63-AH70</f>
        <v>1e-09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-910842.12142624</v>
      </c>
      <c r="AF75" s="15">
        <f>AF63-AF71-AF72</f>
        <v>-904475.670209692</v>
      </c>
      <c r="AG75" s="15">
        <f>AG63-AG71-AG72</f>
        <v>-897988.015968814</v>
      </c>
      <c r="AH75" s="15">
        <f>AH63-AH71-AH72</f>
        <v>-891314.921100709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-11833.4571475207</v>
      </c>
      <c r="AF76" s="15">
        <f>AF56+AF58+AF60</f>
        <v>-11458.6024330951</v>
      </c>
      <c r="AG76" s="15">
        <f>AG56+AG58+AG60</f>
        <v>-11701.008481757</v>
      </c>
      <c r="AH76" s="15">
        <f>AH56+AH58+AH60</f>
        <v>-12071.8897362097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487</v>
      </c>
      <c r="AD78" s="14"/>
      <c r="AE78" s="15"/>
      <c r="AF78" s="15"/>
      <c r="AG78" s="15"/>
      <c r="AH78" s="15">
        <v>8050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487</v>
      </c>
      <c r="AD79" s="14"/>
      <c r="AE79" s="15"/>
      <c r="AF79" s="15"/>
      <c r="AG79" s="15"/>
      <c r="AH79" s="15">
        <v>992363764940800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992363.7649408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123.275001856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0.773094281013049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0.0211453497604712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47064.9577985825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24.0040967386998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21.0849815097611</v>
      </c>
      <c r="AH86" s="15">
        <v>25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1176623.94496456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9544.708393831521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0.18567806134553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0.0772129519087935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0.0313609251467364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487</v>
      </c>
      <c r="AF94" t="s" s="44">
        <v>60</v>
      </c>
      <c r="AG94" s="15">
        <f>AH78</f>
        <v>8050</v>
      </c>
      <c r="AH94" t="s" s="44">
        <v>61</v>
      </c>
      <c r="AI94" s="15">
        <f>AH88</f>
        <v>9544.708393831521</v>
      </c>
      <c r="AJ94" t="s" s="44">
        <f>IF(AK94&gt;0,"+","")</f>
        <v>361</v>
      </c>
      <c r="AK94" s="16">
        <f>AI94/AG94-1</f>
        <v>0.18567806134553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0.0772129519087935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0.00126909107778147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0.0176749702273202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-0.924455358418622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0.0443535383432805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0.0166729207491928</v>
      </c>
      <c r="AF103" s="16">
        <f>P23</f>
        <v>0.0369729059774535</v>
      </c>
      <c r="AG103" s="16">
        <f>P24</f>
        <v>-0.0100100188072346</v>
      </c>
      <c r="AH103" s="16">
        <f>P25</f>
        <v>0.00474491109394835</v>
      </c>
      <c r="AI103" s="16">
        <f>P26</f>
        <v>0.0443535383432805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21945.8</v>
      </c>
      <c r="AF104" s="15">
        <f>C23</f>
        <v>22757.2</v>
      </c>
      <c r="AG104" s="15">
        <f>C24</f>
        <v>22529.4</v>
      </c>
      <c r="AH104" s="15">
        <f>C25</f>
        <v>22636.3</v>
      </c>
      <c r="AI104" s="15">
        <f>C26</f>
        <v>23640.3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0.0443535383432805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23640.3</v>
      </c>
      <c r="AM105" t="s" s="44">
        <v>372</v>
      </c>
      <c r="AN105" t="s" s="44">
        <v>378</v>
      </c>
      <c r="AO105" s="16">
        <f>AH91</f>
        <v>0.0313609251467364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0.0190153341518619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25777.802498922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0.507390935851051</v>
      </c>
      <c r="AF110" s="16">
        <f>(D23+E23)/C23</f>
        <v>0.459243667938059</v>
      </c>
      <c r="AG110" s="16">
        <f>((E24+D24)/C24)</f>
        <v>0.508744129892496</v>
      </c>
      <c r="AH110" s="16">
        <f>(D25+E25)/C25</f>
        <v>0.509009864686367</v>
      </c>
      <c r="AI110" s="16">
        <f>(D26+E26)/C26</f>
        <v>0.498902298194185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9404.700000000001</v>
      </c>
      <c r="AF111" s="15">
        <f>E23</f>
        <v>8228.5</v>
      </c>
      <c r="AG111" s="15">
        <f>E24</f>
        <v>8067.7</v>
      </c>
      <c r="AH111" s="15">
        <f>E25</f>
        <v>9988.700000000001</v>
      </c>
      <c r="AI111" s="15">
        <f>E26</f>
        <v>10913.6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0.509009864686367</v>
      </c>
      <c r="AG112" t="s" s="44">
        <v>76</v>
      </c>
      <c r="AH112" s="16">
        <f>AI110</f>
        <v>0.498902298194185</v>
      </c>
      <c r="AI112" t="s" s="44">
        <v>90</v>
      </c>
      <c r="AJ112" s="15">
        <f>AH111</f>
        <v>9988.700000000001</v>
      </c>
      <c r="AK112" t="s" s="44">
        <v>76</v>
      </c>
      <c r="AL112" s="15">
        <f>AI111</f>
        <v>10913.6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0.493974990177777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0.493974990177777</v>
      </c>
      <c r="AG114" t="s" s="44">
        <v>94</v>
      </c>
      <c r="AH114" s="15">
        <f>AH66</f>
        <v>10797.5897362097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26093.1</v>
      </c>
      <c r="AF117" s="15">
        <f>J23</f>
        <v>18965.2</v>
      </c>
      <c r="AG117" s="15">
        <f>J24</f>
        <v>-19257.4</v>
      </c>
      <c r="AH117" s="15">
        <f>J25</f>
        <v>93351.8</v>
      </c>
      <c r="AI117" s="15">
        <f>J26</f>
        <v>-56152.4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-14477.1</v>
      </c>
      <c r="AF118" s="15">
        <f>K23</f>
        <v>-8559.799999999999</v>
      </c>
      <c r="AG118" s="15">
        <f>K24</f>
        <v>-661.7</v>
      </c>
      <c r="AH118" s="15">
        <f>K25</f>
        <v>-9001.4</v>
      </c>
      <c r="AI118" s="15">
        <f>K26</f>
        <v>-17424.9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84350.399999999994</v>
      </c>
      <c r="AG119" t="s" s="44">
        <v>76</v>
      </c>
      <c r="AH119" s="15">
        <f>AI117+AI118</f>
        <v>-73577.3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-17424.9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314.85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-661.7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11766.2394496456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169673.8</v>
      </c>
      <c r="AF124" s="15">
        <f>F23</f>
        <v>177268</v>
      </c>
      <c r="AG124" s="15">
        <f>F24</f>
        <v>157291.3</v>
      </c>
      <c r="AH124" s="15">
        <f>F25</f>
        <v>226616.5</v>
      </c>
      <c r="AI124" s="15">
        <f>F26</f>
        <v>153874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971349</v>
      </c>
      <c r="AF125" s="15">
        <f>G23</f>
        <v>1025496</v>
      </c>
      <c r="AG125" s="15">
        <f>G24</f>
        <v>1064607</v>
      </c>
      <c r="AH125" s="15">
        <f>G25</f>
        <v>1061339</v>
      </c>
      <c r="AI125" s="15">
        <f>G26</f>
        <v>1071270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AH124</f>
        <v>226616.5</v>
      </c>
      <c r="AH126" t="s" s="44">
        <v>76</v>
      </c>
      <c r="AI126" s="15">
        <f>AI124</f>
        <v>153874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1061339</v>
      </c>
      <c r="AH127" t="s" s="44">
        <v>76</v>
      </c>
      <c r="AI127" s="15">
        <f>AI125</f>
        <v>1071270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-834722.5</v>
      </c>
      <c r="AO127" t="s" s="44">
        <v>76</v>
      </c>
      <c r="AP127" s="15">
        <f>AI126-AI127</f>
        <v>-917396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-20983.8788992913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-26081.0788992911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-891314.921100709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-368</v>
      </c>
      <c r="AF131" s="15">
        <f>-L23</f>
        <v>-236</v>
      </c>
      <c r="AG131" s="15">
        <f>-L24</f>
        <v>57.6</v>
      </c>
      <c r="AH131" s="15">
        <f>-L25</f>
        <v>232.2</v>
      </c>
      <c r="AI131" s="15">
        <f>-L26</f>
        <v>-388.8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3082</v>
      </c>
      <c r="AG132" s="15">
        <f>-M24</f>
        <v>0</v>
      </c>
      <c r="AH132" s="15">
        <f>-M25</f>
        <v>14793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487</v>
      </c>
      <c r="AF133" t="s" s="44">
        <f>IF(AG133&gt;0,"paid","(raised)")</f>
        <v>121</v>
      </c>
      <c r="AG133" s="15">
        <f>SUM(AI131:AI132)</f>
        <v>-388.8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-388.8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47064.9577985825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992363.7649408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0.773094281013049</v>
      </c>
      <c r="AK134" t="s" s="44">
        <v>130</v>
      </c>
      <c r="AL134" t="s" s="44">
        <v>131</v>
      </c>
      <c r="AM134" t="s" s="44">
        <v>132</v>
      </c>
      <c r="AN134" s="15">
        <f>AH85</f>
        <v>24.0040967386998</v>
      </c>
      <c r="AO134" t="s" s="44">
        <v>133</v>
      </c>
      <c r="AP134" s="16">
        <f>-AF128/AF134</f>
        <v>0.0211453497604713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47064.9577985825</v>
      </c>
      <c r="AG135" t="s" s="44">
        <f>AG134</f>
        <v>372</v>
      </c>
      <c r="AH135" t="s" s="44">
        <v>136</v>
      </c>
      <c r="AI135" s="15">
        <f>AF134/AF135</f>
        <v>21.0849815097611</v>
      </c>
      <c r="AJ135" t="s" s="44">
        <v>130</v>
      </c>
      <c r="AK135" t="s" s="44">
        <v>137</v>
      </c>
      <c r="AL135" t="s" s="44">
        <v>138</v>
      </c>
      <c r="AM135" s="15">
        <f>AH86</f>
        <v>25</v>
      </c>
      <c r="AN135" t="s" s="44">
        <v>139</v>
      </c>
      <c r="AO135" t="s" s="44">
        <v>140</v>
      </c>
      <c r="AP135" t="s" s="44">
        <v>141</v>
      </c>
      <c r="AQ135" s="16">
        <f>AK94</f>
        <v>0.18567806134553</v>
      </c>
      <c r="AR135" t="s" s="44">
        <f>IF(AQ135&gt;0,"higher","lower")</f>
        <v>363</v>
      </c>
      <c r="AS135" t="s" s="44">
        <v>142</v>
      </c>
      <c r="AT135" s="15">
        <f>AI94</f>
        <v>9544.708393831521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21945.8</v>
      </c>
      <c r="AE137" s="15">
        <f>AF104</f>
        <v>22757.2</v>
      </c>
      <c r="AF137" s="15">
        <f>AG104</f>
        <v>22529.4</v>
      </c>
      <c r="AG137" s="15">
        <f>AH104</f>
        <v>22636.3</v>
      </c>
      <c r="AH137" s="15">
        <f>AI104</f>
        <v>23640.3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11616</v>
      </c>
      <c r="AE138" s="15">
        <f>SUM(AF117:AF118)</f>
        <v>10405.4</v>
      </c>
      <c r="AF138" s="15">
        <f>SUM(AG117:AG118)</f>
        <v>-19919.1</v>
      </c>
      <c r="AG138" s="15">
        <f>SUM(AH117:AH118)</f>
        <v>84350.399999999994</v>
      </c>
      <c r="AH138" s="15">
        <f>SUM(AI117:AI118)</f>
        <v>-73577.3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-368</v>
      </c>
      <c r="AE139" s="15">
        <f>SUM(AF131:AF132)</f>
        <v>2846</v>
      </c>
      <c r="AF139" s="15">
        <f>SUM(AG131:AG132)</f>
        <v>57.6</v>
      </c>
      <c r="AG139" s="15">
        <f>SUM(AH131:AH132)</f>
        <v>15025.2</v>
      </c>
      <c r="AH139" s="15">
        <f>SUM(AI131:AI132)</f>
        <v>-388.8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-801675.2</v>
      </c>
      <c r="AE140" s="15">
        <f>(AF124-AF125)</f>
        <v>-848228</v>
      </c>
      <c r="AF140" s="15">
        <f>(AG124-AG125)</f>
        <v>-907315.7</v>
      </c>
      <c r="AG140" s="15">
        <f>(AH124-AH125)</f>
        <v>-834722.5</v>
      </c>
      <c r="AH140" s="15">
        <f>(AI124-AI125)</f>
        <v>-917396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9544.708393831521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12" customWidth="1"/>
    <col min="2" max="28" width="10.4844" style="112" customWidth="1"/>
    <col min="29" max="29" width="18.9766" style="113" customWidth="1"/>
    <col min="30" max="48" width="9" style="113" customWidth="1"/>
    <col min="49" max="16384" width="16.3516" style="113" customWidth="1"/>
  </cols>
  <sheetData>
    <row r="1" ht="11.65" customHeight="1"/>
    <row r="2" ht="27.65" customHeight="1">
      <c r="B2" t="s" s="2">
        <v>488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323</v>
      </c>
      <c r="AA3" t="s" s="3">
        <v>19</v>
      </c>
      <c r="AB3" t="s" s="3">
        <v>20</v>
      </c>
    </row>
    <row r="4" ht="20.25" customHeight="1">
      <c r="B4" s="6">
        <v>2017</v>
      </c>
      <c r="C4" s="7">
        <v>52.1</v>
      </c>
      <c r="D4" s="8">
        <v>-0.4</v>
      </c>
      <c r="E4" s="8">
        <v>3.3</v>
      </c>
      <c r="F4" s="8">
        <v>328</v>
      </c>
      <c r="G4" s="8">
        <v>1611</v>
      </c>
      <c r="H4" s="8">
        <v>2045</v>
      </c>
      <c r="I4" s="8">
        <v>0</v>
      </c>
      <c r="J4" s="8">
        <v>-85.09999999999999</v>
      </c>
      <c r="K4" s="8">
        <v>-0.3</v>
      </c>
      <c r="L4" s="8">
        <v>0</v>
      </c>
      <c r="M4" s="8">
        <v>50</v>
      </c>
      <c r="N4" s="8"/>
      <c r="O4" s="8"/>
      <c r="P4" s="9"/>
      <c r="Q4" s="9"/>
      <c r="R4" s="9"/>
      <c r="S4" s="9"/>
      <c r="T4" s="9"/>
      <c r="U4" s="9"/>
      <c r="V4" s="8">
        <f>-(L4+M4)</f>
        <v>-50</v>
      </c>
      <c r="W4" s="9"/>
      <c r="X4" s="8">
        <f>F4-G4</f>
        <v>-1283</v>
      </c>
      <c r="Y4" s="9"/>
      <c r="Z4" s="8">
        <v>88</v>
      </c>
      <c r="AA4" s="11"/>
      <c r="AB4" s="12">
        <v>13.3</v>
      </c>
    </row>
    <row r="5" ht="20.05" customHeight="1">
      <c r="B5" s="13"/>
      <c r="C5" s="14">
        <v>56.2</v>
      </c>
      <c r="D5" s="15">
        <v>1.8</v>
      </c>
      <c r="E5" s="15">
        <v>1.9</v>
      </c>
      <c r="F5" s="15">
        <v>467</v>
      </c>
      <c r="G5" s="15">
        <v>1812</v>
      </c>
      <c r="H5" s="15">
        <v>2249</v>
      </c>
      <c r="I5" s="15">
        <v>0</v>
      </c>
      <c r="J5" s="15">
        <v>139</v>
      </c>
      <c r="K5" s="15">
        <v>-0.2</v>
      </c>
      <c r="L5" s="15">
        <v>0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-50</v>
      </c>
      <c r="W5" s="17"/>
      <c r="X5" s="15">
        <f>F5-G5</f>
        <v>-1345</v>
      </c>
      <c r="Y5" s="17"/>
      <c r="Z5" s="15">
        <v>274</v>
      </c>
      <c r="AA5" s="19"/>
      <c r="AB5" s="20">
        <v>13.327</v>
      </c>
    </row>
    <row r="6" ht="20.05" customHeight="1">
      <c r="B6" s="13"/>
      <c r="C6" s="14">
        <v>59.5</v>
      </c>
      <c r="D6" s="15">
        <v>0</v>
      </c>
      <c r="E6" s="15">
        <v>2.4</v>
      </c>
      <c r="F6" s="15">
        <v>329</v>
      </c>
      <c r="G6" s="15">
        <v>1864</v>
      </c>
      <c r="H6" s="15">
        <v>2303</v>
      </c>
      <c r="I6" s="15">
        <v>0</v>
      </c>
      <c r="J6" s="15">
        <v>-137.1</v>
      </c>
      <c r="K6" s="15">
        <v>-0.4</v>
      </c>
      <c r="L6" s="15">
        <v>0</v>
      </c>
      <c r="M6" s="15">
        <v>-0.3</v>
      </c>
      <c r="N6" s="15"/>
      <c r="O6" s="15"/>
      <c r="P6" s="16"/>
      <c r="Q6" s="17"/>
      <c r="R6" s="17"/>
      <c r="S6" s="17"/>
      <c r="T6" s="17"/>
      <c r="U6" s="17"/>
      <c r="V6" s="15">
        <f>-(L6+M6)+V5</f>
        <v>-49.7</v>
      </c>
      <c r="W6" s="17"/>
      <c r="X6" s="15">
        <f>F6-G6</f>
        <v>-1535</v>
      </c>
      <c r="Y6" s="17"/>
      <c r="Z6" s="15">
        <v>153</v>
      </c>
      <c r="AA6" s="19"/>
      <c r="AB6" s="20">
        <v>13.305</v>
      </c>
    </row>
    <row r="7" ht="20.05" customHeight="1">
      <c r="B7" s="13"/>
      <c r="C7" s="14">
        <v>61</v>
      </c>
      <c r="D7" s="15">
        <v>0.4</v>
      </c>
      <c r="E7" s="15">
        <v>2.8</v>
      </c>
      <c r="F7" s="15">
        <v>335</v>
      </c>
      <c r="G7" s="15">
        <v>2018</v>
      </c>
      <c r="H7" s="15">
        <v>2458</v>
      </c>
      <c r="I7" s="15">
        <v>0</v>
      </c>
      <c r="J7" s="15">
        <v>7.3</v>
      </c>
      <c r="K7" s="15">
        <v>-1.5</v>
      </c>
      <c r="L7" s="15">
        <v>0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-49.7</v>
      </c>
      <c r="W7" s="17"/>
      <c r="X7" s="15">
        <f>F7-G7</f>
        <v>-1683</v>
      </c>
      <c r="Y7" s="17"/>
      <c r="Z7" s="15">
        <v>113</v>
      </c>
      <c r="AA7" s="19"/>
      <c r="AB7" s="20">
        <v>13.557</v>
      </c>
    </row>
    <row r="8" ht="20.05" customHeight="1">
      <c r="B8" s="21">
        <v>2018</v>
      </c>
      <c r="C8" s="14">
        <v>58</v>
      </c>
      <c r="D8" s="15">
        <v>1</v>
      </c>
      <c r="E8" s="15">
        <v>1</v>
      </c>
      <c r="F8" s="15">
        <v>382</v>
      </c>
      <c r="G8" s="15">
        <v>1960</v>
      </c>
      <c r="H8" s="15">
        <v>2401</v>
      </c>
      <c r="I8" s="15">
        <v>59.5</v>
      </c>
      <c r="J8" s="15">
        <v>47.5</v>
      </c>
      <c r="K8" s="15">
        <v>-0.1</v>
      </c>
      <c r="L8" s="15">
        <v>0</v>
      </c>
      <c r="M8" s="15">
        <v>0</v>
      </c>
      <c r="N8" s="15">
        <f>SUM(C5:C8)/4</f>
        <v>58.675</v>
      </c>
      <c r="O8" s="15"/>
      <c r="P8" s="16"/>
      <c r="Q8" s="16"/>
      <c r="R8" s="16"/>
      <c r="S8" s="17"/>
      <c r="T8" s="15">
        <f>SUM(J5:K8)/4</f>
        <v>13.625</v>
      </c>
      <c r="U8" s="25"/>
      <c r="V8" s="15">
        <f>-(L8+M8)+V7</f>
        <v>-49.7</v>
      </c>
      <c r="W8" s="17"/>
      <c r="X8" s="15">
        <f>F8-G8</f>
        <v>-1578</v>
      </c>
      <c r="Y8" s="24"/>
      <c r="Z8" s="15">
        <v>175</v>
      </c>
      <c r="AA8" s="22"/>
      <c r="AB8" s="20">
        <v>13.761</v>
      </c>
    </row>
    <row r="9" ht="20.05" customHeight="1">
      <c r="B9" s="13"/>
      <c r="C9" s="14">
        <v>57.5</v>
      </c>
      <c r="D9" s="15">
        <v>2.3</v>
      </c>
      <c r="E9" s="15">
        <v>-20.1</v>
      </c>
      <c r="F9" s="15">
        <v>418</v>
      </c>
      <c r="G9" s="15">
        <v>1987</v>
      </c>
      <c r="H9" s="15">
        <v>2408</v>
      </c>
      <c r="I9" s="15">
        <v>34.2</v>
      </c>
      <c r="J9" s="15">
        <v>36.1</v>
      </c>
      <c r="K9" s="15">
        <v>0</v>
      </c>
      <c r="L9" s="15">
        <v>0</v>
      </c>
      <c r="M9" s="15">
        <v>0</v>
      </c>
      <c r="N9" s="15">
        <f>SUM(C6:C9)/4</f>
        <v>59</v>
      </c>
      <c r="O9" s="15"/>
      <c r="P9" s="16"/>
      <c r="Q9" s="16"/>
      <c r="R9" s="16"/>
      <c r="S9" s="17"/>
      <c r="T9" s="15">
        <f>SUM(J6:K9)/4</f>
        <v>-12.05</v>
      </c>
      <c r="U9" s="25"/>
      <c r="V9" s="15">
        <f>-(L9+M9)+V8</f>
        <v>-49.7</v>
      </c>
      <c r="W9" s="17"/>
      <c r="X9" s="15">
        <f>F13-G9</f>
        <v>-1542</v>
      </c>
      <c r="Y9" s="24"/>
      <c r="Z9" s="15">
        <v>158</v>
      </c>
      <c r="AA9" s="22"/>
      <c r="AB9" s="20">
        <v>14</v>
      </c>
    </row>
    <row r="10" ht="20.05" customHeight="1">
      <c r="B10" s="13"/>
      <c r="C10" s="14">
        <v>57.4</v>
      </c>
      <c r="D10" s="15">
        <v>22.9</v>
      </c>
      <c r="E10" s="15">
        <v>-0.4</v>
      </c>
      <c r="F10" s="15">
        <v>331</v>
      </c>
      <c r="G10" s="15">
        <v>2006</v>
      </c>
      <c r="H10" s="15">
        <v>2447</v>
      </c>
      <c r="I10" s="15">
        <v>58.2</v>
      </c>
      <c r="J10" s="15">
        <v>-105.4</v>
      </c>
      <c r="K10" s="15">
        <v>-2.2</v>
      </c>
      <c r="L10" s="15">
        <v>0</v>
      </c>
      <c r="M10" s="15">
        <v>20.4</v>
      </c>
      <c r="N10" s="15">
        <f>SUM(C7:C10)/4</f>
        <v>58.475</v>
      </c>
      <c r="O10" s="15"/>
      <c r="P10" s="16"/>
      <c r="Q10" s="16"/>
      <c r="R10" s="16"/>
      <c r="S10" s="17"/>
      <c r="T10" s="15">
        <f>SUM(J7:K10)/4</f>
        <v>-4.575</v>
      </c>
      <c r="U10" s="25"/>
      <c r="V10" s="15">
        <f>-(L10+M10)+V9</f>
        <v>-70.09999999999999</v>
      </c>
      <c r="W10" s="17"/>
      <c r="X10" s="15">
        <f>F10-G10</f>
        <v>-1675</v>
      </c>
      <c r="Y10" s="24"/>
      <c r="Z10" s="15">
        <v>189</v>
      </c>
      <c r="AA10" s="22"/>
      <c r="AB10" s="20">
        <v>14.902</v>
      </c>
    </row>
    <row r="11" ht="20.05" customHeight="1">
      <c r="B11" s="13"/>
      <c r="C11" s="14">
        <v>55.9</v>
      </c>
      <c r="D11" s="15">
        <v>90.5</v>
      </c>
      <c r="E11" s="15">
        <v>-103.6</v>
      </c>
      <c r="F11" s="15">
        <v>379</v>
      </c>
      <c r="G11" s="15">
        <v>1928</v>
      </c>
      <c r="H11" s="15">
        <v>2264</v>
      </c>
      <c r="I11" s="15">
        <v>78.3</v>
      </c>
      <c r="J11" s="15">
        <v>42.4</v>
      </c>
      <c r="K11" s="15">
        <v>-2</v>
      </c>
      <c r="L11" s="15">
        <v>0</v>
      </c>
      <c r="M11" s="15">
        <v>-2.6</v>
      </c>
      <c r="N11" s="15">
        <f>SUM(C8:C11)/4</f>
        <v>57.2</v>
      </c>
      <c r="O11" s="15"/>
      <c r="P11" s="16"/>
      <c r="Q11" s="16"/>
      <c r="R11" s="16"/>
      <c r="S11" s="17"/>
      <c r="T11" s="15">
        <f>SUM(J8:K11)/4</f>
        <v>4.075</v>
      </c>
      <c r="U11" s="25"/>
      <c r="V11" s="15">
        <f>-(L11+M11)+V10</f>
        <v>-67.5</v>
      </c>
      <c r="W11" s="17"/>
      <c r="X11" s="15">
        <f>F11-G11</f>
        <v>-1549</v>
      </c>
      <c r="Y11" s="24"/>
      <c r="Z11" s="15">
        <v>171</v>
      </c>
      <c r="AA11" s="22"/>
      <c r="AB11" s="20">
        <v>14.38</v>
      </c>
    </row>
    <row r="12" ht="20.05" customHeight="1">
      <c r="B12" s="21">
        <v>2019</v>
      </c>
      <c r="C12" s="14">
        <v>68</v>
      </c>
      <c r="D12" s="15">
        <v>1.3</v>
      </c>
      <c r="E12" s="15">
        <v>9.9</v>
      </c>
      <c r="F12" s="15">
        <v>425</v>
      </c>
      <c r="G12" s="15">
        <v>1941</v>
      </c>
      <c r="H12" s="15">
        <v>2287</v>
      </c>
      <c r="I12" s="15">
        <v>57.7</v>
      </c>
      <c r="J12" s="15">
        <v>41.7</v>
      </c>
      <c r="K12" s="15">
        <v>-0.2</v>
      </c>
      <c r="L12" s="15">
        <v>0</v>
      </c>
      <c r="M12" s="15">
        <v>0</v>
      </c>
      <c r="N12" s="15">
        <f>SUM(C9:C12)/4</f>
        <v>59.7</v>
      </c>
      <c r="O12" s="23"/>
      <c r="P12" s="16"/>
      <c r="Q12" s="16">
        <f>(E12+D12)/C12</f>
        <v>0.164705882352941</v>
      </c>
      <c r="R12" s="16">
        <f>AVERAGE(Q9:Q12)</f>
        <v>0.164705882352941</v>
      </c>
      <c r="S12" s="17"/>
      <c r="T12" s="15">
        <f>SUM(J9:K12)/4</f>
        <v>2.6</v>
      </c>
      <c r="U12" s="25"/>
      <c r="V12" s="15">
        <f>-(L12+M12)+V11</f>
        <v>-67.5</v>
      </c>
      <c r="W12" s="17"/>
      <c r="X12" s="15">
        <f>F12-G12</f>
        <v>-1516</v>
      </c>
      <c r="Y12" s="24"/>
      <c r="Z12" s="15">
        <v>161</v>
      </c>
      <c r="AA12" s="22"/>
      <c r="AB12" s="20">
        <v>14.24</v>
      </c>
    </row>
    <row r="13" ht="20.05" customHeight="1">
      <c r="B13" s="13"/>
      <c r="C13" s="14">
        <v>62.5</v>
      </c>
      <c r="D13" s="15">
        <v>2.3</v>
      </c>
      <c r="E13" s="15">
        <v>-0.6</v>
      </c>
      <c r="F13" s="15">
        <v>445</v>
      </c>
      <c r="G13" s="15">
        <v>2423</v>
      </c>
      <c r="H13" s="15">
        <v>2769</v>
      </c>
      <c r="I13" s="15">
        <v>55.9</v>
      </c>
      <c r="J13" s="15">
        <v>34.6</v>
      </c>
      <c r="K13" s="15">
        <v>0</v>
      </c>
      <c r="L13" s="15">
        <v>0</v>
      </c>
      <c r="M13" s="15">
        <v>0</v>
      </c>
      <c r="N13" s="15">
        <f>SUM(C10:C13)/4</f>
        <v>60.95</v>
      </c>
      <c r="O13" s="23"/>
      <c r="P13" s="16">
        <f>C13/C12-1</f>
        <v>-0.0808823529411765</v>
      </c>
      <c r="Q13" s="16">
        <f>(E13+D13)/C13</f>
        <v>0.0272</v>
      </c>
      <c r="R13" s="16">
        <f>AVERAGE(Q10:Q13)</f>
        <v>0.0959529411764705</v>
      </c>
      <c r="S13" s="17"/>
      <c r="T13" s="15">
        <f>SUM(J10:K13)/4</f>
        <v>2.225</v>
      </c>
      <c r="U13" s="25"/>
      <c r="V13" s="15">
        <f>-(L13+M13)+V12</f>
        <v>-67.5</v>
      </c>
      <c r="W13" s="17"/>
      <c r="X13" s="15">
        <f>F13-G13</f>
        <v>-1978</v>
      </c>
      <c r="Y13" s="24"/>
      <c r="Z13" s="15">
        <v>170</v>
      </c>
      <c r="AA13" s="24"/>
      <c r="AB13" s="15">
        <v>14.127</v>
      </c>
    </row>
    <row r="14" ht="20.05" customHeight="1">
      <c r="B14" s="13"/>
      <c r="C14" s="14">
        <v>12</v>
      </c>
      <c r="D14" s="15">
        <v>1.6</v>
      </c>
      <c r="E14" s="15">
        <v>-16</v>
      </c>
      <c r="F14" s="15">
        <v>431</v>
      </c>
      <c r="G14" s="15">
        <v>2186</v>
      </c>
      <c r="H14" s="15">
        <v>2513</v>
      </c>
      <c r="I14" s="15">
        <v>61.6</v>
      </c>
      <c r="J14" s="15">
        <v>-29.6</v>
      </c>
      <c r="K14" s="15">
        <v>-0.2</v>
      </c>
      <c r="L14" s="15">
        <v>0</v>
      </c>
      <c r="M14" s="15">
        <v>0</v>
      </c>
      <c r="N14" s="15">
        <f>SUM(C11:C14)/4</f>
        <v>49.6</v>
      </c>
      <c r="O14" s="23"/>
      <c r="P14" s="16">
        <f>C14/C13-1</f>
        <v>-0.8080000000000001</v>
      </c>
      <c r="Q14" s="16">
        <f>(E14+D14)/C14</f>
        <v>-1.2</v>
      </c>
      <c r="R14" s="16">
        <f>AVERAGE(Q11:Q14)</f>
        <v>-0.33603137254902</v>
      </c>
      <c r="S14" s="17"/>
      <c r="T14" s="15">
        <f>SUM(J11:K14)/4</f>
        <v>21.675</v>
      </c>
      <c r="U14" s="25"/>
      <c r="V14" s="15">
        <f>-(L14+M14)+V13</f>
        <v>-67.5</v>
      </c>
      <c r="W14" s="17"/>
      <c r="X14" s="15">
        <f>F14-G14</f>
        <v>-1755</v>
      </c>
      <c r="Y14" s="24"/>
      <c r="Z14" s="15">
        <v>182</v>
      </c>
      <c r="AA14" s="24"/>
      <c r="AB14" s="15">
        <v>14.195</v>
      </c>
    </row>
    <row r="15" ht="20.05" customHeight="1">
      <c r="B15" s="13"/>
      <c r="C15" s="14">
        <v>12</v>
      </c>
      <c r="D15" s="15">
        <v>86.3</v>
      </c>
      <c r="E15" s="15">
        <v>-29.8</v>
      </c>
      <c r="F15" s="15">
        <v>554</v>
      </c>
      <c r="G15" s="15">
        <v>2227</v>
      </c>
      <c r="H15" s="15">
        <v>2527</v>
      </c>
      <c r="I15" s="15">
        <v>54.3</v>
      </c>
      <c r="J15" s="15">
        <v>139.1</v>
      </c>
      <c r="K15" s="15">
        <v>0</v>
      </c>
      <c r="L15" s="15">
        <v>0</v>
      </c>
      <c r="M15" s="15">
        <v>0</v>
      </c>
      <c r="N15" s="15">
        <f>SUM(C12:C15)/4</f>
        <v>38.625</v>
      </c>
      <c r="O15" s="15"/>
      <c r="P15" s="16">
        <f>C15/C14-1</f>
        <v>0</v>
      </c>
      <c r="Q15" s="16">
        <f>(E15+D15)/C15</f>
        <v>4.70833333333333</v>
      </c>
      <c r="R15" s="16">
        <f>AVERAGE(Q12:Q15)</f>
        <v>0.9250598039215679</v>
      </c>
      <c r="S15" s="17"/>
      <c r="T15" s="15">
        <f>SUM(J12:K15)/4</f>
        <v>46.35</v>
      </c>
      <c r="U15" s="25"/>
      <c r="V15" s="15">
        <f>-(L15+M15)+V14</f>
        <v>-67.5</v>
      </c>
      <c r="W15" s="17"/>
      <c r="X15" s="15">
        <f>F15-G15</f>
        <v>-1673</v>
      </c>
      <c r="Y15" s="24"/>
      <c r="Z15" s="15">
        <v>125</v>
      </c>
      <c r="AA15" s="24"/>
      <c r="AB15" s="15">
        <v>13.882</v>
      </c>
    </row>
    <row r="16" ht="20.05" customHeight="1">
      <c r="B16" s="21">
        <v>2020</v>
      </c>
      <c r="C16" s="14">
        <v>50.1</v>
      </c>
      <c r="D16" s="15">
        <v>-6.2</v>
      </c>
      <c r="E16" s="15">
        <v>0.5</v>
      </c>
      <c r="F16" s="15">
        <v>441</v>
      </c>
      <c r="G16" s="15">
        <v>2022</v>
      </c>
      <c r="H16" s="15">
        <v>2322</v>
      </c>
      <c r="I16" s="15">
        <v>51.4</v>
      </c>
      <c r="J16" s="15">
        <v>-131.6</v>
      </c>
      <c r="K16" s="15">
        <v>-1.3</v>
      </c>
      <c r="L16" s="15">
        <v>0</v>
      </c>
      <c r="M16" s="15">
        <v>0</v>
      </c>
      <c r="N16" s="15">
        <f>SUM(C13:C16)/4</f>
        <v>34.15</v>
      </c>
      <c r="O16" s="15"/>
      <c r="P16" s="16">
        <f>C16/C15-1</f>
        <v>3.175</v>
      </c>
      <c r="Q16" s="16">
        <f>(E16+D16)/C16</f>
        <v>-0.11377245508982</v>
      </c>
      <c r="R16" s="16">
        <f>AVERAGE(Q13:Q16)</f>
        <v>0.855440219560878</v>
      </c>
      <c r="S16" s="17"/>
      <c r="T16" s="15">
        <f>SUM(J13:K16)/4</f>
        <v>2.75</v>
      </c>
      <c r="U16" s="25"/>
      <c r="V16" s="15">
        <f>-(L16+M16)+V15</f>
        <v>-67.5</v>
      </c>
      <c r="W16" s="17"/>
      <c r="X16" s="15">
        <f>F16-G16</f>
        <v>-1581</v>
      </c>
      <c r="Y16" s="24"/>
      <c r="Z16" s="15">
        <v>79</v>
      </c>
      <c r="AA16" s="24"/>
      <c r="AB16" s="15">
        <v>16.31</v>
      </c>
    </row>
    <row r="17" ht="20.05" customHeight="1">
      <c r="B17" s="13"/>
      <c r="C17" s="14">
        <v>41.9</v>
      </c>
      <c r="D17" s="15">
        <v>-43</v>
      </c>
      <c r="E17" s="15">
        <v>32.4</v>
      </c>
      <c r="F17" s="15">
        <v>281</v>
      </c>
      <c r="G17" s="15">
        <v>1871</v>
      </c>
      <c r="H17" s="15">
        <v>2203</v>
      </c>
      <c r="I17" s="15">
        <v>39.3</v>
      </c>
      <c r="J17" s="15">
        <v>-144.3</v>
      </c>
      <c r="K17" s="15">
        <v>-0.9</v>
      </c>
      <c r="L17" s="15">
        <v>0</v>
      </c>
      <c r="M17" s="15">
        <v>0</v>
      </c>
      <c r="N17" s="15">
        <f>SUM(C14:C17)/4</f>
        <v>29</v>
      </c>
      <c r="O17" s="15"/>
      <c r="P17" s="16">
        <f>C17/C16-1</f>
        <v>-0.163672654690619</v>
      </c>
      <c r="Q17" s="16">
        <f>(E17+D17)/C17</f>
        <v>-0.252983293556086</v>
      </c>
      <c r="R17" s="16">
        <f>AVERAGE(Q14:Q17)</f>
        <v>0.785394396171856</v>
      </c>
      <c r="S17" s="17"/>
      <c r="T17" s="25">
        <f>SUM(J14:K17)/4</f>
        <v>-42.2</v>
      </c>
      <c r="U17" s="25"/>
      <c r="V17" s="15">
        <f>-(L17+M17)+V16</f>
        <v>-67.5</v>
      </c>
      <c r="W17" s="17"/>
      <c r="X17" s="15">
        <f>F17-G17</f>
        <v>-1590</v>
      </c>
      <c r="Y17" s="24"/>
      <c r="Z17" s="15">
        <v>79</v>
      </c>
      <c r="AA17" s="24"/>
      <c r="AB17" s="15">
        <v>14.255</v>
      </c>
    </row>
    <row r="18" ht="20.05" customHeight="1">
      <c r="B18" s="13"/>
      <c r="C18" s="14">
        <v>35.1</v>
      </c>
      <c r="D18" s="15">
        <v>-32</v>
      </c>
      <c r="E18" s="15">
        <v>15.5</v>
      </c>
      <c r="F18" s="15">
        <v>304</v>
      </c>
      <c r="G18" s="15">
        <v>1781</v>
      </c>
      <c r="H18" s="15">
        <v>2129</v>
      </c>
      <c r="I18" s="15">
        <v>40.5</v>
      </c>
      <c r="J18" s="15">
        <v>26.2</v>
      </c>
      <c r="K18" s="15">
        <v>-0.1</v>
      </c>
      <c r="L18" s="15">
        <v>0</v>
      </c>
      <c r="M18" s="15">
        <v>0</v>
      </c>
      <c r="N18" s="15">
        <f>SUM(C15:C18)/4</f>
        <v>34.775</v>
      </c>
      <c r="O18" s="15"/>
      <c r="P18" s="16">
        <f>C18/C17-1</f>
        <v>-0.162291169451074</v>
      </c>
      <c r="Q18" s="16">
        <f>(E18+D18)/C18</f>
        <v>-0.47008547008547</v>
      </c>
      <c r="R18" s="16">
        <f>AVERAGE(Q15:Q18)</f>
        <v>0.967873028650489</v>
      </c>
      <c r="S18" s="17"/>
      <c r="T18" s="25">
        <f>SUM(J15:K18)/4</f>
        <v>-28.225</v>
      </c>
      <c r="U18" s="25"/>
      <c r="V18" s="15">
        <f>-(L18+M18)+V17</f>
        <v>-67.5</v>
      </c>
      <c r="W18" s="17"/>
      <c r="X18" s="15">
        <f>F18-G18</f>
        <v>-1477</v>
      </c>
      <c r="Y18" s="24"/>
      <c r="Z18" s="15">
        <v>138</v>
      </c>
      <c r="AA18" s="24"/>
      <c r="AB18" s="15">
        <v>14.79</v>
      </c>
    </row>
    <row r="19" ht="20.05" customHeight="1">
      <c r="B19" s="13"/>
      <c r="C19" s="14">
        <v>39.3</v>
      </c>
      <c r="D19" s="15">
        <v>1.4</v>
      </c>
      <c r="E19" s="15">
        <v>-11.4</v>
      </c>
      <c r="F19" s="15">
        <v>107</v>
      </c>
      <c r="G19" s="15">
        <v>2240</v>
      </c>
      <c r="H19" s="15">
        <v>2587</v>
      </c>
      <c r="I19" s="15">
        <v>33.2</v>
      </c>
      <c r="J19" s="15">
        <v>-195</v>
      </c>
      <c r="K19" s="15">
        <v>-0.6</v>
      </c>
      <c r="L19" s="15">
        <v>0</v>
      </c>
      <c r="M19" s="15">
        <v>0</v>
      </c>
      <c r="N19" s="15">
        <f>SUM(C16:C19)/4</f>
        <v>41.6</v>
      </c>
      <c r="O19" s="15"/>
      <c r="P19" s="16">
        <f>C19/C18-1</f>
        <v>0.11965811965812</v>
      </c>
      <c r="Q19" s="16">
        <f>(E19+D19)/C19</f>
        <v>-0.254452926208651</v>
      </c>
      <c r="R19" s="16">
        <f>AVERAGE(Q16:Q19)</f>
        <v>-0.272823536235007</v>
      </c>
      <c r="S19" s="17"/>
      <c r="T19" s="25">
        <f>SUM(J16:K19)/4</f>
        <v>-111.9</v>
      </c>
      <c r="U19" s="25"/>
      <c r="V19" s="15">
        <f>-(L19+M19)+V18</f>
        <v>-67.5</v>
      </c>
      <c r="W19" s="17"/>
      <c r="X19" s="15">
        <f>F19-G19</f>
        <v>-2133</v>
      </c>
      <c r="Y19" s="24"/>
      <c r="Z19" s="15">
        <v>424</v>
      </c>
      <c r="AA19" s="24"/>
      <c r="AB19" s="15">
        <v>14.1</v>
      </c>
    </row>
    <row r="20" ht="20.05" customHeight="1">
      <c r="B20" s="21">
        <v>2021</v>
      </c>
      <c r="C20" s="14">
        <v>56.2</v>
      </c>
      <c r="D20" s="15">
        <v>-3.7</v>
      </c>
      <c r="E20" s="15">
        <v>8.9</v>
      </c>
      <c r="F20" s="15">
        <v>85.09</v>
      </c>
      <c r="G20" s="15">
        <v>3660</v>
      </c>
      <c r="H20" s="15">
        <v>3973</v>
      </c>
      <c r="I20" s="15">
        <v>51.4</v>
      </c>
      <c r="J20" s="15">
        <v>-21.9</v>
      </c>
      <c r="K20" s="15">
        <v>-0.01</v>
      </c>
      <c r="L20" s="15">
        <v>0</v>
      </c>
      <c r="M20" s="15">
        <v>0</v>
      </c>
      <c r="N20" s="15">
        <f>SUM(C17:C20)/4</f>
        <v>43.125</v>
      </c>
      <c r="O20" s="15"/>
      <c r="P20" s="16">
        <f>C20/C19-1</f>
        <v>0.430025445292621</v>
      </c>
      <c r="Q20" s="16">
        <f>(E20+D20)/C20</f>
        <v>0.0925266903914591</v>
      </c>
      <c r="R20" s="16">
        <f>AVERAGE(Q17:Q20)</f>
        <v>-0.221248749864687</v>
      </c>
      <c r="S20" s="17"/>
      <c r="T20" s="25">
        <f>SUM(J17:K20)/4</f>
        <v>-84.1525</v>
      </c>
      <c r="U20" s="25"/>
      <c r="V20" s="15">
        <f>-(L20+M20)+V19</f>
        <v>-67.5</v>
      </c>
      <c r="W20" s="17"/>
      <c r="X20" s="15">
        <f>F20-G20</f>
        <v>-3574.91</v>
      </c>
      <c r="Y20" s="15"/>
      <c r="Z20" s="15">
        <v>1120</v>
      </c>
      <c r="AA20" s="15"/>
      <c r="AB20" s="15">
        <v>14.606</v>
      </c>
    </row>
    <row r="21" ht="20.05" customHeight="1">
      <c r="B21" s="13"/>
      <c r="C21" s="14">
        <v>73.40000000000001</v>
      </c>
      <c r="D21" s="15">
        <v>-1.6</v>
      </c>
      <c r="E21" s="15">
        <v>14</v>
      </c>
      <c r="F21" s="15">
        <v>244.5</v>
      </c>
      <c r="G21" s="15">
        <v>3868</v>
      </c>
      <c r="H21" s="15">
        <v>4222</v>
      </c>
      <c r="I21" s="15">
        <v>46.6</v>
      </c>
      <c r="J21" s="15">
        <v>160.1</v>
      </c>
      <c r="K21" s="15">
        <v>-0.6899999999999999</v>
      </c>
      <c r="L21" s="15">
        <v>0</v>
      </c>
      <c r="M21" s="15">
        <v>0</v>
      </c>
      <c r="N21" s="15">
        <f>SUM(C18:C21)/4</f>
        <v>51</v>
      </c>
      <c r="O21" s="15"/>
      <c r="P21" s="16">
        <f>C21/C20-1</f>
        <v>0.306049822064057</v>
      </c>
      <c r="Q21" s="16">
        <f>(E21+D21)/C21</f>
        <v>0.168937329700272</v>
      </c>
      <c r="R21" s="16">
        <f>AVERAGE(Q18:Q21)</f>
        <v>-0.115768594050597</v>
      </c>
      <c r="S21" s="17"/>
      <c r="T21" s="25">
        <f>SUM(J18:K21)/4</f>
        <v>-8</v>
      </c>
      <c r="U21" s="25"/>
      <c r="V21" s="15">
        <f>-(L21+M21)+V20</f>
        <v>-67.5</v>
      </c>
      <c r="W21" s="17"/>
      <c r="X21" s="15">
        <f>F21-G21</f>
        <v>-3623.5</v>
      </c>
      <c r="Y21" s="15"/>
      <c r="Z21" s="15">
        <v>1201.27</v>
      </c>
      <c r="AA21" s="15"/>
      <c r="AB21" s="15">
        <v>14.45</v>
      </c>
    </row>
    <row r="22" ht="20.05" customHeight="1">
      <c r="B22" s="13"/>
      <c r="C22" s="14">
        <v>131.4</v>
      </c>
      <c r="D22" s="15">
        <v>11.1</v>
      </c>
      <c r="E22" s="15">
        <v>62.8</v>
      </c>
      <c r="F22" s="15">
        <v>200.1</v>
      </c>
      <c r="G22" s="15">
        <v>5612</v>
      </c>
      <c r="H22" s="15">
        <v>6899</v>
      </c>
      <c r="I22" s="15">
        <v>73.90000000000001</v>
      </c>
      <c r="J22" s="15">
        <v>-792.8</v>
      </c>
      <c r="K22" s="15">
        <v>0</v>
      </c>
      <c r="L22" s="15">
        <v>0</v>
      </c>
      <c r="M22" s="15">
        <v>748.4</v>
      </c>
      <c r="N22" s="15">
        <f>SUM(C19:C22)/4</f>
        <v>75.075</v>
      </c>
      <c r="O22" s="15"/>
      <c r="P22" s="16">
        <f>C22/C21-1</f>
        <v>0.790190735694823</v>
      </c>
      <c r="Q22" s="16">
        <f>(E22+D22)/C22</f>
        <v>0.562404870624049</v>
      </c>
      <c r="R22" s="16">
        <f>AVERAGE(Q19:Q22)</f>
        <v>0.142353991126782</v>
      </c>
      <c r="S22" s="17"/>
      <c r="T22" s="25">
        <f>SUM(J19:K22)/4</f>
        <v>-212.725</v>
      </c>
      <c r="U22" s="25"/>
      <c r="V22" s="15">
        <f>-(L22+M22)+V21</f>
        <v>-815.9</v>
      </c>
      <c r="W22" s="17"/>
      <c r="X22" s="15">
        <f>F22-G22</f>
        <v>-5411.9</v>
      </c>
      <c r="Y22" s="15"/>
      <c r="Z22" s="15">
        <v>3750</v>
      </c>
      <c r="AA22" s="15"/>
      <c r="AB22" s="15">
        <v>14.328</v>
      </c>
    </row>
    <row r="23" ht="20.05" customHeight="1">
      <c r="B23" s="13"/>
      <c r="C23" s="14">
        <v>118</v>
      </c>
      <c r="D23" s="15">
        <v>84.59999999999999</v>
      </c>
      <c r="E23" s="15">
        <v>107.3</v>
      </c>
      <c r="F23" s="15">
        <v>245.82</v>
      </c>
      <c r="G23" s="15">
        <v>3346</v>
      </c>
      <c r="H23" s="15">
        <v>4649</v>
      </c>
      <c r="I23" s="15">
        <v>248.7</v>
      </c>
      <c r="J23" s="15">
        <v>47</v>
      </c>
      <c r="K23" s="15">
        <v>-1.38</v>
      </c>
      <c r="L23" s="15">
        <v>0</v>
      </c>
      <c r="M23" s="15">
        <v>1.6</v>
      </c>
      <c r="N23" s="15">
        <f>SUM(C20:C23)/4</f>
        <v>94.75</v>
      </c>
      <c r="O23" s="15"/>
      <c r="P23" s="16">
        <f>C23/C22-1</f>
        <v>-0.101978691019787</v>
      </c>
      <c r="Q23" s="16">
        <f>(E23+D23)/C23</f>
        <v>1.62627118644068</v>
      </c>
      <c r="R23" s="16">
        <f>AVERAGE(Q20:Q23)</f>
        <v>0.612535019289115</v>
      </c>
      <c r="S23" s="17"/>
      <c r="T23" s="25">
        <f>SUM(J20:K23)/4</f>
        <v>-152.42</v>
      </c>
      <c r="U23" s="25"/>
      <c r="V23" s="15">
        <f>-(L23+M23)+V22</f>
        <v>-817.5</v>
      </c>
      <c r="W23" s="17"/>
      <c r="X23" s="15">
        <f>F23-G23</f>
        <v>-3100.18</v>
      </c>
      <c r="Y23" s="15"/>
      <c r="Z23" s="15">
        <v>7075</v>
      </c>
      <c r="AA23" s="15"/>
      <c r="AB23" s="15">
        <v>14.275</v>
      </c>
    </row>
    <row r="24" ht="20.05" customHeight="1">
      <c r="B24" s="21">
        <v>2022</v>
      </c>
      <c r="C24" s="14">
        <v>158</v>
      </c>
      <c r="D24" s="15">
        <v>-4.1</v>
      </c>
      <c r="E24" s="15">
        <v>75</v>
      </c>
      <c r="F24" s="15">
        <v>1283.22</v>
      </c>
      <c r="G24" s="15">
        <v>3264</v>
      </c>
      <c r="H24" s="15">
        <v>9417</v>
      </c>
      <c r="I24" s="15">
        <v>154</v>
      </c>
      <c r="J24" s="15">
        <v>-3763</v>
      </c>
      <c r="K24" s="15">
        <v>0</v>
      </c>
      <c r="L24" s="15">
        <v>0</v>
      </c>
      <c r="M24" s="15">
        <v>4800.4</v>
      </c>
      <c r="N24" s="15">
        <f>SUM(C21:C24)/4</f>
        <v>120.2</v>
      </c>
      <c r="O24" s="15">
        <v>163.42875</v>
      </c>
      <c r="P24" s="16">
        <f>C24/C23-1</f>
        <v>0.338983050847458</v>
      </c>
      <c r="Q24" s="16">
        <f>(E24+D24)/C24</f>
        <v>0.44873417721519</v>
      </c>
      <c r="R24" s="16">
        <f>AVERAGE(Q21:Q24)</f>
        <v>0.701586890995048</v>
      </c>
      <c r="S24" s="35"/>
      <c r="T24" s="25">
        <f>SUM(J21:K24)/4</f>
        <v>-1087.6925</v>
      </c>
      <c r="U24" s="15">
        <v>112.238661231495</v>
      </c>
      <c r="V24" s="15">
        <f>-(L24+M24)+V23</f>
        <v>-5617.9</v>
      </c>
      <c r="W24" s="15"/>
      <c r="X24" s="15">
        <f>F24-G24</f>
        <v>-1980.78</v>
      </c>
      <c r="Y24" s="15"/>
      <c r="Z24" s="15">
        <v>5775</v>
      </c>
      <c r="AA24" s="17"/>
      <c r="AB24" s="15">
        <v>14.327</v>
      </c>
    </row>
    <row r="25" ht="20.05" customHeight="1">
      <c r="B25" s="13"/>
      <c r="C25" s="14">
        <v>108</v>
      </c>
      <c r="D25" s="15">
        <v>55</v>
      </c>
      <c r="E25" s="15">
        <v>75.59999999999999</v>
      </c>
      <c r="F25" s="15">
        <v>930.8200000000001</v>
      </c>
      <c r="G25" s="15">
        <v>3503</v>
      </c>
      <c r="H25" s="15">
        <v>9773</v>
      </c>
      <c r="I25" s="15">
        <v>223.5</v>
      </c>
      <c r="J25" s="15">
        <v>-267.2</v>
      </c>
      <c r="K25" s="15">
        <v>-85.2</v>
      </c>
      <c r="L25" s="15">
        <v>0</v>
      </c>
      <c r="M25" s="15">
        <v>0</v>
      </c>
      <c r="N25" s="15">
        <f>SUM(C22:C25)/4</f>
        <v>128.85</v>
      </c>
      <c r="O25" s="15">
        <v>161.5125</v>
      </c>
      <c r="P25" s="16">
        <f>C25/C24-1</f>
        <v>-0.316455696202532</v>
      </c>
      <c r="Q25" s="16">
        <f>(E25+D25)/C25</f>
        <v>1.20925925925926</v>
      </c>
      <c r="R25" s="16">
        <f>AVERAGE(Q22:Q25)</f>
        <v>0.961667373384795</v>
      </c>
      <c r="S25" s="35"/>
      <c r="T25" s="25">
        <f>SUM(J22:K25)/4</f>
        <v>-1215.645</v>
      </c>
      <c r="U25" s="15">
        <v>-101.746598369449</v>
      </c>
      <c r="V25" s="15">
        <f>-(L25+M25)+V24</f>
        <v>-5617.9</v>
      </c>
      <c r="W25" s="15"/>
      <c r="X25" s="15">
        <f>F25-G25</f>
        <v>-2572.18</v>
      </c>
      <c r="Y25" s="15"/>
      <c r="Z25" s="15">
        <v>3800</v>
      </c>
      <c r="AA25" s="15">
        <v>4857.950922671350</v>
      </c>
      <c r="AB25" s="15">
        <v>14.66</v>
      </c>
    </row>
    <row r="26" ht="20.05" customHeight="1">
      <c r="B26" s="13"/>
      <c r="C26" s="14">
        <v>226.3</v>
      </c>
      <c r="D26" s="15">
        <v>14.2</v>
      </c>
      <c r="E26" s="15">
        <v>58.4</v>
      </c>
      <c r="F26" s="15">
        <v>649.3200000000001</v>
      </c>
      <c r="G26" s="15">
        <v>4284</v>
      </c>
      <c r="H26" s="15">
        <v>10599</v>
      </c>
      <c r="I26" s="15">
        <v>215.8</v>
      </c>
      <c r="J26" s="15">
        <v>-245.1</v>
      </c>
      <c r="K26" s="15">
        <v>-36.4</v>
      </c>
      <c r="L26" s="15">
        <v>0</v>
      </c>
      <c r="M26" s="15">
        <v>0</v>
      </c>
      <c r="N26" s="15">
        <f>SUM(C23:C26)/4</f>
        <v>152.575</v>
      </c>
      <c r="O26" s="15">
        <v>160.554375</v>
      </c>
      <c r="P26" s="16">
        <f>C26/C25-1</f>
        <v>1.09537037037037</v>
      </c>
      <c r="Q26" s="16">
        <f>(E26+D26)/C26</f>
        <v>0.320813079982324</v>
      </c>
      <c r="R26" s="16">
        <f>AVERAGE(Q23:Q26)</f>
        <v>0.901269425724364</v>
      </c>
      <c r="S26" s="35">
        <f>S27</f>
        <v>0.320813079982324</v>
      </c>
      <c r="T26" s="25">
        <f>SUM(J23:K26)/4</f>
        <v>-1087.82</v>
      </c>
      <c r="U26" s="15">
        <v>153.23904</v>
      </c>
      <c r="V26" s="15">
        <f>-(L26+M26)+V25</f>
        <v>-5617.9</v>
      </c>
      <c r="W26" s="15">
        <f>W27</f>
        <v>-5574.300803534060</v>
      </c>
      <c r="X26" s="15">
        <f>F26-G26</f>
        <v>-3634.68</v>
      </c>
      <c r="Y26" s="15"/>
      <c r="Z26" s="15">
        <v>2110</v>
      </c>
      <c r="AA26" s="15">
        <v>4231.1162020859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230.8425730805</v>
      </c>
      <c r="P27" s="17"/>
      <c r="Q27" s="17"/>
      <c r="R27" s="17"/>
      <c r="S27" s="35">
        <f>AE53</f>
        <v>0.320813079982324</v>
      </c>
      <c r="T27" s="25"/>
      <c r="U27" s="15">
        <f>SUM(AE55:AH55)/4</f>
        <v>37.6573168609999</v>
      </c>
      <c r="V27" s="17"/>
      <c r="W27" s="15">
        <f>-SUM(AE76:AH76)+V26</f>
        <v>-5574.300803534060</v>
      </c>
      <c r="X27" s="26"/>
      <c r="Y27" s="15">
        <f>AH75</f>
        <v>-3525.936586044810</v>
      </c>
      <c r="Z27" s="15">
        <v>1655</v>
      </c>
      <c r="AA27" s="26">
        <v>4231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401.625</v>
      </c>
      <c r="O28" s="15">
        <f>SUM(O24:O26)</f>
        <v>485.495625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693.176201476506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323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0.253979758498877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-0.101978691019787</v>
      </c>
      <c r="AF50" s="35">
        <f>P24</f>
        <v>0.338983050847458</v>
      </c>
      <c r="AG50" s="35">
        <f>P25</f>
        <v>-0.316455696202532</v>
      </c>
      <c r="AH50" s="35">
        <f>P26</f>
        <v>1.09537037037037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489</v>
      </c>
      <c r="AD51" s="37"/>
      <c r="AE51" s="35">
        <v>0.01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226.3</v>
      </c>
      <c r="AE52" s="23">
        <f>C26*(1+AE51)</f>
        <v>228.563</v>
      </c>
      <c r="AF52" s="23">
        <f>AE52*(1+AF51)</f>
        <v>226.27737</v>
      </c>
      <c r="AG52" s="23">
        <f>AF52*(1+AG51)</f>
        <v>230.8029174</v>
      </c>
      <c r="AH52" s="23">
        <f>AG52*(1+AH51)</f>
        <v>237.727004922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0.320813079982324</v>
      </c>
      <c r="AF53" s="35">
        <f>AE53</f>
        <v>0.320813079982324</v>
      </c>
      <c r="AG53" s="35">
        <f>AF53</f>
        <v>0.320813079982324</v>
      </c>
      <c r="AH53" s="35">
        <f>AG53</f>
        <v>0.320813079982324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-36.4</v>
      </c>
      <c r="AF54" s="15">
        <f>AE54</f>
        <v>-36.4</v>
      </c>
      <c r="AG54" s="15">
        <f>AF54</f>
        <v>-36.4</v>
      </c>
      <c r="AH54" s="15">
        <f>AG54</f>
        <v>-36.4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36.9259999999999</v>
      </c>
      <c r="AF55" s="15">
        <f>(AF52*AF53)+AF54</f>
        <v>36.1927399999999</v>
      </c>
      <c r="AG55" s="15">
        <f>(AG52*AG53)+AG54</f>
        <v>37.6445947999999</v>
      </c>
      <c r="AH55" s="15">
        <f>(AH52*AH53)+AH54</f>
        <v>39.8659326439999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-G26/10000</f>
        <v>-0.4284</v>
      </c>
      <c r="AF56" s="15">
        <f>-AE71/10000</f>
        <v>-0.42835716</v>
      </c>
      <c r="AG56" s="15">
        <f>-AF71/10000</f>
        <v>-0.428314324284</v>
      </c>
      <c r="AH56" s="15">
        <f>-AG71/10000</f>
        <v>-0.428271492851572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-0.2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-10.3252</v>
      </c>
      <c r="AF58" s="15">
        <f>IF(AF66&gt;0,AF66*$AE$57,0)</f>
        <v>-10.178548</v>
      </c>
      <c r="AG58" s="15">
        <f>IF(AG66&gt;0,AG66*$AE$57,0)</f>
        <v>-10.46891896</v>
      </c>
      <c r="AH58" s="15">
        <f>IF(AH66&gt;0,AH66*$AE$57,0)</f>
        <v>-10.9131865288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26.1723999999999</v>
      </c>
      <c r="AF59" s="15">
        <f>AF55+AF56+AF58</f>
        <v>25.5858348399999</v>
      </c>
      <c r="AG59" s="15">
        <f>AG55+AG56+AG58</f>
        <v>26.7473615157159</v>
      </c>
      <c r="AH59" s="15">
        <f>AH55+AH56+AH58</f>
        <v>28.5244746223483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649.3200000000001</v>
      </c>
      <c r="AF61" s="15">
        <f>AE63</f>
        <v>675.4924</v>
      </c>
      <c r="AG61" s="15">
        <f>AF63</f>
        <v>701.0782348400001</v>
      </c>
      <c r="AH61" s="15">
        <f>AG63</f>
        <v>727.825596355716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26.1723999999999</v>
      </c>
      <c r="AF62" s="15">
        <f>AF55+AF56+AF58+AF60</f>
        <v>25.5858348399999</v>
      </c>
      <c r="AG62" s="15">
        <f>AG55+AG56+AG58+AG60</f>
        <v>26.7473615157159</v>
      </c>
      <c r="AH62" s="15">
        <f>AH55+AH56+AH58+AH60</f>
        <v>28.5244746223483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675.4924</v>
      </c>
      <c r="AF63" s="15">
        <f>AF61+AF62</f>
        <v>701.0782348400001</v>
      </c>
      <c r="AG63" s="15">
        <f>AG61+AG62</f>
        <v>727.825596355716</v>
      </c>
      <c r="AH63" s="15">
        <f>AH61+AH62</f>
        <v>756.350070978064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-21.7</v>
      </c>
      <c r="AF65" s="15">
        <f>AE65</f>
        <v>-21.7</v>
      </c>
      <c r="AG65" s="15">
        <f>AF65</f>
        <v>-21.7</v>
      </c>
      <c r="AH65" s="15">
        <f>AG65</f>
        <v>-21.7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51.6259999999999</v>
      </c>
      <c r="AF66" s="15">
        <f>(AF52*AF53)+AF65</f>
        <v>50.8927399999999</v>
      </c>
      <c r="AG66" s="15">
        <f>(AG52*AG53)+AG65</f>
        <v>52.3445947999999</v>
      </c>
      <c r="AH66" s="15">
        <f>(AH52*AH53)+AH65</f>
        <v>54.5659326439999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9986.08</v>
      </c>
      <c r="AF68" s="15">
        <f>AE68-AF54</f>
        <v>10022.48</v>
      </c>
      <c r="AG68" s="15">
        <f>AF68-AG54</f>
        <v>10058.88</v>
      </c>
      <c r="AH68" s="15">
        <f>AG68-AH54</f>
        <v>10095.28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21.7</v>
      </c>
      <c r="AF69" s="15">
        <f>AE69-AF65</f>
        <v>43.4</v>
      </c>
      <c r="AG69" s="15">
        <f>AF69-AG65</f>
        <v>65.09999999999999</v>
      </c>
      <c r="AH69" s="15">
        <f>AG69-AH65</f>
        <v>86.8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9964.379999999999</v>
      </c>
      <c r="AF70" s="15">
        <f>AF68-AF69</f>
        <v>9979.08</v>
      </c>
      <c r="AG70" s="15">
        <f>AG68-AG69</f>
        <v>9993.780000000001</v>
      </c>
      <c r="AH70" s="15">
        <f>AH68-AH69</f>
        <v>10008.48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4283.5716</v>
      </c>
      <c r="AF71" s="15">
        <f>AE71+AF56</f>
        <v>4283.14324284</v>
      </c>
      <c r="AG71" s="15">
        <f>AF71+AG56</f>
        <v>4282.714928515720</v>
      </c>
      <c r="AH71" s="15">
        <f>AG71+AH56</f>
        <v>4282.286657022870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6356.3008</v>
      </c>
      <c r="AF73" s="15">
        <f>AE73+AF66+AF58</f>
        <v>6397.014992</v>
      </c>
      <c r="AG73" s="15">
        <f>AF73+AG66+AG58</f>
        <v>6438.89066784</v>
      </c>
      <c r="AH73" s="15">
        <f>AG73+AH66+AH58</f>
        <v>6482.5434139552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4e-12</v>
      </c>
      <c r="AH74" s="15">
        <f>AH71+AH72+AH73-AH63-AH70</f>
        <v>6e-12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-3608.0792</v>
      </c>
      <c r="AF75" s="15">
        <f>AF63-AF71-AF72</f>
        <v>-3582.065008</v>
      </c>
      <c r="AG75" s="15">
        <f>AG63-AG71-AG72</f>
        <v>-3554.88933216</v>
      </c>
      <c r="AH75" s="15">
        <f>AH63-AH71-AH72</f>
        <v>-3525.936586044810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-10.7536</v>
      </c>
      <c r="AF76" s="15">
        <f>AF56+AF58+AF60</f>
        <v>-10.60690516</v>
      </c>
      <c r="AG76" s="15">
        <f>AG56+AG58+AG60</f>
        <v>-10.897233284284</v>
      </c>
      <c r="AH76" s="15">
        <f>AH56+AH58+AH60</f>
        <v>-11.3414580216516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490</v>
      </c>
      <c r="AD78" s="14"/>
      <c r="AE78" s="15"/>
      <c r="AF78" s="15"/>
      <c r="AG78" s="15"/>
      <c r="AH78" s="15">
        <v>1655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490</v>
      </c>
      <c r="AD79" s="14"/>
      <c r="AE79" s="15"/>
      <c r="AF79" s="15"/>
      <c r="AG79" s="15"/>
      <c r="AH79" s="15">
        <v>35963646341120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35963.64634112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21.730299904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3.34084663705727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0.00116467204386082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-4351.28</v>
      </c>
      <c r="AH84" s="15">
        <f>SUM(AE55:AH55)</f>
        <v>150.629267444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66.44445777259649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238.756032950172</v>
      </c>
      <c r="AH86" s="15">
        <v>100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15062.9267444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693.176201476506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-0.58116241602628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0.722222222222222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0.208828197945845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490</v>
      </c>
      <c r="AF94" t="s" s="44">
        <v>60</v>
      </c>
      <c r="AG94" s="15">
        <f>AH78</f>
        <v>1655</v>
      </c>
      <c r="AH94" t="s" s="44">
        <v>61</v>
      </c>
      <c r="AI94" s="15">
        <f>AH88</f>
        <v>693.176201476506</v>
      </c>
      <c r="AJ94" t="s" s="44">
        <f>IF(AK94&gt;0,"+","")</f>
      </c>
      <c r="AK94" s="16">
        <f>AI94/AG94-1</f>
        <v>-0.58116241602628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0.722222222222222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-0.120991068556495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-0.133523724331298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-0.101065391576943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1.09537037037037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0.790190735694823</v>
      </c>
      <c r="AF103" s="16">
        <f>P23</f>
        <v>-0.101978691019787</v>
      </c>
      <c r="AG103" s="16">
        <f>P24</f>
        <v>0.338983050847458</v>
      </c>
      <c r="AH103" s="16">
        <f>P25</f>
        <v>-0.316455696202532</v>
      </c>
      <c r="AI103" s="16">
        <f>P26</f>
        <v>1.09537037037037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131.4</v>
      </c>
      <c r="AF104" t="s" s="44">
        <v>72</v>
      </c>
      <c r="AG104" s="15">
        <f>C23</f>
        <v>118</v>
      </c>
      <c r="AH104" t="s" s="44">
        <v>72</v>
      </c>
      <c r="AI104" s="15">
        <f>C24</f>
        <v>158</v>
      </c>
      <c r="AJ104" t="s" s="44">
        <v>72</v>
      </c>
      <c r="AK104" s="15">
        <f>C25</f>
        <v>108</v>
      </c>
      <c r="AL104" t="s" s="44">
        <v>72</v>
      </c>
      <c r="AM104" s="15">
        <f>C26</f>
        <v>226.3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1.09537037037037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226.3</v>
      </c>
      <c r="AM105" t="s" s="44">
        <v>372</v>
      </c>
      <c r="AN105" t="s" s="44">
        <v>373</v>
      </c>
      <c r="AO105" s="16">
        <f>AH91</f>
        <v>0.208828197945845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0.253979758498877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237.727004922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0.562404870624049</v>
      </c>
      <c r="AF110" s="16">
        <f>(D23+E23)/C23</f>
        <v>1.62627118644068</v>
      </c>
      <c r="AG110" s="16">
        <f>((E24+D24)/C24)</f>
        <v>0.44873417721519</v>
      </c>
      <c r="AH110" s="16">
        <f>(D25+E25)/C25</f>
        <v>1.20925925925926</v>
      </c>
      <c r="AI110" s="16">
        <f>(D26+E26)/C26</f>
        <v>0.320813079982324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62.8</v>
      </c>
      <c r="AF111" t="s" s="44">
        <v>72</v>
      </c>
      <c r="AG111" s="15">
        <f>E23</f>
        <v>107.3</v>
      </c>
      <c r="AH111" t="s" s="44">
        <v>72</v>
      </c>
      <c r="AI111" s="15">
        <f>E24</f>
        <v>75</v>
      </c>
      <c r="AJ111" t="s" s="44">
        <v>72</v>
      </c>
      <c r="AK111" s="15">
        <f>E25</f>
        <v>75.59999999999999</v>
      </c>
      <c r="AL111" t="s" s="44">
        <v>72</v>
      </c>
      <c r="AM111" s="15">
        <f>E26</f>
        <v>58.4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1.20925925925926</v>
      </c>
      <c r="AG112" t="s" s="44">
        <v>76</v>
      </c>
      <c r="AH112" s="16">
        <f>AI110</f>
        <v>0.320813079982324</v>
      </c>
      <c r="AI112" t="s" s="44">
        <v>90</v>
      </c>
      <c r="AJ112" s="15">
        <f>AK111</f>
        <v>75.59999999999999</v>
      </c>
      <c r="AK112" t="s" s="44">
        <v>76</v>
      </c>
      <c r="AL112" s="15">
        <f>AM111</f>
        <v>58.4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0.901269425724364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0.320813079982324</v>
      </c>
      <c r="AG114" t="s" s="44">
        <v>94</v>
      </c>
      <c r="AH114" s="15">
        <f>AH66</f>
        <v>54.5659326439999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-792.8</v>
      </c>
      <c r="AF117" t="s" s="44">
        <v>72</v>
      </c>
      <c r="AG117" s="15">
        <f>J23</f>
        <v>47</v>
      </c>
      <c r="AH117" t="s" s="44">
        <v>72</v>
      </c>
      <c r="AI117" s="15">
        <f>J24</f>
        <v>-3763</v>
      </c>
      <c r="AJ117" t="s" s="44">
        <v>72</v>
      </c>
      <c r="AK117" s="15">
        <f>J25</f>
        <v>-267.2</v>
      </c>
      <c r="AL117" t="s" s="44">
        <v>72</v>
      </c>
      <c r="AM117" s="15">
        <f>J26</f>
        <v>-245.1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0</v>
      </c>
      <c r="AF118" t="s" s="44">
        <v>72</v>
      </c>
      <c r="AG118" s="15">
        <f>K23</f>
        <v>-1.38</v>
      </c>
      <c r="AH118" t="s" s="44">
        <v>72</v>
      </c>
      <c r="AI118" s="15">
        <f>K24</f>
        <v>0</v>
      </c>
      <c r="AJ118" t="s" s="44">
        <v>72</v>
      </c>
      <c r="AK118" s="15">
        <f>K25</f>
        <v>-85.2</v>
      </c>
      <c r="AL118" t="s" s="44">
        <v>72</v>
      </c>
      <c r="AM118" s="15">
        <f>K26</f>
        <v>-36.4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-352.4</v>
      </c>
      <c r="AG119" t="s" s="44">
        <v>76</v>
      </c>
      <c r="AH119" s="15">
        <f>AM117+AM118</f>
        <v>-281.5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-36.4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-1087.82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-36.4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37.6573168609999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200.1</v>
      </c>
      <c r="AF124" t="s" s="44">
        <v>72</v>
      </c>
      <c r="AG124" s="15">
        <f>F23</f>
        <v>245.82</v>
      </c>
      <c r="AH124" t="s" s="44">
        <v>72</v>
      </c>
      <c r="AI124" s="15">
        <f>F24</f>
        <v>1283.22</v>
      </c>
      <c r="AJ124" t="s" s="44">
        <v>72</v>
      </c>
      <c r="AK124" s="15">
        <f>F25</f>
        <v>930.8200000000001</v>
      </c>
      <c r="AL124" t="s" s="44">
        <v>72</v>
      </c>
      <c r="AM124" s="15">
        <f>F26</f>
        <v>649.3200000000001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5612</v>
      </c>
      <c r="AF125" t="s" s="44">
        <v>72</v>
      </c>
      <c r="AG125" s="15">
        <f>G23</f>
        <v>3346</v>
      </c>
      <c r="AH125" t="s" s="44">
        <v>72</v>
      </c>
      <c r="AI125" s="15">
        <f>G24</f>
        <v>3264</v>
      </c>
      <c r="AJ125" t="s" s="44">
        <v>72</v>
      </c>
      <c r="AK125" s="15">
        <f>G25</f>
        <v>3503</v>
      </c>
      <c r="AL125" t="s" s="44">
        <v>72</v>
      </c>
      <c r="AM125" s="15">
        <f>G26</f>
        <v>4284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930.8200000000001</v>
      </c>
      <c r="AH126" t="s" s="44">
        <v>76</v>
      </c>
      <c r="AI126" s="15">
        <f>AM124</f>
        <v>649.3200000000001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3503</v>
      </c>
      <c r="AH127" t="s" s="44">
        <v>76</v>
      </c>
      <c r="AI127" s="15">
        <f>AM125</f>
        <v>4284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-2572.18</v>
      </c>
      <c r="AO127" t="s" s="44">
        <v>76</v>
      </c>
      <c r="AP127" s="15">
        <f>AI126-AI127</f>
        <v>-3634.68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-41.8858534888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-1.71334297713557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-3525.936586044810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0</v>
      </c>
      <c r="AH131" t="s" s="44">
        <v>72</v>
      </c>
      <c r="AI131" s="15">
        <f>-L24</f>
        <v>0</v>
      </c>
      <c r="AJ131" t="s" s="44">
        <v>72</v>
      </c>
      <c r="AK131" s="15">
        <f>-L25</f>
        <v>0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-748.4</v>
      </c>
      <c r="AF132" t="s" s="44">
        <v>72</v>
      </c>
      <c r="AG132" s="15">
        <f>-M23</f>
        <v>-1.6</v>
      </c>
      <c r="AH132" t="s" s="44">
        <v>72</v>
      </c>
      <c r="AI132" s="15">
        <f>-M24</f>
        <v>-4800.4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490</v>
      </c>
      <c r="AF133" t="s" s="44">
        <f>IF(AG133&gt;0,"paid","(raised)")</f>
        <v>121</v>
      </c>
      <c r="AG133" s="15">
        <f>SUM(AM131:AM132)</f>
        <v>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43.5991964659356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35963.64634112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3.34084663705727</v>
      </c>
      <c r="AK134" t="s" s="44">
        <v>130</v>
      </c>
      <c r="AL134" t="s" s="44">
        <v>131</v>
      </c>
      <c r="AM134" t="s" s="44">
        <v>132</v>
      </c>
      <c r="AN134" s="15">
        <f>AH85</f>
        <v>66.44445777259649</v>
      </c>
      <c r="AO134" t="s" s="44">
        <v>133</v>
      </c>
      <c r="AP134" s="16">
        <f>-AF128/AF134</f>
        <v>0.00116467204386082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150.629267444</v>
      </c>
      <c r="AG135" t="s" s="44">
        <f>AG134</f>
        <v>372</v>
      </c>
      <c r="AH135" t="s" s="44">
        <v>136</v>
      </c>
      <c r="AI135" s="15">
        <f>AF134/AF135</f>
        <v>238.756032950172</v>
      </c>
      <c r="AJ135" t="s" s="44">
        <v>130</v>
      </c>
      <c r="AK135" t="s" s="44">
        <v>137</v>
      </c>
      <c r="AL135" t="s" s="44">
        <v>138</v>
      </c>
      <c r="AM135" s="15">
        <f>AH86</f>
        <v>100</v>
      </c>
      <c r="AN135" t="s" s="44">
        <v>139</v>
      </c>
      <c r="AO135" t="s" s="44">
        <v>140</v>
      </c>
      <c r="AP135" t="s" s="44">
        <v>141</v>
      </c>
      <c r="AQ135" s="16">
        <f>AK94</f>
        <v>-0.58116241602628</v>
      </c>
      <c r="AR135" t="s" s="44">
        <f>IF(AQ135&gt;0,"higher","lower")</f>
        <v>104</v>
      </c>
      <c r="AS135" t="s" s="44">
        <v>142</v>
      </c>
      <c r="AT135" s="15">
        <f>AI94</f>
        <v>693.176201476506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131.4</v>
      </c>
      <c r="AE137" s="15">
        <f>AG104</f>
        <v>118</v>
      </c>
      <c r="AF137" s="15">
        <f>AI104</f>
        <v>158</v>
      </c>
      <c r="AG137" s="15">
        <f>AK104</f>
        <v>108</v>
      </c>
      <c r="AH137" s="15">
        <f>AM104</f>
        <v>226.3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-792.8</v>
      </c>
      <c r="AE138" s="15">
        <f>SUM(AG117:AG118)</f>
        <v>45.62</v>
      </c>
      <c r="AF138" s="15">
        <f>SUM(AI117:AI118)</f>
        <v>-3763</v>
      </c>
      <c r="AG138" s="15">
        <f>SUM(AK117:AK118)</f>
        <v>-352.4</v>
      </c>
      <c r="AH138" s="15">
        <f>SUM(AM117:AM118)</f>
        <v>-281.5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-748.4</v>
      </c>
      <c r="AE139" s="15">
        <f>SUM(AG131:AG132)</f>
        <v>-1.6</v>
      </c>
      <c r="AF139" s="15">
        <f>SUM(AI131:AI132)</f>
        <v>-4800.4</v>
      </c>
      <c r="AG139" s="15">
        <f>SUM(AK131:AK132)</f>
        <v>0</v>
      </c>
      <c r="AH139" s="15">
        <f>SUM(AM131:AM132)</f>
        <v>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4"/>
      <c r="AE140" s="17"/>
      <c r="AF140" s="17"/>
      <c r="AG140" s="17"/>
      <c r="AH140" s="15">
        <f>AT135</f>
        <v>693.176201476506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7"/>
      <c r="AI141" s="15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B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14" customWidth="1"/>
    <col min="2" max="28" width="10.4844" style="114" customWidth="1"/>
    <col min="29" max="16384" width="16.3516" style="114" customWidth="1"/>
  </cols>
  <sheetData>
    <row r="1" ht="11.65" customHeight="1"/>
    <row r="2" ht="27.65" customHeight="1">
      <c r="B2" t="s" s="2">
        <v>491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492</v>
      </c>
      <c r="E3" t="s" s="3">
        <v>3</v>
      </c>
      <c r="F3" t="s" s="3">
        <v>4</v>
      </c>
      <c r="G3" t="s" s="3">
        <v>5</v>
      </c>
      <c r="H3" t="s" s="3">
        <v>6</v>
      </c>
      <c r="I3" t="s" s="3">
        <v>7</v>
      </c>
      <c r="J3" t="s" s="3">
        <v>8</v>
      </c>
      <c r="K3" t="s" s="3">
        <v>9</v>
      </c>
      <c r="L3" t="s" s="3">
        <v>10</v>
      </c>
      <c r="M3" t="s" s="3">
        <v>6</v>
      </c>
      <c r="N3" t="s" s="3">
        <v>11</v>
      </c>
      <c r="O3" t="s" s="3">
        <v>2</v>
      </c>
      <c r="P3" t="s" s="3">
        <v>12</v>
      </c>
      <c r="Q3" t="s" s="3">
        <v>13</v>
      </c>
      <c r="R3" t="s" s="3">
        <v>493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265</v>
      </c>
      <c r="AA3" t="s" s="3">
        <v>19</v>
      </c>
      <c r="AB3" s="5"/>
    </row>
    <row r="4" ht="20.25" customHeight="1">
      <c r="B4" s="6">
        <v>2017</v>
      </c>
      <c r="C4" s="7">
        <v>28363.4</v>
      </c>
      <c r="D4" s="8">
        <v>5242.6</v>
      </c>
      <c r="E4" s="8">
        <v>379</v>
      </c>
      <c r="F4" s="8">
        <v>6659.6</v>
      </c>
      <c r="G4" s="8">
        <v>164556.32</v>
      </c>
      <c r="H4" s="8">
        <v>851898</v>
      </c>
      <c r="I4" s="8">
        <v>996000</v>
      </c>
      <c r="J4" s="8"/>
      <c r="K4" s="8">
        <v>-14250</v>
      </c>
      <c r="L4" s="8">
        <v>2661</v>
      </c>
      <c r="M4" s="8">
        <v>-90.75</v>
      </c>
      <c r="N4" s="8">
        <v>-2621</v>
      </c>
      <c r="O4" s="9"/>
      <c r="P4" s="9"/>
      <c r="Q4" s="9"/>
      <c r="R4" s="55">
        <f>(F4+E4+D4-C4)/C4</f>
        <v>-0.567005366070358</v>
      </c>
      <c r="S4" s="9"/>
      <c r="T4" s="9"/>
      <c r="U4" s="9"/>
      <c r="V4" s="8">
        <f>-(M4+N4)</f>
        <v>2711.75</v>
      </c>
      <c r="W4" s="9"/>
      <c r="X4" s="8">
        <f>G4-H4</f>
        <v>-687341.6800000001</v>
      </c>
      <c r="Y4" s="9"/>
      <c r="Z4" s="8"/>
      <c r="AA4" s="9"/>
      <c r="AB4" s="115">
        <f>I4/H4</f>
        <v>1.16915405365431</v>
      </c>
    </row>
    <row r="5" ht="20.05" customHeight="1">
      <c r="B5" s="13"/>
      <c r="C5" s="14">
        <v>31229.4</v>
      </c>
      <c r="D5" s="15">
        <v>5511.9</v>
      </c>
      <c r="E5" s="15">
        <v>369</v>
      </c>
      <c r="F5" s="15">
        <v>6788.8</v>
      </c>
      <c r="G5" s="15">
        <v>190259.52</v>
      </c>
      <c r="H5" s="15">
        <v>876652</v>
      </c>
      <c r="I5" s="15">
        <v>1027338</v>
      </c>
      <c r="J5" s="15"/>
      <c r="K5" s="15">
        <v>26627</v>
      </c>
      <c r="L5" s="15">
        <v>-1570.8</v>
      </c>
      <c r="M5" s="15">
        <v>-90.75</v>
      </c>
      <c r="N5" s="15">
        <v>-2621</v>
      </c>
      <c r="O5" s="17"/>
      <c r="P5" s="17"/>
      <c r="Q5" s="16">
        <f>C5/C4-1</f>
        <v>0.101045713842487</v>
      </c>
      <c r="R5" s="16">
        <f>(F5+E5+D5-C5)/C5</f>
        <v>-0.5943021639865</v>
      </c>
      <c r="S5" s="17"/>
      <c r="T5" s="17"/>
      <c r="U5" s="17"/>
      <c r="V5" s="15">
        <f>-(M5+N5)+V4</f>
        <v>5423.5</v>
      </c>
      <c r="W5" s="17"/>
      <c r="X5" s="15">
        <f>G5-H5</f>
        <v>-686392.48</v>
      </c>
      <c r="Y5" s="17"/>
      <c r="Z5" s="15"/>
      <c r="AA5" s="17"/>
      <c r="AB5" s="40">
        <f>I5/H5</f>
        <v>1.17188804679622</v>
      </c>
    </row>
    <row r="6" ht="20.05" customHeight="1">
      <c r="B6" s="13"/>
      <c r="C6" s="14">
        <v>30620.7</v>
      </c>
      <c r="D6" s="15">
        <v>4772.9</v>
      </c>
      <c r="E6" s="15">
        <v>398</v>
      </c>
      <c r="F6" s="15">
        <v>7091.8</v>
      </c>
      <c r="G6" s="15">
        <v>163038.12</v>
      </c>
      <c r="H6" s="15">
        <v>880061</v>
      </c>
      <c r="I6" s="15">
        <v>1038673</v>
      </c>
      <c r="J6" s="15"/>
      <c r="K6" s="15">
        <v>-11483</v>
      </c>
      <c r="L6" s="15">
        <v>-17356.9</v>
      </c>
      <c r="M6" s="15">
        <v>-90.75</v>
      </c>
      <c r="N6" s="15">
        <v>-2621</v>
      </c>
      <c r="O6" s="17"/>
      <c r="P6" s="17"/>
      <c r="Q6" s="16">
        <f>C6/C5-1</f>
        <v>-0.0194912486310976</v>
      </c>
      <c r="R6" s="16">
        <f>(F6+E6+D6-C6)/C6</f>
        <v>-0.599529076735672</v>
      </c>
      <c r="S6" s="17"/>
      <c r="T6" s="17"/>
      <c r="U6" s="17"/>
      <c r="V6" s="15">
        <f>-(M6+N6)+V5</f>
        <v>8135.25</v>
      </c>
      <c r="W6" s="17"/>
      <c r="X6" s="15">
        <f>G6-H6</f>
        <v>-717022.88</v>
      </c>
      <c r="Y6" s="17"/>
      <c r="Z6" s="15"/>
      <c r="AA6" s="17"/>
      <c r="AB6" s="40">
        <f>I6/H6</f>
        <v>1.1802284159848</v>
      </c>
    </row>
    <row r="7" ht="20.05" customHeight="1">
      <c r="B7" s="13"/>
      <c r="C7" s="14">
        <v>31970</v>
      </c>
      <c r="D7" s="15">
        <v>1466.6</v>
      </c>
      <c r="E7" s="15">
        <v>437</v>
      </c>
      <c r="F7" s="15">
        <v>8504.799999999999</v>
      </c>
      <c r="G7" s="15">
        <v>190587.32</v>
      </c>
      <c r="H7" s="15">
        <v>959439</v>
      </c>
      <c r="I7" s="15">
        <v>1127447</v>
      </c>
      <c r="J7" s="15"/>
      <c r="K7" s="15">
        <v>38173</v>
      </c>
      <c r="L7" s="15">
        <v>-14655.3</v>
      </c>
      <c r="M7" s="15">
        <v>-90.75</v>
      </c>
      <c r="N7" s="15">
        <v>-2621</v>
      </c>
      <c r="O7" s="17"/>
      <c r="P7" s="17"/>
      <c r="Q7" s="16">
        <f>C7/C6-1</f>
        <v>0.0440649625906658</v>
      </c>
      <c r="R7" s="16">
        <f>(F7+E7+D7-C7)/C7</f>
        <v>-0.674432280262746</v>
      </c>
      <c r="S7" s="17"/>
      <c r="T7" s="17"/>
      <c r="U7" s="17"/>
      <c r="V7" s="15">
        <f>-(M7+N7)+V6</f>
        <v>10847</v>
      </c>
      <c r="W7" s="17"/>
      <c r="X7" s="15">
        <f>G7-H7</f>
        <v>-768851.6800000001</v>
      </c>
      <c r="Y7" s="17"/>
      <c r="Z7" s="116"/>
      <c r="AA7" s="17"/>
      <c r="AB7" s="40">
        <f>I7/H7</f>
        <v>1.17511066362739</v>
      </c>
    </row>
    <row r="8" ht="20.05" customHeight="1">
      <c r="B8" s="21">
        <v>2018</v>
      </c>
      <c r="C8" s="14">
        <v>31254.8</v>
      </c>
      <c r="D8" s="15">
        <v>5387</v>
      </c>
      <c r="E8" s="15">
        <v>415</v>
      </c>
      <c r="F8" s="15">
        <v>7423</v>
      </c>
      <c r="G8" s="15">
        <v>179673.32</v>
      </c>
      <c r="H8" s="15">
        <v>958606</v>
      </c>
      <c r="I8" s="15">
        <v>1119240</v>
      </c>
      <c r="J8" s="15"/>
      <c r="K8" s="15">
        <v>-8490</v>
      </c>
      <c r="L8" s="15">
        <v>11958</v>
      </c>
      <c r="M8" s="15">
        <v>492.25</v>
      </c>
      <c r="N8" s="15">
        <v>-3280.5</v>
      </c>
      <c r="O8" s="15">
        <f>SUM(C5:C8)/4</f>
        <v>31268.725</v>
      </c>
      <c r="P8" s="17"/>
      <c r="Q8" s="16">
        <f>C8/C7-1</f>
        <v>-0.0223709727869878</v>
      </c>
      <c r="R8" s="16">
        <f>(F8+E8+D8-C8)/C8</f>
        <v>-0.5768649935369931</v>
      </c>
      <c r="S8" s="17"/>
      <c r="T8" s="15">
        <f>SUM(K5:L8)/4</f>
        <v>5800.5</v>
      </c>
      <c r="U8" s="17"/>
      <c r="V8" s="15">
        <f>-(M8+N8)+V7</f>
        <v>13635.25</v>
      </c>
      <c r="W8" s="17"/>
      <c r="X8" s="15">
        <f>G8-H8</f>
        <v>-778932.6800000001</v>
      </c>
      <c r="Y8" s="117"/>
      <c r="Z8" s="118">
        <v>3600</v>
      </c>
      <c r="AA8" s="119"/>
      <c r="AB8" s="40">
        <f>I8/H8</f>
        <v>1.16757040953217</v>
      </c>
    </row>
    <row r="9" ht="20.05" customHeight="1">
      <c r="B9" s="13"/>
      <c r="C9" s="14">
        <v>32672.1</v>
      </c>
      <c r="D9" s="15">
        <v>4986.7</v>
      </c>
      <c r="E9" s="15">
        <v>403</v>
      </c>
      <c r="F9" s="15">
        <v>7516.8</v>
      </c>
      <c r="G9" s="15">
        <v>157686.92</v>
      </c>
      <c r="H9" s="15">
        <v>986548</v>
      </c>
      <c r="I9" s="15">
        <v>1153228</v>
      </c>
      <c r="J9" s="15"/>
      <c r="K9" s="15">
        <v>-2827</v>
      </c>
      <c r="L9" s="15">
        <v>-20864.9</v>
      </c>
      <c r="M9" s="15">
        <v>492.25</v>
      </c>
      <c r="N9" s="15">
        <v>-3280.5</v>
      </c>
      <c r="O9" s="15">
        <f>SUM(C6:C9)/4</f>
        <v>31629.4</v>
      </c>
      <c r="P9" s="17"/>
      <c r="Q9" s="16">
        <f>C9/C8-1</f>
        <v>0.0453466347569013</v>
      </c>
      <c r="R9" s="16">
        <f>(F9+E9+D9-C9)/C9</f>
        <v>-0.604968765399224</v>
      </c>
      <c r="S9" s="17"/>
      <c r="T9" s="15">
        <f>SUM(K6:L9)/4</f>
        <v>-6386.525</v>
      </c>
      <c r="U9" s="17"/>
      <c r="V9" s="15">
        <f>-(M9+N9)+V8</f>
        <v>16423.5</v>
      </c>
      <c r="W9" s="17"/>
      <c r="X9" s="15">
        <f>G9-H9</f>
        <v>-828861.08</v>
      </c>
      <c r="Y9" s="117"/>
      <c r="Z9" s="118">
        <v>2840</v>
      </c>
      <c r="AA9" s="119"/>
      <c r="AB9" s="40">
        <f>I9/H9</f>
        <v>1.16895275242563</v>
      </c>
    </row>
    <row r="10" ht="20.05" customHeight="1">
      <c r="B10" s="13"/>
      <c r="C10" s="14">
        <v>34827.8</v>
      </c>
      <c r="D10" s="15">
        <v>3496.1</v>
      </c>
      <c r="E10" s="15">
        <v>410</v>
      </c>
      <c r="F10" s="15">
        <v>8601</v>
      </c>
      <c r="G10" s="15">
        <v>143953.92</v>
      </c>
      <c r="H10" s="15">
        <v>1007965</v>
      </c>
      <c r="I10" s="15">
        <v>1183364</v>
      </c>
      <c r="J10" s="15"/>
      <c r="K10" s="15">
        <v>-416.9</v>
      </c>
      <c r="L10" s="15">
        <v>-9997.1</v>
      </c>
      <c r="M10" s="15">
        <v>492.25</v>
      </c>
      <c r="N10" s="15">
        <v>-3280.5</v>
      </c>
      <c r="O10" s="15">
        <f>SUM(C7:C10)/4</f>
        <v>32681.175</v>
      </c>
      <c r="P10" s="17"/>
      <c r="Q10" s="16">
        <f>C10/C9-1</f>
        <v>0.0659798421282991</v>
      </c>
      <c r="R10" s="16">
        <f>(F10+E10+D10-C10)/C10</f>
        <v>-0.640887451978018</v>
      </c>
      <c r="S10" s="17"/>
      <c r="T10" s="15">
        <f>SUM(K7:L10)/4</f>
        <v>-1780.05</v>
      </c>
      <c r="U10" s="17"/>
      <c r="V10" s="15">
        <f>-(M10+N10)+V9</f>
        <v>19211.75</v>
      </c>
      <c r="W10" s="17"/>
      <c r="X10" s="15">
        <f>G10-H10</f>
        <v>-864011.08</v>
      </c>
      <c r="Y10" s="117"/>
      <c r="Z10" s="118">
        <v>3150</v>
      </c>
      <c r="AA10" s="119"/>
      <c r="AB10" s="40">
        <f>I10/H10</f>
        <v>1.17401298656203</v>
      </c>
    </row>
    <row r="11" ht="20.05" customHeight="1">
      <c r="B11" s="13"/>
      <c r="C11" s="14">
        <v>36253.5</v>
      </c>
      <c r="D11" s="15">
        <v>3922.8</v>
      </c>
      <c r="E11" s="15">
        <v>637</v>
      </c>
      <c r="F11" s="15">
        <v>8877.6</v>
      </c>
      <c r="G11" s="15">
        <v>219778.32</v>
      </c>
      <c r="H11" s="15">
        <v>1111623</v>
      </c>
      <c r="I11" s="15">
        <v>1296898</v>
      </c>
      <c r="J11" s="15"/>
      <c r="K11" s="15">
        <v>68995.899999999994</v>
      </c>
      <c r="L11" s="15">
        <v>-8095</v>
      </c>
      <c r="M11" s="15">
        <v>492.25</v>
      </c>
      <c r="N11" s="15">
        <v>-3280.5</v>
      </c>
      <c r="O11" s="15">
        <f>SUM(C8:C11)/4</f>
        <v>33752.05</v>
      </c>
      <c r="P11" s="17"/>
      <c r="Q11" s="16">
        <f>C11/C10-1</f>
        <v>0.0409356893056696</v>
      </c>
      <c r="R11" s="16">
        <f>(F11+E11+D11-C11)/C11</f>
        <v>-0.629348890451956</v>
      </c>
      <c r="S11" s="17"/>
      <c r="T11" s="15">
        <f>SUM(K8:L11)/4</f>
        <v>7565.75</v>
      </c>
      <c r="U11" s="17"/>
      <c r="V11" s="15">
        <f>-(M11+N11)+V10</f>
        <v>22000</v>
      </c>
      <c r="W11" s="17"/>
      <c r="X11" s="15">
        <f>G11-H11</f>
        <v>-891844.6800000001</v>
      </c>
      <c r="Y11" s="117"/>
      <c r="Z11" s="118">
        <v>3660</v>
      </c>
      <c r="AA11" s="119"/>
      <c r="AB11" s="40">
        <f>I11/H11</f>
        <v>1.16667071480169</v>
      </c>
    </row>
    <row r="12" ht="20.05" customHeight="1">
      <c r="B12" s="21">
        <v>2019</v>
      </c>
      <c r="C12" s="14">
        <v>34953.5</v>
      </c>
      <c r="D12" s="15">
        <v>4786.6</v>
      </c>
      <c r="E12" s="15">
        <v>416</v>
      </c>
      <c r="F12" s="15">
        <v>8196.4</v>
      </c>
      <c r="G12" s="15">
        <v>203205.32</v>
      </c>
      <c r="H12" s="15">
        <v>1084949</v>
      </c>
      <c r="I12" s="15">
        <v>1279861</v>
      </c>
      <c r="J12" s="15"/>
      <c r="K12" s="15">
        <v>-31660</v>
      </c>
      <c r="L12" s="15">
        <v>7977</v>
      </c>
      <c r="M12" s="15">
        <v>-477.25</v>
      </c>
      <c r="N12" s="15">
        <v>-4044</v>
      </c>
      <c r="O12" s="15">
        <f>SUM(C9:C12)/4</f>
        <v>34676.725</v>
      </c>
      <c r="P12" s="17"/>
      <c r="Q12" s="16">
        <f>C12/C11-1</f>
        <v>-0.0358586067552098</v>
      </c>
      <c r="R12" s="16">
        <f>(F12+E12+D12-C12)/C12</f>
        <v>-0.616662136838943</v>
      </c>
      <c r="S12" s="17"/>
      <c r="T12" s="15">
        <f>SUM(K9:L12)/4</f>
        <v>778</v>
      </c>
      <c r="U12" s="17"/>
      <c r="V12" s="15">
        <f>-(M12+N12)+V11</f>
        <v>26521.25</v>
      </c>
      <c r="W12" s="17"/>
      <c r="X12" s="15">
        <f>G12-H12</f>
        <v>-881743.6800000001</v>
      </c>
      <c r="Y12" s="117"/>
      <c r="Z12" s="118">
        <v>4120</v>
      </c>
      <c r="AA12" s="119"/>
      <c r="AB12" s="40">
        <f>I12/H12</f>
        <v>1.17965084073076</v>
      </c>
    </row>
    <row r="13" ht="20.05" customHeight="1">
      <c r="B13" s="13"/>
      <c r="C13" s="14">
        <v>37205.5</v>
      </c>
      <c r="D13" s="15">
        <v>4997.1</v>
      </c>
      <c r="E13" s="15">
        <v>418</v>
      </c>
      <c r="F13" s="15">
        <v>7966.4</v>
      </c>
      <c r="G13" s="15">
        <v>170665.52</v>
      </c>
      <c r="H13" s="15">
        <v>1097355</v>
      </c>
      <c r="I13" s="15">
        <v>1288196</v>
      </c>
      <c r="J13" s="15"/>
      <c r="K13" s="15">
        <v>-13676.6</v>
      </c>
      <c r="L13" s="15">
        <v>9053.299999999999</v>
      </c>
      <c r="M13" s="15">
        <v>-477.25</v>
      </c>
      <c r="N13" s="15">
        <v>-4044</v>
      </c>
      <c r="O13" s="15">
        <f>SUM(C10:C13)/4</f>
        <v>35810.075</v>
      </c>
      <c r="P13" s="17"/>
      <c r="Q13" s="16">
        <f>C13/C12-1</f>
        <v>0.06442845494728711</v>
      </c>
      <c r="R13" s="16">
        <f>(F13+E13+D13-C13)/C13</f>
        <v>-0.64033543427719</v>
      </c>
      <c r="S13" s="17"/>
      <c r="T13" s="15">
        <f>SUM(K10:L13)/4</f>
        <v>5545.15</v>
      </c>
      <c r="U13" s="17"/>
      <c r="V13" s="15">
        <f>-(M13+N13)+V12</f>
        <v>31042.5</v>
      </c>
      <c r="W13" s="17"/>
      <c r="X13" s="15">
        <f>G13-H13</f>
        <v>-926689.48</v>
      </c>
      <c r="Y13" s="117"/>
      <c r="Z13" s="118">
        <v>4360</v>
      </c>
      <c r="AA13" s="119"/>
      <c r="AB13" s="40">
        <f>I13/H13</f>
        <v>1.17390999266418</v>
      </c>
    </row>
    <row r="14" ht="20.05" customHeight="1">
      <c r="B14" s="13"/>
      <c r="C14" s="14">
        <v>37541.3</v>
      </c>
      <c r="D14" s="15">
        <v>5613</v>
      </c>
      <c r="E14" s="15">
        <v>413</v>
      </c>
      <c r="F14" s="15">
        <v>8640.6</v>
      </c>
      <c r="G14" s="15">
        <v>180208.12</v>
      </c>
      <c r="H14" s="15">
        <v>1106127</v>
      </c>
      <c r="I14" s="15">
        <v>1305667</v>
      </c>
      <c r="J14" s="15"/>
      <c r="K14" s="15">
        <v>18160.9</v>
      </c>
      <c r="L14" s="15">
        <v>-5582.2</v>
      </c>
      <c r="M14" s="15">
        <v>-477.25</v>
      </c>
      <c r="N14" s="15">
        <v>-4044</v>
      </c>
      <c r="O14" s="15">
        <f>SUM(C11:C14)/4</f>
        <v>36488.45</v>
      </c>
      <c r="P14" s="17"/>
      <c r="Q14" s="16">
        <f>C14/C13-1</f>
        <v>0.00902554729811453</v>
      </c>
      <c r="R14" s="16">
        <f>(F14+E14+D14-C14)/C14</f>
        <v>-0.609320934544089</v>
      </c>
      <c r="S14" s="17"/>
      <c r="T14" s="15">
        <f>SUM(K11:L14)/4</f>
        <v>11293.325</v>
      </c>
      <c r="U14" s="17"/>
      <c r="V14" s="15">
        <f>-(M14+N14)+V13</f>
        <v>35563.75</v>
      </c>
      <c r="W14" s="17"/>
      <c r="X14" s="15">
        <f>G14-H14</f>
        <v>-925918.88</v>
      </c>
      <c r="Y14" s="117"/>
      <c r="Z14" s="118">
        <v>4120</v>
      </c>
      <c r="AA14" s="119"/>
      <c r="AB14" s="40">
        <f>I14/H14</f>
        <v>1.180395198743</v>
      </c>
    </row>
    <row r="15" ht="20.05" customHeight="1">
      <c r="B15" s="13"/>
      <c r="C15" s="14">
        <v>41505.7</v>
      </c>
      <c r="D15" s="15">
        <v>6159.3</v>
      </c>
      <c r="E15" s="15">
        <v>487</v>
      </c>
      <c r="F15" s="15">
        <v>9610.6</v>
      </c>
      <c r="G15" s="15">
        <v>241088.32</v>
      </c>
      <c r="H15" s="15">
        <v>1207975</v>
      </c>
      <c r="I15" s="15">
        <v>1416759</v>
      </c>
      <c r="J15" s="15"/>
      <c r="K15" s="15">
        <v>71758.7</v>
      </c>
      <c r="L15" s="15">
        <v>-16636.1</v>
      </c>
      <c r="M15" s="15">
        <v>-477.25</v>
      </c>
      <c r="N15" s="15">
        <v>-4044</v>
      </c>
      <c r="O15" s="15">
        <f>SUM(C12:C15)/4</f>
        <v>37801.5</v>
      </c>
      <c r="P15" s="17"/>
      <c r="Q15" s="16">
        <f>C15/C14-1</f>
        <v>0.105601031397421</v>
      </c>
      <c r="R15" s="16">
        <f>(F15+E15+D15-C15)/C15</f>
        <v>-0.608321266717583</v>
      </c>
      <c r="S15" s="17"/>
      <c r="T15" s="15">
        <f>SUM(K12:L15)/4</f>
        <v>9848.75</v>
      </c>
      <c r="U15" s="17"/>
      <c r="V15" s="15">
        <f>-(M15+N15)+V14</f>
        <v>40085</v>
      </c>
      <c r="W15" s="17"/>
      <c r="X15" s="15">
        <f>G15-H15</f>
        <v>-966886.6800000001</v>
      </c>
      <c r="Y15" s="117"/>
      <c r="Z15" s="118">
        <v>4400</v>
      </c>
      <c r="AA15" s="119"/>
      <c r="AB15" s="40">
        <f>I15/H15</f>
        <v>1.17283801403175</v>
      </c>
    </row>
    <row r="16" ht="20.05" customHeight="1">
      <c r="B16" s="21">
        <v>2020</v>
      </c>
      <c r="C16" s="14">
        <v>40860.9</v>
      </c>
      <c r="D16" s="15">
        <v>6554.6</v>
      </c>
      <c r="E16" s="15">
        <v>1123.75</v>
      </c>
      <c r="F16" s="15">
        <v>8169.9</v>
      </c>
      <c r="G16" s="15">
        <v>161299.12</v>
      </c>
      <c r="H16" s="15">
        <v>1179340</v>
      </c>
      <c r="I16" s="15">
        <v>1358979</v>
      </c>
      <c r="J16" s="15"/>
      <c r="K16" s="15">
        <v>-46613</v>
      </c>
      <c r="L16" s="15">
        <v>-2417.5</v>
      </c>
      <c r="M16" s="15">
        <v>160.5</v>
      </c>
      <c r="N16" s="15">
        <v>-5156</v>
      </c>
      <c r="O16" s="15">
        <f>SUM(C13:C16)/4</f>
        <v>39278.35</v>
      </c>
      <c r="P16" s="15"/>
      <c r="Q16" s="16">
        <f>C16/C15-1</f>
        <v>-0.0155352156450801</v>
      </c>
      <c r="R16" s="16">
        <f>(F16+E16+D16-C16)/C16</f>
        <v>-0.612141435944876</v>
      </c>
      <c r="S16" s="17"/>
      <c r="T16" s="15">
        <f>SUM(K13:L16)/4</f>
        <v>3511.875</v>
      </c>
      <c r="U16" s="17"/>
      <c r="V16" s="15">
        <f>-(M16+N16)+V15</f>
        <v>45080.5</v>
      </c>
      <c r="W16" s="17"/>
      <c r="X16" s="15">
        <f>G16-H16</f>
        <v>-1018040.88</v>
      </c>
      <c r="Y16" s="117"/>
      <c r="Z16" s="120">
        <v>3010</v>
      </c>
      <c r="AA16" s="119"/>
      <c r="AB16" s="40">
        <f>I16/H16</f>
        <v>1.15232163752607</v>
      </c>
    </row>
    <row r="17" ht="20.05" customHeight="1">
      <c r="B17" s="13"/>
      <c r="C17" s="14">
        <v>32228.6</v>
      </c>
      <c r="D17" s="15">
        <v>2913.4</v>
      </c>
      <c r="E17" s="15">
        <v>6630.75</v>
      </c>
      <c r="F17" s="15">
        <v>2031.1</v>
      </c>
      <c r="G17" s="15">
        <v>149236.32</v>
      </c>
      <c r="H17" s="15">
        <v>1199924</v>
      </c>
      <c r="I17" s="15">
        <v>1387759</v>
      </c>
      <c r="J17" s="15"/>
      <c r="K17" s="15">
        <v>10034</v>
      </c>
      <c r="L17" s="15">
        <v>-24396.5</v>
      </c>
      <c r="M17" s="15">
        <v>160.5</v>
      </c>
      <c r="N17" s="15">
        <v>-5156</v>
      </c>
      <c r="O17" s="15">
        <f>SUM(C14:C17)/4</f>
        <v>38034.125</v>
      </c>
      <c r="P17" s="15">
        <v>39058.0520828561</v>
      </c>
      <c r="Q17" s="16">
        <f>C17/C16-1</f>
        <v>-0.211260642815014</v>
      </c>
      <c r="R17" s="16">
        <f>(F17+E17+D17-C17)/C17</f>
        <v>-0.640839192518446</v>
      </c>
      <c r="S17" s="17"/>
      <c r="T17" s="15">
        <f>SUM(K14:L17)/4</f>
        <v>1077.075</v>
      </c>
      <c r="U17" s="17"/>
      <c r="V17" s="15">
        <f>-(M17+N17)+V16</f>
        <v>50076</v>
      </c>
      <c r="W17" s="17"/>
      <c r="X17" s="15">
        <f>G17-H17</f>
        <v>-1050687.68</v>
      </c>
      <c r="Y17" s="117"/>
      <c r="Z17" s="120">
        <v>3030</v>
      </c>
      <c r="AA17" s="119"/>
      <c r="AB17" s="40">
        <f>I17/H17</f>
        <v>1.15653908080845</v>
      </c>
    </row>
    <row r="18" ht="20.05" customHeight="1">
      <c r="B18" s="13"/>
      <c r="C18" s="14">
        <v>37017.85</v>
      </c>
      <c r="D18" s="15">
        <v>9073.68</v>
      </c>
      <c r="E18" s="15">
        <v>901.75</v>
      </c>
      <c r="F18" s="15">
        <v>3952.69</v>
      </c>
      <c r="G18" s="15">
        <v>139089.64</v>
      </c>
      <c r="H18" s="15">
        <v>1253180</v>
      </c>
      <c r="I18" s="15">
        <v>1447848</v>
      </c>
      <c r="J18" s="15"/>
      <c r="K18" s="15">
        <v>65627</v>
      </c>
      <c r="L18" s="15">
        <v>-71241.899999999994</v>
      </c>
      <c r="M18" s="15">
        <v>160.5</v>
      </c>
      <c r="N18" s="15">
        <v>-5156</v>
      </c>
      <c r="O18" s="15">
        <f>SUM(C15:C18)/4</f>
        <v>37903.2625</v>
      </c>
      <c r="P18" s="15">
        <v>38377.7013885707</v>
      </c>
      <c r="Q18" s="16">
        <f>C18/C17-1</f>
        <v>0.148602483508437</v>
      </c>
      <c r="R18" s="16">
        <f>(F18+E18+D18-C18)/C18</f>
        <v>-0.623745841533206</v>
      </c>
      <c r="S18" s="17"/>
      <c r="T18" s="15">
        <f>SUM(K15:L18)/4</f>
        <v>-3471.325</v>
      </c>
      <c r="U18" s="17"/>
      <c r="V18" s="15">
        <f>-(M18+N18)+V17</f>
        <v>55071.5</v>
      </c>
      <c r="W18" s="17"/>
      <c r="X18" s="15">
        <f>G18-H18</f>
        <v>-1114090.36</v>
      </c>
      <c r="Y18" s="24"/>
      <c r="Z18" s="121">
        <v>3040</v>
      </c>
      <c r="AA18" s="24"/>
      <c r="AB18" s="40">
        <f>I18/H18</f>
        <v>1.15533921703187</v>
      </c>
    </row>
    <row r="19" ht="20.05" customHeight="1">
      <c r="B19" s="13"/>
      <c r="C19" s="14">
        <v>39064.45</v>
      </c>
      <c r="D19" s="15">
        <v>12075.32</v>
      </c>
      <c r="E19" s="15">
        <v>799.75</v>
      </c>
      <c r="F19" s="15">
        <v>4506.7</v>
      </c>
      <c r="G19" s="15">
        <v>171788</v>
      </c>
      <c r="H19" s="15">
        <v>1311893</v>
      </c>
      <c r="I19" s="15">
        <v>1511805</v>
      </c>
      <c r="J19" s="15"/>
      <c r="K19" s="15">
        <v>37641.18</v>
      </c>
      <c r="L19" s="15">
        <v>-17951.9</v>
      </c>
      <c r="M19" s="15">
        <v>160.5</v>
      </c>
      <c r="N19" s="15">
        <v>-5156</v>
      </c>
      <c r="O19" s="15">
        <f>SUM(C16:C19)/4</f>
        <v>37292.95</v>
      </c>
      <c r="P19" s="15">
        <v>38620.5388738558</v>
      </c>
      <c r="Q19" s="16">
        <f>C19/C18-1</f>
        <v>0.0552868413481604</v>
      </c>
      <c r="R19" s="16">
        <f>(F19+E19+D19-C19)/C19</f>
        <v>-0.555048899958914</v>
      </c>
      <c r="S19" s="17"/>
      <c r="T19" s="15">
        <f>SUM(K16:L19)/4</f>
        <v>-12329.655</v>
      </c>
      <c r="U19" s="17"/>
      <c r="V19" s="15">
        <f>-(M19+N19)+V18</f>
        <v>60067</v>
      </c>
      <c r="W19" s="17"/>
      <c r="X19" s="15">
        <f>G19-H19</f>
        <v>-1140105</v>
      </c>
      <c r="Y19" s="24"/>
      <c r="Z19" s="15">
        <v>4170</v>
      </c>
      <c r="AA19" s="24"/>
      <c r="AB19" s="40">
        <f>I19/H19</f>
        <v>1.15238437890895</v>
      </c>
    </row>
    <row r="20" ht="20.05" customHeight="1">
      <c r="B20" s="21">
        <v>2021</v>
      </c>
      <c r="C20" s="14">
        <v>39588</v>
      </c>
      <c r="D20" s="15">
        <v>8600.1</v>
      </c>
      <c r="E20" s="15">
        <v>689.75</v>
      </c>
      <c r="F20" s="15">
        <v>6860.1</v>
      </c>
      <c r="G20" s="15">
        <v>150025.1</v>
      </c>
      <c r="H20" s="15">
        <v>1216288</v>
      </c>
      <c r="I20" s="15">
        <v>1411052</v>
      </c>
      <c r="J20" s="15"/>
      <c r="K20" s="15">
        <v>-34265.4</v>
      </c>
      <c r="L20" s="15">
        <v>16253.1</v>
      </c>
      <c r="M20" s="15">
        <v>-927</v>
      </c>
      <c r="N20" s="15">
        <v>0</v>
      </c>
      <c r="O20" s="15">
        <f>SUM(C17:C20)/4</f>
        <v>36974.725</v>
      </c>
      <c r="P20" s="15">
        <v>38299.6527074278</v>
      </c>
      <c r="Q20" s="16">
        <f>C20/C19-1</f>
        <v>0.0134022109616288</v>
      </c>
      <c r="R20" s="16">
        <f>(F20+E20+D20-C20)/C20</f>
        <v>-0.592049358391432</v>
      </c>
      <c r="S20" s="17"/>
      <c r="T20" s="15">
        <f>SUM(K17:L20)/4</f>
        <v>-4575.105</v>
      </c>
      <c r="U20" s="17"/>
      <c r="V20" s="15">
        <f>-(M20+N20)+V19</f>
        <v>60994</v>
      </c>
      <c r="W20" s="17"/>
      <c r="X20" s="15">
        <f>G20-H20</f>
        <v>-1066262.9</v>
      </c>
      <c r="Y20" s="15"/>
      <c r="Z20" s="15">
        <v>4296.384766</v>
      </c>
      <c r="AA20" s="15"/>
      <c r="AB20" s="40">
        <f>I20/H20</f>
        <v>1.16012983767003</v>
      </c>
    </row>
    <row r="21" ht="20.05" customHeight="1">
      <c r="B21" s="13"/>
      <c r="C21" s="14">
        <v>40033.5</v>
      </c>
      <c r="D21" s="15">
        <v>10241.8</v>
      </c>
      <c r="E21" s="15">
        <v>689.75</v>
      </c>
      <c r="F21" s="15">
        <v>5679.7</v>
      </c>
      <c r="G21" s="15">
        <v>169941.4</v>
      </c>
      <c r="H21" s="15">
        <v>1250704</v>
      </c>
      <c r="I21" s="15">
        <v>1450907</v>
      </c>
      <c r="J21" s="15"/>
      <c r="K21" s="15">
        <v>47491.5</v>
      </c>
      <c r="L21" s="15">
        <v>-13764</v>
      </c>
      <c r="M21" s="15">
        <v>-135</v>
      </c>
      <c r="N21" s="15">
        <v>-12156</v>
      </c>
      <c r="O21" s="15">
        <f>SUM(C18:C21)/4</f>
        <v>38925.95</v>
      </c>
      <c r="P21" s="15">
        <v>39550.419691187</v>
      </c>
      <c r="Q21" s="16">
        <f>C21/C20-1</f>
        <v>0.0112534101242801</v>
      </c>
      <c r="R21" s="16">
        <f>(F21+E21+D21-C21)/C21</f>
        <v>-0.585066257009754</v>
      </c>
      <c r="S21" s="17"/>
      <c r="T21" s="15">
        <f>SUM(K18:L21)/4</f>
        <v>7447.395</v>
      </c>
      <c r="U21" s="17"/>
      <c r="V21" s="15">
        <f>-(M21+N21)+V20</f>
        <v>73285</v>
      </c>
      <c r="W21" s="17"/>
      <c r="X21" s="15">
        <f>G21-H21</f>
        <v>-1080762.6</v>
      </c>
      <c r="Y21" s="15"/>
      <c r="Z21" s="15">
        <v>3940</v>
      </c>
      <c r="AA21" s="15"/>
      <c r="AB21" s="40">
        <f>I21/H21</f>
        <v>1.16007224731031</v>
      </c>
    </row>
    <row r="22" ht="20.05" customHeight="1">
      <c r="B22" s="13"/>
      <c r="C22" s="14">
        <v>41496.3</v>
      </c>
      <c r="D22" s="15">
        <v>8756.799999999999</v>
      </c>
      <c r="E22" s="15">
        <v>689.75</v>
      </c>
      <c r="F22" s="15">
        <v>6530.2</v>
      </c>
      <c r="G22" s="15">
        <v>167072.7</v>
      </c>
      <c r="H22" s="15">
        <v>1339489</v>
      </c>
      <c r="I22" s="15">
        <v>1619772</v>
      </c>
      <c r="J22" s="15"/>
      <c r="K22" s="15">
        <v>2009.5</v>
      </c>
      <c r="L22" s="15">
        <v>-40213.6</v>
      </c>
      <c r="M22" s="15">
        <v>-5724</v>
      </c>
      <c r="N22" s="15">
        <v>41059</v>
      </c>
      <c r="O22" s="15">
        <f>SUM(C19:C22)/4</f>
        <v>40045.5625</v>
      </c>
      <c r="P22" s="23">
        <v>40304.544691187</v>
      </c>
      <c r="Q22" s="16">
        <f>C22/C21-1</f>
        <v>0.0365393982539623</v>
      </c>
      <c r="R22" s="16">
        <f>(F22+E22+D22-C22)/C22</f>
        <v>-0.614983745538759</v>
      </c>
      <c r="S22" s="17"/>
      <c r="T22" s="15">
        <f>SUM(K19:L22)/4</f>
        <v>-699.905</v>
      </c>
      <c r="U22" s="17"/>
      <c r="V22" s="15">
        <f>-(M22+N22)+V21</f>
        <v>37950</v>
      </c>
      <c r="W22" s="17"/>
      <c r="X22" s="15">
        <f>G22-H22</f>
        <v>-1172416.3</v>
      </c>
      <c r="Y22" s="15"/>
      <c r="Z22" s="15">
        <v>3850</v>
      </c>
      <c r="AA22" s="15"/>
      <c r="AB22" s="40">
        <f>I22/H22</f>
        <v>1.20924621254822</v>
      </c>
    </row>
    <row r="23" ht="20.05" customHeight="1">
      <c r="B23" s="13"/>
      <c r="C23" s="14">
        <v>46457.2</v>
      </c>
      <c r="D23" s="15">
        <v>11691.3</v>
      </c>
      <c r="E23" s="15">
        <v>689.75</v>
      </c>
      <c r="F23" s="15">
        <v>11686</v>
      </c>
      <c r="G23" s="15">
        <v>153924</v>
      </c>
      <c r="H23" s="15">
        <v>1386311</v>
      </c>
      <c r="I23" s="15">
        <v>1678098</v>
      </c>
      <c r="J23" s="15"/>
      <c r="K23" s="15">
        <v>17352.4</v>
      </c>
      <c r="L23" s="15">
        <v>-35371.5</v>
      </c>
      <c r="M23" s="15">
        <v>2557</v>
      </c>
      <c r="N23" s="15">
        <v>30</v>
      </c>
      <c r="O23" s="15">
        <f>SUM(C20:C23)/4</f>
        <v>41893.75</v>
      </c>
      <c r="P23" s="23">
        <v>41360.0606087592</v>
      </c>
      <c r="Q23" s="16">
        <f>C23/C22-1</f>
        <v>0.119550417748088</v>
      </c>
      <c r="R23" s="16">
        <f>(F23+E23+D23-C23)/C23</f>
        <v>-0.481952205470842</v>
      </c>
      <c r="S23" s="17"/>
      <c r="T23" s="15">
        <f>SUM(K20:L23)/4</f>
        <v>-10127</v>
      </c>
      <c r="U23" s="17"/>
      <c r="V23" s="15">
        <f>-(M23+N23)+V22</f>
        <v>35363</v>
      </c>
      <c r="W23" s="17"/>
      <c r="X23" s="15">
        <f>G23-H23</f>
        <v>-1232387</v>
      </c>
      <c r="Y23" s="15"/>
      <c r="Z23" s="15">
        <v>4110</v>
      </c>
      <c r="AA23" s="15">
        <v>5468</v>
      </c>
      <c r="AB23" s="40">
        <f>I23/H23</f>
        <v>1.21047730271202</v>
      </c>
    </row>
    <row r="24" ht="20.05" customHeight="1">
      <c r="B24" s="21">
        <v>2022</v>
      </c>
      <c r="C24" s="14">
        <f>C29</f>
        <v>44051</v>
      </c>
      <c r="D24" s="15">
        <v>7474.4</v>
      </c>
      <c r="E24" s="15">
        <f>E31/3</f>
        <v>981.666666666667</v>
      </c>
      <c r="F24" s="15">
        <v>12219.6</v>
      </c>
      <c r="G24" s="15">
        <v>144483</v>
      </c>
      <c r="H24" s="15">
        <v>1374293</v>
      </c>
      <c r="I24" s="15">
        <v>1650279</v>
      </c>
      <c r="J24" s="15">
        <f>J29</f>
        <v>48818</v>
      </c>
      <c r="K24" s="15">
        <v>-32640.9</v>
      </c>
      <c r="L24" s="15">
        <v>26169.7</v>
      </c>
      <c r="M24" s="15">
        <v>-3162</v>
      </c>
      <c r="N24" s="15">
        <v>0</v>
      </c>
      <c r="O24" s="15">
        <f>SUM(C21:C24)/4</f>
        <v>43009.5</v>
      </c>
      <c r="P24" s="23">
        <v>42878.3009837592</v>
      </c>
      <c r="Q24" s="16">
        <f>C24/C23-1</f>
        <v>-0.051793909232584</v>
      </c>
      <c r="R24" s="16">
        <f>(F24+E24+D24-C24)/C24</f>
        <v>-0.53064251284496</v>
      </c>
      <c r="S24" s="16"/>
      <c r="T24" s="15">
        <f>SUM(K21:L24)/4</f>
        <v>-7241.725</v>
      </c>
      <c r="U24" s="15"/>
      <c r="V24" s="15">
        <f>-(M24+N24)+V23</f>
        <v>38525</v>
      </c>
      <c r="W24" s="15"/>
      <c r="X24" s="15">
        <f>G24-H24</f>
        <v>-1229810</v>
      </c>
      <c r="Y24" s="15"/>
      <c r="Z24" s="15">
        <v>4660</v>
      </c>
      <c r="AA24" s="15">
        <v>5167.503047202740</v>
      </c>
      <c r="AB24" s="40">
        <f>I24/H24</f>
        <v>1.20082034908131</v>
      </c>
    </row>
    <row r="25" ht="20.05" customHeight="1">
      <c r="B25" s="13"/>
      <c r="C25" s="14">
        <f>C30-C29</f>
        <v>46806</v>
      </c>
      <c r="D25" s="15">
        <v>9451.1</v>
      </c>
      <c r="E25" s="15">
        <f>E24</f>
        <v>981.666666666667</v>
      </c>
      <c r="F25" s="15">
        <v>12656.7</v>
      </c>
      <c r="G25" s="15">
        <v>149593</v>
      </c>
      <c r="H25" s="15">
        <v>1366573</v>
      </c>
      <c r="I25" s="15">
        <v>1652838</v>
      </c>
      <c r="J25" s="15">
        <f>J30-J29</f>
        <v>51606</v>
      </c>
      <c r="K25" s="15">
        <v>16761.9</v>
      </c>
      <c r="L25" s="15">
        <v>13898.8</v>
      </c>
      <c r="M25" s="15">
        <v>1588.6</v>
      </c>
      <c r="N25" s="15">
        <v>-26993.9</v>
      </c>
      <c r="O25" s="15">
        <f>SUM(C22:C25)/4</f>
        <v>44702.625</v>
      </c>
      <c r="P25" s="23">
        <v>45274.50975</v>
      </c>
      <c r="Q25" s="16">
        <f>C25/C24-1</f>
        <v>0.0625411454904542</v>
      </c>
      <c r="R25" s="16">
        <f>(F25+E25+D25-C25)/C25</f>
        <v>-0.5066985714082241</v>
      </c>
      <c r="S25" s="16">
        <v>-0.589454576748114</v>
      </c>
      <c r="T25" s="15">
        <f>SUM(K22:L25)/4</f>
        <v>-8008.425</v>
      </c>
      <c r="U25" s="15">
        <v>20462.64754304</v>
      </c>
      <c r="V25" s="15">
        <f>-(M25+N25)+V24</f>
        <v>63930.3</v>
      </c>
      <c r="W25" s="15"/>
      <c r="X25" s="15">
        <f>G25-H25</f>
        <v>-1216980</v>
      </c>
      <c r="Y25" s="15"/>
      <c r="Z25" s="15">
        <v>4150</v>
      </c>
      <c r="AA25" s="15">
        <v>5940.787351178430</v>
      </c>
      <c r="AB25" s="40">
        <f>I25/H25</f>
        <v>1.20947655192953</v>
      </c>
    </row>
    <row r="26" ht="20.05" customHeight="1">
      <c r="B26" s="13"/>
      <c r="C26" s="14">
        <f>C31-C30</f>
        <v>44709</v>
      </c>
      <c r="D26" s="15">
        <f>D31-D25-D24</f>
        <v>7701.5</v>
      </c>
      <c r="E26" s="15">
        <f>E25</f>
        <v>981.666666666667</v>
      </c>
      <c r="F26" s="15">
        <f>F31-F25-F24</f>
        <v>14434.7</v>
      </c>
      <c r="G26" s="15">
        <f>G31</f>
        <v>161150</v>
      </c>
      <c r="H26" s="15">
        <f>H31</f>
        <v>1384269</v>
      </c>
      <c r="I26" s="15">
        <f>I31</f>
        <v>1684604</v>
      </c>
      <c r="J26" s="15">
        <f>J31-J30</f>
        <v>48398</v>
      </c>
      <c r="K26" s="15">
        <f>K31-K25-K24</f>
        <v>10769</v>
      </c>
      <c r="L26" s="15">
        <f>L31-L25-L24</f>
        <v>-2066.5</v>
      </c>
      <c r="M26" s="15">
        <f>M31-M25-M24</f>
        <v>1944.4</v>
      </c>
      <c r="N26" s="15">
        <f>N31-N25-N24</f>
        <v>586.9</v>
      </c>
      <c r="O26" s="15">
        <f>SUM(C23:C26)/4</f>
        <v>45505.8</v>
      </c>
      <c r="P26" s="23">
        <v>45274.50975</v>
      </c>
      <c r="Q26" s="16">
        <f>C26/C25-1</f>
        <v>-0.0448019484681451</v>
      </c>
      <c r="R26" s="16">
        <f>(F26+E26+D26-C26)/C26</f>
        <v>-0.48292588367741</v>
      </c>
      <c r="S26" s="16">
        <v>-0.562439225081225</v>
      </c>
      <c r="T26" s="15">
        <f>SUM(K23:L26)/4</f>
        <v>3718.225</v>
      </c>
      <c r="U26" s="15">
        <v>21297.8173036597</v>
      </c>
      <c r="V26" s="15">
        <f>-(M26+N26)+V25</f>
        <v>61399</v>
      </c>
      <c r="W26" s="15">
        <f>V26</f>
        <v>61399</v>
      </c>
      <c r="X26" s="15">
        <f>G26-H26</f>
        <v>-1223119</v>
      </c>
      <c r="Y26" s="15">
        <f>X26</f>
        <v>-1223119</v>
      </c>
      <c r="Z26" s="15">
        <v>4490</v>
      </c>
      <c r="AA26" s="15">
        <v>6353.322724738090</v>
      </c>
      <c r="AB26" s="40">
        <f>I26/H26</f>
        <v>1.21696288799359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7"/>
      <c r="P27" s="17">
        <f>AVERAGE(#REF!)</f>
      </c>
      <c r="Q27" s="17"/>
      <c r="R27" s="17"/>
      <c r="S27" s="17">
        <f>#REF!</f>
      </c>
      <c r="T27" s="17"/>
      <c r="U27" s="17">
        <f>SUM(#REF!)/4</f>
      </c>
      <c r="V27" s="17"/>
      <c r="W27" s="17">
        <f>-SUM(#REF!)+V26</f>
      </c>
      <c r="X27" s="17"/>
      <c r="Y27" s="15">
        <f>#REF!</f>
      </c>
      <c r="Z27" s="15">
        <v>4480</v>
      </c>
      <c r="AA27" s="15">
        <v>6189.426572366740</v>
      </c>
      <c r="AB27" s="15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#REF!</f>
      </c>
      <c r="AB28" s="15"/>
    </row>
    <row r="29" ht="20.05" customHeight="1">
      <c r="B29" s="13"/>
      <c r="C29" s="14">
        <f>36732+2761+4558</f>
        <v>44051</v>
      </c>
      <c r="D29" s="15"/>
      <c r="E29" s="15"/>
      <c r="F29" s="15"/>
      <c r="G29" s="15"/>
      <c r="H29" s="15"/>
      <c r="I29" s="15"/>
      <c r="J29" s="15">
        <f>34167+565+2761+2363+8962</f>
        <v>48818</v>
      </c>
      <c r="K29" s="15"/>
      <c r="L29" s="15"/>
      <c r="M29" s="15"/>
      <c r="N29" s="15"/>
      <c r="O29" s="15">
        <f>SUM(O17:O26)</f>
        <v>404288.25</v>
      </c>
      <c r="P29" s="15">
        <f>SUM(P17:P26)</f>
        <v>408998.290527603</v>
      </c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20.05" customHeight="1">
      <c r="B30" s="13"/>
      <c r="C30" s="14">
        <f>76861+4629+9367</f>
        <v>90857</v>
      </c>
      <c r="D30" s="15"/>
      <c r="E30" s="15"/>
      <c r="F30" s="15"/>
      <c r="G30" s="15"/>
      <c r="H30" s="15"/>
      <c r="I30" s="15"/>
      <c r="J30" s="15">
        <f>69953+4335+4629+5079+16428</f>
        <v>100424</v>
      </c>
      <c r="K30" s="15"/>
      <c r="L30" s="15"/>
      <c r="M30" s="15"/>
      <c r="N30" s="15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20.05" customHeight="1">
      <c r="B31" s="13"/>
      <c r="C31" s="14">
        <f>115252+6444+13870</f>
        <v>135566</v>
      </c>
      <c r="D31" s="15">
        <v>24627</v>
      </c>
      <c r="E31" s="15">
        <v>2945</v>
      </c>
      <c r="F31" s="15">
        <v>39311</v>
      </c>
      <c r="G31" s="15">
        <v>161150</v>
      </c>
      <c r="H31" s="15">
        <v>1384269</v>
      </c>
      <c r="I31" s="15">
        <v>1684604</v>
      </c>
      <c r="J31" s="15">
        <f>107095+1703+6444+8696+24884</f>
        <v>148822</v>
      </c>
      <c r="K31" s="15">
        <v>-5110</v>
      </c>
      <c r="L31" s="15">
        <v>38002</v>
      </c>
      <c r="M31" s="15">
        <f>-26036-N31</f>
        <v>371</v>
      </c>
      <c r="N31" s="15">
        <v>-26407</v>
      </c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</sheetData>
  <mergeCells count="1">
    <mergeCell ref="B2:AB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22" customWidth="1"/>
    <col min="2" max="28" width="10.4844" style="122" customWidth="1"/>
    <col min="29" max="29" width="18.9766" style="123" customWidth="1"/>
    <col min="30" max="48" width="9" style="123" customWidth="1"/>
    <col min="49" max="16384" width="16.3516" style="123" customWidth="1"/>
  </cols>
  <sheetData>
    <row r="1" ht="11.65" customHeight="1"/>
    <row r="2" ht="27.65" customHeight="1">
      <c r="B2" t="s" s="2">
        <v>494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166</v>
      </c>
      <c r="AA3" t="s" s="3">
        <v>19</v>
      </c>
      <c r="AB3" t="s" s="3">
        <v>20</v>
      </c>
    </row>
    <row r="4" ht="20.25" customHeight="1">
      <c r="B4" s="6">
        <v>2017</v>
      </c>
      <c r="C4" s="65">
        <v>0</v>
      </c>
      <c r="D4" s="59">
        <v>0</v>
      </c>
      <c r="E4" s="59">
        <v>0</v>
      </c>
      <c r="F4" s="59">
        <v>0</v>
      </c>
      <c r="G4" s="59">
        <v>0</v>
      </c>
      <c r="H4" s="59">
        <v>0</v>
      </c>
      <c r="I4" s="59">
        <v>0</v>
      </c>
      <c r="J4" s="59">
        <v>0</v>
      </c>
      <c r="K4" s="59">
        <v>0</v>
      </c>
      <c r="L4" s="59">
        <v>0</v>
      </c>
      <c r="M4" s="59">
        <v>0</v>
      </c>
      <c r="N4" s="59"/>
      <c r="O4" s="59"/>
      <c r="P4" s="9"/>
      <c r="Q4" s="9"/>
      <c r="R4" s="9"/>
      <c r="S4" s="9"/>
      <c r="T4" s="9"/>
      <c r="U4" s="9"/>
      <c r="V4" s="59">
        <f>-(L4+M4)</f>
        <v>0</v>
      </c>
      <c r="W4" s="9"/>
      <c r="X4" s="59">
        <f>F4-G4</f>
        <v>0</v>
      </c>
      <c r="Y4" s="9"/>
      <c r="Z4" s="66"/>
      <c r="AA4" s="11"/>
      <c r="AB4" s="12">
        <v>13.3</v>
      </c>
    </row>
    <row r="5" ht="20.05" customHeight="1">
      <c r="B5" s="13"/>
      <c r="C5" s="67">
        <v>0</v>
      </c>
      <c r="D5" s="26">
        <v>0</v>
      </c>
      <c r="E5" s="26">
        <v>0</v>
      </c>
      <c r="F5" s="26">
        <v>0</v>
      </c>
      <c r="G5" s="26">
        <v>0</v>
      </c>
      <c r="H5" s="26">
        <v>0</v>
      </c>
      <c r="I5" s="26">
        <v>0</v>
      </c>
      <c r="J5" s="26">
        <v>0</v>
      </c>
      <c r="K5" s="26">
        <v>0</v>
      </c>
      <c r="L5" s="26">
        <v>0</v>
      </c>
      <c r="M5" s="26">
        <v>0</v>
      </c>
      <c r="N5" s="26"/>
      <c r="O5" s="26"/>
      <c r="P5" s="16"/>
      <c r="Q5" s="17"/>
      <c r="R5" s="17"/>
      <c r="S5" s="17"/>
      <c r="T5" s="17"/>
      <c r="U5" s="17"/>
      <c r="V5" s="26">
        <f>-(L5+M5)+V4</f>
        <v>0</v>
      </c>
      <c r="W5" s="17"/>
      <c r="X5" s="26">
        <f>F5-G5</f>
        <v>0</v>
      </c>
      <c r="Y5" s="17"/>
      <c r="Z5" s="68"/>
      <c r="AA5" s="19"/>
      <c r="AB5" s="20">
        <v>13.327</v>
      </c>
    </row>
    <row r="6" ht="20.05" customHeight="1">
      <c r="B6" s="13"/>
      <c r="C6" s="67">
        <v>0</v>
      </c>
      <c r="D6" s="26">
        <v>0</v>
      </c>
      <c r="E6" s="26">
        <v>0</v>
      </c>
      <c r="F6" s="26">
        <v>0</v>
      </c>
      <c r="G6" s="26">
        <v>0</v>
      </c>
      <c r="H6" s="26">
        <v>0</v>
      </c>
      <c r="I6" s="26">
        <v>0</v>
      </c>
      <c r="J6" s="26">
        <v>0</v>
      </c>
      <c r="K6" s="26">
        <v>0</v>
      </c>
      <c r="L6" s="26">
        <v>0</v>
      </c>
      <c r="M6" s="26">
        <v>0</v>
      </c>
      <c r="N6" s="26"/>
      <c r="O6" s="26"/>
      <c r="P6" s="16"/>
      <c r="Q6" s="17"/>
      <c r="R6" s="17"/>
      <c r="S6" s="17"/>
      <c r="T6" s="17"/>
      <c r="U6" s="17"/>
      <c r="V6" s="26">
        <f>-(L6+M6)+V5</f>
        <v>0</v>
      </c>
      <c r="W6" s="17"/>
      <c r="X6" s="26">
        <f>F6-G6</f>
        <v>0</v>
      </c>
      <c r="Y6" s="17"/>
      <c r="Z6" s="69"/>
      <c r="AA6" s="19"/>
      <c r="AB6" s="20">
        <v>13.305</v>
      </c>
    </row>
    <row r="7" ht="20.05" customHeight="1">
      <c r="B7" s="13"/>
      <c r="C7" s="67">
        <v>0</v>
      </c>
      <c r="D7" s="26">
        <v>0</v>
      </c>
      <c r="E7" s="26">
        <v>0</v>
      </c>
      <c r="F7" s="26">
        <v>0</v>
      </c>
      <c r="G7" s="26">
        <v>0</v>
      </c>
      <c r="H7" s="26">
        <v>0</v>
      </c>
      <c r="I7" s="26">
        <v>0</v>
      </c>
      <c r="J7" s="26">
        <v>0</v>
      </c>
      <c r="K7" s="26">
        <v>0</v>
      </c>
      <c r="L7" s="26">
        <v>0</v>
      </c>
      <c r="M7" s="26">
        <v>0</v>
      </c>
      <c r="N7" s="26"/>
      <c r="O7" s="26"/>
      <c r="P7" s="16"/>
      <c r="Q7" s="17"/>
      <c r="R7" s="17"/>
      <c r="S7" s="17"/>
      <c r="T7" s="17"/>
      <c r="U7" s="17"/>
      <c r="V7" s="26">
        <f>-(L7+M7)+V6</f>
        <v>0</v>
      </c>
      <c r="W7" s="17"/>
      <c r="X7" s="26">
        <f>F7-G7</f>
        <v>0</v>
      </c>
      <c r="Y7" s="17"/>
      <c r="Z7" s="69"/>
      <c r="AA7" s="19"/>
      <c r="AB7" s="20">
        <v>13.557</v>
      </c>
    </row>
    <row r="8" ht="20.05" customHeight="1">
      <c r="B8" s="21">
        <v>2018</v>
      </c>
      <c r="C8" s="67">
        <v>2475</v>
      </c>
      <c r="D8" s="26">
        <v>391.5</v>
      </c>
      <c r="E8" s="26">
        <v>-0.8</v>
      </c>
      <c r="F8" s="26">
        <v>2432</v>
      </c>
      <c r="G8" s="26">
        <v>32194</v>
      </c>
      <c r="H8" s="26">
        <v>56385</v>
      </c>
      <c r="I8" s="26">
        <v>3171</v>
      </c>
      <c r="J8" s="26">
        <v>-285</v>
      </c>
      <c r="K8" s="26">
        <v>-381</v>
      </c>
      <c r="L8" s="26">
        <v>451</v>
      </c>
      <c r="M8" s="26">
        <v>-54</v>
      </c>
      <c r="N8" s="26">
        <f>SUM(C5:C8)/4</f>
        <v>618.75</v>
      </c>
      <c r="O8" s="26"/>
      <c r="P8" s="16"/>
      <c r="Q8" s="16"/>
      <c r="R8" s="16"/>
      <c r="S8" s="17"/>
      <c r="T8" s="26">
        <f>SUM(J5:K8)/4</f>
        <v>-166.5</v>
      </c>
      <c r="U8" s="25"/>
      <c r="V8" s="26">
        <f>-(L8+M8)+V7</f>
        <v>-397</v>
      </c>
      <c r="W8" s="17"/>
      <c r="X8" s="26">
        <f>F8-G8</f>
        <v>-29762</v>
      </c>
      <c r="Y8" s="24"/>
      <c r="Z8" s="26">
        <v>112</v>
      </c>
      <c r="AA8" s="22"/>
      <c r="AB8" s="20">
        <v>13.761</v>
      </c>
    </row>
    <row r="9" ht="20.05" customHeight="1">
      <c r="B9" s="13"/>
      <c r="C9" s="67">
        <v>4689</v>
      </c>
      <c r="D9" s="26">
        <v>391.5</v>
      </c>
      <c r="E9" s="26">
        <v>89.8</v>
      </c>
      <c r="F9" s="26">
        <v>2259</v>
      </c>
      <c r="G9" s="26">
        <v>29707</v>
      </c>
      <c r="H9" s="26">
        <v>55838</v>
      </c>
      <c r="I9" s="26">
        <v>3656</v>
      </c>
      <c r="J9" s="26">
        <v>-444</v>
      </c>
      <c r="K9" s="26">
        <v>453</v>
      </c>
      <c r="L9" s="26">
        <v>-919</v>
      </c>
      <c r="M9" s="26">
        <v>738</v>
      </c>
      <c r="N9" s="26">
        <f>SUM(C6:C9)/4</f>
        <v>1791</v>
      </c>
      <c r="O9" s="26"/>
      <c r="P9" s="16"/>
      <c r="Q9" s="16">
        <f>(E9+D9)/C9</f>
        <v>0.102644487097462</v>
      </c>
      <c r="R9" s="16"/>
      <c r="S9" s="17"/>
      <c r="T9" s="26">
        <f>SUM(J6:K9)/4</f>
        <v>-164.25</v>
      </c>
      <c r="U9" s="25"/>
      <c r="V9" s="26">
        <f>-(L9+M9)+V8</f>
        <v>-216</v>
      </c>
      <c r="W9" s="17"/>
      <c r="X9" s="26">
        <f>F9-G9</f>
        <v>-27448</v>
      </c>
      <c r="Y9" s="24"/>
      <c r="Z9" s="26">
        <v>103</v>
      </c>
      <c r="AA9" s="22"/>
      <c r="AB9" s="20">
        <v>14</v>
      </c>
    </row>
    <row r="10" ht="20.05" customHeight="1">
      <c r="B10" s="13"/>
      <c r="C10" s="67">
        <v>3688</v>
      </c>
      <c r="D10" s="26">
        <v>391.5</v>
      </c>
      <c r="E10" s="26">
        <v>74</v>
      </c>
      <c r="F10" s="26">
        <v>1916</v>
      </c>
      <c r="G10" s="26">
        <v>30471</v>
      </c>
      <c r="H10" s="26">
        <v>56196</v>
      </c>
      <c r="I10" s="26">
        <v>3827</v>
      </c>
      <c r="J10" s="26">
        <v>724</v>
      </c>
      <c r="K10" s="26">
        <v>-1012</v>
      </c>
      <c r="L10" s="26">
        <v>1</v>
      </c>
      <c r="M10" s="26">
        <v>-57</v>
      </c>
      <c r="N10" s="26">
        <f>SUM(C7:C10)/4</f>
        <v>2713</v>
      </c>
      <c r="O10" s="26"/>
      <c r="P10" s="16">
        <f>C10/C9-1</f>
        <v>-0.213478353593517</v>
      </c>
      <c r="Q10" s="16">
        <f>(E10+D10)/C10</f>
        <v>0.126220173535792</v>
      </c>
      <c r="R10" s="16"/>
      <c r="S10" s="17"/>
      <c r="T10" s="26">
        <f>SUM(J7:K10)/4</f>
        <v>-236.25</v>
      </c>
      <c r="U10" s="25"/>
      <c r="V10" s="26">
        <f>-(L10+M10)+V9</f>
        <v>-160</v>
      </c>
      <c r="W10" s="17"/>
      <c r="X10" s="26">
        <f>F10-G10</f>
        <v>-28555</v>
      </c>
      <c r="Y10" s="24"/>
      <c r="Z10" s="26">
        <v>87</v>
      </c>
      <c r="AA10" s="22"/>
      <c r="AB10" s="20">
        <v>14.902</v>
      </c>
    </row>
    <row r="11" ht="20.05" customHeight="1">
      <c r="B11" s="13"/>
      <c r="C11" s="67">
        <v>3874</v>
      </c>
      <c r="D11" s="26">
        <v>391.5</v>
      </c>
      <c r="E11" s="26">
        <v>782</v>
      </c>
      <c r="F11" s="26">
        <v>2273</v>
      </c>
      <c r="G11" s="26">
        <v>31925</v>
      </c>
      <c r="H11" s="26">
        <v>56422</v>
      </c>
      <c r="I11" s="26">
        <v>5309</v>
      </c>
      <c r="J11" s="26">
        <v>2309</v>
      </c>
      <c r="K11" s="26">
        <v>-2248</v>
      </c>
      <c r="L11" s="26">
        <v>965</v>
      </c>
      <c r="M11" s="26">
        <v>-668</v>
      </c>
      <c r="N11" s="26">
        <f>SUM(C8:C11)/4</f>
        <v>3681.5</v>
      </c>
      <c r="O11" s="26"/>
      <c r="P11" s="16">
        <f>C11/C10-1</f>
        <v>0.0504338394793926</v>
      </c>
      <c r="Q11" s="16">
        <f>(E11+D11)/C11</f>
        <v>0.302916881775942</v>
      </c>
      <c r="R11" s="16"/>
      <c r="S11" s="17"/>
      <c r="T11" s="26">
        <f>SUM(J8:K11)/4</f>
        <v>-221</v>
      </c>
      <c r="U11" s="25"/>
      <c r="V11" s="26">
        <f>-(L11+M11)+V10</f>
        <v>-457</v>
      </c>
      <c r="W11" s="17"/>
      <c r="X11" s="26">
        <f>F11-G11</f>
        <v>-29652</v>
      </c>
      <c r="Y11" s="24"/>
      <c r="Z11" s="26">
        <v>58</v>
      </c>
      <c r="AA11" s="22"/>
      <c r="AB11" s="20">
        <v>14.38</v>
      </c>
    </row>
    <row r="12" ht="20.05" customHeight="1">
      <c r="B12" s="21">
        <v>2019</v>
      </c>
      <c r="C12" s="67">
        <v>2588</v>
      </c>
      <c r="D12" s="26">
        <v>420.5</v>
      </c>
      <c r="E12" s="26">
        <v>441</v>
      </c>
      <c r="F12" s="26">
        <v>1931</v>
      </c>
      <c r="G12" s="26">
        <v>31905</v>
      </c>
      <c r="H12" s="26">
        <v>56891</v>
      </c>
      <c r="I12" s="26">
        <v>3683</v>
      </c>
      <c r="J12" s="26">
        <v>1071</v>
      </c>
      <c r="K12" s="26">
        <v>-856</v>
      </c>
      <c r="L12" s="26">
        <v>-738</v>
      </c>
      <c r="M12" s="26">
        <v>181</v>
      </c>
      <c r="N12" s="26">
        <f>SUM(C9:C12)/4</f>
        <v>3709.75</v>
      </c>
      <c r="O12" s="23"/>
      <c r="P12" s="16">
        <f>C12/C11-1</f>
        <v>-0.331956633970057</v>
      </c>
      <c r="Q12" s="16">
        <f>(E12+D12)/C12</f>
        <v>0.332882534775889</v>
      </c>
      <c r="R12" s="16">
        <f>AVERAGE(Q9:Q12)</f>
        <v>0.216166019296271</v>
      </c>
      <c r="S12" s="17"/>
      <c r="T12" s="26">
        <f>SUM(J9:K12)/4</f>
        <v>-0.75</v>
      </c>
      <c r="U12" s="25"/>
      <c r="V12" s="26">
        <f>-(L12+M12)+V11</f>
        <v>100</v>
      </c>
      <c r="W12" s="17"/>
      <c r="X12" s="26">
        <f>F12-G12</f>
        <v>-29974</v>
      </c>
      <c r="Y12" s="24"/>
      <c r="Z12" s="26">
        <v>80</v>
      </c>
      <c r="AA12" s="22"/>
      <c r="AB12" s="20">
        <v>14.24</v>
      </c>
    </row>
    <row r="13" ht="20.05" customHeight="1">
      <c r="B13" s="13"/>
      <c r="C13" s="67">
        <v>5239</v>
      </c>
      <c r="D13" s="26">
        <v>420.5</v>
      </c>
      <c r="E13" s="26">
        <v>590</v>
      </c>
      <c r="F13" s="26">
        <v>1876</v>
      </c>
      <c r="G13" s="26">
        <v>31638</v>
      </c>
      <c r="H13" s="26">
        <v>59770</v>
      </c>
      <c r="I13" s="26">
        <v>4246</v>
      </c>
      <c r="J13" s="26">
        <v>283</v>
      </c>
      <c r="K13" s="26">
        <v>-605</v>
      </c>
      <c r="L13" s="26">
        <v>316</v>
      </c>
      <c r="M13" s="26">
        <v>-49</v>
      </c>
      <c r="N13" s="26">
        <f>SUM(C10:C13)/4</f>
        <v>3847.25</v>
      </c>
      <c r="O13" s="23"/>
      <c r="P13" s="16">
        <f>C13/C12-1</f>
        <v>1.02434312210201</v>
      </c>
      <c r="Q13" s="16">
        <f>(E13+D13)/C13</f>
        <v>0.192880320671884</v>
      </c>
      <c r="R13" s="16">
        <f>AVERAGE(Q10:Q13)</f>
        <v>0.238724977689877</v>
      </c>
      <c r="S13" s="17"/>
      <c r="T13" s="26">
        <f>SUM(J10:K13)/4</f>
        <v>-83.5</v>
      </c>
      <c r="U13" s="25"/>
      <c r="V13" s="26">
        <f>-(L13+M13)+V12</f>
        <v>-167</v>
      </c>
      <c r="W13" s="17"/>
      <c r="X13" s="26">
        <f>F13-G13</f>
        <v>-29762</v>
      </c>
      <c r="Y13" s="24"/>
      <c r="Z13" s="26">
        <v>79</v>
      </c>
      <c r="AA13" s="24"/>
      <c r="AB13" s="15">
        <v>14.127</v>
      </c>
    </row>
    <row r="14" ht="20.05" customHeight="1">
      <c r="B14" s="13"/>
      <c r="C14" s="67">
        <v>4065</v>
      </c>
      <c r="D14" s="26">
        <v>420.5</v>
      </c>
      <c r="E14" s="26">
        <v>496</v>
      </c>
      <c r="F14" s="26">
        <v>1648</v>
      </c>
      <c r="G14" s="26">
        <v>29816</v>
      </c>
      <c r="H14" s="26">
        <v>60806</v>
      </c>
      <c r="I14" s="26">
        <v>4186</v>
      </c>
      <c r="J14" s="26">
        <v>434</v>
      </c>
      <c r="K14" s="26">
        <v>-766</v>
      </c>
      <c r="L14" s="26">
        <v>-708</v>
      </c>
      <c r="M14" s="26">
        <v>813</v>
      </c>
      <c r="N14" s="26">
        <f>SUM(C11:C14)/4</f>
        <v>3941.5</v>
      </c>
      <c r="O14" s="23"/>
      <c r="P14" s="16">
        <f>C14/C13-1</f>
        <v>-0.224088566520328</v>
      </c>
      <c r="Q14" s="16">
        <f>(E14+D14)/C14</f>
        <v>0.225461254612546</v>
      </c>
      <c r="R14" s="16">
        <f>AVERAGE(Q11:Q14)</f>
        <v>0.263535247959065</v>
      </c>
      <c r="S14" s="17"/>
      <c r="T14" s="26">
        <f>SUM(J11:K14)/4</f>
        <v>-94.5</v>
      </c>
      <c r="U14" s="25"/>
      <c r="V14" s="26">
        <f>-(L14+M14)+V13</f>
        <v>-272</v>
      </c>
      <c r="W14" s="17"/>
      <c r="X14" s="26">
        <f>F14-G14</f>
        <v>-28168</v>
      </c>
      <c r="Y14" s="24"/>
      <c r="Z14" s="26">
        <v>71</v>
      </c>
      <c r="AA14" s="24"/>
      <c r="AB14" s="15">
        <v>14.195</v>
      </c>
    </row>
    <row r="15" ht="20.05" customHeight="1">
      <c r="B15" s="13"/>
      <c r="C15" s="67">
        <v>4075</v>
      </c>
      <c r="D15" s="26">
        <v>420.5</v>
      </c>
      <c r="E15" s="26">
        <v>561</v>
      </c>
      <c r="F15" s="26">
        <v>1442</v>
      </c>
      <c r="G15" s="26">
        <v>28781</v>
      </c>
      <c r="H15" s="26">
        <v>57614</v>
      </c>
      <c r="I15" s="26">
        <v>4406</v>
      </c>
      <c r="J15" s="26">
        <v>1253</v>
      </c>
      <c r="K15" s="26">
        <v>-1288</v>
      </c>
      <c r="L15" s="26">
        <v>-446</v>
      </c>
      <c r="M15" s="26">
        <v>274</v>
      </c>
      <c r="N15" s="26">
        <f>SUM(C12:C15)/4</f>
        <v>3991.75</v>
      </c>
      <c r="O15" s="26"/>
      <c r="P15" s="16">
        <f>C15/C14-1</f>
        <v>0.002460024600246</v>
      </c>
      <c r="Q15" s="16">
        <f>(E15+D15)/C15</f>
        <v>0.240858895705521</v>
      </c>
      <c r="R15" s="16">
        <f>AVERAGE(Q12:Q15)</f>
        <v>0.24802075144146</v>
      </c>
      <c r="S15" s="17"/>
      <c r="T15" s="26">
        <f>SUM(J12:K15)/4</f>
        <v>-118.5</v>
      </c>
      <c r="U15" s="25"/>
      <c r="V15" s="26">
        <f>-(L15+M15)+V14</f>
        <v>-100</v>
      </c>
      <c r="W15" s="17"/>
      <c r="X15" s="26">
        <f>F15-G15</f>
        <v>-27339</v>
      </c>
      <c r="Y15" s="24"/>
      <c r="Z15" s="26">
        <v>64</v>
      </c>
      <c r="AA15" s="24"/>
      <c r="AB15" s="15">
        <v>13.882</v>
      </c>
    </row>
    <row r="16" ht="20.05" customHeight="1">
      <c r="B16" s="21">
        <v>2020</v>
      </c>
      <c r="C16" s="67">
        <v>3623</v>
      </c>
      <c r="D16" s="26">
        <v>397.25</v>
      </c>
      <c r="E16" s="26">
        <v>-611</v>
      </c>
      <c r="F16" s="26">
        <v>1753</v>
      </c>
      <c r="G16" s="26">
        <v>29939</v>
      </c>
      <c r="H16" s="26">
        <v>57677</v>
      </c>
      <c r="I16" s="26">
        <v>3678</v>
      </c>
      <c r="J16" s="26">
        <v>982</v>
      </c>
      <c r="K16" s="26">
        <v>-288</v>
      </c>
      <c r="L16" s="26">
        <v>-383</v>
      </c>
      <c r="M16" s="26">
        <v>0</v>
      </c>
      <c r="N16" s="26">
        <f>SUM(C13:C16)/4</f>
        <v>4250.5</v>
      </c>
      <c r="O16" s="26"/>
      <c r="P16" s="16">
        <f>C16/C15-1</f>
        <v>-0.110920245398773</v>
      </c>
      <c r="Q16" s="16">
        <f>(E16+D16)/C16</f>
        <v>-0.0589980678995308</v>
      </c>
      <c r="R16" s="16">
        <f>AVERAGE(Q13:Q16)</f>
        <v>0.150050600772605</v>
      </c>
      <c r="S16" s="17"/>
      <c r="T16" s="26">
        <f>SUM(J13:K16)/4</f>
        <v>1.25</v>
      </c>
      <c r="U16" s="25"/>
      <c r="V16" s="26">
        <f>-(L16+M16)+V15</f>
        <v>283</v>
      </c>
      <c r="W16" s="17"/>
      <c r="X16" s="26">
        <f>F16-G16</f>
        <v>-28186</v>
      </c>
      <c r="Y16" s="24"/>
      <c r="Z16" s="26">
        <v>50</v>
      </c>
      <c r="AA16" s="24"/>
      <c r="AB16" s="15">
        <v>16.31</v>
      </c>
    </row>
    <row r="17" ht="20.05" customHeight="1">
      <c r="B17" s="13"/>
      <c r="C17" s="67">
        <v>3525</v>
      </c>
      <c r="D17" s="26">
        <v>397.25</v>
      </c>
      <c r="E17" s="26">
        <v>895</v>
      </c>
      <c r="F17" s="26">
        <v>976</v>
      </c>
      <c r="G17" s="26">
        <v>26612</v>
      </c>
      <c r="H17" s="26">
        <v>56500</v>
      </c>
      <c r="I17" s="26">
        <v>3925</v>
      </c>
      <c r="J17" s="26">
        <v>-278</v>
      </c>
      <c r="K17" s="26">
        <v>-149</v>
      </c>
      <c r="L17" s="26">
        <v>-350</v>
      </c>
      <c r="M17" s="26">
        <v>0</v>
      </c>
      <c r="N17" s="26">
        <f>SUM(C14:C17)/4</f>
        <v>3822</v>
      </c>
      <c r="O17" s="26"/>
      <c r="P17" s="16">
        <f>C17/C16-1</f>
        <v>-0.0270494065691416</v>
      </c>
      <c r="Q17" s="16">
        <f>(E17+D17)/C17</f>
        <v>0.366595744680851</v>
      </c>
      <c r="R17" s="16">
        <f>AVERAGE(Q14:Q17)</f>
        <v>0.193479456774847</v>
      </c>
      <c r="S17" s="17"/>
      <c r="T17" s="25">
        <f>SUM(J14:K17)/4</f>
        <v>-25</v>
      </c>
      <c r="U17" s="25"/>
      <c r="V17" s="26">
        <f>-(L17+M17)+V16</f>
        <v>633</v>
      </c>
      <c r="W17" s="17"/>
      <c r="X17" s="26">
        <f>F17-G17</f>
        <v>-25636</v>
      </c>
      <c r="Y17" s="24"/>
      <c r="Z17" s="26">
        <v>50</v>
      </c>
      <c r="AA17" s="24"/>
      <c r="AB17" s="15">
        <v>14.255</v>
      </c>
    </row>
    <row r="18" ht="20.05" customHeight="1">
      <c r="B18" s="13"/>
      <c r="C18" s="67">
        <v>3670</v>
      </c>
      <c r="D18" s="26">
        <v>397.25</v>
      </c>
      <c r="E18" s="26">
        <v>539</v>
      </c>
      <c r="F18" s="26">
        <v>2041</v>
      </c>
      <c r="G18" s="26">
        <v>27194</v>
      </c>
      <c r="H18" s="26">
        <v>57099</v>
      </c>
      <c r="I18" s="26">
        <v>3803</v>
      </c>
      <c r="J18" s="26">
        <v>1917</v>
      </c>
      <c r="K18" s="26">
        <v>-1097</v>
      </c>
      <c r="L18" s="26">
        <v>-564</v>
      </c>
      <c r="M18" s="26">
        <v>805</v>
      </c>
      <c r="N18" s="26">
        <f>SUM(C15:C18)/4</f>
        <v>3723.25</v>
      </c>
      <c r="O18" s="26"/>
      <c r="P18" s="16">
        <f>C18/C17-1</f>
        <v>0.0411347517730496</v>
      </c>
      <c r="Q18" s="16">
        <f>(E18+D18)/C18</f>
        <v>0.255108991825613</v>
      </c>
      <c r="R18" s="16">
        <f>AVERAGE(Q15:Q18)</f>
        <v>0.200891391078114</v>
      </c>
      <c r="S18" s="17"/>
      <c r="T18" s="25">
        <f>SUM(J15:K18)/4</f>
        <v>263</v>
      </c>
      <c r="U18" s="25"/>
      <c r="V18" s="26">
        <f>-(L18+M18)+V17</f>
        <v>392</v>
      </c>
      <c r="W18" s="17"/>
      <c r="X18" s="26">
        <f>F18-G18</f>
        <v>-25153</v>
      </c>
      <c r="Y18" s="24"/>
      <c r="Z18" s="26">
        <v>50</v>
      </c>
      <c r="AA18" s="24"/>
      <c r="AB18" s="15">
        <v>14.79</v>
      </c>
    </row>
    <row r="19" ht="20.05" customHeight="1">
      <c r="B19" s="13"/>
      <c r="C19" s="67">
        <v>3977</v>
      </c>
      <c r="D19" s="26">
        <v>397.25</v>
      </c>
      <c r="E19" s="26">
        <v>703</v>
      </c>
      <c r="F19" s="26">
        <v>1958</v>
      </c>
      <c r="G19" s="26">
        <v>28071</v>
      </c>
      <c r="H19" s="26">
        <v>59484</v>
      </c>
      <c r="I19" s="26">
        <v>3670</v>
      </c>
      <c r="J19" s="26">
        <v>1716</v>
      </c>
      <c r="K19" s="26">
        <v>-1713</v>
      </c>
      <c r="L19" s="26">
        <v>-729</v>
      </c>
      <c r="M19" s="26">
        <v>646</v>
      </c>
      <c r="N19" s="26">
        <f>SUM(C16:C19)/4</f>
        <v>3698.75</v>
      </c>
      <c r="O19" s="26"/>
      <c r="P19" s="16">
        <f>C19/C18-1</f>
        <v>0.08365122615803811</v>
      </c>
      <c r="Q19" s="16">
        <f>(E19+D19)/C19</f>
        <v>0.276653256223284</v>
      </c>
      <c r="R19" s="16">
        <f>AVERAGE(Q16:Q19)</f>
        <v>0.209839981207554</v>
      </c>
      <c r="S19" s="17"/>
      <c r="T19" s="25">
        <f>SUM(J16:K19)/4</f>
        <v>272.5</v>
      </c>
      <c r="U19" s="25"/>
      <c r="V19" s="26">
        <f>-(L19+M19)+V18</f>
        <v>475</v>
      </c>
      <c r="W19" s="17"/>
      <c r="X19" s="26">
        <f>F19-G19</f>
        <v>-26113</v>
      </c>
      <c r="Y19" s="24"/>
      <c r="Z19" s="26">
        <v>66</v>
      </c>
      <c r="AA19" s="24"/>
      <c r="AB19" s="15">
        <v>14.1</v>
      </c>
    </row>
    <row r="20" ht="20.05" customHeight="1">
      <c r="B20" s="21">
        <v>2021</v>
      </c>
      <c r="C20" s="67">
        <v>3954</v>
      </c>
      <c r="D20" s="26">
        <v>414</v>
      </c>
      <c r="E20" s="26">
        <v>252</v>
      </c>
      <c r="F20" s="26">
        <v>1703</v>
      </c>
      <c r="G20" s="26">
        <v>27287</v>
      </c>
      <c r="H20" s="26">
        <v>59895</v>
      </c>
      <c r="I20" s="26">
        <v>4068</v>
      </c>
      <c r="J20" s="26">
        <v>1021</v>
      </c>
      <c r="K20" s="26">
        <v>-494</v>
      </c>
      <c r="L20" s="26">
        <v>-782</v>
      </c>
      <c r="M20" s="26">
        <v>0</v>
      </c>
      <c r="N20" s="26">
        <f>SUM(C17:C20)/4</f>
        <v>3781.5</v>
      </c>
      <c r="O20" s="26"/>
      <c r="P20" s="16">
        <f>C20/C19-1</f>
        <v>-0.00578325370882575</v>
      </c>
      <c r="Q20" s="16">
        <f>(E20+D20)/C20</f>
        <v>0.168437025796662</v>
      </c>
      <c r="R20" s="16">
        <f>AVERAGE(Q17:Q20)</f>
        <v>0.266698754631603</v>
      </c>
      <c r="S20" s="17"/>
      <c r="T20" s="25">
        <f>SUM(J17:K20)/4</f>
        <v>230.75</v>
      </c>
      <c r="U20" s="25"/>
      <c r="V20" s="26">
        <f>-(L20+M20)+V19</f>
        <v>1257</v>
      </c>
      <c r="W20" s="17"/>
      <c r="X20" s="26">
        <f>F20-G20</f>
        <v>-25584</v>
      </c>
      <c r="Y20" s="26"/>
      <c r="Z20" s="26">
        <v>53</v>
      </c>
      <c r="AA20" s="26"/>
      <c r="AB20" s="15">
        <v>14.606</v>
      </c>
    </row>
    <row r="21" ht="20.05" customHeight="1">
      <c r="B21" s="13"/>
      <c r="C21" s="67">
        <v>4562</v>
      </c>
      <c r="D21" s="26">
        <v>414</v>
      </c>
      <c r="E21" s="26">
        <v>793</v>
      </c>
      <c r="F21" s="26">
        <v>1751</v>
      </c>
      <c r="G21" s="26">
        <v>25623</v>
      </c>
      <c r="H21" s="26">
        <v>61532</v>
      </c>
      <c r="I21" s="26">
        <v>4251</v>
      </c>
      <c r="J21" s="26">
        <v>519</v>
      </c>
      <c r="K21" s="26">
        <v>-697</v>
      </c>
      <c r="L21" s="26">
        <v>226</v>
      </c>
      <c r="M21" s="26">
        <v>0</v>
      </c>
      <c r="N21" s="26">
        <f>SUM(C18:C21)/4</f>
        <v>4040.75</v>
      </c>
      <c r="O21" s="26"/>
      <c r="P21" s="16">
        <f>C21/C20-1</f>
        <v>0.153768335862418</v>
      </c>
      <c r="Q21" s="16">
        <f>(E21+D21)/C21</f>
        <v>0.264576939938623</v>
      </c>
      <c r="R21" s="16">
        <f>AVERAGE(Q18:Q21)</f>
        <v>0.241194053446046</v>
      </c>
      <c r="S21" s="17"/>
      <c r="T21" s="25">
        <f>SUM(J18:K21)/4</f>
        <v>293</v>
      </c>
      <c r="U21" s="25"/>
      <c r="V21" s="26">
        <f>-(L21+M21)+V20</f>
        <v>1031</v>
      </c>
      <c r="W21" s="17"/>
      <c r="X21" s="26">
        <f>F21-G21</f>
        <v>-23872</v>
      </c>
      <c r="Y21" s="26"/>
      <c r="Z21" s="26">
        <v>87</v>
      </c>
      <c r="AA21" s="17"/>
      <c r="AB21" s="15">
        <v>14.45</v>
      </c>
    </row>
    <row r="22" ht="20.05" customHeight="1">
      <c r="B22" s="13"/>
      <c r="C22" s="67">
        <v>3884.9</v>
      </c>
      <c r="D22" s="26">
        <v>403.2</v>
      </c>
      <c r="E22" s="26">
        <v>716.6</v>
      </c>
      <c r="F22" s="26">
        <v>3149</v>
      </c>
      <c r="G22" s="26">
        <v>26960</v>
      </c>
      <c r="H22" s="26">
        <v>63956</v>
      </c>
      <c r="I22" s="26">
        <v>4597.5</v>
      </c>
      <c r="J22" s="26">
        <v>2367.5</v>
      </c>
      <c r="K22" s="26">
        <v>-1273.5</v>
      </c>
      <c r="L22" s="26">
        <v>304.8</v>
      </c>
      <c r="M22" s="26">
        <v>-0.3</v>
      </c>
      <c r="N22" s="26">
        <f>SUM(C19:C22)/4</f>
        <v>4094.475</v>
      </c>
      <c r="O22" s="26"/>
      <c r="P22" s="16">
        <f>C22/C21-1</f>
        <v>-0.148421744848751</v>
      </c>
      <c r="Q22" s="16">
        <f>(E22+D22)/C22</f>
        <v>0.288244227650647</v>
      </c>
      <c r="R22" s="16">
        <f>AVERAGE(Q19:Q22)</f>
        <v>0.249477862402304</v>
      </c>
      <c r="S22" s="17"/>
      <c r="T22" s="25">
        <f>SUM(J19:K22)/4</f>
        <v>361.5</v>
      </c>
      <c r="U22" s="25"/>
      <c r="V22" s="26">
        <f>-(L22+M22)+V21</f>
        <v>726.5</v>
      </c>
      <c r="W22" s="17"/>
      <c r="X22" s="26">
        <f>F22-G22</f>
        <v>-23811</v>
      </c>
      <c r="Y22" s="26"/>
      <c r="Z22" s="26">
        <v>82</v>
      </c>
      <c r="AA22" s="17"/>
      <c r="AB22" s="15">
        <v>14.328</v>
      </c>
    </row>
    <row r="23" ht="20.05" customHeight="1">
      <c r="B23" s="13"/>
      <c r="C23" s="67">
        <v>4342.1</v>
      </c>
      <c r="D23" s="26">
        <v>444.8</v>
      </c>
      <c r="E23" s="26">
        <v>584.9</v>
      </c>
      <c r="F23" s="26">
        <v>3485</v>
      </c>
      <c r="G23" s="26">
        <v>26415</v>
      </c>
      <c r="H23" s="26">
        <v>64907</v>
      </c>
      <c r="I23" s="26">
        <v>5181.2</v>
      </c>
      <c r="J23" s="26">
        <v>1485.1</v>
      </c>
      <c r="K23" s="26">
        <v>-656.5</v>
      </c>
      <c r="L23" s="26">
        <v>-780.8</v>
      </c>
      <c r="M23" s="26">
        <v>288</v>
      </c>
      <c r="N23" s="26">
        <f>SUM(C20:C23)/4</f>
        <v>4185.75</v>
      </c>
      <c r="O23" s="26">
        <v>4177.83</v>
      </c>
      <c r="P23" s="16">
        <f>C23/C22-1</f>
        <v>0.117686426935056</v>
      </c>
      <c r="Q23" s="16">
        <f>(E23+D23)/C23</f>
        <v>0.237143317749476</v>
      </c>
      <c r="R23" s="16">
        <f>AVERAGE(Q20:Q23)</f>
        <v>0.239600377783852</v>
      </c>
      <c r="S23" s="17"/>
      <c r="T23" s="25">
        <f>SUM(J20:K23)/4</f>
        <v>567.9</v>
      </c>
      <c r="U23" s="25"/>
      <c r="V23" s="26">
        <f>-(L23+M23)+V22</f>
        <v>1219.3</v>
      </c>
      <c r="W23" s="17"/>
      <c r="X23" s="26">
        <f>F23-G23</f>
        <v>-22930</v>
      </c>
      <c r="Y23" s="26"/>
      <c r="Z23" s="26">
        <v>56</v>
      </c>
      <c r="AA23" s="26">
        <v>93.8386074688796</v>
      </c>
      <c r="AB23" s="15">
        <v>14.275</v>
      </c>
    </row>
    <row r="24" ht="20.05" customHeight="1">
      <c r="B24" s="21">
        <v>2022</v>
      </c>
      <c r="C24" s="67">
        <v>4104.7</v>
      </c>
      <c r="D24" s="26">
        <v>445.6</v>
      </c>
      <c r="E24" s="26">
        <v>586.6</v>
      </c>
      <c r="F24" s="26">
        <v>2609</v>
      </c>
      <c r="G24" s="26">
        <v>25319</v>
      </c>
      <c r="H24" s="26">
        <v>64340</v>
      </c>
      <c r="I24" s="26">
        <v>4422</v>
      </c>
      <c r="J24" s="26">
        <v>46</v>
      </c>
      <c r="K24" s="26">
        <v>-750.8</v>
      </c>
      <c r="L24" s="26">
        <v>-171.4</v>
      </c>
      <c r="M24" s="26">
        <v>0</v>
      </c>
      <c r="N24" s="26">
        <f>SUM(C21:C24)/4</f>
        <v>4223.425</v>
      </c>
      <c r="O24" s="26">
        <v>4080.186666666670</v>
      </c>
      <c r="P24" s="16">
        <f>C24/C23-1</f>
        <v>-0.0546740056654614</v>
      </c>
      <c r="Q24" s="16">
        <f>(E24+D24)/C24</f>
        <v>0.251467829561235</v>
      </c>
      <c r="R24" s="16">
        <f>AVERAGE(Q21:Q24)</f>
        <v>0.260358078724995</v>
      </c>
      <c r="S24" s="35"/>
      <c r="T24" s="25">
        <f>SUM(J21:K24)/4</f>
        <v>259.95</v>
      </c>
      <c r="U24" s="26">
        <v>496.5046</v>
      </c>
      <c r="V24" s="26">
        <f>-(L24+M24)+V23</f>
        <v>1390.7</v>
      </c>
      <c r="W24" s="26"/>
      <c r="X24" s="26">
        <f>F24-G24</f>
        <v>-22710</v>
      </c>
      <c r="Y24" s="26">
        <v>-22524.49186</v>
      </c>
      <c r="Z24" s="26">
        <v>58</v>
      </c>
      <c r="AA24" s="26">
        <v>93.8386074688796</v>
      </c>
      <c r="AB24" s="15">
        <v>14.327</v>
      </c>
    </row>
    <row r="25" ht="20.05" customHeight="1">
      <c r="B25" s="13"/>
      <c r="C25" s="67">
        <v>4215.6</v>
      </c>
      <c r="D25" s="26">
        <v>383.3</v>
      </c>
      <c r="E25" s="26">
        <v>469.4</v>
      </c>
      <c r="F25" s="26">
        <v>3370</v>
      </c>
      <c r="G25" s="26">
        <v>26749</v>
      </c>
      <c r="H25" s="26">
        <v>66295</v>
      </c>
      <c r="I25" s="26">
        <v>5064.2</v>
      </c>
      <c r="J25" s="26">
        <v>2047.8</v>
      </c>
      <c r="K25" s="26">
        <v>-526.3</v>
      </c>
      <c r="L25" s="26">
        <v>-763.5</v>
      </c>
      <c r="M25" s="26">
        <v>0</v>
      </c>
      <c r="N25" s="26">
        <f>SUM(C22:C25)/4</f>
        <v>4136.825</v>
      </c>
      <c r="O25" s="26">
        <v>4240.24125</v>
      </c>
      <c r="P25" s="16">
        <f>C25/C24-1</f>
        <v>0.0270178088532658</v>
      </c>
      <c r="Q25" s="16">
        <f>(E25+D25)/C25</f>
        <v>0.202272511623494</v>
      </c>
      <c r="R25" s="16">
        <f>AVERAGE(Q22:Q25)</f>
        <v>0.244781971646213</v>
      </c>
      <c r="S25" s="35"/>
      <c r="T25" s="25">
        <f>SUM(J22:K25)/4</f>
        <v>684.825</v>
      </c>
      <c r="U25" s="26">
        <v>533.670900687285</v>
      </c>
      <c r="V25" s="26">
        <f>-(L25+M25)+V24</f>
        <v>2154.2</v>
      </c>
      <c r="W25" s="26"/>
      <c r="X25" s="26">
        <f>F25-G25</f>
        <v>-23379</v>
      </c>
      <c r="Y25" s="26">
        <v>-20575.3163972509</v>
      </c>
      <c r="Z25" s="26">
        <v>59</v>
      </c>
      <c r="AA25" s="26">
        <v>113.946880497925</v>
      </c>
      <c r="AB25" s="15">
        <v>14.66</v>
      </c>
    </row>
    <row r="26" ht="20.05" customHeight="1">
      <c r="B26" s="13"/>
      <c r="C26" s="67">
        <v>3580</v>
      </c>
      <c r="D26" s="26">
        <v>454.8</v>
      </c>
      <c r="E26" s="26">
        <v>619.4</v>
      </c>
      <c r="F26" s="26">
        <v>3093</v>
      </c>
      <c r="G26" s="26">
        <v>26966</v>
      </c>
      <c r="H26" s="26">
        <v>67140</v>
      </c>
      <c r="I26" s="26">
        <v>3706.7</v>
      </c>
      <c r="J26" s="26">
        <v>667.8</v>
      </c>
      <c r="K26" s="26">
        <v>-643.6</v>
      </c>
      <c r="L26" s="26">
        <v>-300.9</v>
      </c>
      <c r="M26" s="26">
        <v>0</v>
      </c>
      <c r="N26" s="26">
        <f>SUM(C23:C26)/4</f>
        <v>4060.6</v>
      </c>
      <c r="O26" s="26">
        <v>4218.60725</v>
      </c>
      <c r="P26" s="16">
        <f>C26/C25-1</f>
        <v>-0.150773318151627</v>
      </c>
      <c r="Q26" s="16">
        <f>(E26+D26)/C26</f>
        <v>0.300055865921788</v>
      </c>
      <c r="R26" s="16">
        <f>AVERAGE(Q23:Q26)</f>
        <v>0.247734881213998</v>
      </c>
      <c r="S26" s="35">
        <f>S27</f>
        <v>0.247734881213998</v>
      </c>
      <c r="T26" s="25">
        <f>SUM(J23:K26)/4</f>
        <v>417.375</v>
      </c>
      <c r="U26" s="26">
        <v>606.005523285635</v>
      </c>
      <c r="V26" s="26">
        <f>-(L26+M26)+V25</f>
        <v>2455.1</v>
      </c>
      <c r="W26" s="26">
        <f>W27</f>
        <v>4212.017174219740</v>
      </c>
      <c r="X26" s="26">
        <f>F26-G26</f>
        <v>-23873</v>
      </c>
      <c r="Y26" s="26">
        <v>-20954.9779068575</v>
      </c>
      <c r="Z26" s="26">
        <v>63</v>
      </c>
      <c r="AA26" s="26">
        <v>145.076841606807</v>
      </c>
      <c r="AB26" s="15">
        <v>15.705</v>
      </c>
    </row>
    <row r="27" ht="20.05" customHeight="1">
      <c r="B27" s="13"/>
      <c r="C27" s="6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3897.4297395</v>
      </c>
      <c r="P27" s="17"/>
      <c r="Q27" s="17"/>
      <c r="R27" s="17"/>
      <c r="S27" s="35">
        <f>AE53</f>
        <v>0.247734881213998</v>
      </c>
      <c r="T27" s="25"/>
      <c r="U27" s="26">
        <f>SUM(AE55:AH55)/4</f>
        <v>439.229293554936</v>
      </c>
      <c r="V27" s="17"/>
      <c r="W27" s="26">
        <f>-SUM(AE76:AH76)+V26</f>
        <v>4212.017174219740</v>
      </c>
      <c r="X27" s="17"/>
      <c r="Y27" s="26">
        <f>AH75</f>
        <v>-22116.0828257803</v>
      </c>
      <c r="Z27" s="26">
        <v>57</v>
      </c>
      <c r="AA27" s="26">
        <v>127.760041297335</v>
      </c>
      <c r="AB27" s="17"/>
    </row>
    <row r="28" ht="20.05" customHeight="1">
      <c r="B28" s="21">
        <v>2023</v>
      </c>
      <c r="C28" s="6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SUM(N19:N26)</f>
        <v>32222.075</v>
      </c>
      <c r="O28" s="26">
        <f>SUM(O19:O26)</f>
        <v>16716.8651666667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84.1206836593193</v>
      </c>
      <c r="AB28" s="15"/>
    </row>
    <row r="29" ht="20.05" customHeight="1">
      <c r="B29" s="13"/>
      <c r="C29" s="6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6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67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67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67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67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67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67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67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67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67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67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6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6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6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166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-0.0151857720071917</v>
      </c>
      <c r="AF49" s="35"/>
      <c r="AG49" s="35"/>
      <c r="AH49" s="35">
        <f>AVERAGE(AE51:AH51)</f>
        <v>0.0275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0.117686426935056</v>
      </c>
      <c r="AF50" s="35">
        <f>P24</f>
        <v>-0.0546740056654614</v>
      </c>
      <c r="AG50" s="35">
        <f>P25</f>
        <v>0.0270178088532658</v>
      </c>
      <c r="AH50" s="35">
        <f>P26</f>
        <v>-0.150773318151627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-0.03</v>
      </c>
      <c r="AG51" s="35">
        <v>0.01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3580</v>
      </c>
      <c r="AE52" s="23">
        <f>C26*(1+AE51)</f>
        <v>3938</v>
      </c>
      <c r="AF52" s="23">
        <f>AE52*(1+AF51)</f>
        <v>3819.86</v>
      </c>
      <c r="AG52" s="23">
        <f>AF52*(1+AG51)</f>
        <v>3858.0586</v>
      </c>
      <c r="AH52" s="23">
        <f>AG52*(1+AH51)</f>
        <v>3973.800358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0.247734881213998</v>
      </c>
      <c r="AF53" s="35">
        <f>AE53</f>
        <v>0.247734881213998</v>
      </c>
      <c r="AG53" s="35">
        <f>AF53</f>
        <v>0.247734881213998</v>
      </c>
      <c r="AH53" s="35">
        <f>AG53</f>
        <v>0.247734881213998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-526.3</v>
      </c>
      <c r="AF54" s="15">
        <f>AE54</f>
        <v>-526.3</v>
      </c>
      <c r="AG54" s="15">
        <f>AF54</f>
        <v>-526.3</v>
      </c>
      <c r="AH54" s="15">
        <f>AG54</f>
        <v>-526.3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449.279962220724</v>
      </c>
      <c r="AF55" s="15">
        <f>(AF52*AF53)+AF54</f>
        <v>420.012563354102</v>
      </c>
      <c r="AG55" s="15">
        <f>(AG52*AG53)+AG54</f>
        <v>429.475688987643</v>
      </c>
      <c r="AH55" s="15">
        <f>(AH52*AH53)+AH54</f>
        <v>458.148959657273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-1348.3</v>
      </c>
      <c r="AF56" s="15">
        <f>-AE71/20</f>
        <v>-1280.885</v>
      </c>
      <c r="AG56" s="15">
        <f>-AF71/20</f>
        <v>-1216.84075</v>
      </c>
      <c r="AH56" s="15">
        <f>-AG71/20</f>
        <v>-1155.9987125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-899.020037779276</v>
      </c>
      <c r="AF59" s="15">
        <f>AF55+AF56+AF58</f>
        <v>-860.872436645898</v>
      </c>
      <c r="AG59" s="15">
        <f>AG55+AG56+AG58</f>
        <v>-787.365061012357</v>
      </c>
      <c r="AH59" s="15">
        <f>AH55+AH56+AH58</f>
        <v>-697.849752842727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899.020037779276</v>
      </c>
      <c r="AF60" s="15">
        <f>-MIN(AE72,AF59)</f>
        <v>860.872436645898</v>
      </c>
      <c r="AG60" s="15">
        <f>-MIN(AF72,AG59)</f>
        <v>787.365061012357</v>
      </c>
      <c r="AH60" s="15">
        <f>-MIN(AG72,AH59)</f>
        <v>697.849752842727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3093</v>
      </c>
      <c r="AF61" s="15">
        <f>AE63</f>
        <v>3093</v>
      </c>
      <c r="AG61" s="15">
        <f>AF63</f>
        <v>3093</v>
      </c>
      <c r="AH61" s="15">
        <f>AG63</f>
        <v>3093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3093</v>
      </c>
      <c r="AF63" s="15">
        <f>AF61+AF62</f>
        <v>3093</v>
      </c>
      <c r="AG63" s="15">
        <f>AG61+AG62</f>
        <v>3093</v>
      </c>
      <c r="AH63" s="15">
        <f>AH61+AH62</f>
        <v>3093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-427.9</v>
      </c>
      <c r="AF65" s="15">
        <f>AE65</f>
        <v>-427.9</v>
      </c>
      <c r="AG65" s="15">
        <f>AF65</f>
        <v>-427.9</v>
      </c>
      <c r="AH65" s="15">
        <f>AG65</f>
        <v>-427.9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547.679962220724</v>
      </c>
      <c r="AF66" s="15">
        <f>(AF52*AF53)+AF65</f>
        <v>518.412563354102</v>
      </c>
      <c r="AG66" s="15">
        <f>(AG52*AG53)+AG65</f>
        <v>527.875688987643</v>
      </c>
      <c r="AH66" s="15">
        <f>(AH52*AH53)+AH65</f>
        <v>556.548959657273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64573.3</v>
      </c>
      <c r="AF68" s="15">
        <f>AE68-AF54</f>
        <v>65099.6</v>
      </c>
      <c r="AG68" s="15">
        <f>AF68-AG54</f>
        <v>65625.899999999994</v>
      </c>
      <c r="AH68" s="15">
        <f>AG68-AH54</f>
        <v>66152.2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427.9</v>
      </c>
      <c r="AF69" s="15">
        <f>AE69-AF65</f>
        <v>855.8</v>
      </c>
      <c r="AG69" s="15">
        <f>AF69-AG65</f>
        <v>1283.7</v>
      </c>
      <c r="AH69" s="15">
        <f>AG69-AH65</f>
        <v>1711.6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64145.4</v>
      </c>
      <c r="AF70" s="15">
        <f>AF68-AF69</f>
        <v>64243.8</v>
      </c>
      <c r="AG70" s="15">
        <f>AG68-AG69</f>
        <v>64342.2</v>
      </c>
      <c r="AH70" s="15">
        <f>AH68-AH69</f>
        <v>64440.6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25617.7</v>
      </c>
      <c r="AF71" s="15">
        <f>AE71+AF56</f>
        <v>24336.815</v>
      </c>
      <c r="AG71" s="15">
        <f>AF71+AG56</f>
        <v>23119.97425</v>
      </c>
      <c r="AH71" s="15">
        <f>AG71+AH56</f>
        <v>21963.9755375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899.020037779276</v>
      </c>
      <c r="AF72" s="15">
        <f>AE72+AF60</f>
        <v>1759.892474425170</v>
      </c>
      <c r="AG72" s="15">
        <f>AF72+AG60</f>
        <v>2547.257535437530</v>
      </c>
      <c r="AH72" s="15">
        <f>AG72+AH60</f>
        <v>3245.107288280260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40721.6799622207</v>
      </c>
      <c r="AF73" s="15">
        <f>AE73+AF66+AF58</f>
        <v>41240.0925255748</v>
      </c>
      <c r="AG73" s="15">
        <f>AF73+AG66+AG58</f>
        <v>41767.9682145624</v>
      </c>
      <c r="AH73" s="15">
        <f>AG73+AH66+AH58</f>
        <v>42324.5171742197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-2.4e-11</v>
      </c>
      <c r="AF74" s="15">
        <f>AF71+AF72+AF73-AF63-AF70</f>
        <v>-3e-11</v>
      </c>
      <c r="AG74" s="15">
        <f>AG71+AG72+AG73-AG63-AG70</f>
        <v>-7e-11</v>
      </c>
      <c r="AH74" s="15">
        <f>AH71+AH72+AH73-AH63-AH70</f>
        <v>-4e-11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-23423.7200377793</v>
      </c>
      <c r="AF75" s="15">
        <f>AF63-AF71-AF72</f>
        <v>-23003.7074744252</v>
      </c>
      <c r="AG75" s="15">
        <f>AG63-AG71-AG72</f>
        <v>-22574.2317854375</v>
      </c>
      <c r="AH75" s="15">
        <f>AH63-AH71-AH72</f>
        <v>-22116.0828257803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-449.279962220724</v>
      </c>
      <c r="AF76" s="15">
        <f>AF56+AF58+AF60</f>
        <v>-420.012563354102</v>
      </c>
      <c r="AG76" s="15">
        <f>AG56+AG58+AG60</f>
        <v>-429.475688987643</v>
      </c>
      <c r="AH76" s="15">
        <f>AH56+AH58+AH60</f>
        <v>-458.148959657273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495</v>
      </c>
      <c r="AD78" s="14"/>
      <c r="AE78" s="15"/>
      <c r="AF78" s="15"/>
      <c r="AG78" s="15"/>
      <c r="AH78" s="15">
        <v>57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495</v>
      </c>
      <c r="AD79" s="14"/>
      <c r="AE79" s="15"/>
      <c r="AF79" s="15"/>
      <c r="AG79" s="15"/>
      <c r="AH79" s="15">
        <v>4761933668352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4761.933668352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83.542695936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0.0705120661174882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1756.917174219740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36.6782230520449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2.71039166685066</v>
      </c>
      <c r="AH86" s="15">
        <v>4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7027.668696878960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84.1206836593193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0.475801467707356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-0.0784833586450102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-0.481198365820119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495</v>
      </c>
      <c r="AF94" t="s" s="44">
        <v>60</v>
      </c>
      <c r="AG94" s="15">
        <f>AH78</f>
        <v>57</v>
      </c>
      <c r="AH94" t="s" s="44">
        <v>61</v>
      </c>
      <c r="AI94" s="15">
        <f>AH88</f>
        <v>84.1206836593193</v>
      </c>
      <c r="AJ94" t="s" s="44">
        <f>IF(AK94&gt;0,"+","")</f>
        <v>361</v>
      </c>
      <c r="AK94" s="16">
        <f>AI94/AG94-1</f>
        <v>0.475801467707356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-0.0784833586450102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0.350592871777186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0.363003796438481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-5.01329956749732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-0.150773318151627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-0.148421744848751</v>
      </c>
      <c r="AF103" s="16">
        <f>P23</f>
        <v>0.117686426935056</v>
      </c>
      <c r="AG103" s="16">
        <f>P24</f>
        <v>-0.0546740056654614</v>
      </c>
      <c r="AH103" s="16">
        <f>P25</f>
        <v>0.0270178088532658</v>
      </c>
      <c r="AI103" s="16">
        <f>P26</f>
        <v>-0.150773318151627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3884.9</v>
      </c>
      <c r="AF104" t="s" s="44">
        <v>72</v>
      </c>
      <c r="AG104" s="15">
        <f>C23</f>
        <v>4342.1</v>
      </c>
      <c r="AH104" t="s" s="44">
        <v>72</v>
      </c>
      <c r="AI104" s="15">
        <f>C24</f>
        <v>4104.7</v>
      </c>
      <c r="AJ104" t="s" s="44">
        <v>72</v>
      </c>
      <c r="AK104" s="15">
        <f>C25</f>
        <v>4215.6</v>
      </c>
      <c r="AL104" t="s" s="44">
        <v>72</v>
      </c>
      <c r="AM104" s="15">
        <f>C26</f>
        <v>3580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-0.150773318151627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3580</v>
      </c>
      <c r="AM105" t="s" s="44">
        <v>372</v>
      </c>
      <c r="AN105" t="s" s="44">
        <v>373</v>
      </c>
      <c r="AO105" s="16">
        <f>AH91</f>
        <v>-0.481198365820119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-0.0151857720071917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0.0275</v>
      </c>
      <c r="AG107" t="s" s="44">
        <v>82</v>
      </c>
      <c r="AH107" t="s" s="44">
        <v>83</v>
      </c>
      <c r="AI107" s="23">
        <f>AH52</f>
        <v>3973.800358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0.288244227650647</v>
      </c>
      <c r="AF110" s="16">
        <f>(D23+E23)/C23</f>
        <v>0.237143317749476</v>
      </c>
      <c r="AG110" s="16">
        <f>((E24+D24)/C24)</f>
        <v>0.251467829561235</v>
      </c>
      <c r="AH110" s="16">
        <f>(D25+E25)/C25</f>
        <v>0.202272511623494</v>
      </c>
      <c r="AI110" s="16">
        <f>(D26+E26)/C26</f>
        <v>0.300055865921788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716.6</v>
      </c>
      <c r="AF111" t="s" s="44">
        <v>72</v>
      </c>
      <c r="AG111" s="15">
        <f>E23</f>
        <v>584.9</v>
      </c>
      <c r="AH111" t="s" s="44">
        <v>72</v>
      </c>
      <c r="AI111" s="15">
        <f>E24</f>
        <v>586.6</v>
      </c>
      <c r="AJ111" t="s" s="44">
        <v>72</v>
      </c>
      <c r="AK111" s="15">
        <f>E25</f>
        <v>469.4</v>
      </c>
      <c r="AL111" t="s" s="44">
        <v>72</v>
      </c>
      <c r="AM111" s="15">
        <f>E26</f>
        <v>619.4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0.202272511623494</v>
      </c>
      <c r="AG112" t="s" s="44">
        <v>76</v>
      </c>
      <c r="AH112" s="16">
        <f>AI110</f>
        <v>0.300055865921788</v>
      </c>
      <c r="AI112" t="s" s="44">
        <v>90</v>
      </c>
      <c r="AJ112" s="15">
        <f>AK111</f>
        <v>469.4</v>
      </c>
      <c r="AK112" t="s" s="44">
        <v>76</v>
      </c>
      <c r="AL112" s="15">
        <f>AM111</f>
        <v>619.4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0.247734881213998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0.247734881213998</v>
      </c>
      <c r="AG114" t="s" s="44">
        <v>94</v>
      </c>
      <c r="AH114" s="15">
        <f>AH66</f>
        <v>556.548959657273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2367.5</v>
      </c>
      <c r="AF117" t="s" s="44">
        <v>72</v>
      </c>
      <c r="AG117" s="15">
        <f>J23</f>
        <v>1485.1</v>
      </c>
      <c r="AH117" t="s" s="44">
        <v>72</v>
      </c>
      <c r="AI117" s="15">
        <f>J24</f>
        <v>46</v>
      </c>
      <c r="AJ117" t="s" s="44">
        <v>72</v>
      </c>
      <c r="AK117" s="15">
        <f>J25</f>
        <v>2047.8</v>
      </c>
      <c r="AL117" t="s" s="44">
        <v>72</v>
      </c>
      <c r="AM117" s="15">
        <f>J26</f>
        <v>667.8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-1273.5</v>
      </c>
      <c r="AF118" t="s" s="44">
        <v>72</v>
      </c>
      <c r="AG118" s="15">
        <f>K23</f>
        <v>-656.5</v>
      </c>
      <c r="AH118" t="s" s="44">
        <v>72</v>
      </c>
      <c r="AI118" s="15">
        <f>K24</f>
        <v>-750.8</v>
      </c>
      <c r="AJ118" t="s" s="44">
        <v>72</v>
      </c>
      <c r="AK118" s="15">
        <f>K25</f>
        <v>-526.3</v>
      </c>
      <c r="AL118" t="s" s="44">
        <v>72</v>
      </c>
      <c r="AM118" s="15">
        <f>K26</f>
        <v>-643.6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1521.5</v>
      </c>
      <c r="AG119" t="s" s="44">
        <v>76</v>
      </c>
      <c r="AH119" s="15">
        <f>AM117+AM118</f>
        <v>24.2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-643.6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417.375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-526.3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439.229293554936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3149</v>
      </c>
      <c r="AF124" t="s" s="44">
        <v>72</v>
      </c>
      <c r="AG124" s="15">
        <f>F23</f>
        <v>3485</v>
      </c>
      <c r="AH124" t="s" s="44">
        <v>72</v>
      </c>
      <c r="AI124" s="15">
        <f>F24</f>
        <v>2609</v>
      </c>
      <c r="AJ124" t="s" s="44">
        <v>72</v>
      </c>
      <c r="AK124" s="15">
        <f>F25</f>
        <v>3370</v>
      </c>
      <c r="AL124" t="s" s="44">
        <v>72</v>
      </c>
      <c r="AM124" s="15">
        <f>F26</f>
        <v>3093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26960</v>
      </c>
      <c r="AF125" t="s" s="44">
        <v>72</v>
      </c>
      <c r="AG125" s="15">
        <f>G23</f>
        <v>26415</v>
      </c>
      <c r="AH125" t="s" s="44">
        <v>72</v>
      </c>
      <c r="AI125" s="15">
        <f>G24</f>
        <v>25319</v>
      </c>
      <c r="AJ125" t="s" s="44">
        <v>72</v>
      </c>
      <c r="AK125" s="15">
        <f>G25</f>
        <v>26749</v>
      </c>
      <c r="AL125" t="s" s="44">
        <v>72</v>
      </c>
      <c r="AM125" s="15">
        <f>G26</f>
        <v>26966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3370</v>
      </c>
      <c r="AH126" t="s" s="44">
        <v>76</v>
      </c>
      <c r="AI126" s="15">
        <f>AM124</f>
        <v>3093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26749</v>
      </c>
      <c r="AH127" t="s" s="44">
        <v>76</v>
      </c>
      <c r="AI127" s="15">
        <f>AM125</f>
        <v>26966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-23379</v>
      </c>
      <c r="AO127" t="s" s="44">
        <v>76</v>
      </c>
      <c r="AP127" s="15">
        <f>AI126-AI127</f>
        <v>-23873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-1756.917174219740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-22116.0828257803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-304.8</v>
      </c>
      <c r="AF131" t="s" s="44">
        <v>72</v>
      </c>
      <c r="AG131" s="15">
        <f>-L23</f>
        <v>780.8</v>
      </c>
      <c r="AH131" t="s" s="44">
        <v>72</v>
      </c>
      <c r="AI131" s="15">
        <f>-L24</f>
        <v>171.4</v>
      </c>
      <c r="AJ131" t="s" s="44">
        <v>72</v>
      </c>
      <c r="AK131" s="15">
        <f>-L25</f>
        <v>763.5</v>
      </c>
      <c r="AL131" t="s" s="44">
        <v>72</v>
      </c>
      <c r="AM131" s="15">
        <f>-L26</f>
        <v>300.9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0.3</v>
      </c>
      <c r="AF132" t="s" s="44">
        <v>72</v>
      </c>
      <c r="AG132" s="15">
        <f>-M23</f>
        <v>-288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495</v>
      </c>
      <c r="AF133" t="s" s="44">
        <f>IF(AG133&gt;0,"paid","(raised)")</f>
        <v>374</v>
      </c>
      <c r="AG133" s="15">
        <f>SUM(AM131:AM132)</f>
        <v>300.9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300.9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1756.917174219740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4761.933668352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0.0705120661174882</v>
      </c>
      <c r="AK134" t="s" s="44">
        <v>130</v>
      </c>
      <c r="AL134" t="s" s="44">
        <v>131</v>
      </c>
      <c r="AM134" t="s" s="44">
        <v>132</v>
      </c>
      <c r="AN134" s="15">
        <f>AH85</f>
        <v>36.6782230520449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1756.917174219740</v>
      </c>
      <c r="AG135" t="s" s="44">
        <f>AG134</f>
        <v>372</v>
      </c>
      <c r="AH135" t="s" s="44">
        <v>136</v>
      </c>
      <c r="AI135" s="15">
        <f>AF134/AF135</f>
        <v>2.71039166685066</v>
      </c>
      <c r="AJ135" t="s" s="44">
        <v>130</v>
      </c>
      <c r="AK135" t="s" s="44">
        <v>137</v>
      </c>
      <c r="AL135" t="s" s="44">
        <v>138</v>
      </c>
      <c r="AM135" s="15">
        <f>AH86</f>
        <v>4</v>
      </c>
      <c r="AN135" t="s" s="44">
        <v>139</v>
      </c>
      <c r="AO135" t="s" s="44">
        <v>140</v>
      </c>
      <c r="AP135" t="s" s="44">
        <v>141</v>
      </c>
      <c r="AQ135" s="16">
        <f>AK94</f>
        <v>0.475801467707356</v>
      </c>
      <c r="AR135" t="s" s="44">
        <f>IF(AQ135&gt;0,"higher","lower")</f>
        <v>363</v>
      </c>
      <c r="AS135" t="s" s="44">
        <v>142</v>
      </c>
      <c r="AT135" s="15">
        <f>AI94</f>
        <v>84.1206836593193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3884.9</v>
      </c>
      <c r="AE137" s="15">
        <f>AG104</f>
        <v>4342.1</v>
      </c>
      <c r="AF137" s="15">
        <f>AI104</f>
        <v>4104.7</v>
      </c>
      <c r="AG137" s="15">
        <f>AK104</f>
        <v>4215.6</v>
      </c>
      <c r="AH137" s="15">
        <f>AM104</f>
        <v>3580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1094</v>
      </c>
      <c r="AE138" s="15">
        <f>SUM(AG117:AG118)</f>
        <v>828.6</v>
      </c>
      <c r="AF138" s="15">
        <f>SUM(AI117:AI118)</f>
        <v>-704.8</v>
      </c>
      <c r="AG138" s="15">
        <f>SUM(AK117:AK118)</f>
        <v>1521.5</v>
      </c>
      <c r="AH138" s="15">
        <f>SUM(AM117:AM118)</f>
        <v>24.2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-304.5</v>
      </c>
      <c r="AE139" s="15">
        <f>SUM(AG131:AG132)</f>
        <v>492.8</v>
      </c>
      <c r="AF139" s="15">
        <f>SUM(AI131:AI132)</f>
        <v>171.4</v>
      </c>
      <c r="AG139" s="15">
        <f>SUM(AK131:AK132)</f>
        <v>763.5</v>
      </c>
      <c r="AH139" s="15">
        <f>SUM(AM131:AM132)</f>
        <v>300.9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-23811</v>
      </c>
      <c r="AE140" s="15">
        <f>(AG124-AG125)</f>
        <v>-22930</v>
      </c>
      <c r="AF140" s="15">
        <f>(AI124-AI125)</f>
        <v>-22710</v>
      </c>
      <c r="AG140" s="15">
        <f>(AK124-AK125)</f>
        <v>-23379</v>
      </c>
      <c r="AH140" s="15">
        <f>(AM124-AM125)</f>
        <v>-23873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84.1206836593193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2:AH20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" width="10.3281" style="49" customWidth="1"/>
    <col min="2" max="23" width="6.70312" style="49" customWidth="1"/>
    <col min="24" max="24" width="9.63281" style="49" customWidth="1"/>
    <col min="25" max="34" width="6.70312" style="49" customWidth="1"/>
    <col min="35" max="16384" width="16.3516" style="49" customWidth="1"/>
  </cols>
  <sheetData>
    <row r="1" ht="27.65" customHeight="1">
      <c r="A1" t="s" s="2">
        <v>147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ht="20.25" customHeight="1">
      <c r="A2" t="s" s="50">
        <v>148</v>
      </c>
      <c r="B2" t="s" s="50">
        <v>149</v>
      </c>
      <c r="C2" s="51"/>
      <c r="D2" s="51"/>
      <c r="E2" s="51"/>
      <c r="F2" s="51"/>
      <c r="G2" t="s" s="50">
        <v>16</v>
      </c>
      <c r="H2" s="51"/>
      <c r="I2" s="51"/>
      <c r="J2" s="51"/>
      <c r="K2" s="51"/>
      <c r="L2" t="s" s="50">
        <v>150</v>
      </c>
      <c r="M2" s="51"/>
      <c r="N2" s="51"/>
      <c r="O2" s="51"/>
      <c r="P2" s="51"/>
      <c r="Q2" t="s" s="50">
        <v>151</v>
      </c>
      <c r="R2" s="51"/>
      <c r="S2" s="51"/>
      <c r="T2" s="51"/>
      <c r="U2" s="51"/>
      <c r="V2" t="s" s="50">
        <v>152</v>
      </c>
      <c r="W2" s="51"/>
      <c r="X2" s="51"/>
      <c r="Y2" t="s" s="50">
        <v>153</v>
      </c>
      <c r="Z2" t="s" s="50">
        <v>149</v>
      </c>
      <c r="AA2" s="51"/>
      <c r="AB2" t="s" s="50">
        <v>16</v>
      </c>
      <c r="AC2" s="51"/>
      <c r="AD2" t="s" s="50">
        <v>150</v>
      </c>
      <c r="AE2" s="51"/>
      <c r="AF2" t="s" s="50">
        <v>154</v>
      </c>
      <c r="AG2" t="s" s="50">
        <v>155</v>
      </c>
      <c r="AH2" t="s" s="50">
        <v>156</v>
      </c>
    </row>
    <row r="3" ht="20.25" customHeight="1">
      <c r="A3" t="s" s="52">
        <v>157</v>
      </c>
      <c r="B3" s="7">
        <v>429.84</v>
      </c>
      <c r="C3" s="8">
        <v>456.8</v>
      </c>
      <c r="D3" s="8">
        <v>501.445</v>
      </c>
      <c r="E3" s="8">
        <v>527.76</v>
      </c>
      <c r="F3" s="8">
        <v>691.02</v>
      </c>
      <c r="G3" s="8">
        <v>31.5216</v>
      </c>
      <c r="H3" s="8">
        <v>51.39</v>
      </c>
      <c r="I3" s="8">
        <v>37.2502</v>
      </c>
      <c r="J3" s="8">
        <v>35.184</v>
      </c>
      <c r="K3" s="8">
        <v>157.05</v>
      </c>
      <c r="L3" s="8">
        <v>28.656</v>
      </c>
      <c r="M3" s="8">
        <v>57.1</v>
      </c>
      <c r="N3" s="8">
        <v>28.654</v>
      </c>
      <c r="O3" s="8">
        <v>43.98</v>
      </c>
      <c r="P3" s="8">
        <v>141.345</v>
      </c>
      <c r="Q3" s="8">
        <v>-2278.152</v>
      </c>
      <c r="R3" s="8">
        <v>-2326.825</v>
      </c>
      <c r="S3" s="8">
        <v>-2235.012</v>
      </c>
      <c r="T3" s="8">
        <v>-2272.3</v>
      </c>
      <c r="U3" s="8">
        <v>-2481.39</v>
      </c>
      <c r="V3" s="8">
        <f>W3/1000000000</f>
        <v>176.5929984</v>
      </c>
      <c r="W3" s="8">
        <v>176592998400</v>
      </c>
      <c r="X3" t="s" s="53">
        <f>$A3</f>
        <v>157</v>
      </c>
      <c r="Y3" t="s" s="53">
        <f>Y$2</f>
        <v>153</v>
      </c>
      <c r="Z3" s="54">
        <f>F3/B3-1</f>
        <v>0.607621440536013</v>
      </c>
      <c r="AA3" t="s" s="53">
        <f>Y3</f>
        <v>153</v>
      </c>
      <c r="AB3" s="55">
        <f>SUM(H3:K3)/V3</f>
        <v>1.59051719232828</v>
      </c>
      <c r="AC3" t="s" s="53">
        <f>AA3</f>
        <v>153</v>
      </c>
      <c r="AD3" s="54">
        <f>SUM(M3:P3)/V3</f>
        <v>1.53504953455731</v>
      </c>
      <c r="AE3" t="s" s="53">
        <f>AC3</f>
        <v>153</v>
      </c>
      <c r="AF3" s="54">
        <f>U3/V3</f>
        <v>-14.0514630958325</v>
      </c>
      <c r="AG3" s="8">
        <v>100</v>
      </c>
      <c r="AH3" s="8">
        <v>224.385850228723</v>
      </c>
    </row>
    <row r="4" ht="20.05" customHeight="1">
      <c r="A4" t="s" s="56">
        <v>158</v>
      </c>
      <c r="B4" s="14">
        <v>12433.8384</v>
      </c>
      <c r="C4" s="15">
        <v>13038.785</v>
      </c>
      <c r="D4" s="15">
        <v>11905.737</v>
      </c>
      <c r="E4" s="15">
        <v>16243.28</v>
      </c>
      <c r="F4" s="15">
        <v>18758.052</v>
      </c>
      <c r="G4" s="15">
        <v>2713.7232</v>
      </c>
      <c r="H4" s="15">
        <v>2980.62</v>
      </c>
      <c r="I4" s="15">
        <v>1267.9395</v>
      </c>
      <c r="J4" s="15">
        <v>-560.0119999999999</v>
      </c>
      <c r="K4" s="15">
        <v>9033.516</v>
      </c>
      <c r="L4" s="15">
        <v>812.3976</v>
      </c>
      <c r="M4" s="15">
        <v>-17.13</v>
      </c>
      <c r="N4" s="15">
        <v>-687.696</v>
      </c>
      <c r="O4" s="15">
        <v>401.684</v>
      </c>
      <c r="P4" s="15">
        <v>6379.371</v>
      </c>
      <c r="Q4" s="15">
        <v>-29803.6728</v>
      </c>
      <c r="R4" s="15">
        <v>-26407.3225</v>
      </c>
      <c r="S4" s="15">
        <v>-27264.281</v>
      </c>
      <c r="T4" s="15">
        <v>-27487.5</v>
      </c>
      <c r="U4" s="15">
        <v>-21264.57</v>
      </c>
      <c r="V4" s="15">
        <f>W4/1000000000</f>
        <v>13318.88652288</v>
      </c>
      <c r="W4" s="15">
        <v>13318886522880</v>
      </c>
      <c r="X4" t="s" s="44">
        <f>$A4</f>
        <v>158</v>
      </c>
      <c r="Y4" t="s" s="44">
        <f>Y$2</f>
        <v>153</v>
      </c>
      <c r="Z4" s="35">
        <f>F4/B4-1</f>
        <v>0.508629225871232</v>
      </c>
      <c r="AA4" t="s" s="44">
        <f>Y4</f>
        <v>153</v>
      </c>
      <c r="AB4" s="16">
        <f>SUM(H4:K4)/V4</f>
        <v>0.955189720863321</v>
      </c>
      <c r="AC4" t="s" s="44">
        <f>AA4</f>
        <v>153</v>
      </c>
      <c r="AD4" s="35">
        <f>SUM(M4:P4)/V4</f>
        <v>0.456211485063851</v>
      </c>
      <c r="AE4" t="s" s="44">
        <f>AC4</f>
        <v>153</v>
      </c>
      <c r="AF4" s="16">
        <f>U4/V4</f>
        <v>-1.59657265368771</v>
      </c>
      <c r="AG4" s="15">
        <v>2560</v>
      </c>
      <c r="AH4" s="15">
        <v>5670.377900847650</v>
      </c>
    </row>
    <row r="5" ht="20.05" customHeight="1">
      <c r="A5" t="s" s="56">
        <v>159</v>
      </c>
      <c r="B5" s="14">
        <v>8326.5</v>
      </c>
      <c r="C5" s="15">
        <v>8188.5</v>
      </c>
      <c r="D5" s="15">
        <v>10140</v>
      </c>
      <c r="E5" s="15">
        <v>9936</v>
      </c>
      <c r="F5" s="15">
        <v>7570.5</v>
      </c>
      <c r="G5" s="15">
        <v>-1222.5</v>
      </c>
      <c r="H5" s="15">
        <v>1230</v>
      </c>
      <c r="I5" s="15">
        <v>646.5</v>
      </c>
      <c r="J5" s="15">
        <v>58.5</v>
      </c>
      <c r="K5" s="15">
        <v>814.5</v>
      </c>
      <c r="L5" s="15">
        <v>-1542.885</v>
      </c>
      <c r="M5" s="15">
        <v>1305.585</v>
      </c>
      <c r="N5" s="15">
        <v>30</v>
      </c>
      <c r="O5" s="15">
        <v>-141</v>
      </c>
      <c r="P5" s="15">
        <v>1452</v>
      </c>
      <c r="Q5" s="15">
        <v>-48390</v>
      </c>
      <c r="R5" s="15">
        <v>-47512.5</v>
      </c>
      <c r="S5" s="15">
        <v>-48525</v>
      </c>
      <c r="T5" s="15">
        <v>-47670</v>
      </c>
      <c r="U5" s="15">
        <v>-46425</v>
      </c>
      <c r="V5" s="15">
        <f>W5/1000000000</f>
        <v>5687.841374208</v>
      </c>
      <c r="W5" s="15">
        <v>5687841374208</v>
      </c>
      <c r="X5" t="s" s="44">
        <f>$A5</f>
        <v>159</v>
      </c>
      <c r="Y5" t="s" s="44">
        <f>Y$2</f>
        <v>153</v>
      </c>
      <c r="Z5" s="35">
        <f>F5/B5-1</f>
        <v>-0.0907944514501892</v>
      </c>
      <c r="AA5" t="s" s="44">
        <f>Y5</f>
        <v>153</v>
      </c>
      <c r="AB5" s="16">
        <f>SUM(H5:K5)/V5</f>
        <v>0.483399556898306</v>
      </c>
      <c r="AC5" t="s" s="44">
        <f>AA5</f>
        <v>153</v>
      </c>
      <c r="AD5" s="35">
        <f>SUM(M5:P5)/V5</f>
        <v>0.46530569787005</v>
      </c>
      <c r="AE5" t="s" s="44">
        <f>AC5</f>
        <v>153</v>
      </c>
      <c r="AF5" s="16">
        <f>U5/V5</f>
        <v>-8.162147455538779</v>
      </c>
      <c r="AG5" s="15">
        <v>294</v>
      </c>
      <c r="AH5" s="15">
        <v>505</v>
      </c>
    </row>
    <row r="6" ht="20.05" customHeight="1">
      <c r="A6" t="s" s="56">
        <v>160</v>
      </c>
      <c r="B6" s="14">
        <v>5167.8</v>
      </c>
      <c r="C6" s="15">
        <v>5533.6</v>
      </c>
      <c r="D6" s="15">
        <v>4041.1</v>
      </c>
      <c r="E6" s="15">
        <v>4031.7</v>
      </c>
      <c r="F6" s="15">
        <v>4262.4</v>
      </c>
      <c r="G6" s="15">
        <v>755.55</v>
      </c>
      <c r="H6" s="15">
        <v>715.75</v>
      </c>
      <c r="I6" s="15">
        <v>1034.6</v>
      </c>
      <c r="J6" s="15">
        <v>-393.3</v>
      </c>
      <c r="K6" s="15">
        <v>1444</v>
      </c>
      <c r="L6" s="15">
        <v>248.352</v>
      </c>
      <c r="M6" s="15">
        <v>484.87</v>
      </c>
      <c r="N6" s="15">
        <v>34.7</v>
      </c>
      <c r="O6" s="15">
        <v>245</v>
      </c>
      <c r="P6" s="15">
        <v>913.7</v>
      </c>
      <c r="Q6" s="15">
        <v>-13849</v>
      </c>
      <c r="R6" s="15">
        <v>-12466.7</v>
      </c>
      <c r="S6" s="15">
        <v>-12078</v>
      </c>
      <c r="T6" s="15">
        <v>-12160</v>
      </c>
      <c r="U6" s="15">
        <v>-11449</v>
      </c>
      <c r="V6" s="15">
        <f>W6/1000000000</f>
        <v>6355.53288192</v>
      </c>
      <c r="W6" s="15">
        <v>6355532881920</v>
      </c>
      <c r="X6" t="s" s="44">
        <f>$A6</f>
        <v>160</v>
      </c>
      <c r="Y6" t="s" s="44">
        <f>Y$2</f>
        <v>153</v>
      </c>
      <c r="Z6" s="35">
        <f>F6/B6-1</f>
        <v>-0.175200278648555</v>
      </c>
      <c r="AA6" t="s" s="44">
        <f>Y6</f>
        <v>153</v>
      </c>
      <c r="AB6" s="16">
        <f>SUM(H6:K6)/V6</f>
        <v>0.440726222653702</v>
      </c>
      <c r="AC6" t="s" s="44">
        <f>AA6</f>
        <v>153</v>
      </c>
      <c r="AD6" s="35">
        <f>SUM(M6:P6)/V6</f>
        <v>0.264064403596162</v>
      </c>
      <c r="AE6" t="s" s="44">
        <f>AC6</f>
        <v>153</v>
      </c>
      <c r="AF6" s="16">
        <f>U6/V6</f>
        <v>-1.80142251054506</v>
      </c>
      <c r="AG6" s="15">
        <v>410</v>
      </c>
      <c r="AH6" s="15">
        <v>1126.247578904430</v>
      </c>
    </row>
    <row r="7" ht="20.05" customHeight="1">
      <c r="A7" t="s" s="56">
        <v>161</v>
      </c>
      <c r="B7" s="14">
        <v>2007.4</v>
      </c>
      <c r="C7" s="15">
        <v>2417.3</v>
      </c>
      <c r="D7" s="15">
        <v>2445</v>
      </c>
      <c r="E7" s="15">
        <v>2975.5</v>
      </c>
      <c r="F7" s="15">
        <v>3151.6</v>
      </c>
      <c r="G7" s="15">
        <v>-58</v>
      </c>
      <c r="H7" s="15">
        <v>437.1</v>
      </c>
      <c r="I7" s="15">
        <v>147.4</v>
      </c>
      <c r="J7" s="15">
        <v>121.7</v>
      </c>
      <c r="K7" s="15">
        <v>260.5</v>
      </c>
      <c r="L7" s="15">
        <v>188.795</v>
      </c>
      <c r="M7" s="15">
        <v>64.67100000000001</v>
      </c>
      <c r="N7" s="15">
        <v>180</v>
      </c>
      <c r="O7" s="15">
        <v>-39.4</v>
      </c>
      <c r="P7" s="15">
        <v>35.6</v>
      </c>
      <c r="Q7" s="15">
        <v>-2589</v>
      </c>
      <c r="R7" s="15">
        <v>-2312</v>
      </c>
      <c r="S7" s="15">
        <v>-2455</v>
      </c>
      <c r="T7" s="15">
        <v>-3017</v>
      </c>
      <c r="U7" s="15">
        <v>-3161</v>
      </c>
      <c r="V7" s="15">
        <f>W7/1000000000</f>
        <v>2218.744029184</v>
      </c>
      <c r="W7" s="15">
        <v>2218744029184</v>
      </c>
      <c r="X7" t="s" s="44">
        <f>$A7</f>
        <v>161</v>
      </c>
      <c r="Y7" t="s" s="44">
        <f>Y$2</f>
        <v>153</v>
      </c>
      <c r="Z7" s="35">
        <f>F7/B7-1</f>
        <v>0.569991033177244</v>
      </c>
      <c r="AA7" t="s" s="44">
        <f>Y7</f>
        <v>153</v>
      </c>
      <c r="AB7" s="16">
        <f>SUM(H7:K7)/V7</f>
        <v>0.435696947139742</v>
      </c>
      <c r="AC7" t="s" s="44">
        <f>AA7</f>
        <v>153</v>
      </c>
      <c r="AD7" s="35">
        <f>SUM(M7:P7)/V7</f>
        <v>0.108561869612596</v>
      </c>
      <c r="AE7" t="s" s="44">
        <f>AC7</f>
        <v>153</v>
      </c>
      <c r="AF7" s="16">
        <f>U7/V7</f>
        <v>-1.42467989025419</v>
      </c>
      <c r="AG7" s="15">
        <v>304</v>
      </c>
      <c r="AH7" s="15">
        <v>660.9956847909079</v>
      </c>
    </row>
    <row r="8" ht="20.05" customHeight="1">
      <c r="A8" t="s" s="56">
        <v>162</v>
      </c>
      <c r="B8" s="14">
        <v>742.4</v>
      </c>
      <c r="C8" s="15">
        <v>1299.9</v>
      </c>
      <c r="D8" s="15">
        <v>618</v>
      </c>
      <c r="E8" s="15">
        <v>614</v>
      </c>
      <c r="F8" s="15">
        <v>814</v>
      </c>
      <c r="G8" s="15">
        <v>218.1</v>
      </c>
      <c r="H8" s="15">
        <v>444.5</v>
      </c>
      <c r="I8" s="15">
        <v>-103.8</v>
      </c>
      <c r="J8" s="15">
        <v>140.8</v>
      </c>
      <c r="K8" s="15">
        <v>56</v>
      </c>
      <c r="L8" s="15">
        <v>0</v>
      </c>
      <c r="M8" s="15">
        <v>9.5</v>
      </c>
      <c r="N8" s="15">
        <v>0</v>
      </c>
      <c r="O8" s="15">
        <v>26</v>
      </c>
      <c r="P8" s="15">
        <v>0</v>
      </c>
      <c r="Q8" s="15">
        <v>-147</v>
      </c>
      <c r="R8" s="15">
        <v>24</v>
      </c>
      <c r="S8" s="15">
        <v>501.1</v>
      </c>
      <c r="T8" s="15">
        <v>295</v>
      </c>
      <c r="U8" s="15">
        <v>357</v>
      </c>
      <c r="V8" s="15">
        <f>W8/1000000000</f>
        <v>1254.36542976</v>
      </c>
      <c r="W8" s="15">
        <v>1254365429760</v>
      </c>
      <c r="X8" t="s" s="44">
        <f>$A8</f>
        <v>162</v>
      </c>
      <c r="Y8" t="s" s="44">
        <f>Y$2</f>
        <v>153</v>
      </c>
      <c r="Z8" s="35">
        <f>F8/B8-1</f>
        <v>0.0964439655172414</v>
      </c>
      <c r="AA8" t="s" s="44">
        <f>Y8</f>
        <v>153</v>
      </c>
      <c r="AB8" s="16">
        <f>SUM(H8:K8)/V8</f>
        <v>0.428503518390842</v>
      </c>
      <c r="AC8" t="s" s="44">
        <f>AA8</f>
        <v>153</v>
      </c>
      <c r="AD8" s="35">
        <f>SUM(M8:P8)/V8</f>
        <v>0.0283011626099998</v>
      </c>
      <c r="AE8" t="s" s="44">
        <f>AC8</f>
        <v>153</v>
      </c>
      <c r="AF8" s="16">
        <f>U8/V8</f>
        <v>0.284606057796336</v>
      </c>
      <c r="AG8" s="15">
        <v>930</v>
      </c>
      <c r="AH8" s="15">
        <v>1628.462520011780</v>
      </c>
    </row>
    <row r="9" ht="20.05" customHeight="1">
      <c r="A9" t="s" s="56">
        <v>163</v>
      </c>
      <c r="B9" s="14">
        <v>15094.5</v>
      </c>
      <c r="C9" s="15">
        <v>21354</v>
      </c>
      <c r="D9" s="15">
        <v>18375</v>
      </c>
      <c r="E9" s="15">
        <v>34744.5</v>
      </c>
      <c r="F9" s="15">
        <v>35577</v>
      </c>
      <c r="G9" s="15">
        <v>4530.12</v>
      </c>
      <c r="H9" s="15">
        <v>6886.665</v>
      </c>
      <c r="I9" s="15">
        <v>1567.5</v>
      </c>
      <c r="J9" s="15">
        <v>15688.5</v>
      </c>
      <c r="K9" s="15">
        <v>17347.5</v>
      </c>
      <c r="L9" s="15">
        <v>-35.985</v>
      </c>
      <c r="M9" s="15">
        <v>2396.505</v>
      </c>
      <c r="N9" s="15">
        <v>5370</v>
      </c>
      <c r="O9" s="15">
        <v>5205</v>
      </c>
      <c r="P9" s="15">
        <v>379.5</v>
      </c>
      <c r="Q9" s="15">
        <v>-19245</v>
      </c>
      <c r="R9" s="15">
        <v>-19764</v>
      </c>
      <c r="S9" s="15">
        <v>-17434.5</v>
      </c>
      <c r="T9" s="15">
        <v>-15570</v>
      </c>
      <c r="U9" s="15">
        <v>-5850</v>
      </c>
      <c r="V9" s="15">
        <f>W9/1000000000</f>
        <v>97976.47568896</v>
      </c>
      <c r="W9" s="15">
        <v>97976475688960</v>
      </c>
      <c r="X9" t="s" s="44">
        <f>$A9</f>
        <v>163</v>
      </c>
      <c r="Y9" t="s" s="44">
        <f>Y$2</f>
        <v>153</v>
      </c>
      <c r="Z9" s="35">
        <f>F9/B9-1</f>
        <v>1.35695120739342</v>
      </c>
      <c r="AA9" t="s" s="44">
        <f>Y9</f>
        <v>153</v>
      </c>
      <c r="AB9" s="16">
        <f>SUM(H9:K9)/V9</f>
        <v>0.423470682204536</v>
      </c>
      <c r="AC9" t="s" s="44">
        <f>AA9</f>
        <v>153</v>
      </c>
      <c r="AD9" s="35">
        <f>SUM(M9:P9)/V9</f>
        <v>0.136267455081612</v>
      </c>
      <c r="AE9" t="s" s="44">
        <f>AC9</f>
        <v>153</v>
      </c>
      <c r="AF9" s="16">
        <f>U9/V9</f>
        <v>-0.0597082101480323</v>
      </c>
      <c r="AG9" s="15">
        <v>3140</v>
      </c>
      <c r="AH9" s="15">
        <v>7046.4072858683</v>
      </c>
    </row>
    <row r="10" ht="20.05" customHeight="1">
      <c r="A10" t="s" s="56">
        <v>164</v>
      </c>
      <c r="B10" s="14">
        <v>9705</v>
      </c>
      <c r="C10" s="15">
        <v>21007.5</v>
      </c>
      <c r="D10" s="15">
        <v>9598.5</v>
      </c>
      <c r="E10" s="15">
        <v>11724</v>
      </c>
      <c r="F10" s="15">
        <v>17917.5</v>
      </c>
      <c r="G10" s="15">
        <v>1779</v>
      </c>
      <c r="H10" s="15">
        <v>4176</v>
      </c>
      <c r="I10" s="15">
        <v>2568</v>
      </c>
      <c r="J10" s="15">
        <v>1944</v>
      </c>
      <c r="K10" s="15">
        <v>6768</v>
      </c>
      <c r="L10" s="15">
        <v>570</v>
      </c>
      <c r="M10" s="15">
        <v>3390</v>
      </c>
      <c r="N10" s="15">
        <v>-859.5</v>
      </c>
      <c r="O10" s="15">
        <v>4740</v>
      </c>
      <c r="P10" s="15">
        <v>10485</v>
      </c>
      <c r="Q10" s="15">
        <v>11395.5</v>
      </c>
      <c r="R10" s="15">
        <v>12861</v>
      </c>
      <c r="S10" s="15">
        <v>11962.5</v>
      </c>
      <c r="T10" s="15">
        <v>15544.5</v>
      </c>
      <c r="U10" s="15">
        <v>15621</v>
      </c>
      <c r="V10" s="15">
        <f>W10/1000000000</f>
        <v>39886.176</v>
      </c>
      <c r="W10" s="15">
        <v>39886176000000</v>
      </c>
      <c r="X10" t="s" s="44">
        <f>$A10</f>
        <v>164</v>
      </c>
      <c r="Y10" t="s" s="44">
        <f>Y$2</f>
        <v>153</v>
      </c>
      <c r="Z10" s="35">
        <f>F10/B10-1</f>
        <v>0.846213292117465</v>
      </c>
      <c r="AA10" t="s" s="44">
        <f>Y10</f>
        <v>153</v>
      </c>
      <c r="AB10" s="16">
        <f>SUM(H10:K10)/V10</f>
        <v>0.387502677619434</v>
      </c>
      <c r="AC10" t="s" s="44">
        <f>AA10</f>
        <v>153</v>
      </c>
      <c r="AD10" s="35">
        <f>SUM(M10:P10)/V10</f>
        <v>0.44515423087939</v>
      </c>
      <c r="AE10" t="s" s="44">
        <f>AC10</f>
        <v>153</v>
      </c>
      <c r="AF10" s="16">
        <f>U10/V10</f>
        <v>0.391639449216691</v>
      </c>
      <c r="AG10" s="15">
        <v>35300</v>
      </c>
      <c r="AH10" s="15">
        <v>78658.2241119509</v>
      </c>
    </row>
    <row r="11" ht="20.05" customHeight="1">
      <c r="A11" t="s" s="56">
        <v>165</v>
      </c>
      <c r="B11" s="14">
        <v>611.8056</v>
      </c>
      <c r="C11" s="15">
        <v>646.6575</v>
      </c>
      <c r="D11" s="15">
        <v>414.0503</v>
      </c>
      <c r="E11" s="15">
        <v>369.432</v>
      </c>
      <c r="F11" s="15">
        <v>361.215</v>
      </c>
      <c r="G11" s="15">
        <v>-12.8952</v>
      </c>
      <c r="H11" s="15">
        <v>1643.0525</v>
      </c>
      <c r="I11" s="15">
        <v>189.1164</v>
      </c>
      <c r="J11" s="15">
        <v>-196.444</v>
      </c>
      <c r="K11" s="15">
        <v>-370.638</v>
      </c>
      <c r="L11" s="15">
        <v>-11.433744</v>
      </c>
      <c r="M11" s="15">
        <v>1613.075</v>
      </c>
      <c r="N11" s="15">
        <v>-259.3187</v>
      </c>
      <c r="O11" s="15">
        <v>7.33</v>
      </c>
      <c r="P11" s="15">
        <v>-72.24299999999999</v>
      </c>
      <c r="Q11" s="15">
        <v>-7765.776</v>
      </c>
      <c r="R11" s="15">
        <v>-6223.9</v>
      </c>
      <c r="S11" s="15">
        <v>-5702.146</v>
      </c>
      <c r="T11" s="15">
        <v>-5922.64</v>
      </c>
      <c r="U11" s="15">
        <v>-6266.295</v>
      </c>
      <c r="V11" s="15">
        <f>W11/1000000000</f>
        <v>3281.040031744</v>
      </c>
      <c r="W11" s="15">
        <v>3281040031744</v>
      </c>
      <c r="X11" t="s" s="44">
        <f>$A11</f>
        <v>165</v>
      </c>
      <c r="Y11" t="s" s="44">
        <f>Y$2</f>
        <v>153</v>
      </c>
      <c r="Z11" s="35">
        <f>F11/B11-1</f>
        <v>-0.40959187035882</v>
      </c>
      <c r="AA11" t="s" s="44">
        <f>Y11</f>
        <v>153</v>
      </c>
      <c r="AB11" s="16">
        <f>SUM(H11:K11)/V11</f>
        <v>0.385574966400991</v>
      </c>
      <c r="AC11" t="s" s="44">
        <f>AA11</f>
        <v>153</v>
      </c>
      <c r="AD11" s="35">
        <f>SUM(M11:P11)/V11</f>
        <v>0.392815475437808</v>
      </c>
      <c r="AE11" t="s" s="44">
        <f>AC11</f>
        <v>153</v>
      </c>
      <c r="AF11" s="16">
        <f>U11/V11</f>
        <v>-1.90985021193698</v>
      </c>
      <c r="AG11" s="15">
        <v>124</v>
      </c>
      <c r="AH11" s="15">
        <v>126.310194125895</v>
      </c>
    </row>
    <row r="12" ht="20.05" customHeight="1">
      <c r="A12" t="s" s="56">
        <v>166</v>
      </c>
      <c r="B12" s="14">
        <v>3884.9</v>
      </c>
      <c r="C12" s="15">
        <v>4342.1</v>
      </c>
      <c r="D12" s="15">
        <v>4104.7</v>
      </c>
      <c r="E12" s="15">
        <v>4215.6</v>
      </c>
      <c r="F12" s="15">
        <v>3580</v>
      </c>
      <c r="G12" s="15">
        <v>1094</v>
      </c>
      <c r="H12" s="15">
        <v>828.6</v>
      </c>
      <c r="I12" s="15">
        <v>-704.8</v>
      </c>
      <c r="J12" s="15">
        <v>1521.5</v>
      </c>
      <c r="K12" s="15">
        <v>24.2</v>
      </c>
      <c r="L12" s="15">
        <v>-304.5</v>
      </c>
      <c r="M12" s="15">
        <v>492.8</v>
      </c>
      <c r="N12" s="15">
        <v>171.4</v>
      </c>
      <c r="O12" s="15">
        <v>763.5</v>
      </c>
      <c r="P12" s="15">
        <v>300.9</v>
      </c>
      <c r="Q12" s="15">
        <v>-23811</v>
      </c>
      <c r="R12" s="15">
        <v>-22930</v>
      </c>
      <c r="S12" s="15">
        <v>-22710</v>
      </c>
      <c r="T12" s="15">
        <v>-23379</v>
      </c>
      <c r="U12" s="15">
        <v>-23873</v>
      </c>
      <c r="V12" s="15">
        <f>W12/1000000000</f>
        <v>4761.933668352</v>
      </c>
      <c r="W12" s="15">
        <v>4761933668352</v>
      </c>
      <c r="X12" t="s" s="44">
        <f>$A12</f>
        <v>166</v>
      </c>
      <c r="Y12" t="s" s="44">
        <f>Y$2</f>
        <v>153</v>
      </c>
      <c r="Z12" s="35">
        <f>F12/B12-1</f>
        <v>-0.0784833586450102</v>
      </c>
      <c r="AA12" t="s" s="44">
        <f>Y12</f>
        <v>153</v>
      </c>
      <c r="AB12" s="16">
        <f>SUM(H12:K12)/V12</f>
        <v>0.350592871777186</v>
      </c>
      <c r="AC12" t="s" s="44">
        <f>AA12</f>
        <v>153</v>
      </c>
      <c r="AD12" s="35">
        <f>SUM(M12:P12)/V12</f>
        <v>0.363003796438481</v>
      </c>
      <c r="AE12" t="s" s="44">
        <f>AC12</f>
        <v>153</v>
      </c>
      <c r="AF12" s="16">
        <f>U12/V12</f>
        <v>-5.01329956749732</v>
      </c>
      <c r="AG12" s="15">
        <v>57</v>
      </c>
      <c r="AH12" s="15">
        <v>84.1206806203335</v>
      </c>
    </row>
    <row r="13" ht="20.05" customHeight="1">
      <c r="A13" t="s" s="56">
        <v>167</v>
      </c>
      <c r="B13" s="14">
        <v>3244.7</v>
      </c>
      <c r="C13" s="15">
        <v>3497.9</v>
      </c>
      <c r="D13" s="15">
        <v>3400.3</v>
      </c>
      <c r="E13" s="15">
        <v>3527.7</v>
      </c>
      <c r="F13" s="15">
        <v>2774.9</v>
      </c>
      <c r="G13" s="15">
        <v>585.4</v>
      </c>
      <c r="H13" s="15">
        <v>125.5</v>
      </c>
      <c r="I13" s="26">
        <v>350.9</v>
      </c>
      <c r="J13" s="15">
        <v>408.1</v>
      </c>
      <c r="K13" s="15">
        <v>594.2</v>
      </c>
      <c r="L13" s="15">
        <v>-77.764</v>
      </c>
      <c r="M13" s="15">
        <v>434.462</v>
      </c>
      <c r="N13" s="15">
        <v>228</v>
      </c>
      <c r="O13" s="15">
        <v>470</v>
      </c>
      <c r="P13" s="15">
        <v>534.5</v>
      </c>
      <c r="Q13" s="15">
        <v>-9298</v>
      </c>
      <c r="R13" s="15">
        <v>-8865</v>
      </c>
      <c r="S13" s="15">
        <v>-8241</v>
      </c>
      <c r="T13" s="15">
        <v>-8515</v>
      </c>
      <c r="U13" s="15">
        <v>-7459</v>
      </c>
      <c r="V13" s="15">
        <f>W13/1000000000</f>
        <v>4415.17492224</v>
      </c>
      <c r="W13" s="15">
        <v>4415174922240</v>
      </c>
      <c r="X13" t="s" s="44">
        <f>$A13</f>
        <v>167</v>
      </c>
      <c r="Y13" t="s" s="44">
        <f>Y$2</f>
        <v>153</v>
      </c>
      <c r="Z13" s="35">
        <f>F13/B13-1</f>
        <v>-0.144789965173976</v>
      </c>
      <c r="AA13" t="s" s="44">
        <f>Y13</f>
        <v>153</v>
      </c>
      <c r="AB13" s="16">
        <f>SUM(H13:K13)/V13</f>
        <v>0.334913118062782</v>
      </c>
      <c r="AC13" t="s" s="44">
        <f>AA13</f>
        <v>153</v>
      </c>
      <c r="AD13" s="35">
        <f>SUM(M13:P13)/V13</f>
        <v>0.377552878279686</v>
      </c>
      <c r="AE13" t="s" s="44">
        <f>AC13</f>
        <v>153</v>
      </c>
      <c r="AF13" s="16">
        <f>U13/V13</f>
        <v>-1.68940078963298</v>
      </c>
      <c r="AG13" s="15">
        <v>270</v>
      </c>
      <c r="AH13" s="15">
        <v>510.186389833079</v>
      </c>
    </row>
    <row r="14" ht="20.05" customHeight="1">
      <c r="A14" t="s" s="56">
        <v>168</v>
      </c>
      <c r="B14" s="14">
        <v>3829.1</v>
      </c>
      <c r="C14" s="15">
        <v>4907.8</v>
      </c>
      <c r="D14" s="15">
        <v>4393</v>
      </c>
      <c r="E14" s="15">
        <v>3085.8</v>
      </c>
      <c r="F14" s="15">
        <v>2702.9</v>
      </c>
      <c r="G14" s="15">
        <v>228.2</v>
      </c>
      <c r="H14" s="15">
        <v>631.8</v>
      </c>
      <c r="I14" s="15">
        <v>1790.3</v>
      </c>
      <c r="J14" s="15">
        <v>349.9</v>
      </c>
      <c r="K14" s="15">
        <v>169.4</v>
      </c>
      <c r="L14" s="15">
        <v>414.1</v>
      </c>
      <c r="M14" s="15">
        <v>206.8</v>
      </c>
      <c r="N14" s="15">
        <v>963</v>
      </c>
      <c r="O14" s="15">
        <v>510.8</v>
      </c>
      <c r="P14" s="15">
        <v>693</v>
      </c>
      <c r="Q14" s="15">
        <v>-7113</v>
      </c>
      <c r="R14" s="15">
        <v>-6601</v>
      </c>
      <c r="S14" s="15">
        <v>-5283.2</v>
      </c>
      <c r="T14" s="15">
        <v>-5383.8</v>
      </c>
      <c r="U14" s="15">
        <v>-4727.8</v>
      </c>
      <c r="V14" s="15">
        <f>W14/1000000000</f>
        <v>8825.58392064</v>
      </c>
      <c r="W14" s="15">
        <v>8825583920640</v>
      </c>
      <c r="X14" t="s" s="44">
        <f>$A14</f>
        <v>168</v>
      </c>
      <c r="Y14" t="s" s="44">
        <f>Y$2</f>
        <v>153</v>
      </c>
      <c r="Z14" s="35">
        <f>F14/B14-1</f>
        <v>-0.294116110835444</v>
      </c>
      <c r="AA14" t="s" s="44">
        <f>Y14</f>
        <v>153</v>
      </c>
      <c r="AB14" s="16">
        <f>SUM(H14:K14)/V14</f>
        <v>0.333281064057538</v>
      </c>
      <c r="AC14" t="s" s="44">
        <f>AA14</f>
        <v>153</v>
      </c>
      <c r="AD14" s="35">
        <f>SUM(M14:P14)/V14</f>
        <v>0.268945377591274</v>
      </c>
      <c r="AE14" t="s" s="44">
        <f>AC14</f>
        <v>153</v>
      </c>
      <c r="AF14" s="16">
        <f>U14/V14</f>
        <v>-0.535692600343792</v>
      </c>
      <c r="AG14" s="15">
        <v>1185</v>
      </c>
      <c r="AH14" s="15">
        <v>1678.888204926130</v>
      </c>
    </row>
    <row r="15" ht="20.05" customHeight="1">
      <c r="A15" t="s" s="56">
        <v>169</v>
      </c>
      <c r="B15" s="14">
        <v>3938.6</v>
      </c>
      <c r="C15" s="15">
        <v>4144.8</v>
      </c>
      <c r="D15" s="15">
        <v>4225</v>
      </c>
      <c r="E15" s="15">
        <v>4063</v>
      </c>
      <c r="F15" s="15">
        <v>4464.7</v>
      </c>
      <c r="G15" s="15">
        <v>-856.6</v>
      </c>
      <c r="H15" s="15">
        <v>863.1</v>
      </c>
      <c r="I15" s="15">
        <v>237.3</v>
      </c>
      <c r="J15" s="15">
        <v>-188.3</v>
      </c>
      <c r="K15" s="15">
        <v>-286</v>
      </c>
      <c r="L15" s="15">
        <v>-244.4</v>
      </c>
      <c r="M15" s="15">
        <v>811.6</v>
      </c>
      <c r="N15" s="15">
        <v>71</v>
      </c>
      <c r="O15" s="15">
        <v>-146</v>
      </c>
      <c r="P15" s="15">
        <v>26</v>
      </c>
      <c r="Q15" s="15">
        <v>-11453</v>
      </c>
      <c r="R15" s="15">
        <v>-10642</v>
      </c>
      <c r="S15" s="15">
        <v>-10864</v>
      </c>
      <c r="T15" s="15">
        <v>-11376</v>
      </c>
      <c r="U15" s="15">
        <v>-12039</v>
      </c>
      <c r="V15" s="15">
        <f>W15/1000000000</f>
        <v>1916.4255616</v>
      </c>
      <c r="W15" s="15">
        <v>1916425561600</v>
      </c>
      <c r="X15" t="s" s="44">
        <f>$A15</f>
        <v>169</v>
      </c>
      <c r="Y15" t="s" s="44">
        <f>Y$2</f>
        <v>153</v>
      </c>
      <c r="Z15" s="35">
        <f>F15/B15-1</f>
        <v>0.133575382115473</v>
      </c>
      <c r="AA15" t="s" s="44">
        <f>Y15</f>
        <v>153</v>
      </c>
      <c r="AB15" s="16">
        <f>SUM(H15:K15)/V15</f>
        <v>0.326701966695371</v>
      </c>
      <c r="AC15" t="s" s="44">
        <f>AA15</f>
        <v>153</v>
      </c>
      <c r="AD15" s="35">
        <f>SUM(M15:P15)/V15</f>
        <v>0.397928317843619</v>
      </c>
      <c r="AE15" t="s" s="44">
        <f>AC15</f>
        <v>153</v>
      </c>
      <c r="AF15" s="16">
        <f>U15/V15</f>
        <v>-6.28200762984438</v>
      </c>
      <c r="AG15" s="15">
        <v>550</v>
      </c>
      <c r="AH15" s="15">
        <v>602.944796064995</v>
      </c>
    </row>
    <row r="16" ht="20.05" customHeight="1">
      <c r="A16" t="s" s="56">
        <v>170</v>
      </c>
      <c r="B16" s="14">
        <v>521.8</v>
      </c>
      <c r="C16" s="15">
        <v>960.1</v>
      </c>
      <c r="D16" s="15">
        <v>766.4</v>
      </c>
      <c r="E16" s="15">
        <v>782.2</v>
      </c>
      <c r="F16" s="15">
        <v>920.4</v>
      </c>
      <c r="G16" s="15">
        <v>-347.2</v>
      </c>
      <c r="H16" s="15">
        <v>206.7</v>
      </c>
      <c r="I16" s="15">
        <v>-305.4</v>
      </c>
      <c r="J16" s="15">
        <v>467.4</v>
      </c>
      <c r="K16" s="15">
        <v>0.1</v>
      </c>
      <c r="L16" s="15">
        <v>50.739</v>
      </c>
      <c r="M16" s="15">
        <v>92.464</v>
      </c>
      <c r="N16" s="15">
        <v>-235.664</v>
      </c>
      <c r="O16" s="15">
        <v>33.892</v>
      </c>
      <c r="P16" s="15">
        <v>8.5</v>
      </c>
      <c r="Q16" s="15">
        <v>-3191</v>
      </c>
      <c r="R16" s="15">
        <v>-2920</v>
      </c>
      <c r="S16" s="15">
        <v>-3334</v>
      </c>
      <c r="T16" s="15">
        <v>-2949</v>
      </c>
      <c r="U16" s="15">
        <v>-3033</v>
      </c>
      <c r="V16" s="15">
        <f>W16/1000000000</f>
        <v>1182.62037504</v>
      </c>
      <c r="W16" s="15">
        <v>1182620375040</v>
      </c>
      <c r="X16" t="s" s="44">
        <f>$A16</f>
        <v>170</v>
      </c>
      <c r="Y16" t="s" s="44">
        <f>Y$2</f>
        <v>153</v>
      </c>
      <c r="Z16" s="35">
        <f>F16/B16-1</f>
        <v>0.763894212341893</v>
      </c>
      <c r="AA16" t="s" s="44">
        <f>Y16</f>
        <v>153</v>
      </c>
      <c r="AB16" s="16">
        <f>SUM(H16:K16)/V16</f>
        <v>0.311849861361915</v>
      </c>
      <c r="AC16" t="s" s="44">
        <f>AA16</f>
        <v>153</v>
      </c>
      <c r="AD16" s="35">
        <f>SUM(M16:P16)/V16</f>
        <v>-0.0852412169852818</v>
      </c>
      <c r="AE16" t="s" s="44">
        <f>AC16</f>
        <v>153</v>
      </c>
      <c r="AF16" s="16">
        <f>U16/V16</f>
        <v>-2.56464378934568</v>
      </c>
      <c r="AG16" s="15">
        <v>260</v>
      </c>
      <c r="AH16" s="15">
        <v>324.889626207294</v>
      </c>
    </row>
    <row r="17" ht="20.05" customHeight="1">
      <c r="A17" t="s" s="56">
        <v>171</v>
      </c>
      <c r="B17" s="14">
        <v>1215.4</v>
      </c>
      <c r="C17" s="15">
        <v>1265.7</v>
      </c>
      <c r="D17" s="15">
        <v>1462</v>
      </c>
      <c r="E17" s="15">
        <v>1225</v>
      </c>
      <c r="F17" s="15">
        <v>1440.3</v>
      </c>
      <c r="G17" s="15">
        <v>377.8</v>
      </c>
      <c r="H17" s="15">
        <v>267.4</v>
      </c>
      <c r="I17" s="15">
        <v>270.2</v>
      </c>
      <c r="J17" s="15">
        <v>43.8</v>
      </c>
      <c r="K17" s="15">
        <v>129.4</v>
      </c>
      <c r="L17" s="15">
        <v>369.7</v>
      </c>
      <c r="M17" s="15">
        <v>282.5</v>
      </c>
      <c r="N17" s="15">
        <v>277</v>
      </c>
      <c r="O17" s="15">
        <v>46</v>
      </c>
      <c r="P17" s="15">
        <v>133.8</v>
      </c>
      <c r="Q17" s="15">
        <v>-4073</v>
      </c>
      <c r="R17" s="15">
        <v>-3978</v>
      </c>
      <c r="S17" s="15">
        <v>-3720.6</v>
      </c>
      <c r="T17" s="15">
        <v>-3648</v>
      </c>
      <c r="U17" s="15">
        <v>-3568</v>
      </c>
      <c r="V17" s="15">
        <f>W17/1000000000</f>
        <v>2332.75</v>
      </c>
      <c r="W17" s="15">
        <v>2332750000000</v>
      </c>
      <c r="X17" t="s" s="44">
        <f>$A17</f>
        <v>171</v>
      </c>
      <c r="Y17" t="s" s="44">
        <f>Y$2</f>
        <v>153</v>
      </c>
      <c r="Z17" s="35">
        <f>F17/B17-1</f>
        <v>0.185041961494158</v>
      </c>
      <c r="AA17" t="s" s="44">
        <f>Y17</f>
        <v>153</v>
      </c>
      <c r="AB17" s="16">
        <f>SUM(H17:K17)/V17</f>
        <v>0.304704747615475</v>
      </c>
      <c r="AC17" t="s" s="44">
        <f>AA17</f>
        <v>153</v>
      </c>
      <c r="AD17" s="35">
        <f>SUM(M17:P17)/V17</f>
        <v>0.316922087664773</v>
      </c>
      <c r="AE17" t="s" s="44">
        <f>AC17</f>
        <v>153</v>
      </c>
      <c r="AF17" s="16">
        <f>U17/V17</f>
        <v>-1.52952523845247</v>
      </c>
      <c r="AG17" s="15">
        <v>5375</v>
      </c>
      <c r="AH17" s="15">
        <v>10275.1995783895</v>
      </c>
    </row>
    <row r="18" ht="20.05" customHeight="1">
      <c r="A18" t="s" s="56">
        <v>172</v>
      </c>
      <c r="B18" s="14">
        <v>37.777</v>
      </c>
      <c r="C18" s="15">
        <v>35.881</v>
      </c>
      <c r="D18" s="15">
        <v>50.934</v>
      </c>
      <c r="E18" s="15">
        <v>64.917</v>
      </c>
      <c r="F18" s="15">
        <v>62.94</v>
      </c>
      <c r="G18" s="26">
        <v>16.63</v>
      </c>
      <c r="H18" s="26">
        <v>5.492</v>
      </c>
      <c r="I18" s="26">
        <v>7.597</v>
      </c>
      <c r="J18" s="26">
        <v>11.25</v>
      </c>
      <c r="K18" s="26">
        <v>15.636</v>
      </c>
      <c r="L18" s="26">
        <v>11.227</v>
      </c>
      <c r="M18" s="26">
        <v>5.942</v>
      </c>
      <c r="N18" s="26">
        <v>5.739</v>
      </c>
      <c r="O18" s="26">
        <v>15.842</v>
      </c>
      <c r="P18" s="26">
        <v>17.468</v>
      </c>
      <c r="Q18" s="26">
        <v>-362.388</v>
      </c>
      <c r="R18" s="26">
        <v>-356.196</v>
      </c>
      <c r="S18" s="26">
        <v>-350.22</v>
      </c>
      <c r="T18" s="26">
        <v>-338.05</v>
      </c>
      <c r="U18" s="26">
        <v>-330.308</v>
      </c>
      <c r="V18" s="15">
        <f>W18/1000000000</f>
        <v>132.871325184</v>
      </c>
      <c r="W18" s="15">
        <v>132871325184</v>
      </c>
      <c r="X18" t="s" s="44">
        <f>$A18</f>
        <v>172</v>
      </c>
      <c r="Y18" t="s" s="44">
        <f>Y$2</f>
        <v>153</v>
      </c>
      <c r="Z18" s="35">
        <f>F18/B18-1</f>
        <v>0.6660931254467</v>
      </c>
      <c r="AA18" t="s" s="44">
        <f>Y18</f>
        <v>153</v>
      </c>
      <c r="AB18" s="16">
        <f>SUM(H18:K18)/V18</f>
        <v>0.300854980897065</v>
      </c>
      <c r="AC18" t="s" s="44">
        <f>AA18</f>
        <v>153</v>
      </c>
      <c r="AD18" s="35">
        <f>SUM(M18:P18)/V18</f>
        <v>0.338605789757094</v>
      </c>
      <c r="AE18" t="s" s="44">
        <f>AC18</f>
        <v>153</v>
      </c>
      <c r="AF18" s="16">
        <f>U18/V18</f>
        <v>-2.48592387817755</v>
      </c>
      <c r="AG18" s="15">
        <v>216</v>
      </c>
      <c r="AH18" s="15">
        <v>346.440169407008</v>
      </c>
    </row>
    <row r="19" ht="20.05" customHeight="1">
      <c r="A19" t="s" s="56">
        <v>173</v>
      </c>
      <c r="B19" s="14">
        <v>11845.5</v>
      </c>
      <c r="C19" s="15">
        <v>11725.5</v>
      </c>
      <c r="D19" s="15">
        <v>12555</v>
      </c>
      <c r="E19" s="15">
        <v>13548</v>
      </c>
      <c r="F19" s="15">
        <v>13521</v>
      </c>
      <c r="G19" s="15">
        <v>1633.875</v>
      </c>
      <c r="H19" s="15">
        <v>784.875</v>
      </c>
      <c r="I19" s="15">
        <v>2202</v>
      </c>
      <c r="J19" s="15">
        <v>3222</v>
      </c>
      <c r="K19" s="15">
        <v>4905</v>
      </c>
      <c r="L19" s="15">
        <v>540</v>
      </c>
      <c r="M19" s="15">
        <v>-300</v>
      </c>
      <c r="N19" s="15">
        <v>4320</v>
      </c>
      <c r="O19" s="15">
        <v>3193.5</v>
      </c>
      <c r="P19" s="15">
        <v>120</v>
      </c>
      <c r="Q19" s="15">
        <v>-2804</v>
      </c>
      <c r="R19" s="15">
        <v>-2708</v>
      </c>
      <c r="S19" s="15">
        <v>-2587.9</v>
      </c>
      <c r="T19" s="15">
        <v>-2541</v>
      </c>
      <c r="U19" s="15">
        <v>-2277</v>
      </c>
      <c r="V19" s="15">
        <f>W19/1000000000</f>
        <v>37331.9102464</v>
      </c>
      <c r="W19" s="15">
        <v>37331910246400</v>
      </c>
      <c r="X19" t="s" s="44">
        <f>$A19</f>
        <v>173</v>
      </c>
      <c r="Y19" t="s" s="44">
        <f>Y$2</f>
        <v>153</v>
      </c>
      <c r="Z19" s="35">
        <f>F19/B19-1</f>
        <v>0.141446118779283</v>
      </c>
      <c r="AA19" t="s" s="44">
        <f>Y19</f>
        <v>153</v>
      </c>
      <c r="AB19" s="16">
        <f>SUM(H19:K19)/V19</f>
        <v>0.297704428373625</v>
      </c>
      <c r="AC19" t="s" s="44">
        <f>AA19</f>
        <v>153</v>
      </c>
      <c r="AD19" s="35">
        <f>SUM(M19:P19)/V19</f>
        <v>0.196440523712745</v>
      </c>
      <c r="AE19" t="s" s="44">
        <f>AC19</f>
        <v>153</v>
      </c>
      <c r="AF19" s="16">
        <f>U19/V19</f>
        <v>-0.0609933963992527</v>
      </c>
      <c r="AG19" s="15">
        <v>1540</v>
      </c>
      <c r="AH19" s="15">
        <v>3101.791003052590</v>
      </c>
    </row>
    <row r="20" ht="20.05" customHeight="1">
      <c r="A20" t="s" s="56">
        <v>174</v>
      </c>
      <c r="B20" s="14">
        <v>730.6</v>
      </c>
      <c r="C20" s="15">
        <v>826.1</v>
      </c>
      <c r="D20" s="15">
        <v>757.5</v>
      </c>
      <c r="E20" s="15">
        <v>868.5</v>
      </c>
      <c r="F20" s="15">
        <v>1022.2</v>
      </c>
      <c r="G20" s="15">
        <v>21.4</v>
      </c>
      <c r="H20" s="15">
        <v>26.1</v>
      </c>
      <c r="I20" s="15">
        <v>-6.3</v>
      </c>
      <c r="J20" s="15">
        <v>130.2</v>
      </c>
      <c r="K20" s="15">
        <v>248.9</v>
      </c>
      <c r="L20" s="15">
        <v>53</v>
      </c>
      <c r="M20" s="15">
        <v>0</v>
      </c>
      <c r="N20" s="15">
        <v>0</v>
      </c>
      <c r="O20" s="15">
        <v>0</v>
      </c>
      <c r="P20" s="15">
        <v>62</v>
      </c>
      <c r="Q20" s="15">
        <v>6</v>
      </c>
      <c r="R20" s="15">
        <v>-51</v>
      </c>
      <c r="S20" s="15">
        <v>88</v>
      </c>
      <c r="T20" s="15">
        <v>152</v>
      </c>
      <c r="U20" s="15">
        <v>93</v>
      </c>
      <c r="V20" s="15">
        <f>W20/1000000000</f>
        <v>1346.7805312</v>
      </c>
      <c r="W20" s="15">
        <v>1346780531200</v>
      </c>
      <c r="X20" t="s" s="44">
        <f>$A20</f>
        <v>174</v>
      </c>
      <c r="Y20" t="s" s="44">
        <f>Y$2</f>
        <v>153</v>
      </c>
      <c r="Z20" s="35">
        <f>F20/B20-1</f>
        <v>0.399124007664933</v>
      </c>
      <c r="AA20" t="s" s="44">
        <f>Y20</f>
        <v>153</v>
      </c>
      <c r="AB20" s="16">
        <f>SUM(H20:K20)/V20</f>
        <v>0.296187827755852</v>
      </c>
      <c r="AC20" t="s" s="44">
        <f>AA20</f>
        <v>153</v>
      </c>
      <c r="AD20" s="35">
        <f>SUM(M20:P20)/V20</f>
        <v>0.0460357115088062</v>
      </c>
      <c r="AE20" t="s" s="44">
        <f>AC20</f>
        <v>153</v>
      </c>
      <c r="AF20" s="16">
        <f>U20/V20</f>
        <v>0.0690535672632093</v>
      </c>
      <c r="AG20" s="15">
        <v>650</v>
      </c>
      <c r="AH20" s="15">
        <v>1375</v>
      </c>
    </row>
    <row r="21" ht="20.05" customHeight="1">
      <c r="A21" t="s" s="56">
        <v>175</v>
      </c>
      <c r="B21" s="14">
        <v>2101.2</v>
      </c>
      <c r="C21" s="15">
        <v>2382.3</v>
      </c>
      <c r="D21" s="15">
        <v>2079</v>
      </c>
      <c r="E21" s="15">
        <v>2048.6</v>
      </c>
      <c r="F21" s="15">
        <v>2060.1</v>
      </c>
      <c r="G21" s="15">
        <v>4425.7</v>
      </c>
      <c r="H21" s="15">
        <v>1027.2</v>
      </c>
      <c r="I21" s="15">
        <v>746.7</v>
      </c>
      <c r="J21" s="15">
        <v>182.3</v>
      </c>
      <c r="K21" s="15">
        <v>561.9</v>
      </c>
      <c r="L21" s="15">
        <v>1906.3</v>
      </c>
      <c r="M21" s="15">
        <v>943.5</v>
      </c>
      <c r="N21" s="15">
        <v>-814.1</v>
      </c>
      <c r="O21" s="15">
        <v>1356.1</v>
      </c>
      <c r="P21" s="15">
        <v>313.2</v>
      </c>
      <c r="Q21" s="17"/>
      <c r="R21" s="17"/>
      <c r="S21" s="17"/>
      <c r="T21" s="17"/>
      <c r="U21" s="17"/>
      <c r="V21" s="15">
        <f>W21/1000000000</f>
        <v>8925</v>
      </c>
      <c r="W21" s="15">
        <v>8925000000000</v>
      </c>
      <c r="X21" t="s" s="44">
        <f>$A21</f>
        <v>175</v>
      </c>
      <c r="Y21" t="s" s="44">
        <f>Y$2</f>
        <v>153</v>
      </c>
      <c r="Z21" s="35">
        <f>F21/B21-1</f>
        <v>-0.01956025128498</v>
      </c>
      <c r="AA21" t="s" s="44">
        <f>Y21</f>
        <v>153</v>
      </c>
      <c r="AB21" s="16">
        <f>SUM(H21:K21)/V21</f>
        <v>0.282140056022409</v>
      </c>
      <c r="AC21" t="s" s="44">
        <f>AA21</f>
        <v>153</v>
      </c>
      <c r="AD21" s="35">
        <f>SUM(M21:P21)/V21</f>
        <v>0.201535014005602</v>
      </c>
      <c r="AE21" t="s" s="44">
        <f>AC21</f>
        <v>153</v>
      </c>
      <c r="AF21" s="16">
        <f>U21/V21</f>
        <v>0</v>
      </c>
      <c r="AG21" s="15">
        <v>8925</v>
      </c>
      <c r="AH21" s="15">
        <v>11221.7487087694</v>
      </c>
    </row>
    <row r="22" ht="20.05" customHeight="1">
      <c r="A22" t="s" s="56">
        <v>176</v>
      </c>
      <c r="B22" s="14">
        <v>1218.8</v>
      </c>
      <c r="C22" s="15">
        <v>1834.8</v>
      </c>
      <c r="D22" s="15">
        <v>773</v>
      </c>
      <c r="E22" s="15">
        <v>1080.1</v>
      </c>
      <c r="F22" s="15">
        <v>1812.8</v>
      </c>
      <c r="G22" s="15">
        <v>-202.7</v>
      </c>
      <c r="H22" s="15">
        <v>868.7</v>
      </c>
      <c r="I22" s="15">
        <v>-517</v>
      </c>
      <c r="J22" s="15">
        <v>-188.9</v>
      </c>
      <c r="K22" s="15">
        <v>226.8</v>
      </c>
      <c r="L22" s="15">
        <v>-543.35</v>
      </c>
      <c r="M22" s="15">
        <v>200.8</v>
      </c>
      <c r="N22" s="15">
        <v>452</v>
      </c>
      <c r="O22" s="15">
        <v>-174.1</v>
      </c>
      <c r="P22" s="15">
        <v>194.9</v>
      </c>
      <c r="Q22" s="15">
        <v>-3986.3</v>
      </c>
      <c r="R22" s="15">
        <v>-3741</v>
      </c>
      <c r="S22" s="15">
        <v>-4151</v>
      </c>
      <c r="T22" s="15">
        <v>-4195</v>
      </c>
      <c r="U22" s="15">
        <v>-4659</v>
      </c>
      <c r="V22" s="15">
        <f>W22/1000000000</f>
        <v>1438.05252096</v>
      </c>
      <c r="W22" s="15">
        <v>1438052520960</v>
      </c>
      <c r="X22" t="s" s="44">
        <f>$A22</f>
        <v>176</v>
      </c>
      <c r="Y22" t="s" s="44">
        <f>Y$2</f>
        <v>153</v>
      </c>
      <c r="Z22" s="35">
        <f>F22/B22-1</f>
        <v>0.487364620938628</v>
      </c>
      <c r="AA22" t="s" s="44">
        <f>Y22</f>
        <v>153</v>
      </c>
      <c r="AB22" s="16">
        <f>SUM(H22:K22)/V22</f>
        <v>0.2709219547419</v>
      </c>
      <c r="AC22" t="s" s="44">
        <f>AA22</f>
        <v>153</v>
      </c>
      <c r="AD22" s="35">
        <f>SUM(M22:P22)/V22</f>
        <v>0.468411264666693</v>
      </c>
      <c r="AE22" t="s" s="44">
        <f>AC22</f>
        <v>153</v>
      </c>
      <c r="AF22" s="16">
        <f>U22/V22</f>
        <v>-3.23979822161835</v>
      </c>
      <c r="AG22" s="15">
        <v>165</v>
      </c>
      <c r="AH22" s="15">
        <v>278.407841799606</v>
      </c>
    </row>
    <row r="23" ht="20.05" customHeight="1">
      <c r="A23" t="s" s="56">
        <v>177</v>
      </c>
      <c r="B23" s="14">
        <v>512.2</v>
      </c>
      <c r="C23" s="15">
        <v>387.3</v>
      </c>
      <c r="D23" s="15">
        <v>596</v>
      </c>
      <c r="E23" s="15">
        <v>518</v>
      </c>
      <c r="F23" s="15">
        <v>628.2</v>
      </c>
      <c r="G23" s="15">
        <v>58.9</v>
      </c>
      <c r="H23" s="15">
        <v>123.2</v>
      </c>
      <c r="I23" s="15">
        <v>102.4</v>
      </c>
      <c r="J23" s="15">
        <v>23.6</v>
      </c>
      <c r="K23" s="15">
        <v>25</v>
      </c>
      <c r="L23" s="15">
        <v>0</v>
      </c>
      <c r="M23" s="15">
        <v>0</v>
      </c>
      <c r="N23" s="15">
        <v>0</v>
      </c>
      <c r="O23" s="15">
        <v>0</v>
      </c>
      <c r="P23" s="15">
        <v>85.09999999999999</v>
      </c>
      <c r="Q23" s="26">
        <v>-854</v>
      </c>
      <c r="R23" s="26">
        <v>-735</v>
      </c>
      <c r="S23" s="26">
        <v>-977.6</v>
      </c>
      <c r="T23" s="15">
        <v>-943</v>
      </c>
      <c r="U23" s="15">
        <v>-964</v>
      </c>
      <c r="V23" s="15">
        <f>W23/1000000000</f>
        <v>1029.819961344</v>
      </c>
      <c r="W23" s="15">
        <v>1029819961344</v>
      </c>
      <c r="X23" t="s" s="44">
        <f>$A23</f>
        <v>177</v>
      </c>
      <c r="Y23" t="s" s="44">
        <f>Y$2</f>
        <v>153</v>
      </c>
      <c r="Z23" s="35">
        <f>F23/B23-1</f>
        <v>0.226474033580633</v>
      </c>
      <c r="AA23" t="s" s="44">
        <f>Y23</f>
        <v>153</v>
      </c>
      <c r="AB23" s="16">
        <f>SUM(H23:K23)/V23</f>
        <v>0.266260133122829</v>
      </c>
      <c r="AC23" t="s" s="44">
        <f>AA23</f>
        <v>153</v>
      </c>
      <c r="AD23" s="35">
        <f>SUM(M23:P23)/V23</f>
        <v>0.0826358035330151</v>
      </c>
      <c r="AE23" t="s" s="44">
        <f>AC23</f>
        <v>153</v>
      </c>
      <c r="AF23" s="16">
        <f>U23/V23</f>
        <v>-0.936085953064942</v>
      </c>
      <c r="AG23" s="15">
        <v>302</v>
      </c>
      <c r="AH23" s="15">
        <v>456.823143955344</v>
      </c>
    </row>
    <row r="24" ht="20.05" customHeight="1">
      <c r="A24" t="s" s="56">
        <v>178</v>
      </c>
      <c r="B24" s="14">
        <v>1331.2</v>
      </c>
      <c r="C24" s="15">
        <v>1778.2</v>
      </c>
      <c r="D24" s="15">
        <v>1470</v>
      </c>
      <c r="E24" s="15">
        <v>1259</v>
      </c>
      <c r="F24" s="15">
        <v>1482.8</v>
      </c>
      <c r="G24" s="15">
        <v>274.2</v>
      </c>
      <c r="H24" s="15">
        <v>873.4</v>
      </c>
      <c r="I24" s="15">
        <v>1321.4</v>
      </c>
      <c r="J24" s="15">
        <v>157.6</v>
      </c>
      <c r="K24" s="15">
        <v>151.5</v>
      </c>
      <c r="L24" s="15">
        <v>1030.423</v>
      </c>
      <c r="M24" s="15">
        <v>102.15</v>
      </c>
      <c r="N24" s="15">
        <v>473</v>
      </c>
      <c r="O24" s="15">
        <v>532</v>
      </c>
      <c r="P24" s="15">
        <v>361.1</v>
      </c>
      <c r="Q24" s="15">
        <v>-12714</v>
      </c>
      <c r="R24" s="15">
        <v>-12146</v>
      </c>
      <c r="S24" s="15">
        <v>-12240.5</v>
      </c>
      <c r="T24" s="15">
        <v>-12660</v>
      </c>
      <c r="U24" s="15">
        <v>-13136</v>
      </c>
      <c r="V24" s="15">
        <f>W24/1000000000</f>
        <v>9409.902182399999</v>
      </c>
      <c r="W24" s="15">
        <v>9409902182400</v>
      </c>
      <c r="X24" t="s" s="44">
        <f>$A24</f>
        <v>178</v>
      </c>
      <c r="Y24" t="s" s="44">
        <f>Y$2</f>
        <v>153</v>
      </c>
      <c r="Z24" s="35">
        <f>F24/B24-1</f>
        <v>0.113882211538462</v>
      </c>
      <c r="AA24" t="s" s="44">
        <f>Y24</f>
        <v>153</v>
      </c>
      <c r="AB24" s="16">
        <f>SUM(H24:K24)/V24</f>
        <v>0.266092032782574</v>
      </c>
      <c r="AC24" t="s" s="44">
        <f>AA24</f>
        <v>153</v>
      </c>
      <c r="AD24" s="35">
        <f>SUM(M24:P24)/V24</f>
        <v>0.156032440246422</v>
      </c>
      <c r="AE24" t="s" s="44">
        <f>AC24</f>
        <v>153</v>
      </c>
      <c r="AF24" s="16">
        <f>U24/V24</f>
        <v>-1.39597625409637</v>
      </c>
      <c r="AG24" s="15">
        <v>570</v>
      </c>
      <c r="AH24" s="15">
        <v>747.815597232837</v>
      </c>
    </row>
    <row r="25" ht="20.05" customHeight="1">
      <c r="A25" t="s" s="56">
        <v>179</v>
      </c>
      <c r="B25" s="14">
        <v>4178.7</v>
      </c>
      <c r="C25" s="15">
        <v>4177.2</v>
      </c>
      <c r="D25" s="15">
        <v>3949.5</v>
      </c>
      <c r="E25" s="15">
        <v>3501.5</v>
      </c>
      <c r="F25" s="15">
        <v>4242.3</v>
      </c>
      <c r="G25" s="15">
        <v>-17144.6</v>
      </c>
      <c r="H25" s="15">
        <v>5513.5</v>
      </c>
      <c r="I25" s="15">
        <v>292.9</v>
      </c>
      <c r="J25" s="15">
        <v>474.7</v>
      </c>
      <c r="K25" s="15">
        <v>2033.7</v>
      </c>
      <c r="L25" s="15">
        <v>357.4</v>
      </c>
      <c r="M25" s="15">
        <v>2791.2</v>
      </c>
      <c r="N25" s="15">
        <v>-605.8</v>
      </c>
      <c r="O25" s="15">
        <v>292.2</v>
      </c>
      <c r="P25" s="15">
        <v>427.2</v>
      </c>
      <c r="Q25" s="17"/>
      <c r="R25" s="17"/>
      <c r="S25" s="17"/>
      <c r="T25" s="17"/>
      <c r="U25" s="17"/>
      <c r="V25" s="15">
        <f>W25/1000000000</f>
        <v>31787.5802112</v>
      </c>
      <c r="W25" s="15">
        <v>31787580211200</v>
      </c>
      <c r="X25" t="s" s="44">
        <f>$A25</f>
        <v>179</v>
      </c>
      <c r="Y25" t="s" s="44">
        <f>Y$2</f>
        <v>153</v>
      </c>
      <c r="Z25" s="35">
        <f>F25/B25-1</f>
        <v>0.0152200445114509</v>
      </c>
      <c r="AA25" t="s" s="44">
        <f>Y25</f>
        <v>153</v>
      </c>
      <c r="AB25" s="16">
        <f>SUM(H25:K25)/V25</f>
        <v>0.261573858241351</v>
      </c>
      <c r="AC25" t="s" s="44">
        <f>AA25</f>
        <v>153</v>
      </c>
      <c r="AD25" s="35">
        <f>SUM(M25:P25)/V25</f>
        <v>0.091381601892947</v>
      </c>
      <c r="AE25" t="s" s="44">
        <f>AC25</f>
        <v>153</v>
      </c>
      <c r="AF25" s="16">
        <f>U25/V25</f>
        <v>0</v>
      </c>
      <c r="AG25" s="15">
        <v>1320</v>
      </c>
      <c r="AH25" s="15">
        <v>1842.8881882822</v>
      </c>
    </row>
    <row r="26" ht="20.05" customHeight="1">
      <c r="A26" t="s" s="56">
        <v>180</v>
      </c>
      <c r="B26" s="14">
        <v>20511.4</v>
      </c>
      <c r="C26" s="15">
        <v>21638.1</v>
      </c>
      <c r="D26" s="15">
        <v>27978.7</v>
      </c>
      <c r="E26" s="15">
        <v>32468.3</v>
      </c>
      <c r="F26" s="15">
        <v>31086.3</v>
      </c>
      <c r="G26" s="15">
        <v>5193.7</v>
      </c>
      <c r="H26" s="15">
        <v>4221</v>
      </c>
      <c r="I26" s="15">
        <v>5250.7</v>
      </c>
      <c r="J26" s="15">
        <v>7881.3</v>
      </c>
      <c r="K26" s="15">
        <v>5421.6</v>
      </c>
      <c r="L26" s="15">
        <v>688.2</v>
      </c>
      <c r="M26" s="15">
        <v>2602</v>
      </c>
      <c r="N26" s="15">
        <v>2882.5</v>
      </c>
      <c r="O26" s="15">
        <v>4828.5</v>
      </c>
      <c r="P26" s="15">
        <v>1488.7</v>
      </c>
      <c r="Q26" s="15">
        <v>-9600</v>
      </c>
      <c r="R26" s="15">
        <v>-7416</v>
      </c>
      <c r="S26" s="15">
        <v>-7258</v>
      </c>
      <c r="T26" s="15">
        <v>-8149</v>
      </c>
      <c r="U26" s="15">
        <v>-12987</v>
      </c>
      <c r="V26" s="15">
        <f>W26/1000000000</f>
        <v>90082.878681600007</v>
      </c>
      <c r="W26" s="15">
        <v>90082878681600</v>
      </c>
      <c r="X26" t="s" s="44">
        <f>$A26</f>
        <v>180</v>
      </c>
      <c r="Y26" t="s" s="44">
        <f>Y$2</f>
        <v>153</v>
      </c>
      <c r="Z26" s="35">
        <f>F26/B26-1</f>
        <v>0.515562077673879</v>
      </c>
      <c r="AA26" t="s" s="44">
        <f>Y26</f>
        <v>153</v>
      </c>
      <c r="AB26" s="16">
        <f>SUM(H26:K26)/V26</f>
        <v>0.252818297253769</v>
      </c>
      <c r="AC26" t="s" s="44">
        <f>AA26</f>
        <v>153</v>
      </c>
      <c r="AD26" s="35">
        <f>SUM(M26:P26)/V26</f>
        <v>0.13100935685807</v>
      </c>
      <c r="AE26" t="s" s="44">
        <f>AC26</f>
        <v>153</v>
      </c>
      <c r="AF26" s="16">
        <f>U26/V26</f>
        <v>-0.144167240102338</v>
      </c>
      <c r="AG26" s="15">
        <v>24150</v>
      </c>
      <c r="AH26" s="15">
        <v>47889</v>
      </c>
    </row>
    <row r="27" ht="20.05" customHeight="1">
      <c r="A27" t="s" s="56">
        <v>181</v>
      </c>
      <c r="B27" s="14">
        <v>114.5</v>
      </c>
      <c r="C27" s="15">
        <v>169</v>
      </c>
      <c r="D27" s="15">
        <v>150</v>
      </c>
      <c r="E27" s="15">
        <v>152.3</v>
      </c>
      <c r="F27" s="15">
        <v>206</v>
      </c>
      <c r="G27" s="15">
        <v>28.6</v>
      </c>
      <c r="H27" s="15">
        <v>88</v>
      </c>
      <c r="I27" s="15">
        <v>63.6</v>
      </c>
      <c r="J27" s="15">
        <v>2.2</v>
      </c>
      <c r="K27" s="15">
        <v>97.2</v>
      </c>
      <c r="L27" s="15">
        <v>0</v>
      </c>
      <c r="M27" s="15">
        <v>0</v>
      </c>
      <c r="N27" s="15">
        <v>0</v>
      </c>
      <c r="O27" s="15">
        <v>0</v>
      </c>
      <c r="P27" s="15">
        <v>41.8</v>
      </c>
      <c r="Q27" s="15">
        <v>-153</v>
      </c>
      <c r="R27" s="15">
        <v>-129</v>
      </c>
      <c r="S27" s="15">
        <v>-86</v>
      </c>
      <c r="T27" s="15">
        <v>-61</v>
      </c>
      <c r="U27" s="15">
        <v>-60</v>
      </c>
      <c r="V27" s="15">
        <f>W27/1000000000</f>
        <v>1000.1090176</v>
      </c>
      <c r="W27" s="15">
        <v>1000109017600</v>
      </c>
      <c r="X27" t="s" s="44">
        <f>$A27</f>
        <v>181</v>
      </c>
      <c r="Y27" t="s" s="44">
        <f>Y$2</f>
        <v>153</v>
      </c>
      <c r="Z27" s="35">
        <f>F27/B27-1</f>
        <v>0.799126637554585</v>
      </c>
      <c r="AA27" t="s" s="44">
        <f>Y27</f>
        <v>153</v>
      </c>
      <c r="AB27" s="16">
        <f>SUM(H27:K27)/V27</f>
        <v>0.250972639565169</v>
      </c>
      <c r="AC27" t="s" s="44">
        <f>AA27</f>
        <v>153</v>
      </c>
      <c r="AD27" s="35">
        <f>SUM(M27:P27)/V27</f>
        <v>0.041795443561052</v>
      </c>
      <c r="AE27" t="s" s="44">
        <f>AC27</f>
        <v>153</v>
      </c>
      <c r="AF27" s="16">
        <f>U27/V27</f>
        <v>-0.0599934596570125</v>
      </c>
      <c r="AG27" s="15">
        <v>550</v>
      </c>
      <c r="AH27" s="15">
        <v>1258.240021334650</v>
      </c>
    </row>
    <row r="28" ht="20.05" customHeight="1">
      <c r="A28" t="s" s="56">
        <v>182</v>
      </c>
      <c r="B28" s="14">
        <v>207.4</v>
      </c>
      <c r="C28" s="15">
        <v>247.5</v>
      </c>
      <c r="D28" s="15">
        <v>151.9</v>
      </c>
      <c r="E28" s="15">
        <v>110.2</v>
      </c>
      <c r="F28" s="15">
        <v>119.5</v>
      </c>
      <c r="G28" s="15">
        <v>119.3</v>
      </c>
      <c r="H28" s="15">
        <v>61.3</v>
      </c>
      <c r="I28" s="15">
        <v>-37.1</v>
      </c>
      <c r="J28" s="15">
        <v>56.4</v>
      </c>
      <c r="K28" s="15">
        <v>26.2</v>
      </c>
      <c r="L28" s="15">
        <v>31.1</v>
      </c>
      <c r="M28" s="15">
        <v>48.7</v>
      </c>
      <c r="N28" s="15">
        <v>30.3</v>
      </c>
      <c r="O28" s="15">
        <v>33.8</v>
      </c>
      <c r="P28" s="15">
        <v>44.7</v>
      </c>
      <c r="Q28" s="15">
        <v>-835</v>
      </c>
      <c r="R28" s="15">
        <v>-846</v>
      </c>
      <c r="S28" s="15">
        <v>-770</v>
      </c>
      <c r="T28" s="15">
        <v>-688</v>
      </c>
      <c r="U28" s="15">
        <v>-666</v>
      </c>
      <c r="V28" s="15">
        <f>W28/1000000000</f>
        <v>462</v>
      </c>
      <c r="W28" s="15">
        <v>462000000000</v>
      </c>
      <c r="X28" t="s" s="44">
        <f>$A28</f>
        <v>182</v>
      </c>
      <c r="Y28" t="s" s="44">
        <f>Y$2</f>
        <v>153</v>
      </c>
      <c r="Z28" s="35">
        <f>F28/B28-1</f>
        <v>-0.423818707810993</v>
      </c>
      <c r="AA28" t="s" s="44">
        <f>Y28</f>
        <v>153</v>
      </c>
      <c r="AB28" s="16">
        <f>SUM(H28:K28)/V28</f>
        <v>0.231168831168831</v>
      </c>
      <c r="AC28" t="s" s="44">
        <f>AA28</f>
        <v>153</v>
      </c>
      <c r="AD28" s="35">
        <f>SUM(M28:P28)/V28</f>
        <v>0.340909090909091</v>
      </c>
      <c r="AE28" t="s" s="44">
        <f>AC28</f>
        <v>153</v>
      </c>
      <c r="AF28" s="16">
        <f>U28/V28</f>
        <v>-1.44155844155844</v>
      </c>
      <c r="AG28" s="15">
        <v>77</v>
      </c>
      <c r="AH28" s="15">
        <v>166.196676779456</v>
      </c>
    </row>
    <row r="29" ht="20.05" customHeight="1">
      <c r="A29" t="s" s="56">
        <v>183</v>
      </c>
      <c r="B29" s="14">
        <v>1524.21</v>
      </c>
      <c r="C29" s="15">
        <v>943.29</v>
      </c>
      <c r="D29" s="15">
        <v>2385</v>
      </c>
      <c r="E29" s="15">
        <v>2878.5</v>
      </c>
      <c r="F29" s="15">
        <v>3091.5</v>
      </c>
      <c r="G29" s="15">
        <v>140.31</v>
      </c>
      <c r="H29" s="15">
        <v>-5.31</v>
      </c>
      <c r="I29" s="15">
        <v>544.5</v>
      </c>
      <c r="J29" s="15">
        <v>1231.5</v>
      </c>
      <c r="K29" s="15">
        <v>1396.5</v>
      </c>
      <c r="L29" s="15">
        <v>0</v>
      </c>
      <c r="M29" s="15">
        <v>225</v>
      </c>
      <c r="N29" s="15">
        <v>88.5</v>
      </c>
      <c r="O29" s="15">
        <v>649.5</v>
      </c>
      <c r="P29" s="15">
        <v>1663.5</v>
      </c>
      <c r="Q29" s="15">
        <v>-6424.335</v>
      </c>
      <c r="R29" s="15">
        <v>-6405</v>
      </c>
      <c r="S29" s="15">
        <v>-5955</v>
      </c>
      <c r="T29" s="15">
        <v>-4755</v>
      </c>
      <c r="U29" s="15">
        <v>-3525</v>
      </c>
      <c r="V29" s="15">
        <f>W29/1000000000</f>
        <v>13938.20131328</v>
      </c>
      <c r="W29" s="15">
        <v>13938201313280</v>
      </c>
      <c r="X29" t="s" s="44">
        <f>$A29</f>
        <v>183</v>
      </c>
      <c r="Y29" t="s" s="44">
        <f>Y$2</f>
        <v>153</v>
      </c>
      <c r="Z29" s="35">
        <f>F29/B29-1</f>
        <v>1.0282638219143</v>
      </c>
      <c r="AA29" t="s" s="44">
        <f>Y29</f>
        <v>153</v>
      </c>
      <c r="AB29" s="16">
        <f>SUM(H29:K29)/V29</f>
        <v>0.227230897933894</v>
      </c>
      <c r="AC29" t="s" s="44">
        <f>AA29</f>
        <v>153</v>
      </c>
      <c r="AD29" s="35">
        <f>SUM(M29:P29)/V29</f>
        <v>0.188438948539044</v>
      </c>
      <c r="AE29" t="s" s="44">
        <f>AC29</f>
        <v>153</v>
      </c>
      <c r="AF29" s="16">
        <f>U29/V29</f>
        <v>-0.252902072568105</v>
      </c>
      <c r="AG29" s="15">
        <v>890</v>
      </c>
      <c r="AH29" s="15">
        <v>1639</v>
      </c>
    </row>
    <row r="30" ht="20.05" customHeight="1">
      <c r="A30" t="s" s="56">
        <v>184</v>
      </c>
      <c r="B30" s="14">
        <v>4347.4</v>
      </c>
      <c r="C30" s="15">
        <v>4338.8</v>
      </c>
      <c r="D30" s="15">
        <v>4259</v>
      </c>
      <c r="E30" s="15">
        <v>4293</v>
      </c>
      <c r="F30" s="15">
        <v>4314</v>
      </c>
      <c r="G30" s="15">
        <v>3549.8</v>
      </c>
      <c r="H30" s="15">
        <v>5570.8</v>
      </c>
      <c r="I30" s="15">
        <v>-5106.1</v>
      </c>
      <c r="J30" s="15">
        <v>10933.1</v>
      </c>
      <c r="K30" s="15">
        <v>-5808</v>
      </c>
      <c r="L30" s="15">
        <v>1758.359</v>
      </c>
      <c r="M30" s="15">
        <v>843.741</v>
      </c>
      <c r="N30" s="15">
        <v>-854</v>
      </c>
      <c r="O30" s="15">
        <v>2226</v>
      </c>
      <c r="P30" s="15">
        <v>568</v>
      </c>
      <c r="Q30" s="17"/>
      <c r="R30" s="17"/>
      <c r="S30" s="17"/>
      <c r="T30" s="17"/>
      <c r="U30" s="17"/>
      <c r="V30" s="15">
        <f>W30/1000000000</f>
        <v>24727.08040704</v>
      </c>
      <c r="W30" s="15">
        <v>24727080407040</v>
      </c>
      <c r="X30" t="s" s="44">
        <f>$A30</f>
        <v>184</v>
      </c>
      <c r="Y30" t="s" s="44">
        <f>Y$2</f>
        <v>153</v>
      </c>
      <c r="Z30" s="35">
        <f>F30/B30-1</f>
        <v>-0.00768275290978516</v>
      </c>
      <c r="AA30" t="s" s="44">
        <f>Y30</f>
        <v>153</v>
      </c>
      <c r="AB30" s="16">
        <f>SUM(H30:K30)/V30</f>
        <v>0.226059846451122</v>
      </c>
      <c r="AC30" t="s" s="44">
        <f>AA30</f>
        <v>153</v>
      </c>
      <c r="AD30" s="35">
        <f>SUM(M30:P30)/V30</f>
        <v>0.112578636627373</v>
      </c>
      <c r="AE30" t="s" s="44">
        <f>AC30</f>
        <v>153</v>
      </c>
      <c r="AF30" s="16">
        <f>U30/V30</f>
        <v>0</v>
      </c>
      <c r="AG30" s="15">
        <v>2530</v>
      </c>
      <c r="AH30" s="15">
        <v>5000.0620621328</v>
      </c>
    </row>
    <row r="31" ht="20.05" customHeight="1">
      <c r="A31" t="s" s="56">
        <v>185</v>
      </c>
      <c r="B31" s="14">
        <v>662.1</v>
      </c>
      <c r="C31" s="15">
        <v>1075.4</v>
      </c>
      <c r="D31" s="15">
        <v>947.2</v>
      </c>
      <c r="E31" s="15">
        <v>1006.7</v>
      </c>
      <c r="F31" s="15">
        <v>791</v>
      </c>
      <c r="G31" s="15">
        <v>304.6</v>
      </c>
      <c r="H31" s="15">
        <v>193.6</v>
      </c>
      <c r="I31" s="15">
        <v>305.3</v>
      </c>
      <c r="J31" s="15">
        <v>8.9</v>
      </c>
      <c r="K31" s="15">
        <v>163</v>
      </c>
      <c r="L31" s="15">
        <v>165.604</v>
      </c>
      <c r="M31" s="15">
        <v>38.8</v>
      </c>
      <c r="N31" s="15">
        <v>38.7</v>
      </c>
      <c r="O31" s="15">
        <v>22.1</v>
      </c>
      <c r="P31" s="15">
        <v>45</v>
      </c>
      <c r="Q31" s="15">
        <v>-11622</v>
      </c>
      <c r="R31" s="15">
        <v>-11407</v>
      </c>
      <c r="S31" s="15">
        <v>-11182</v>
      </c>
      <c r="T31" s="15">
        <v>-10828</v>
      </c>
      <c r="U31" s="15">
        <v>-11175</v>
      </c>
      <c r="V31" s="15">
        <f>W31/1000000000</f>
        <v>3006.358327296</v>
      </c>
      <c r="W31" s="15">
        <v>3006358327296</v>
      </c>
      <c r="X31" t="s" s="44">
        <f>$A31</f>
        <v>185</v>
      </c>
      <c r="Y31" t="s" s="44">
        <f>Y$2</f>
        <v>153</v>
      </c>
      <c r="Z31" s="35">
        <f>F31/B31-1</f>
        <v>0.194683582540402</v>
      </c>
      <c r="AA31" t="s" s="44">
        <f>Y31</f>
        <v>153</v>
      </c>
      <c r="AB31" s="16">
        <f>SUM(H31:K31)/V31</f>
        <v>0.223127094967198</v>
      </c>
      <c r="AC31" t="s" s="44">
        <f>AA31</f>
        <v>153</v>
      </c>
      <c r="AD31" s="35">
        <f>SUM(M31:P31)/V31</f>
        <v>0.0480980589330006</v>
      </c>
      <c r="AE31" t="s" s="44">
        <f>AC31</f>
        <v>153</v>
      </c>
      <c r="AF31" s="16">
        <f>U31/V31</f>
        <v>-3.71712177438645</v>
      </c>
      <c r="AG31" s="15">
        <v>153</v>
      </c>
      <c r="AH31" s="15">
        <v>224.737264769056</v>
      </c>
    </row>
    <row r="32" ht="20.05" customHeight="1">
      <c r="A32" t="s" s="56">
        <v>186</v>
      </c>
      <c r="B32" s="14">
        <v>9090.5</v>
      </c>
      <c r="C32" s="15">
        <v>9879.700000000001</v>
      </c>
      <c r="D32" s="15">
        <v>8205</v>
      </c>
      <c r="E32" s="15">
        <v>10218</v>
      </c>
      <c r="F32" s="15">
        <v>12647.9</v>
      </c>
      <c r="G32" s="15">
        <v>1677.9</v>
      </c>
      <c r="H32" s="15">
        <v>-341.9</v>
      </c>
      <c r="I32" s="15">
        <v>1711.6</v>
      </c>
      <c r="J32" s="15">
        <v>5995.4</v>
      </c>
      <c r="K32" s="57">
        <v>1151.7</v>
      </c>
      <c r="L32" s="15">
        <v>-683</v>
      </c>
      <c r="M32" s="15">
        <v>92</v>
      </c>
      <c r="N32" s="15">
        <v>1</v>
      </c>
      <c r="O32" s="15">
        <v>7972</v>
      </c>
      <c r="P32" s="15">
        <v>1.3</v>
      </c>
      <c r="Q32" s="15">
        <v>-6348</v>
      </c>
      <c r="R32" s="15">
        <v>-7476</v>
      </c>
      <c r="S32" s="15">
        <v>-6362</v>
      </c>
      <c r="T32" s="15">
        <v>-9043</v>
      </c>
      <c r="U32" s="15">
        <v>-9464</v>
      </c>
      <c r="V32" s="15">
        <f>W32/1000000000</f>
        <v>38252.37685248</v>
      </c>
      <c r="W32" s="15">
        <v>38252376852480</v>
      </c>
      <c r="X32" t="s" s="44">
        <f>$A32</f>
        <v>186</v>
      </c>
      <c r="Y32" t="s" s="44">
        <f>Y$2</f>
        <v>153</v>
      </c>
      <c r="Z32" s="35">
        <f>F32/B32-1</f>
        <v>0.391331609922447</v>
      </c>
      <c r="AA32" t="s" s="44">
        <f>Y32</f>
        <v>153</v>
      </c>
      <c r="AB32" s="16">
        <f>SUM(H32:K32)/V32</f>
        <v>0.22264760260114</v>
      </c>
      <c r="AC32" t="s" s="44">
        <f>AA32</f>
        <v>153</v>
      </c>
      <c r="AD32" s="35">
        <f>SUM(M32:P32)/V32</f>
        <v>0.210870556648221</v>
      </c>
      <c r="AE32" t="s" s="44">
        <f>AC32</f>
        <v>153</v>
      </c>
      <c r="AF32" s="16">
        <f>U32/V32</f>
        <v>-0.247409462593602</v>
      </c>
      <c r="AG32" s="15">
        <v>3330</v>
      </c>
      <c r="AH32" s="15">
        <v>7029.401835302930</v>
      </c>
    </row>
    <row r="33" ht="20.05" customHeight="1">
      <c r="A33" t="s" s="56">
        <v>187</v>
      </c>
      <c r="B33" s="14">
        <v>1148.5</v>
      </c>
      <c r="C33" s="15">
        <v>1259.6</v>
      </c>
      <c r="D33" s="15">
        <v>1331.7</v>
      </c>
      <c r="E33" s="15">
        <v>1194.3</v>
      </c>
      <c r="F33" s="15">
        <v>1324</v>
      </c>
      <c r="G33" s="15">
        <v>4.4</v>
      </c>
      <c r="H33" s="15">
        <v>200.3</v>
      </c>
      <c r="I33" s="15">
        <v>400.4</v>
      </c>
      <c r="J33" s="15">
        <v>103.6</v>
      </c>
      <c r="K33" s="15">
        <v>90</v>
      </c>
      <c r="L33" s="15">
        <v>-58</v>
      </c>
      <c r="M33" s="15">
        <v>88</v>
      </c>
      <c r="N33" s="15">
        <v>64.59999999999999</v>
      </c>
      <c r="O33" s="15">
        <v>106.4</v>
      </c>
      <c r="P33" s="15">
        <v>76</v>
      </c>
      <c r="Q33" s="15">
        <v>-2470</v>
      </c>
      <c r="R33" s="15">
        <v>-2237</v>
      </c>
      <c r="S33" s="15">
        <v>-1951</v>
      </c>
      <c r="T33" s="15">
        <v>-1830</v>
      </c>
      <c r="U33" s="15">
        <v>-1657</v>
      </c>
      <c r="V33" s="15">
        <f>W33/1000000000</f>
        <v>3572.10003456</v>
      </c>
      <c r="W33" s="15">
        <v>3572100034560</v>
      </c>
      <c r="X33" t="s" s="44">
        <f>$A33</f>
        <v>187</v>
      </c>
      <c r="Y33" t="s" s="44">
        <f>Y$2</f>
        <v>153</v>
      </c>
      <c r="Z33" s="35">
        <f>F33/B33-1</f>
        <v>0.152808010448411</v>
      </c>
      <c r="AA33" t="s" s="44">
        <f>Y33</f>
        <v>153</v>
      </c>
      <c r="AB33" s="16">
        <f>SUM(H33:K33)/V33</f>
        <v>0.222362193755819</v>
      </c>
      <c r="AC33" t="s" s="44">
        <f>AA33</f>
        <v>153</v>
      </c>
      <c r="AD33" s="35">
        <f>SUM(M33:P33)/V33</f>
        <v>0.0937823680073014</v>
      </c>
      <c r="AE33" t="s" s="44">
        <f>AC33</f>
        <v>153</v>
      </c>
      <c r="AF33" s="16">
        <f>U33/V33</f>
        <v>-0.46387278742716</v>
      </c>
      <c r="AG33" s="15">
        <v>540</v>
      </c>
      <c r="AH33" s="15">
        <v>1214</v>
      </c>
    </row>
    <row r="34" ht="20.05" customHeight="1">
      <c r="A34" t="s" s="56">
        <v>188</v>
      </c>
      <c r="B34" s="14">
        <v>264.1</v>
      </c>
      <c r="C34" s="15">
        <v>242.9</v>
      </c>
      <c r="D34" s="15">
        <v>254.9</v>
      </c>
      <c r="E34" s="15">
        <v>266.6</v>
      </c>
      <c r="F34" s="15">
        <v>243.7</v>
      </c>
      <c r="G34" s="15">
        <v>45.3</v>
      </c>
      <c r="H34" s="15">
        <v>121.4</v>
      </c>
      <c r="I34" s="15">
        <v>90.59999999999999</v>
      </c>
      <c r="J34" s="15">
        <v>9.4</v>
      </c>
      <c r="K34" s="15">
        <v>30.7</v>
      </c>
      <c r="L34" s="15">
        <v>16.511</v>
      </c>
      <c r="M34" s="15">
        <v>-120.542</v>
      </c>
      <c r="N34" s="15">
        <v>155.7</v>
      </c>
      <c r="O34" s="15">
        <v>31.9</v>
      </c>
      <c r="P34" s="15">
        <v>23.8</v>
      </c>
      <c r="Q34" s="15">
        <v>-701.1</v>
      </c>
      <c r="R34" s="15">
        <v>-607</v>
      </c>
      <c r="S34" s="15">
        <v>-588</v>
      </c>
      <c r="T34" s="15">
        <v>-571</v>
      </c>
      <c r="U34" s="15">
        <v>-554</v>
      </c>
      <c r="V34" s="15">
        <f>W34/1000000000</f>
        <v>1148</v>
      </c>
      <c r="W34" s="15">
        <v>1148000000000</v>
      </c>
      <c r="X34" t="s" s="44">
        <f>$A34</f>
        <v>188</v>
      </c>
      <c r="Y34" t="s" s="44">
        <f>Y$2</f>
        <v>153</v>
      </c>
      <c r="Z34" s="35">
        <f>F34/B34-1</f>
        <v>-0.0772434683831882</v>
      </c>
      <c r="AA34" t="s" s="44">
        <f>Y34</f>
        <v>153</v>
      </c>
      <c r="AB34" s="16">
        <f>SUM(H34:K34)/V34</f>
        <v>0.219599303135889</v>
      </c>
      <c r="AC34" t="s" s="44">
        <f>AA34</f>
        <v>153</v>
      </c>
      <c r="AD34" s="35">
        <f>SUM(M34:P34)/V34</f>
        <v>0.0791445993031359</v>
      </c>
      <c r="AE34" t="s" s="44">
        <f>AC34</f>
        <v>153</v>
      </c>
      <c r="AF34" s="16">
        <f>U34/V34</f>
        <v>-0.482578397212544</v>
      </c>
      <c r="AG34" s="15">
        <v>560</v>
      </c>
      <c r="AH34" s="15">
        <v>983.562957171078</v>
      </c>
    </row>
    <row r="35" ht="20.05" customHeight="1">
      <c r="A35" t="s" s="56">
        <v>189</v>
      </c>
      <c r="B35" s="14">
        <v>2209.7</v>
      </c>
      <c r="C35" s="15">
        <v>2549</v>
      </c>
      <c r="D35" s="15">
        <v>2604.6</v>
      </c>
      <c r="E35" s="15">
        <v>2669.4</v>
      </c>
      <c r="F35" s="15">
        <v>2061</v>
      </c>
      <c r="G35" s="15">
        <v>769.558</v>
      </c>
      <c r="H35" s="15">
        <v>389.4</v>
      </c>
      <c r="I35" s="15">
        <v>466.2</v>
      </c>
      <c r="J35" s="15">
        <v>353.8</v>
      </c>
      <c r="K35" s="15">
        <v>732.2</v>
      </c>
      <c r="L35" s="15">
        <v>293.972</v>
      </c>
      <c r="M35" s="15">
        <v>591.2</v>
      </c>
      <c r="N35" s="15">
        <v>343.7</v>
      </c>
      <c r="O35" s="15">
        <v>361.3</v>
      </c>
      <c r="P35" s="15">
        <v>681.1</v>
      </c>
      <c r="Q35" s="15">
        <v>-2297</v>
      </c>
      <c r="R35" s="15">
        <v>-2564</v>
      </c>
      <c r="S35" s="15">
        <v>-2081</v>
      </c>
      <c r="T35" s="15">
        <v>-1789</v>
      </c>
      <c r="U35" s="15">
        <v>-1075</v>
      </c>
      <c r="V35" s="15">
        <f>W35/1000000000</f>
        <v>8928.3603456</v>
      </c>
      <c r="W35" s="15">
        <v>8928360345600</v>
      </c>
      <c r="X35" t="s" s="44">
        <f>$A35</f>
        <v>189</v>
      </c>
      <c r="Y35" t="s" s="44">
        <f>Y$2</f>
        <v>153</v>
      </c>
      <c r="Z35" s="35">
        <f>F35/B35-1</f>
        <v>-0.06729420283296381</v>
      </c>
      <c r="AA35" t="s" s="44">
        <f>Y35</f>
        <v>153</v>
      </c>
      <c r="AB35" s="16">
        <f>SUM(H35:K35)/V35</f>
        <v>0.217464341138162</v>
      </c>
      <c r="AC35" t="s" s="44">
        <f>AA35</f>
        <v>153</v>
      </c>
      <c r="AD35" s="35">
        <f>SUM(M35:P35)/V35</f>
        <v>0.221462835667742</v>
      </c>
      <c r="AE35" t="s" s="44">
        <f>AC35</f>
        <v>153</v>
      </c>
      <c r="AF35" s="16">
        <f>U35/V35</f>
        <v>-0.120402846478948</v>
      </c>
      <c r="AG35" s="15">
        <v>675</v>
      </c>
      <c r="AH35" s="15">
        <v>1619.900745280150</v>
      </c>
    </row>
    <row r="36" ht="20.05" customHeight="1">
      <c r="A36" t="s" s="56">
        <v>190</v>
      </c>
      <c r="B36" s="14">
        <v>1913.2</v>
      </c>
      <c r="C36" s="15">
        <v>2487.6</v>
      </c>
      <c r="D36" s="15">
        <v>2026.8</v>
      </c>
      <c r="E36" s="15">
        <v>1808.8</v>
      </c>
      <c r="F36" s="15">
        <v>3310</v>
      </c>
      <c r="G36" s="15">
        <v>665.325</v>
      </c>
      <c r="H36" s="15">
        <v>211.625</v>
      </c>
      <c r="I36" s="15">
        <v>1098.6</v>
      </c>
      <c r="J36" s="15">
        <v>703.3</v>
      </c>
      <c r="K36" s="15">
        <v>1815.2</v>
      </c>
      <c r="L36" s="15">
        <v>438.2</v>
      </c>
      <c r="M36" s="15">
        <v>86.3</v>
      </c>
      <c r="N36" s="15">
        <v>-60</v>
      </c>
      <c r="O36" s="15">
        <v>568</v>
      </c>
      <c r="P36" s="15">
        <v>401.5</v>
      </c>
      <c r="Q36" s="15">
        <v>-17031</v>
      </c>
      <c r="R36" s="15">
        <v>-17809</v>
      </c>
      <c r="S36" s="15">
        <v>-17976</v>
      </c>
      <c r="T36" s="15">
        <v>-18472</v>
      </c>
      <c r="U36" s="15">
        <v>-16831.4</v>
      </c>
      <c r="V36" s="15">
        <f>W36/1000000000</f>
        <v>19031.19382528</v>
      </c>
      <c r="W36" s="15">
        <v>19031193825280</v>
      </c>
      <c r="X36" t="s" s="44">
        <f>$A36</f>
        <v>190</v>
      </c>
      <c r="Y36" t="s" s="44">
        <f>Y$2</f>
        <v>153</v>
      </c>
      <c r="Z36" s="35">
        <f>F36/B36-1</f>
        <v>0.730085720259252</v>
      </c>
      <c r="AA36" t="s" s="44">
        <f>Y36</f>
        <v>153</v>
      </c>
      <c r="AB36" s="16">
        <f>SUM(H36:K36)/V36</f>
        <v>0.201181546210419</v>
      </c>
      <c r="AC36" t="s" s="44">
        <f>AA36</f>
        <v>153</v>
      </c>
      <c r="AD36" s="35">
        <f>SUM(M36:P36)/V36</f>
        <v>0.0523246207853358</v>
      </c>
      <c r="AE36" t="s" s="44">
        <f>AC36</f>
        <v>153</v>
      </c>
      <c r="AF36" s="16">
        <f>U36/V36</f>
        <v>-0.884411149112574</v>
      </c>
      <c r="AG36" s="15">
        <v>910</v>
      </c>
      <c r="AH36" s="15">
        <v>1425.345229428440</v>
      </c>
    </row>
    <row r="37" ht="20.05" customHeight="1">
      <c r="A37" t="s" s="56">
        <v>190</v>
      </c>
      <c r="B37" s="14">
        <v>1913.2</v>
      </c>
      <c r="C37" s="15">
        <v>2487.6</v>
      </c>
      <c r="D37" s="15">
        <v>2026.8</v>
      </c>
      <c r="E37" s="15">
        <v>1808.8</v>
      </c>
      <c r="F37" s="15">
        <v>3310</v>
      </c>
      <c r="G37" s="15">
        <v>665.325</v>
      </c>
      <c r="H37" s="15">
        <v>211.625</v>
      </c>
      <c r="I37" s="15">
        <v>1098.6</v>
      </c>
      <c r="J37" s="15">
        <v>703.3</v>
      </c>
      <c r="K37" s="15">
        <v>1815.2</v>
      </c>
      <c r="L37" s="15">
        <v>438.2</v>
      </c>
      <c r="M37" s="15">
        <v>86.3</v>
      </c>
      <c r="N37" s="15">
        <v>-60</v>
      </c>
      <c r="O37" s="15">
        <v>568</v>
      </c>
      <c r="P37" s="15">
        <v>401.5</v>
      </c>
      <c r="Q37" s="15">
        <v>-17031</v>
      </c>
      <c r="R37" s="15">
        <v>-17809</v>
      </c>
      <c r="S37" s="15">
        <v>-17976</v>
      </c>
      <c r="T37" s="15">
        <v>-18472</v>
      </c>
      <c r="U37" s="15">
        <v>-16831.4</v>
      </c>
      <c r="V37" s="15">
        <f>W37/1000000000</f>
        <v>19031.19382528</v>
      </c>
      <c r="W37" s="15">
        <v>19031193825280</v>
      </c>
      <c r="X37" t="s" s="44">
        <f>$A37</f>
        <v>190</v>
      </c>
      <c r="Y37" t="s" s="44">
        <f>Y$2</f>
        <v>153</v>
      </c>
      <c r="Z37" s="35">
        <f>F37/B37-1</f>
        <v>0.730085720259252</v>
      </c>
      <c r="AA37" t="s" s="44">
        <f>Y37</f>
        <v>153</v>
      </c>
      <c r="AB37" s="16">
        <f>SUM(H37:K37)/V37</f>
        <v>0.201181546210419</v>
      </c>
      <c r="AC37" t="s" s="44">
        <f>AA37</f>
        <v>153</v>
      </c>
      <c r="AD37" s="35">
        <f>SUM(M37:P37)/V37</f>
        <v>0.0523246207853358</v>
      </c>
      <c r="AE37" t="s" s="44">
        <f>AC37</f>
        <v>153</v>
      </c>
      <c r="AF37" s="16">
        <f>U37/V37</f>
        <v>-0.884411149112574</v>
      </c>
      <c r="AG37" s="15">
        <v>910</v>
      </c>
      <c r="AH37" s="15">
        <v>1425.345229428440</v>
      </c>
    </row>
    <row r="38" ht="20.05" customHeight="1">
      <c r="A38" t="s" s="56">
        <v>191</v>
      </c>
      <c r="B38" s="14">
        <v>207.3</v>
      </c>
      <c r="C38" s="15">
        <v>1015.5</v>
      </c>
      <c r="D38" s="15">
        <v>601</v>
      </c>
      <c r="E38" s="15">
        <v>848</v>
      </c>
      <c r="F38" s="15">
        <v>954</v>
      </c>
      <c r="G38" s="15">
        <v>87.248</v>
      </c>
      <c r="H38" s="15">
        <v>683.5</v>
      </c>
      <c r="I38" s="15">
        <v>-388.1</v>
      </c>
      <c r="J38" s="15">
        <v>725.1</v>
      </c>
      <c r="K38" s="15">
        <v>-234</v>
      </c>
      <c r="L38" s="15">
        <v>19.276</v>
      </c>
      <c r="M38" s="15">
        <v>60.925</v>
      </c>
      <c r="N38" s="15">
        <v>25</v>
      </c>
      <c r="O38" s="15">
        <v>202</v>
      </c>
      <c r="P38" s="15">
        <v>34</v>
      </c>
      <c r="Q38" s="15">
        <v>-328</v>
      </c>
      <c r="R38" s="15">
        <v>93</v>
      </c>
      <c r="S38" s="15">
        <v>-634</v>
      </c>
      <c r="T38" s="15">
        <v>280</v>
      </c>
      <c r="U38" s="15">
        <v>71</v>
      </c>
      <c r="V38" s="15">
        <f>W38/1000000000</f>
        <v>3980.54391808</v>
      </c>
      <c r="W38" s="15">
        <v>3980543918080</v>
      </c>
      <c r="X38" t="s" s="44">
        <f>$A38</f>
        <v>191</v>
      </c>
      <c r="Y38" t="s" s="44">
        <f>Y$2</f>
        <v>153</v>
      </c>
      <c r="Z38" s="35">
        <f>F38/B38-1</f>
        <v>3.60202604920405</v>
      </c>
      <c r="AA38" t="s" s="44">
        <f>Y38</f>
        <v>153</v>
      </c>
      <c r="AB38" s="16">
        <f>SUM(H38:K38)/V38</f>
        <v>0.197586062655318</v>
      </c>
      <c r="AC38" t="s" s="44">
        <f>AA38</f>
        <v>153</v>
      </c>
      <c r="AD38" s="35">
        <f>SUM(M38:P38)/V38</f>
        <v>0.0808746258363805</v>
      </c>
      <c r="AE38" t="s" s="44">
        <f>AC38</f>
        <v>153</v>
      </c>
      <c r="AF38" s="16">
        <f>U38/V38</f>
        <v>0.0178367583579499</v>
      </c>
      <c r="AG38" s="15">
        <v>640</v>
      </c>
      <c r="AH38" s="15">
        <v>1534.085923980050</v>
      </c>
    </row>
    <row r="39" ht="20.05" customHeight="1">
      <c r="A39" t="s" s="56">
        <v>192</v>
      </c>
      <c r="B39" s="14">
        <v>319.7</v>
      </c>
      <c r="C39" s="15">
        <v>3069.6</v>
      </c>
      <c r="D39" s="15">
        <v>770</v>
      </c>
      <c r="E39" s="15">
        <v>1416</v>
      </c>
      <c r="F39" s="15">
        <v>693.3</v>
      </c>
      <c r="G39" s="15">
        <v>-350.8</v>
      </c>
      <c r="H39" s="15">
        <v>774.9</v>
      </c>
      <c r="I39" s="15">
        <v>650.3</v>
      </c>
      <c r="J39" s="15">
        <v>591.7</v>
      </c>
      <c r="K39" s="15">
        <v>-149.2</v>
      </c>
      <c r="L39" s="15">
        <v>120.1</v>
      </c>
      <c r="M39" s="15">
        <v>334.9</v>
      </c>
      <c r="N39" s="15">
        <v>645.1</v>
      </c>
      <c r="O39" s="15">
        <v>776.9</v>
      </c>
      <c r="P39" s="15">
        <v>-78.59999999999999</v>
      </c>
      <c r="Q39" s="15">
        <v>-4248</v>
      </c>
      <c r="R39" s="15">
        <v>-4184</v>
      </c>
      <c r="S39" s="15">
        <v>-5287</v>
      </c>
      <c r="T39" s="15">
        <v>-4721</v>
      </c>
      <c r="U39" s="15">
        <v>-4808</v>
      </c>
      <c r="V39" s="15">
        <f>W39/1000000000</f>
        <v>9528.2688</v>
      </c>
      <c r="W39" s="15">
        <v>9528268800000</v>
      </c>
      <c r="X39" t="s" s="44">
        <f>$A39</f>
        <v>192</v>
      </c>
      <c r="Y39" t="s" s="44">
        <f>Y$2</f>
        <v>153</v>
      </c>
      <c r="Z39" s="35">
        <f>F39/B39-1</f>
        <v>1.16859555833594</v>
      </c>
      <c r="AA39" t="s" s="44">
        <f>Y39</f>
        <v>153</v>
      </c>
      <c r="AB39" s="16">
        <f>SUM(H39:K39)/V39</f>
        <v>0.19601672026717</v>
      </c>
      <c r="AC39" t="s" s="44">
        <f>AA39</f>
        <v>153</v>
      </c>
      <c r="AD39" s="35">
        <f>SUM(M39:P39)/V39</f>
        <v>0.176139027479997</v>
      </c>
      <c r="AE39" t="s" s="44">
        <f>AC39</f>
        <v>153</v>
      </c>
      <c r="AF39" s="16">
        <f>U39/V39</f>
        <v>-0.50460373242199</v>
      </c>
      <c r="AG39" s="15">
        <v>4080</v>
      </c>
      <c r="AH39" s="15">
        <v>9750</v>
      </c>
    </row>
    <row r="40" ht="20.05" customHeight="1">
      <c r="A40" t="s" s="56">
        <v>193</v>
      </c>
      <c r="B40" s="14">
        <v>404.2</v>
      </c>
      <c r="C40" s="15">
        <v>771</v>
      </c>
      <c r="D40" s="15">
        <v>674</v>
      </c>
      <c r="E40" s="15">
        <v>874</v>
      </c>
      <c r="F40" s="15">
        <v>961</v>
      </c>
      <c r="G40" s="15">
        <v>105.9</v>
      </c>
      <c r="H40" s="15">
        <v>315.4</v>
      </c>
      <c r="I40" s="15">
        <v>155.3</v>
      </c>
      <c r="J40" s="15">
        <v>75.7</v>
      </c>
      <c r="K40" s="15">
        <v>143</v>
      </c>
      <c r="L40" s="15">
        <v>201.4</v>
      </c>
      <c r="M40" s="15">
        <v>109.7</v>
      </c>
      <c r="N40" s="15">
        <v>33.7</v>
      </c>
      <c r="O40" s="15">
        <v>101.3</v>
      </c>
      <c r="P40" s="15">
        <v>219</v>
      </c>
      <c r="Q40" s="15">
        <v>-805</v>
      </c>
      <c r="R40" s="15">
        <v>-504</v>
      </c>
      <c r="S40" s="15">
        <v>-390</v>
      </c>
      <c r="T40" s="15">
        <v>-528</v>
      </c>
      <c r="U40" s="15">
        <v>-455</v>
      </c>
      <c r="V40" s="15">
        <f>W40/1000000000</f>
        <v>3527.96095488</v>
      </c>
      <c r="W40" s="15">
        <v>3527960954880</v>
      </c>
      <c r="X40" t="s" s="44">
        <f>$A40</f>
        <v>193</v>
      </c>
      <c r="Y40" t="s" s="44">
        <f>Y$2</f>
        <v>153</v>
      </c>
      <c r="Z40" s="35">
        <f>F40/B40-1</f>
        <v>1.37753587333003</v>
      </c>
      <c r="AA40" t="s" s="44">
        <f>Y40</f>
        <v>153</v>
      </c>
      <c r="AB40" s="16">
        <f>SUM(H40:K40)/V40</f>
        <v>0.195410325912592</v>
      </c>
      <c r="AC40" t="s" s="44">
        <f>AA40</f>
        <v>153</v>
      </c>
      <c r="AD40" s="35">
        <f>SUM(M40:P40)/V40</f>
        <v>0.131435694989366</v>
      </c>
      <c r="AE40" t="s" s="44">
        <f>AC40</f>
        <v>153</v>
      </c>
      <c r="AF40" s="16">
        <f>U40/V40</f>
        <v>-0.128969681302915</v>
      </c>
      <c r="AG40" s="15">
        <v>1410</v>
      </c>
      <c r="AH40" s="15">
        <v>3456.553074240140</v>
      </c>
    </row>
    <row r="41" ht="20.05" customHeight="1">
      <c r="A41" t="s" s="56">
        <v>194</v>
      </c>
      <c r="B41" s="14">
        <v>19.1</v>
      </c>
      <c r="C41" s="15">
        <v>35.3</v>
      </c>
      <c r="D41" s="15">
        <v>33.3</v>
      </c>
      <c r="E41" s="15">
        <v>43.2</v>
      </c>
      <c r="F41" s="15">
        <v>46.5</v>
      </c>
      <c r="G41" s="15">
        <v>3.075</v>
      </c>
      <c r="H41" s="15">
        <v>7.975</v>
      </c>
      <c r="I41" s="15">
        <v>4.1</v>
      </c>
      <c r="J41" s="15">
        <v>9.1</v>
      </c>
      <c r="K41" s="15">
        <v>8.300000000000001</v>
      </c>
      <c r="L41" s="15">
        <v>2.275</v>
      </c>
      <c r="M41" s="15">
        <v>7.175</v>
      </c>
      <c r="N41" s="15">
        <v>2.9</v>
      </c>
      <c r="O41" s="15">
        <v>3.9</v>
      </c>
      <c r="P41" s="15">
        <v>-44.3</v>
      </c>
      <c r="Q41" s="15">
        <v>-97.2</v>
      </c>
      <c r="R41" s="26">
        <v>-110.4</v>
      </c>
      <c r="S41" s="26">
        <v>-104.6</v>
      </c>
      <c r="T41" s="15">
        <v>-96.59999999999999</v>
      </c>
      <c r="U41" s="15">
        <v>-30</v>
      </c>
      <c r="V41" s="15">
        <f>W41/1000000000</f>
        <v>157.739401728</v>
      </c>
      <c r="W41" s="15">
        <v>157739401728</v>
      </c>
      <c r="X41" t="s" s="44">
        <f>$A41</f>
        <v>194</v>
      </c>
      <c r="Y41" t="s" s="44">
        <f>Y$2</f>
        <v>153</v>
      </c>
      <c r="Z41" s="35">
        <f>F41/B41-1</f>
        <v>1.43455497382199</v>
      </c>
      <c r="AA41" t="s" s="44">
        <f>Y41</f>
        <v>153</v>
      </c>
      <c r="AB41" s="16">
        <f>SUM(H41:K41)/V41</f>
        <v>0.186858829671648</v>
      </c>
      <c r="AC41" t="s" s="44">
        <f>AA41</f>
        <v>153</v>
      </c>
      <c r="AD41" s="35">
        <f>SUM(M41:P41)/V41</f>
        <v>-0.19224746428474</v>
      </c>
      <c r="AE41" t="s" s="44">
        <f>AC41</f>
        <v>153</v>
      </c>
      <c r="AF41" s="16">
        <f>U41/V41</f>
        <v>-0.190187103991499</v>
      </c>
      <c r="AG41" s="15">
        <v>108</v>
      </c>
      <c r="AH41" s="15">
        <v>157</v>
      </c>
    </row>
    <row r="42" ht="20.05" customHeight="1">
      <c r="A42" t="s" s="56">
        <v>195</v>
      </c>
      <c r="B42" s="14">
        <v>306</v>
      </c>
      <c r="C42" s="15">
        <v>294</v>
      </c>
      <c r="D42" s="15">
        <v>241.5</v>
      </c>
      <c r="E42" s="15">
        <v>337.5</v>
      </c>
      <c r="F42" s="15">
        <v>372</v>
      </c>
      <c r="G42" s="26">
        <v>67.5</v>
      </c>
      <c r="H42" s="26">
        <v>100.5</v>
      </c>
      <c r="I42" s="26">
        <v>-19.8</v>
      </c>
      <c r="J42" s="26">
        <v>13.8</v>
      </c>
      <c r="K42" s="26">
        <v>300</v>
      </c>
      <c r="L42" s="26">
        <v>36</v>
      </c>
      <c r="M42" s="26">
        <v>237</v>
      </c>
      <c r="N42" s="26">
        <v>0</v>
      </c>
      <c r="O42" s="26">
        <v>-202.5</v>
      </c>
      <c r="P42" s="26">
        <v>16.5</v>
      </c>
      <c r="Q42" s="15">
        <v>241.5</v>
      </c>
      <c r="R42" s="15">
        <v>270</v>
      </c>
      <c r="S42" s="15">
        <v>258</v>
      </c>
      <c r="T42" s="15">
        <v>292.5</v>
      </c>
      <c r="U42" s="15">
        <v>495</v>
      </c>
      <c r="V42" s="15">
        <f>W42/1000000000</f>
        <v>2135.03654144</v>
      </c>
      <c r="W42" s="15">
        <v>2135036541440</v>
      </c>
      <c r="X42" t="s" s="44">
        <f>$A42</f>
        <v>195</v>
      </c>
      <c r="Y42" t="s" s="44">
        <f>Y$2</f>
        <v>153</v>
      </c>
      <c r="Z42" s="35">
        <f>F42/B42-1</f>
        <v>0.215686274509804</v>
      </c>
      <c r="AA42" t="s" s="44">
        <f>Y42</f>
        <v>153</v>
      </c>
      <c r="AB42" s="16">
        <f>SUM(H42:K42)/V42</f>
        <v>0.184774355072127</v>
      </c>
      <c r="AC42" t="s" s="44">
        <f>AA42</f>
        <v>153</v>
      </c>
      <c r="AD42" s="35">
        <f>SUM(M42:P42)/V42</f>
        <v>0.0238871789827084</v>
      </c>
      <c r="AE42" t="s" s="44">
        <f>AC42</f>
        <v>153</v>
      </c>
      <c r="AF42" s="16">
        <f>U42/V42</f>
        <v>0.231846148949817</v>
      </c>
      <c r="AG42" s="15">
        <v>1220</v>
      </c>
      <c r="AH42" s="15">
        <v>2373</v>
      </c>
    </row>
    <row r="43" ht="20.05" customHeight="1">
      <c r="A43" t="s" s="56">
        <v>196</v>
      </c>
      <c r="B43" s="14">
        <v>367.9</v>
      </c>
      <c r="C43" s="15">
        <v>645.1</v>
      </c>
      <c r="D43" s="15">
        <v>629.8</v>
      </c>
      <c r="E43" s="15">
        <v>528.1</v>
      </c>
      <c r="F43" s="15">
        <v>611.4</v>
      </c>
      <c r="G43" s="15">
        <v>-55.3</v>
      </c>
      <c r="H43" s="15">
        <v>209.1</v>
      </c>
      <c r="I43" s="15">
        <v>-168.2</v>
      </c>
      <c r="J43" s="15">
        <v>32.6</v>
      </c>
      <c r="K43" s="15">
        <v>55.4</v>
      </c>
      <c r="L43" s="15">
        <v>-4.568</v>
      </c>
      <c r="M43" s="15">
        <v>181.3</v>
      </c>
      <c r="N43" s="15">
        <v>-198</v>
      </c>
      <c r="O43" s="15">
        <v>14.7</v>
      </c>
      <c r="P43" s="15">
        <v>-9</v>
      </c>
      <c r="Q43" s="15">
        <v>-584</v>
      </c>
      <c r="R43" s="15">
        <v>-481</v>
      </c>
      <c r="S43" s="15">
        <v>-702</v>
      </c>
      <c r="T43" s="15">
        <v>-736</v>
      </c>
      <c r="U43" s="15">
        <v>-720</v>
      </c>
      <c r="V43" s="15">
        <f>W43/1000000000</f>
        <v>710.621538816</v>
      </c>
      <c r="W43" s="15">
        <v>710621538816</v>
      </c>
      <c r="X43" t="s" s="44">
        <f>$A43</f>
        <v>196</v>
      </c>
      <c r="Y43" t="s" s="44">
        <f>Y$2</f>
        <v>153</v>
      </c>
      <c r="Z43" s="35">
        <f>F43/B43-1</f>
        <v>0.661864637129655</v>
      </c>
      <c r="AA43" t="s" s="44">
        <f>Y43</f>
        <v>153</v>
      </c>
      <c r="AB43" s="16">
        <f>SUM(H43:K43)/V43</f>
        <v>0.181390505295922</v>
      </c>
      <c r="AC43" t="s" s="44">
        <f>AA43</f>
        <v>153</v>
      </c>
      <c r="AD43" s="35">
        <f>SUM(M43:P43)/V43</f>
        <v>-0.0154794069686202</v>
      </c>
      <c r="AE43" t="s" s="44">
        <f>AC43</f>
        <v>153</v>
      </c>
      <c r="AF43" s="16">
        <f>U43/V43</f>
        <v>-1.01319754703696</v>
      </c>
      <c r="AG43" s="15">
        <v>294</v>
      </c>
      <c r="AH43" s="15">
        <v>322.260610301058</v>
      </c>
    </row>
    <row r="44" ht="20.05" customHeight="1">
      <c r="A44" t="s" s="56">
        <v>197</v>
      </c>
      <c r="B44" s="14">
        <v>1596.7</v>
      </c>
      <c r="C44" s="15">
        <v>3422.1</v>
      </c>
      <c r="D44" s="15">
        <v>2190.9</v>
      </c>
      <c r="E44" s="15">
        <v>2424.1</v>
      </c>
      <c r="F44" s="15">
        <v>2131.5</v>
      </c>
      <c r="G44" s="15">
        <v>243.8</v>
      </c>
      <c r="H44" s="15">
        <v>386.3</v>
      </c>
      <c r="I44" s="15">
        <v>455</v>
      </c>
      <c r="J44" s="15">
        <v>774.3</v>
      </c>
      <c r="K44" s="15">
        <v>573.1</v>
      </c>
      <c r="L44" s="15">
        <v>416.7</v>
      </c>
      <c r="M44" s="15">
        <v>162.5</v>
      </c>
      <c r="N44" s="15">
        <v>162.1</v>
      </c>
      <c r="O44" s="15">
        <v>681.1</v>
      </c>
      <c r="P44" s="15">
        <v>733.1</v>
      </c>
      <c r="Q44" s="15">
        <v>-3649</v>
      </c>
      <c r="R44" s="15">
        <v>-3370</v>
      </c>
      <c r="S44" s="15">
        <v>-3065</v>
      </c>
      <c r="T44" s="15">
        <v>-3085</v>
      </c>
      <c r="U44" s="15">
        <v>-2736</v>
      </c>
      <c r="V44" s="15">
        <f>W44/1000000000</f>
        <v>12507.07562496</v>
      </c>
      <c r="W44" s="15">
        <v>12507075624960</v>
      </c>
      <c r="X44" t="s" s="44">
        <f>$A44</f>
        <v>197</v>
      </c>
      <c r="Y44" t="s" s="44">
        <f>Y$2</f>
        <v>153</v>
      </c>
      <c r="Z44" s="35">
        <f>F44/B44-1</f>
        <v>0.334940815431828</v>
      </c>
      <c r="AA44" t="s" s="44">
        <f>Y44</f>
        <v>153</v>
      </c>
      <c r="AB44" s="16">
        <f>SUM(H44:K44)/V44</f>
        <v>0.174996942980986</v>
      </c>
      <c r="AC44" t="s" s="44">
        <f>AA44</f>
        <v>153</v>
      </c>
      <c r="AD44" s="35">
        <f>SUM(M44:P44)/V44</f>
        <v>0.139025304726704</v>
      </c>
      <c r="AE44" t="s" s="44">
        <f>AC44</f>
        <v>153</v>
      </c>
      <c r="AF44" s="16">
        <f>U44/V44</f>
        <v>-0.218756173068934</v>
      </c>
      <c r="AG44" s="15">
        <v>630</v>
      </c>
      <c r="AH44" s="15">
        <v>1180</v>
      </c>
    </row>
    <row r="45" ht="20.05" customHeight="1">
      <c r="A45" t="s" s="56">
        <v>198</v>
      </c>
      <c r="B45" s="14">
        <v>1286.6544</v>
      </c>
      <c r="C45" s="15">
        <v>1865.7425</v>
      </c>
      <c r="D45" s="15">
        <v>2180.5694</v>
      </c>
      <c r="E45" s="15">
        <v>3302.898</v>
      </c>
      <c r="F45" s="15">
        <v>4953.357</v>
      </c>
      <c r="G45" s="15">
        <v>-222.084</v>
      </c>
      <c r="H45" s="15">
        <v>374.005</v>
      </c>
      <c r="I45" s="15">
        <v>449.8678</v>
      </c>
      <c r="J45" s="15">
        <v>696.35</v>
      </c>
      <c r="K45" s="15">
        <v>2253.6675</v>
      </c>
      <c r="L45" s="15">
        <v>-495.061056</v>
      </c>
      <c r="M45" s="15">
        <v>459.655</v>
      </c>
      <c r="N45" s="15">
        <v>-282.2419</v>
      </c>
      <c r="O45" s="15">
        <v>542.42</v>
      </c>
      <c r="P45" s="15">
        <v>903.0375</v>
      </c>
      <c r="Q45" s="15">
        <v>-128.952</v>
      </c>
      <c r="R45" s="15">
        <v>-1070.625</v>
      </c>
      <c r="S45" s="15">
        <v>-644.715</v>
      </c>
      <c r="T45" s="15">
        <v>-87.95999999999999</v>
      </c>
      <c r="U45" s="15">
        <v>1036.53</v>
      </c>
      <c r="V45" s="15">
        <f>W45/1000000000</f>
        <v>22238.05474816</v>
      </c>
      <c r="W45" s="15">
        <v>22238054748160</v>
      </c>
      <c r="X45" t="s" s="44">
        <f>$A45</f>
        <v>198</v>
      </c>
      <c r="Y45" t="s" s="44">
        <f>Y$2</f>
        <v>153</v>
      </c>
      <c r="Z45" s="35">
        <f>F45/B45-1</f>
        <v>2.84979602914349</v>
      </c>
      <c r="AA45" t="s" s="44">
        <f>Y45</f>
        <v>153</v>
      </c>
      <c r="AB45" s="16">
        <f>SUM(H45:K45)/V45</f>
        <v>0.169704155455065</v>
      </c>
      <c r="AC45" t="s" s="44">
        <f>AA45</f>
        <v>153</v>
      </c>
      <c r="AD45" s="35">
        <f>SUM(M45:P45)/V45</f>
        <v>0.072977183408287</v>
      </c>
      <c r="AE45" t="s" s="44">
        <f>AC45</f>
        <v>153</v>
      </c>
      <c r="AF45" s="16">
        <f>U45/V45</f>
        <v>0.046610641611347</v>
      </c>
      <c r="AG45" s="15">
        <v>1670</v>
      </c>
      <c r="AH45" s="15">
        <v>2384.0376496123</v>
      </c>
    </row>
    <row r="46" ht="20.05" customHeight="1">
      <c r="A46" t="s" s="56">
        <v>199</v>
      </c>
      <c r="B46" s="14">
        <v>3128.4</v>
      </c>
      <c r="C46" s="15">
        <v>3341.7</v>
      </c>
      <c r="D46" s="15">
        <v>3116</v>
      </c>
      <c r="E46" s="15">
        <v>1994.9</v>
      </c>
      <c r="F46" s="15">
        <v>3452.9</v>
      </c>
      <c r="G46" s="15">
        <v>-103.3</v>
      </c>
      <c r="H46" s="15">
        <v>-14.7</v>
      </c>
      <c r="I46" s="15">
        <v>312.5</v>
      </c>
      <c r="J46" s="15">
        <v>88.2</v>
      </c>
      <c r="K46" s="15">
        <v>472.7</v>
      </c>
      <c r="L46" s="15">
        <v>-163.3</v>
      </c>
      <c r="M46" s="15">
        <v>-90.3</v>
      </c>
      <c r="N46" s="15">
        <v>-36.2</v>
      </c>
      <c r="O46" s="15">
        <v>771.4</v>
      </c>
      <c r="P46" s="15">
        <v>-1.2</v>
      </c>
      <c r="Q46" s="15">
        <v>-1713</v>
      </c>
      <c r="R46" s="15">
        <v>-1763</v>
      </c>
      <c r="S46" s="15">
        <v>-1640</v>
      </c>
      <c r="T46" s="15">
        <v>-624</v>
      </c>
      <c r="U46" s="15">
        <v>-949</v>
      </c>
      <c r="V46" s="15">
        <f>W46/1000000000</f>
        <v>5093.4663936</v>
      </c>
      <c r="W46" s="15">
        <v>5093466393600</v>
      </c>
      <c r="X46" t="s" s="44">
        <f>$A46</f>
        <v>199</v>
      </c>
      <c r="Y46" t="s" s="44">
        <f>Y$2</f>
        <v>153</v>
      </c>
      <c r="Z46" s="35">
        <f>F46/B46-1</f>
        <v>0.103727144866385</v>
      </c>
      <c r="AA46" t="s" s="44">
        <f>Y46</f>
        <v>153</v>
      </c>
      <c r="AB46" s="16">
        <f>SUM(H46:K46)/V46</f>
        <v>0.168588527663394</v>
      </c>
      <c r="AC46" t="s" s="44">
        <f>AA46</f>
        <v>153</v>
      </c>
      <c r="AD46" s="35">
        <f>SUM(M46:P46)/V46</f>
        <v>0.126377588513947</v>
      </c>
      <c r="AE46" t="s" s="44">
        <f>AC46</f>
        <v>153</v>
      </c>
      <c r="AF46" s="16">
        <f>U46/V46</f>
        <v>-0.186317122106161</v>
      </c>
      <c r="AG46" s="15">
        <v>1170</v>
      </c>
      <c r="AH46" s="15">
        <v>1994.3743421444</v>
      </c>
    </row>
    <row r="47" ht="20.05" customHeight="1">
      <c r="A47" t="s" s="56">
        <v>200</v>
      </c>
      <c r="B47" s="14">
        <v>25515.6</v>
      </c>
      <c r="C47" s="15">
        <v>26537.3</v>
      </c>
      <c r="D47" s="15">
        <v>27447</v>
      </c>
      <c r="E47" s="15">
        <v>25340.3</v>
      </c>
      <c r="F47" s="15">
        <v>28034.7</v>
      </c>
      <c r="G47" s="15">
        <v>554</v>
      </c>
      <c r="H47" s="15">
        <v>6039.8</v>
      </c>
      <c r="I47" s="15">
        <v>-2470.4</v>
      </c>
      <c r="J47" s="15">
        <v>4801.4</v>
      </c>
      <c r="K47" s="15">
        <v>1450</v>
      </c>
      <c r="L47" s="15">
        <v>-5617</v>
      </c>
      <c r="M47" s="15">
        <v>-1380</v>
      </c>
      <c r="N47" s="15">
        <v>9158.9</v>
      </c>
      <c r="O47" s="15">
        <v>0</v>
      </c>
      <c r="P47" s="15">
        <v>-1736.9</v>
      </c>
      <c r="Q47" s="15">
        <v>-71364</v>
      </c>
      <c r="R47" s="15">
        <v>-63246</v>
      </c>
      <c r="S47" s="15">
        <v>-67897</v>
      </c>
      <c r="T47" s="15">
        <v>-63348</v>
      </c>
      <c r="U47" s="15">
        <v>-66322</v>
      </c>
      <c r="V47" s="15">
        <f>W47/1000000000</f>
        <v>58828.8832512</v>
      </c>
      <c r="W47" s="15">
        <v>58828883251200</v>
      </c>
      <c r="X47" t="s" s="44">
        <f>$A47</f>
        <v>200</v>
      </c>
      <c r="Y47" t="s" s="44">
        <f>Y$2</f>
        <v>153</v>
      </c>
      <c r="Z47" s="35">
        <f>F47/B47-1</f>
        <v>0.0987278370878992</v>
      </c>
      <c r="AA47" t="s" s="44">
        <f>Y47</f>
        <v>153</v>
      </c>
      <c r="AB47" s="16">
        <f>SUM(H47:K47)/V47</f>
        <v>0.166938406055833</v>
      </c>
      <c r="AC47" t="s" s="44">
        <f>AA47</f>
        <v>153</v>
      </c>
      <c r="AD47" s="35">
        <f>SUM(M47:P47)/V47</f>
        <v>0.102704652308299</v>
      </c>
      <c r="AE47" t="s" s="44">
        <f>AC47</f>
        <v>153</v>
      </c>
      <c r="AF47" s="16">
        <f>U47/V47</f>
        <v>-1.12737139198792</v>
      </c>
      <c r="AG47" s="15">
        <v>6700</v>
      </c>
      <c r="AH47" s="15">
        <v>9822.972003419171</v>
      </c>
    </row>
    <row r="48" ht="20.05" customHeight="1">
      <c r="A48" t="s" s="56">
        <v>201</v>
      </c>
      <c r="B48" s="14">
        <v>2628.4</v>
      </c>
      <c r="C48" s="15">
        <v>3080.9</v>
      </c>
      <c r="D48" s="15">
        <v>2234.2</v>
      </c>
      <c r="E48" s="15">
        <v>2431</v>
      </c>
      <c r="F48" s="15">
        <v>2561.7</v>
      </c>
      <c r="G48" s="15">
        <v>372.2</v>
      </c>
      <c r="H48" s="15">
        <v>604.6</v>
      </c>
      <c r="I48" s="15">
        <v>1119.7</v>
      </c>
      <c r="J48" s="15">
        <v>575.7</v>
      </c>
      <c r="K48" s="15">
        <v>415.9</v>
      </c>
      <c r="L48" s="15">
        <v>224.517</v>
      </c>
      <c r="M48" s="15">
        <v>-12.7</v>
      </c>
      <c r="N48" s="15">
        <v>878</v>
      </c>
      <c r="O48" s="15">
        <v>13.3</v>
      </c>
      <c r="P48" s="15">
        <v>-1.5</v>
      </c>
      <c r="Q48" s="26">
        <v>-14945</v>
      </c>
      <c r="R48" s="26">
        <v>-14112</v>
      </c>
      <c r="S48" s="26">
        <v>-13572</v>
      </c>
      <c r="T48" s="26">
        <v>-12544</v>
      </c>
      <c r="U48" s="26">
        <v>-12225</v>
      </c>
      <c r="V48" s="15">
        <f>W48/1000000000</f>
        <v>16682.130432</v>
      </c>
      <c r="W48" s="15">
        <v>16682130432000</v>
      </c>
      <c r="X48" t="s" s="44">
        <f>$A48</f>
        <v>201</v>
      </c>
      <c r="Y48" t="s" s="44">
        <f>Y$2</f>
        <v>153</v>
      </c>
      <c r="Z48" s="35">
        <f>F48/B48-1</f>
        <v>-0.0253766549992391</v>
      </c>
      <c r="AA48" t="s" s="44">
        <f>Y48</f>
        <v>153</v>
      </c>
      <c r="AB48" s="16">
        <f>SUM(H48:K48)/V48</f>
        <v>0.16280294720573</v>
      </c>
      <c r="AC48" t="s" s="44">
        <f>AA48</f>
        <v>153</v>
      </c>
      <c r="AD48" s="35">
        <f>SUM(M48:P48)/V48</f>
        <v>0.0525772174948068</v>
      </c>
      <c r="AE48" t="s" s="44">
        <f>AC48</f>
        <v>153</v>
      </c>
      <c r="AF48" s="16">
        <f>U48/V48</f>
        <v>-0.732820070543853</v>
      </c>
      <c r="AG48" s="15">
        <v>900</v>
      </c>
      <c r="AH48" s="15">
        <v>1342</v>
      </c>
    </row>
    <row r="49" ht="20.05" customHeight="1">
      <c r="A49" t="s" s="56">
        <v>201</v>
      </c>
      <c r="B49" s="14">
        <v>2628.4</v>
      </c>
      <c r="C49" s="15">
        <v>3080.9</v>
      </c>
      <c r="D49" s="15">
        <v>2234.2</v>
      </c>
      <c r="E49" s="15">
        <v>2431</v>
      </c>
      <c r="F49" s="15">
        <v>2561.7</v>
      </c>
      <c r="G49" s="15">
        <v>372.2</v>
      </c>
      <c r="H49" s="15">
        <v>604.6</v>
      </c>
      <c r="I49" s="15">
        <v>1119.7</v>
      </c>
      <c r="J49" s="15">
        <v>575.7</v>
      </c>
      <c r="K49" s="15">
        <v>415.9</v>
      </c>
      <c r="L49" s="15">
        <v>224.517</v>
      </c>
      <c r="M49" s="15">
        <v>-12.7</v>
      </c>
      <c r="N49" s="15">
        <v>878</v>
      </c>
      <c r="O49" s="15">
        <v>13.3</v>
      </c>
      <c r="P49" s="15">
        <v>-1.5</v>
      </c>
      <c r="Q49" s="15">
        <v>-14945</v>
      </c>
      <c r="R49" s="15">
        <v>-14112</v>
      </c>
      <c r="S49" s="15">
        <v>-13572</v>
      </c>
      <c r="T49" s="15">
        <v>-12544</v>
      </c>
      <c r="U49" s="15">
        <v>-12225</v>
      </c>
      <c r="V49" s="15">
        <f>W49/1000000000</f>
        <v>16682.130432</v>
      </c>
      <c r="W49" s="15">
        <v>16682130432000</v>
      </c>
      <c r="X49" t="s" s="44">
        <f>$A49</f>
        <v>201</v>
      </c>
      <c r="Y49" t="s" s="44">
        <f>Y$2</f>
        <v>153</v>
      </c>
      <c r="Z49" s="35">
        <f>F49/B49-1</f>
        <v>-0.0253766549992391</v>
      </c>
      <c r="AA49" t="s" s="44">
        <f>Y49</f>
        <v>153</v>
      </c>
      <c r="AB49" s="16">
        <f>SUM(H49:K49)/V49</f>
        <v>0.16280294720573</v>
      </c>
      <c r="AC49" t="s" s="44">
        <f>AA49</f>
        <v>153</v>
      </c>
      <c r="AD49" s="35">
        <f>SUM(M49:P49)/V49</f>
        <v>0.0525772174948068</v>
      </c>
      <c r="AE49" t="s" s="44">
        <f>AC49</f>
        <v>153</v>
      </c>
      <c r="AF49" s="16">
        <f>U49/V49</f>
        <v>-0.732820070543853</v>
      </c>
      <c r="AG49" s="15">
        <v>900</v>
      </c>
      <c r="AH49" s="15">
        <v>1338.771019060590</v>
      </c>
    </row>
    <row r="50" ht="20.05" customHeight="1">
      <c r="A50" t="s" s="56">
        <v>202</v>
      </c>
      <c r="B50" s="14">
        <v>1057.5</v>
      </c>
      <c r="C50" s="15">
        <v>1141.5</v>
      </c>
      <c r="D50" s="15">
        <v>1132.5</v>
      </c>
      <c r="E50" s="15">
        <v>1029</v>
      </c>
      <c r="F50" s="15">
        <v>867</v>
      </c>
      <c r="G50" s="15">
        <v>193.5</v>
      </c>
      <c r="H50" s="15">
        <v>144</v>
      </c>
      <c r="I50" s="15">
        <v>295.5</v>
      </c>
      <c r="J50" s="15">
        <v>-129</v>
      </c>
      <c r="K50" s="15">
        <v>34.5</v>
      </c>
      <c r="L50" s="15">
        <v>165</v>
      </c>
      <c r="M50" s="15">
        <v>120</v>
      </c>
      <c r="N50" s="15">
        <v>141</v>
      </c>
      <c r="O50" s="15">
        <v>99</v>
      </c>
      <c r="P50" s="15">
        <v>28.5</v>
      </c>
      <c r="Q50" s="15">
        <v>-3015</v>
      </c>
      <c r="R50" s="15">
        <v>-2880</v>
      </c>
      <c r="S50" s="15">
        <v>-2707.5</v>
      </c>
      <c r="T50" s="15">
        <v>-2775</v>
      </c>
      <c r="U50" s="15">
        <v>-2715</v>
      </c>
      <c r="V50" s="15">
        <f>W50/1000000000</f>
        <v>2166.5799168</v>
      </c>
      <c r="W50" s="15">
        <v>2166579916800</v>
      </c>
      <c r="X50" t="s" s="44">
        <f>$A50</f>
        <v>202</v>
      </c>
      <c r="Y50" t="s" s="44">
        <f>Y$2</f>
        <v>153</v>
      </c>
      <c r="Z50" s="35">
        <f>F50/B50-1</f>
        <v>-0.180141843971631</v>
      </c>
      <c r="AA50" t="s" s="44">
        <f>Y50</f>
        <v>153</v>
      </c>
      <c r="AB50" s="16">
        <f>SUM(H50:K50)/V50</f>
        <v>0.159237144831269</v>
      </c>
      <c r="AC50" t="s" s="44">
        <f>AA50</f>
        <v>153</v>
      </c>
      <c r="AD50" s="35">
        <f>SUM(M50:P50)/V50</f>
        <v>0.179314871788255</v>
      </c>
      <c r="AE50" t="s" s="44">
        <f>AC50</f>
        <v>153</v>
      </c>
      <c r="AF50" s="16">
        <f>U50/V50</f>
        <v>-1.25312709628085</v>
      </c>
      <c r="AG50" s="15">
        <v>650</v>
      </c>
      <c r="AH50" s="15">
        <v>1140.245155873240</v>
      </c>
    </row>
    <row r="51" ht="20.05" customHeight="1">
      <c r="A51" t="s" s="56">
        <v>203</v>
      </c>
      <c r="B51" s="14">
        <v>17617.8</v>
      </c>
      <c r="C51" s="15">
        <v>18835.6</v>
      </c>
      <c r="D51" s="15">
        <v>18962.2</v>
      </c>
      <c r="E51" s="15">
        <v>19034.8</v>
      </c>
      <c r="F51" s="15">
        <v>19818.8</v>
      </c>
      <c r="G51" s="15">
        <v>2345.9</v>
      </c>
      <c r="H51" s="15">
        <v>42807.2</v>
      </c>
      <c r="I51" s="15">
        <v>-68705.899999999994</v>
      </c>
      <c r="J51" s="15">
        <v>61344.9</v>
      </c>
      <c r="K51" s="15">
        <v>-9738.4</v>
      </c>
      <c r="L51" s="15">
        <v>-8004.1</v>
      </c>
      <c r="M51" s="15">
        <v>8962.700000000001</v>
      </c>
      <c r="N51" s="15">
        <v>507.6</v>
      </c>
      <c r="O51" s="15">
        <v>-4409.6</v>
      </c>
      <c r="P51" s="15">
        <v>-1045.3</v>
      </c>
      <c r="Q51" s="17"/>
      <c r="R51" s="17"/>
      <c r="S51" s="17"/>
      <c r="T51" s="17"/>
      <c r="U51" s="17"/>
      <c r="V51" s="15">
        <f>W51/1000000000</f>
        <v>161563.2</v>
      </c>
      <c r="W51" s="15">
        <v>161563200000000</v>
      </c>
      <c r="X51" t="s" s="44">
        <f>$A51</f>
        <v>203</v>
      </c>
      <c r="Y51" t="s" s="44">
        <f>Y$2</f>
        <v>153</v>
      </c>
      <c r="Z51" s="35">
        <f>F51/B51-1</f>
        <v>0.124930468049359</v>
      </c>
      <c r="AA51" t="s" s="44">
        <f>Y51</f>
        <v>153</v>
      </c>
      <c r="AB51" s="16">
        <f>SUM(H51:K51)/V51</f>
        <v>0.159119155847371</v>
      </c>
      <c r="AC51" t="s" s="44">
        <f>AA51</f>
        <v>153</v>
      </c>
      <c r="AD51" s="35">
        <f>SUM(M51:P51)/V51</f>
        <v>0.0248534319696565</v>
      </c>
      <c r="AE51" t="s" s="44">
        <f>AC51</f>
        <v>153</v>
      </c>
      <c r="AF51" s="16">
        <f>U51/V51</f>
        <v>0</v>
      </c>
      <c r="AG51" s="15">
        <v>8675</v>
      </c>
      <c r="AH51" s="15">
        <v>10454</v>
      </c>
    </row>
    <row r="52" ht="20.05" customHeight="1">
      <c r="A52" t="s" s="56">
        <v>204</v>
      </c>
      <c r="B52" s="14">
        <v>6543.2</v>
      </c>
      <c r="C52" s="15">
        <v>8457.4</v>
      </c>
      <c r="D52" s="15">
        <v>10134.2</v>
      </c>
      <c r="E52" s="15">
        <v>11975.3</v>
      </c>
      <c r="F52" s="15">
        <v>12472.4</v>
      </c>
      <c r="G52" s="15">
        <v>-383.25</v>
      </c>
      <c r="H52" s="15">
        <v>1601.35</v>
      </c>
      <c r="I52" s="15">
        <v>-491</v>
      </c>
      <c r="J52" s="15">
        <v>1613</v>
      </c>
      <c r="K52" s="15">
        <v>1267</v>
      </c>
      <c r="L52" s="15">
        <v>131.05</v>
      </c>
      <c r="M52" s="15">
        <v>568.45</v>
      </c>
      <c r="N52" s="15">
        <v>-121.6</v>
      </c>
      <c r="O52" s="15">
        <v>348.8</v>
      </c>
      <c r="P52" s="15">
        <v>536.5</v>
      </c>
      <c r="Q52" s="15">
        <v>-8764</v>
      </c>
      <c r="R52" s="15">
        <v>-9610</v>
      </c>
      <c r="S52" s="15">
        <v>-11299</v>
      </c>
      <c r="T52" s="15">
        <v>-12275</v>
      </c>
      <c r="U52" s="15">
        <v>-9805</v>
      </c>
      <c r="V52" s="15">
        <f>W52/1000000000</f>
        <v>25954.4188416</v>
      </c>
      <c r="W52" s="15">
        <v>25954418841600</v>
      </c>
      <c r="X52" t="s" s="44">
        <f>$A52</f>
        <v>204</v>
      </c>
      <c r="Y52" t="s" s="44">
        <f>Y$2</f>
        <v>153</v>
      </c>
      <c r="Z52" s="35">
        <f>F52/B52-1</f>
        <v>0.906162122508864</v>
      </c>
      <c r="AA52" t="s" s="44">
        <f>Y52</f>
        <v>153</v>
      </c>
      <c r="AB52" s="16">
        <f>SUM(H52:K52)/V52</f>
        <v>0.153744532842486</v>
      </c>
      <c r="AC52" t="s" s="44">
        <f>AA52</f>
        <v>153</v>
      </c>
      <c r="AD52" s="35">
        <f>SUM(M52:P52)/V52</f>
        <v>0.0513265200862374</v>
      </c>
      <c r="AE52" t="s" s="44">
        <f>AC52</f>
        <v>153</v>
      </c>
      <c r="AF52" s="16">
        <f>U52/V52</f>
        <v>-0.377777674770527</v>
      </c>
      <c r="AG52" s="15">
        <v>1315</v>
      </c>
      <c r="AH52" s="15">
        <v>1596</v>
      </c>
    </row>
    <row r="53" ht="20.05" customHeight="1">
      <c r="A53" t="s" s="56">
        <v>205</v>
      </c>
      <c r="B53" s="14">
        <v>1162.1</v>
      </c>
      <c r="C53" s="15">
        <v>1186.9</v>
      </c>
      <c r="D53" s="15">
        <v>765</v>
      </c>
      <c r="E53" s="15">
        <v>1282.3</v>
      </c>
      <c r="F53" s="15">
        <v>997.7</v>
      </c>
      <c r="G53" s="15">
        <v>308.4</v>
      </c>
      <c r="H53" s="15">
        <v>522.7</v>
      </c>
      <c r="I53" s="15">
        <v>88.7</v>
      </c>
      <c r="J53" s="15">
        <v>264.3</v>
      </c>
      <c r="K53" s="15">
        <v>182</v>
      </c>
      <c r="L53" s="15">
        <v>137.16</v>
      </c>
      <c r="M53" s="15">
        <v>1</v>
      </c>
      <c r="N53" s="15">
        <v>0</v>
      </c>
      <c r="O53" s="15">
        <v>0</v>
      </c>
      <c r="P53" s="15">
        <v>348</v>
      </c>
      <c r="Q53" s="15">
        <v>997</v>
      </c>
      <c r="R53" s="15">
        <v>1689</v>
      </c>
      <c r="S53" s="15">
        <v>1731</v>
      </c>
      <c r="T53" s="15">
        <v>1964</v>
      </c>
      <c r="U53" s="15">
        <v>1793</v>
      </c>
      <c r="V53" s="15">
        <f>W53/1000000000</f>
        <v>6888.15940608</v>
      </c>
      <c r="W53" s="15">
        <v>6888159406080</v>
      </c>
      <c r="X53" t="s" s="44">
        <f>$A53</f>
        <v>205</v>
      </c>
      <c r="Y53" t="s" s="44">
        <f>Y$2</f>
        <v>153</v>
      </c>
      <c r="Z53" s="35">
        <f>F53/B53-1</f>
        <v>-0.141468032011015</v>
      </c>
      <c r="AA53" t="s" s="44">
        <f>Y53</f>
        <v>153</v>
      </c>
      <c r="AB53" s="16">
        <f>SUM(H53:K53)/V53</f>
        <v>0.153553356948504</v>
      </c>
      <c r="AC53" t="s" s="44">
        <f>AA53</f>
        <v>153</v>
      </c>
      <c r="AD53" s="35">
        <f>SUM(M53:P53)/V53</f>
        <v>0.0506666555498043</v>
      </c>
      <c r="AE53" t="s" s="44">
        <f>AC53</f>
        <v>153</v>
      </c>
      <c r="AF53" s="16">
        <f>U53/V53</f>
        <v>0.260301757595413</v>
      </c>
      <c r="AG53" s="15">
        <v>1010</v>
      </c>
      <c r="AH53" s="15">
        <v>2303.5294444827</v>
      </c>
    </row>
    <row r="54" ht="20.05" customHeight="1">
      <c r="A54" t="s" s="56">
        <v>206</v>
      </c>
      <c r="B54" s="14">
        <v>151.5</v>
      </c>
      <c r="C54" s="15">
        <v>181.5</v>
      </c>
      <c r="D54" s="15">
        <v>157.5</v>
      </c>
      <c r="E54" s="15">
        <v>217.5</v>
      </c>
      <c r="F54" s="15">
        <v>249</v>
      </c>
      <c r="G54" s="15">
        <v>136.5</v>
      </c>
      <c r="H54" s="15">
        <v>175.5</v>
      </c>
      <c r="I54" s="15">
        <v>-95.55</v>
      </c>
      <c r="J54" s="15">
        <v>19.05</v>
      </c>
      <c r="K54" s="15">
        <v>88.5</v>
      </c>
      <c r="L54" s="15">
        <v>120</v>
      </c>
      <c r="M54" s="15">
        <v>-82.5</v>
      </c>
      <c r="N54" s="15">
        <v>31.5</v>
      </c>
      <c r="O54" s="15">
        <v>1.5</v>
      </c>
      <c r="P54" s="15">
        <v>69</v>
      </c>
      <c r="Q54" s="15">
        <v>-841.5</v>
      </c>
      <c r="R54" s="15">
        <v>-484.5</v>
      </c>
      <c r="S54" s="15">
        <v>-610.05</v>
      </c>
      <c r="T54" s="15">
        <v>-595.5</v>
      </c>
      <c r="U54" s="15">
        <v>-474</v>
      </c>
      <c r="V54" s="15">
        <f>W54/1000000000</f>
        <v>1229.184451584</v>
      </c>
      <c r="W54" s="15">
        <v>1229184451584</v>
      </c>
      <c r="X54" t="s" s="44">
        <f>$A54</f>
        <v>206</v>
      </c>
      <c r="Y54" t="s" s="44">
        <f>Y$2</f>
        <v>153</v>
      </c>
      <c r="Z54" s="35">
        <f>F54/B54-1</f>
        <v>0.643564356435644</v>
      </c>
      <c r="AA54" t="s" s="44">
        <f>Y54</f>
        <v>153</v>
      </c>
      <c r="AB54" s="16">
        <f>SUM(H54:K54)/V54</f>
        <v>0.152540165764688</v>
      </c>
      <c r="AC54" t="s" s="44">
        <f>AA54</f>
        <v>153</v>
      </c>
      <c r="AD54" s="35">
        <f>SUM(M54:P54)/V54</f>
        <v>0.0158641772395275</v>
      </c>
      <c r="AE54" t="s" s="44">
        <f>AC54</f>
        <v>153</v>
      </c>
      <c r="AF54" s="16">
        <f>U54/V54</f>
        <v>-0.38562153905313</v>
      </c>
      <c r="AG54" s="15">
        <v>282</v>
      </c>
      <c r="AH54" s="15">
        <v>367.752685488211</v>
      </c>
    </row>
    <row r="55" ht="20.05" customHeight="1">
      <c r="A55" t="s" s="56">
        <v>207</v>
      </c>
      <c r="B55" s="14">
        <v>1755.3</v>
      </c>
      <c r="C55" s="15">
        <v>2071.9</v>
      </c>
      <c r="D55" s="15">
        <v>1645</v>
      </c>
      <c r="E55" s="15">
        <v>2142</v>
      </c>
      <c r="F55" s="15">
        <v>2799</v>
      </c>
      <c r="G55" s="15">
        <v>-88.3</v>
      </c>
      <c r="H55" s="15">
        <v>866</v>
      </c>
      <c r="I55" s="15">
        <v>94.90000000000001</v>
      </c>
      <c r="J55" s="15">
        <v>-238.9</v>
      </c>
      <c r="K55" s="15">
        <v>329</v>
      </c>
      <c r="L55" s="15">
        <v>159</v>
      </c>
      <c r="M55" s="15">
        <v>715.9</v>
      </c>
      <c r="N55" s="15">
        <v>129</v>
      </c>
      <c r="O55" s="15">
        <v>-35</v>
      </c>
      <c r="P55" s="15">
        <v>204</v>
      </c>
      <c r="Q55" s="15">
        <v>-7124</v>
      </c>
      <c r="R55" s="15">
        <v>-6267</v>
      </c>
      <c r="S55" s="15">
        <v>-6551</v>
      </c>
      <c r="T55" s="15">
        <v>-6885</v>
      </c>
      <c r="U55" s="15">
        <v>-6593</v>
      </c>
      <c r="V55" s="15">
        <f>W55/1000000000</f>
        <v>6942.86887424</v>
      </c>
      <c r="W55" s="15">
        <v>6942868874240</v>
      </c>
      <c r="X55" t="s" s="44">
        <f>$A55</f>
        <v>207</v>
      </c>
      <c r="Y55" t="s" s="44">
        <f>Y$2</f>
        <v>153</v>
      </c>
      <c r="Z55" s="35">
        <f>F55/B55-1</f>
        <v>0.594599213809605</v>
      </c>
      <c r="AA55" t="s" s="44">
        <f>Y55</f>
        <v>153</v>
      </c>
      <c r="AB55" s="16">
        <f>SUM(H55:K55)/V55</f>
        <v>0.151378345038246</v>
      </c>
      <c r="AC55" t="s" s="44">
        <f>AA55</f>
        <v>153</v>
      </c>
      <c r="AD55" s="35">
        <f>SUM(M55:P55)/V55</f>
        <v>0.146034732668199</v>
      </c>
      <c r="AE55" t="s" s="44">
        <f>AC55</f>
        <v>153</v>
      </c>
      <c r="AF55" s="16">
        <f>U55/V55</f>
        <v>-0.949607448941156</v>
      </c>
      <c r="AG55" s="15">
        <v>655</v>
      </c>
      <c r="AH55" s="15">
        <v>1028</v>
      </c>
    </row>
    <row r="56" ht="20.05" customHeight="1">
      <c r="A56" t="s" s="56">
        <v>208</v>
      </c>
      <c r="B56" s="14">
        <v>200.3</v>
      </c>
      <c r="C56" s="15">
        <v>303.6</v>
      </c>
      <c r="D56" s="15">
        <v>232.3</v>
      </c>
      <c r="E56" s="15">
        <v>201.8</v>
      </c>
      <c r="F56" s="15">
        <v>229.9</v>
      </c>
      <c r="G56" s="15">
        <v>-60.8</v>
      </c>
      <c r="H56" s="15">
        <v>-4.08</v>
      </c>
      <c r="I56" s="15">
        <v>43.9</v>
      </c>
      <c r="J56" s="15">
        <v>-18.1</v>
      </c>
      <c r="K56" s="15">
        <v>124.1</v>
      </c>
      <c r="L56" s="15">
        <v>-60.997</v>
      </c>
      <c r="M56" s="15">
        <v>27.475</v>
      </c>
      <c r="N56" s="15">
        <v>42.6</v>
      </c>
      <c r="O56" s="15">
        <v>-17.6</v>
      </c>
      <c r="P56" s="15">
        <v>26.8</v>
      </c>
      <c r="Q56" s="15">
        <v>-319</v>
      </c>
      <c r="R56" s="15">
        <v>-315</v>
      </c>
      <c r="S56" s="15">
        <v>-273</v>
      </c>
      <c r="T56" s="15">
        <v>-296</v>
      </c>
      <c r="U56" s="15">
        <v>-299</v>
      </c>
      <c r="V56" s="15">
        <f>W56/1000000000</f>
        <v>967.7750272</v>
      </c>
      <c r="W56" s="15">
        <v>967775027200</v>
      </c>
      <c r="X56" t="s" s="44">
        <f>$A56</f>
        <v>208</v>
      </c>
      <c r="Y56" t="s" s="44">
        <f>Y$2</f>
        <v>153</v>
      </c>
      <c r="Z56" s="35">
        <f>F56/B56-1</f>
        <v>0.147778332501248</v>
      </c>
      <c r="AA56" t="s" s="44">
        <f>Y56</f>
        <v>153</v>
      </c>
      <c r="AB56" s="16">
        <f>SUM(H56:K56)/V56</f>
        <v>0.150675514351607</v>
      </c>
      <c r="AC56" t="s" s="44">
        <f>AA56</f>
        <v>153</v>
      </c>
      <c r="AD56" s="35">
        <f>SUM(M56:P56)/V56</f>
        <v>0.0819146989454369</v>
      </c>
      <c r="AE56" t="s" s="44">
        <f>AC56</f>
        <v>153</v>
      </c>
      <c r="AF56" s="16">
        <f>U56/V56</f>
        <v>-0.308956101982789</v>
      </c>
      <c r="AG56" s="15">
        <v>100</v>
      </c>
      <c r="AH56" s="15">
        <v>116.712389447112</v>
      </c>
    </row>
    <row r="57" ht="20.05" customHeight="1">
      <c r="A57" t="s" s="56">
        <v>209</v>
      </c>
      <c r="B57" s="14">
        <v>546.6</v>
      </c>
      <c r="C57" s="15">
        <v>657.3</v>
      </c>
      <c r="D57" s="15">
        <v>611.6</v>
      </c>
      <c r="E57" s="15">
        <v>555.3</v>
      </c>
      <c r="F57" s="15">
        <v>594.7</v>
      </c>
      <c r="G57" s="15">
        <v>-44.35</v>
      </c>
      <c r="H57" s="15">
        <v>63.6</v>
      </c>
      <c r="I57" s="15">
        <v>-3.1</v>
      </c>
      <c r="J57" s="15">
        <v>-110.9</v>
      </c>
      <c r="K57" s="15">
        <v>114.5</v>
      </c>
      <c r="L57" s="15">
        <v>-26.5</v>
      </c>
      <c r="M57" s="15">
        <v>-26.5</v>
      </c>
      <c r="N57" s="15">
        <v>35.6</v>
      </c>
      <c r="O57" s="15">
        <v>-127</v>
      </c>
      <c r="P57" s="15">
        <v>72.90000000000001</v>
      </c>
      <c r="Q57" s="15">
        <v>-595</v>
      </c>
      <c r="R57" s="15">
        <v>-548</v>
      </c>
      <c r="S57" s="15">
        <v>-670</v>
      </c>
      <c r="T57" s="15">
        <v>-743</v>
      </c>
      <c r="U57" s="15">
        <v>-572</v>
      </c>
      <c r="V57" s="15">
        <f>W57/1000000000</f>
        <v>433.35</v>
      </c>
      <c r="W57" s="15">
        <v>433350000000</v>
      </c>
      <c r="X57" t="s" s="44">
        <f>$A57</f>
        <v>209</v>
      </c>
      <c r="Y57" t="s" s="44">
        <f>Y$2</f>
        <v>153</v>
      </c>
      <c r="Z57" s="35">
        <f>F57/B57-1</f>
        <v>0.08799853640687889</v>
      </c>
      <c r="AA57" t="s" s="44">
        <f>Y57</f>
        <v>153</v>
      </c>
      <c r="AB57" s="16">
        <f>SUM(H57:K57)/V57</f>
        <v>0.147917387792777</v>
      </c>
      <c r="AC57" t="s" s="44">
        <f>AA57</f>
        <v>153</v>
      </c>
      <c r="AD57" s="35">
        <f>SUM(M57:P57)/V57</f>
        <v>-0.103842159916926</v>
      </c>
      <c r="AE57" t="s" s="44">
        <f>AC57</f>
        <v>153</v>
      </c>
      <c r="AF57" s="16">
        <f>U57/V57</f>
        <v>-1.31994923272182</v>
      </c>
      <c r="AG57" s="15">
        <v>1070</v>
      </c>
      <c r="AH57" s="15">
        <v>1315.919883055910</v>
      </c>
    </row>
    <row r="58" ht="20.05" customHeight="1">
      <c r="A58" t="s" s="56">
        <v>210</v>
      </c>
      <c r="B58" s="14">
        <v>743</v>
      </c>
      <c r="C58" s="15">
        <v>1052.7</v>
      </c>
      <c r="D58" s="15">
        <v>911.3</v>
      </c>
      <c r="E58" s="15">
        <v>759</v>
      </c>
      <c r="F58" s="15">
        <v>852.7</v>
      </c>
      <c r="G58" s="15">
        <v>-2.8</v>
      </c>
      <c r="H58" s="15">
        <v>330.7</v>
      </c>
      <c r="I58" s="15">
        <v>-322.9</v>
      </c>
      <c r="J58" s="15">
        <v>230.8</v>
      </c>
      <c r="K58" s="15">
        <v>268.7</v>
      </c>
      <c r="L58" s="15">
        <v>25.646</v>
      </c>
      <c r="M58" s="15">
        <v>17.561</v>
      </c>
      <c r="N58" s="15">
        <v>174.4</v>
      </c>
      <c r="O58" s="15">
        <v>90.2</v>
      </c>
      <c r="P58" s="15">
        <v>296.4</v>
      </c>
      <c r="Q58" s="15">
        <v>-1195</v>
      </c>
      <c r="R58" s="15">
        <v>-1330</v>
      </c>
      <c r="S58" s="15">
        <v>-1689</v>
      </c>
      <c r="T58" s="15">
        <v>-1468</v>
      </c>
      <c r="U58" s="15">
        <v>-1406</v>
      </c>
      <c r="V58" s="15">
        <f>W58/1000000000</f>
        <v>3684.37512576</v>
      </c>
      <c r="W58" s="15">
        <v>3684375125760</v>
      </c>
      <c r="X58" t="s" s="44">
        <f>$A58</f>
        <v>210</v>
      </c>
      <c r="Y58" t="s" s="44">
        <f>Y$2</f>
        <v>153</v>
      </c>
      <c r="Z58" s="35">
        <f>F58/B58-1</f>
        <v>0.14764468371467</v>
      </c>
      <c r="AA58" t="s" s="44">
        <f>Y58</f>
        <v>153</v>
      </c>
      <c r="AB58" s="16">
        <f>SUM(H58:K58)/V58</f>
        <v>0.137689562730222</v>
      </c>
      <c r="AC58" t="s" s="44">
        <f>AA58</f>
        <v>153</v>
      </c>
      <c r="AD58" s="35">
        <f>SUM(M58:P58)/V58</f>
        <v>0.157030970042893</v>
      </c>
      <c r="AE58" t="s" s="44">
        <f>AC58</f>
        <v>153</v>
      </c>
      <c r="AF58" s="16">
        <f>U58/V58</f>
        <v>-0.381611522173648</v>
      </c>
      <c r="AG58" s="15">
        <v>1965</v>
      </c>
      <c r="AH58" s="15">
        <v>2460.427135329070</v>
      </c>
    </row>
    <row r="59" ht="20.05" customHeight="1">
      <c r="A59" t="s" s="56">
        <v>211</v>
      </c>
      <c r="B59" s="14">
        <v>3016.1</v>
      </c>
      <c r="C59" s="15">
        <v>3138.9</v>
      </c>
      <c r="D59" s="15">
        <v>2904.7</v>
      </c>
      <c r="E59" s="15">
        <v>2677.1</v>
      </c>
      <c r="F59" s="15">
        <v>3508.8</v>
      </c>
      <c r="G59" s="15">
        <v>206.3</v>
      </c>
      <c r="H59" s="15">
        <v>465.3</v>
      </c>
      <c r="I59" s="15">
        <v>-31.4</v>
      </c>
      <c r="J59" s="15">
        <v>84.8</v>
      </c>
      <c r="K59" s="15">
        <v>1116.2</v>
      </c>
      <c r="L59" s="15">
        <v>80</v>
      </c>
      <c r="M59" s="15">
        <v>414.7</v>
      </c>
      <c r="N59" s="15">
        <v>0</v>
      </c>
      <c r="O59" s="15">
        <v>215.8</v>
      </c>
      <c r="P59" s="15">
        <v>975</v>
      </c>
      <c r="Q59" s="15">
        <v>-9857</v>
      </c>
      <c r="R59" s="15">
        <v>-10019</v>
      </c>
      <c r="S59" s="15">
        <v>-10430</v>
      </c>
      <c r="T59" s="15">
        <v>-10520</v>
      </c>
      <c r="U59" s="15">
        <v>-9875</v>
      </c>
      <c r="V59" s="15">
        <f>W59/1000000000</f>
        <v>12582.03469824</v>
      </c>
      <c r="W59" s="15">
        <v>12582034698240</v>
      </c>
      <c r="X59" t="s" s="44">
        <f>$A59</f>
        <v>211</v>
      </c>
      <c r="Y59" t="s" s="44">
        <f>Y$2</f>
        <v>153</v>
      </c>
      <c r="Z59" s="35">
        <f>F59/B59-1</f>
        <v>0.163356652630881</v>
      </c>
      <c r="AA59" t="s" s="44">
        <f>Y59</f>
        <v>153</v>
      </c>
      <c r="AB59" s="16">
        <f>SUM(H59:K59)/V59</f>
        <v>0.129939237906306</v>
      </c>
      <c r="AC59" t="s" s="44">
        <f>AA59</f>
        <v>153</v>
      </c>
      <c r="AD59" s="35">
        <f>SUM(M59:P59)/V59</f>
        <v>0.127602572914902</v>
      </c>
      <c r="AE59" t="s" s="44">
        <f>AC59</f>
        <v>153</v>
      </c>
      <c r="AF59" s="16">
        <f>U59/V59</f>
        <v>-0.784849210547904</v>
      </c>
      <c r="AG59" s="15">
        <v>1395</v>
      </c>
      <c r="AH59" s="15">
        <v>1924.185362285810</v>
      </c>
    </row>
    <row r="60" ht="20.05" customHeight="1">
      <c r="A60" t="s" s="56">
        <v>212</v>
      </c>
      <c r="B60" s="14">
        <v>2945.7</v>
      </c>
      <c r="C60" s="15">
        <v>6343.5</v>
      </c>
      <c r="D60" s="15">
        <v>5633.1</v>
      </c>
      <c r="E60" s="15">
        <v>6614.9</v>
      </c>
      <c r="F60" s="15">
        <v>6573.2</v>
      </c>
      <c r="G60" s="15">
        <v>155</v>
      </c>
      <c r="H60" s="15">
        <v>1642.6</v>
      </c>
      <c r="I60" s="15">
        <v>-217</v>
      </c>
      <c r="J60" s="15">
        <v>752</v>
      </c>
      <c r="K60" s="15">
        <v>507.2</v>
      </c>
      <c r="L60" s="15">
        <v>152.806</v>
      </c>
      <c r="M60" s="15">
        <v>798.297</v>
      </c>
      <c r="N60" s="15">
        <v>93.09999999999999</v>
      </c>
      <c r="O60" s="15">
        <v>133.9</v>
      </c>
      <c r="P60" s="15">
        <v>289</v>
      </c>
      <c r="Q60" s="15">
        <v>-8324</v>
      </c>
      <c r="R60" s="15">
        <v>-6909</v>
      </c>
      <c r="S60" s="15">
        <v>-7149</v>
      </c>
      <c r="T60" s="15">
        <v>-6551</v>
      </c>
      <c r="U60" s="15">
        <v>-6766</v>
      </c>
      <c r="V60" s="15">
        <f>W60/1000000000</f>
        <v>21418.78183424</v>
      </c>
      <c r="W60" s="15">
        <v>21418781834240</v>
      </c>
      <c r="X60" t="s" s="44">
        <f>$A60</f>
        <v>212</v>
      </c>
      <c r="Y60" t="s" s="44">
        <f>Y$2</f>
        <v>153</v>
      </c>
      <c r="Z60" s="35">
        <f>F60/B60-1</f>
        <v>1.23145602064026</v>
      </c>
      <c r="AA60" t="s" s="44">
        <f>Y60</f>
        <v>153</v>
      </c>
      <c r="AB60" s="16">
        <f>SUM(H60:K60)/V60</f>
        <v>0.125347931585357</v>
      </c>
      <c r="AC60" t="s" s="44">
        <f>AA60</f>
        <v>153</v>
      </c>
      <c r="AD60" s="35">
        <f>SUM(M60:P60)/V60</f>
        <v>0.0613618930418801</v>
      </c>
      <c r="AE60" t="s" s="44">
        <f>AC60</f>
        <v>153</v>
      </c>
      <c r="AF60" s="16">
        <f>U60/V60</f>
        <v>-0.315890980745875</v>
      </c>
      <c r="AG60" s="15">
        <v>1295</v>
      </c>
      <c r="AH60" s="15">
        <v>1547.977447447470</v>
      </c>
    </row>
    <row r="61" ht="20.05" customHeight="1">
      <c r="A61" t="s" s="56">
        <v>213</v>
      </c>
      <c r="B61" s="14">
        <v>60002</v>
      </c>
      <c r="C61" s="15">
        <v>66083</v>
      </c>
      <c r="D61" s="15">
        <v>71871</v>
      </c>
      <c r="E61" s="15">
        <v>71821</v>
      </c>
      <c r="F61" s="15">
        <v>77662</v>
      </c>
      <c r="G61" s="15">
        <v>6945</v>
      </c>
      <c r="H61" s="15">
        <v>8546</v>
      </c>
      <c r="I61" s="15">
        <v>5774</v>
      </c>
      <c r="J61" s="15">
        <v>11348</v>
      </c>
      <c r="K61" s="15">
        <v>1649</v>
      </c>
      <c r="L61" s="15">
        <v>4351</v>
      </c>
      <c r="M61" s="15">
        <v>4213</v>
      </c>
      <c r="N61" s="15">
        <v>2576</v>
      </c>
      <c r="O61" s="15">
        <v>10869</v>
      </c>
      <c r="P61" s="15">
        <v>761</v>
      </c>
      <c r="Q61" s="15">
        <v>-92125</v>
      </c>
      <c r="R61" s="15">
        <v>-87749</v>
      </c>
      <c r="S61" s="15">
        <v>-90600</v>
      </c>
      <c r="T61" s="15">
        <v>-92206</v>
      </c>
      <c r="U61" s="15">
        <v>-104575</v>
      </c>
      <c r="V61" s="15">
        <f>W61/1000000000</f>
        <v>220635.6109312</v>
      </c>
      <c r="W61" s="15">
        <v>220635610931200</v>
      </c>
      <c r="X61" t="s" s="44">
        <f>$A61</f>
        <v>213</v>
      </c>
      <c r="Y61" t="s" s="44">
        <f>Y$2</f>
        <v>153</v>
      </c>
      <c r="Z61" s="35">
        <f>F61/B61-1</f>
        <v>0.294323522549248</v>
      </c>
      <c r="AA61" t="s" s="44">
        <f>Y61</f>
        <v>153</v>
      </c>
      <c r="AB61" s="16">
        <f>SUM(H61:K61)/V61</f>
        <v>0.123810475945871</v>
      </c>
      <c r="AC61" t="s" s="44">
        <f>AA61</f>
        <v>153</v>
      </c>
      <c r="AD61" s="35">
        <f>SUM(M61:P61)/V61</f>
        <v>0.08348153737405301</v>
      </c>
      <c r="AE61" t="s" s="44">
        <f>AC61</f>
        <v>153</v>
      </c>
      <c r="AF61" s="16">
        <f>U61/V61</f>
        <v>-0.473971538676996</v>
      </c>
      <c r="AG61" s="15">
        <v>5450</v>
      </c>
      <c r="AH61" s="15">
        <v>10941.1280335992</v>
      </c>
    </row>
    <row r="62" ht="20.05" customHeight="1">
      <c r="A62" t="s" s="56">
        <v>214</v>
      </c>
      <c r="B62" s="14">
        <v>779.2</v>
      </c>
      <c r="C62" s="15">
        <v>803.8</v>
      </c>
      <c r="D62" s="15">
        <v>745</v>
      </c>
      <c r="E62" s="15">
        <v>1575</v>
      </c>
      <c r="F62" s="15">
        <v>1119</v>
      </c>
      <c r="G62" s="15">
        <v>-132.3</v>
      </c>
      <c r="H62" s="15">
        <v>7.3</v>
      </c>
      <c r="I62" s="15">
        <v>-14.5</v>
      </c>
      <c r="J62" s="15">
        <v>172</v>
      </c>
      <c r="K62" s="15">
        <v>80.5</v>
      </c>
      <c r="L62" s="15">
        <v>21</v>
      </c>
      <c r="M62" s="15">
        <v>18</v>
      </c>
      <c r="N62" s="15">
        <v>-3</v>
      </c>
      <c r="O62" s="15">
        <v>111</v>
      </c>
      <c r="P62" s="15">
        <v>72</v>
      </c>
      <c r="Q62" s="15">
        <v>-10499.3</v>
      </c>
      <c r="R62" s="15">
        <v>-9883</v>
      </c>
      <c r="S62" s="15">
        <v>-10093</v>
      </c>
      <c r="T62" s="15">
        <v>-10114</v>
      </c>
      <c r="U62" s="15">
        <v>-9901</v>
      </c>
      <c r="V62" s="15">
        <f>W62/1000000000</f>
        <v>2017.619214336</v>
      </c>
      <c r="W62" s="15">
        <v>2017619214336</v>
      </c>
      <c r="X62" t="s" s="44">
        <f>$A62</f>
        <v>214</v>
      </c>
      <c r="Y62" t="s" s="44">
        <f>Y$2</f>
        <v>153</v>
      </c>
      <c r="Z62" s="35">
        <f>F62/B62-1</f>
        <v>0.436088295687885</v>
      </c>
      <c r="AA62" t="s" s="44">
        <f>Y62</f>
        <v>153</v>
      </c>
      <c r="AB62" s="16">
        <f>SUM(H62:K62)/V62</f>
        <v>0.121578937322288</v>
      </c>
      <c r="AC62" t="s" s="44">
        <f>AA62</f>
        <v>153</v>
      </c>
      <c r="AD62" s="35">
        <f>SUM(M62:P62)/V62</f>
        <v>0.0981354651031919</v>
      </c>
      <c r="AE62" t="s" s="44">
        <f>AC62</f>
        <v>153</v>
      </c>
      <c r="AF62" s="16">
        <f>U62/V62</f>
        <v>-4.90726888882173</v>
      </c>
      <c r="AG62" s="15">
        <v>64</v>
      </c>
      <c r="AH62" s="15">
        <v>100.672251444588</v>
      </c>
    </row>
    <row r="63" ht="20.05" customHeight="1">
      <c r="A63" t="s" s="56">
        <v>215</v>
      </c>
      <c r="B63" s="14">
        <v>537</v>
      </c>
      <c r="C63" s="15">
        <v>532</v>
      </c>
      <c r="D63" s="15">
        <v>619</v>
      </c>
      <c r="E63" s="15">
        <v>556</v>
      </c>
      <c r="F63" s="15">
        <v>661</v>
      </c>
      <c r="G63" s="26">
        <v>189.2</v>
      </c>
      <c r="H63" s="26">
        <v>157.5</v>
      </c>
      <c r="I63" s="26">
        <v>208.5</v>
      </c>
      <c r="J63" s="26">
        <v>34.5</v>
      </c>
      <c r="K63" s="26">
        <v>138</v>
      </c>
      <c r="L63" s="26">
        <v>114</v>
      </c>
      <c r="M63" s="26">
        <v>0</v>
      </c>
      <c r="N63" s="26">
        <v>0</v>
      </c>
      <c r="O63" s="26">
        <v>204</v>
      </c>
      <c r="P63" s="26">
        <v>0</v>
      </c>
      <c r="Q63" s="15">
        <v>394</v>
      </c>
      <c r="R63" s="15">
        <v>691</v>
      </c>
      <c r="S63" s="15">
        <v>876</v>
      </c>
      <c r="T63" s="15">
        <v>784</v>
      </c>
      <c r="U63" s="15">
        <v>817</v>
      </c>
      <c r="V63" s="15">
        <f>W63/1000000000</f>
        <v>4560</v>
      </c>
      <c r="W63" s="15">
        <v>4560000000000</v>
      </c>
      <c r="X63" t="s" s="44">
        <f>$A63</f>
        <v>215</v>
      </c>
      <c r="Y63" t="s" s="44">
        <f>Y$2</f>
        <v>153</v>
      </c>
      <c r="Z63" s="35">
        <f>F63/B63-1</f>
        <v>0.230912476722533</v>
      </c>
      <c r="AA63" t="s" s="44">
        <f>Y63</f>
        <v>153</v>
      </c>
      <c r="AB63" s="16">
        <f>SUM(H63:K63)/V63</f>
        <v>0.118092105263158</v>
      </c>
      <c r="AC63" t="s" s="44">
        <f>AA63</f>
        <v>153</v>
      </c>
      <c r="AD63" s="35">
        <f>SUM(M63:P63)/V63</f>
        <v>0.0447368421052632</v>
      </c>
      <c r="AE63" t="s" s="44">
        <f>AC63</f>
        <v>153</v>
      </c>
      <c r="AF63" s="16">
        <f>U63/V63</f>
        <v>0.179166666666667</v>
      </c>
      <c r="AG63" s="15">
        <v>1520</v>
      </c>
      <c r="AH63" s="15">
        <v>2590</v>
      </c>
    </row>
    <row r="64" ht="20.05" customHeight="1">
      <c r="A64" t="s" s="56">
        <v>216</v>
      </c>
      <c r="B64" s="14">
        <v>3022</v>
      </c>
      <c r="C64" s="15">
        <v>2960</v>
      </c>
      <c r="D64" s="15">
        <v>3072</v>
      </c>
      <c r="E64" s="15">
        <v>3252</v>
      </c>
      <c r="F64" s="15">
        <v>3220.8</v>
      </c>
      <c r="G64" s="15">
        <v>84.5</v>
      </c>
      <c r="H64" s="15">
        <v>-13.4</v>
      </c>
      <c r="I64" s="15">
        <v>-64.09999999999999</v>
      </c>
      <c r="J64" s="15">
        <v>135.5</v>
      </c>
      <c r="K64" s="15">
        <v>680.4</v>
      </c>
      <c r="L64" s="15">
        <v>32</v>
      </c>
      <c r="M64" s="15">
        <v>0</v>
      </c>
      <c r="N64" s="15">
        <v>0</v>
      </c>
      <c r="O64" s="15">
        <v>271</v>
      </c>
      <c r="P64" s="15">
        <v>0</v>
      </c>
      <c r="Q64" s="15">
        <v>-1621</v>
      </c>
      <c r="R64" s="15">
        <v>-1317</v>
      </c>
      <c r="S64" s="15">
        <v>-2017</v>
      </c>
      <c r="T64" s="15">
        <v>-1889</v>
      </c>
      <c r="U64" s="15">
        <v>-1249</v>
      </c>
      <c r="V64" s="15">
        <f>W64/1000000000</f>
        <v>6613.1495424</v>
      </c>
      <c r="W64" s="15">
        <v>6613149542400</v>
      </c>
      <c r="X64" t="s" s="44">
        <f>$A64</f>
        <v>216</v>
      </c>
      <c r="Y64" t="s" s="44">
        <f>Y$2</f>
        <v>153</v>
      </c>
      <c r="Z64" s="35">
        <f>F64/B64-1</f>
        <v>0.0657842488418266</v>
      </c>
      <c r="AA64" t="s" s="44">
        <f>Y64</f>
        <v>153</v>
      </c>
      <c r="AB64" s="16">
        <f>SUM(H64:K64)/V64</f>
        <v>0.111656328843885</v>
      </c>
      <c r="AC64" t="s" s="44">
        <f>AA64</f>
        <v>153</v>
      </c>
      <c r="AD64" s="35">
        <f>SUM(M64:P64)/V64</f>
        <v>0.0409789614256402</v>
      </c>
      <c r="AE64" t="s" s="44">
        <f>AC64</f>
        <v>153</v>
      </c>
      <c r="AF64" s="16">
        <f>U64/V64</f>
        <v>-0.188866135869464</v>
      </c>
      <c r="AG64" s="15">
        <v>7200</v>
      </c>
      <c r="AH64" s="15">
        <v>7413.629703804920</v>
      </c>
    </row>
    <row r="65" ht="20.05" customHeight="1">
      <c r="A65" t="s" s="56">
        <v>217</v>
      </c>
      <c r="B65" s="14">
        <v>360.1</v>
      </c>
      <c r="C65" s="15">
        <v>361.4</v>
      </c>
      <c r="D65" s="15">
        <v>361.2</v>
      </c>
      <c r="E65" s="15">
        <v>266.9</v>
      </c>
      <c r="F65" s="15">
        <v>108</v>
      </c>
      <c r="G65" s="26">
        <v>62.6</v>
      </c>
      <c r="H65" s="26">
        <v>101.3</v>
      </c>
      <c r="I65" s="26">
        <v>-40.4</v>
      </c>
      <c r="J65" s="26">
        <v>110.4</v>
      </c>
      <c r="K65" s="26">
        <v>84</v>
      </c>
      <c r="L65" s="26">
        <v>0</v>
      </c>
      <c r="M65" s="26">
        <v>28.2</v>
      </c>
      <c r="N65" s="26">
        <v>6.1</v>
      </c>
      <c r="O65" s="26">
        <v>126.9</v>
      </c>
      <c r="P65" s="26">
        <v>105.1</v>
      </c>
      <c r="Q65" s="15">
        <v>-367</v>
      </c>
      <c r="R65" s="15">
        <v>-231</v>
      </c>
      <c r="S65" s="15">
        <v>-251</v>
      </c>
      <c r="T65" s="15">
        <v>-326</v>
      </c>
      <c r="U65" s="15">
        <v>-209</v>
      </c>
      <c r="V65" s="15">
        <f>W65/1000000000</f>
        <v>2318</v>
      </c>
      <c r="W65" s="15">
        <v>2318000000000</v>
      </c>
      <c r="X65" t="s" s="44">
        <f>$A65</f>
        <v>217</v>
      </c>
      <c r="Y65" t="s" s="44">
        <f>Y$2</f>
        <v>153</v>
      </c>
      <c r="Z65" s="35">
        <f>F65/B65-1</f>
        <v>-0.700083310191613</v>
      </c>
      <c r="AA65" t="s" s="44">
        <f>Y65</f>
        <v>153</v>
      </c>
      <c r="AB65" s="16">
        <f>SUM(H65:K65)/V65</f>
        <v>0.110138050043141</v>
      </c>
      <c r="AC65" t="s" s="44">
        <f>AA65</f>
        <v>153</v>
      </c>
      <c r="AD65" s="35">
        <f>SUM(M65:P65)/V65</f>
        <v>0.1148835202761</v>
      </c>
      <c r="AE65" t="s" s="44">
        <f>AC65</f>
        <v>153</v>
      </c>
      <c r="AF65" s="16">
        <f>U65/V65</f>
        <v>-0.0901639344262295</v>
      </c>
      <c r="AG65" s="15">
        <v>610</v>
      </c>
      <c r="AH65" s="15">
        <v>385.217170346058</v>
      </c>
    </row>
    <row r="66" ht="20.05" customHeight="1">
      <c r="A66" t="s" s="56">
        <v>218</v>
      </c>
      <c r="B66" s="14">
        <v>83</v>
      </c>
      <c r="C66" s="15">
        <v>337</v>
      </c>
      <c r="D66" s="15">
        <v>192.5</v>
      </c>
      <c r="E66" s="15">
        <v>192.5</v>
      </c>
      <c r="F66" s="15">
        <v>246</v>
      </c>
      <c r="G66" s="15">
        <v>-2</v>
      </c>
      <c r="H66" s="15">
        <v>6</v>
      </c>
      <c r="I66" s="15">
        <v>-2.85</v>
      </c>
      <c r="J66" s="15">
        <v>-2.85</v>
      </c>
      <c r="K66" s="15">
        <v>43.9</v>
      </c>
      <c r="L66" s="15">
        <v>18.3</v>
      </c>
      <c r="M66" s="15">
        <v>-3.6</v>
      </c>
      <c r="N66" s="15">
        <v>-15.8</v>
      </c>
      <c r="O66" s="15">
        <v>-15.8</v>
      </c>
      <c r="P66" s="15">
        <v>22.6</v>
      </c>
      <c r="Q66" s="15">
        <v>-374</v>
      </c>
      <c r="R66" s="15">
        <v>-394</v>
      </c>
      <c r="S66" s="15">
        <v>-488</v>
      </c>
      <c r="T66" s="15">
        <v>-488</v>
      </c>
      <c r="U66" s="15">
        <v>-572</v>
      </c>
      <c r="V66" s="15">
        <f>W66/1000000000</f>
        <v>401.65824</v>
      </c>
      <c r="W66" s="15">
        <v>401658240000</v>
      </c>
      <c r="X66" t="s" s="44">
        <f>$A66</f>
        <v>218</v>
      </c>
      <c r="Y66" t="s" s="44">
        <f>Y$2</f>
        <v>153</v>
      </c>
      <c r="Z66" s="35">
        <f>F66/B66-1</f>
        <v>1.96385542168675</v>
      </c>
      <c r="AA66" t="s" s="44">
        <f>Y66</f>
        <v>153</v>
      </c>
      <c r="AB66" s="16">
        <f>SUM(H66:K66)/V66</f>
        <v>0.110043802412718</v>
      </c>
      <c r="AC66" t="s" s="44">
        <f>AA66</f>
        <v>153</v>
      </c>
      <c r="AD66" s="35">
        <f>SUM(M66:P66)/V66</f>
        <v>-0.0313699527239874</v>
      </c>
      <c r="AE66" t="s" s="44">
        <f>AC66</f>
        <v>153</v>
      </c>
      <c r="AF66" s="16">
        <f>U66/V66</f>
        <v>-1.42409626651752</v>
      </c>
      <c r="AG66" s="15">
        <v>94</v>
      </c>
      <c r="AH66" s="15">
        <v>111.102014103660</v>
      </c>
    </row>
    <row r="67" ht="20.05" customHeight="1">
      <c r="A67" t="s" s="56">
        <v>219</v>
      </c>
      <c r="B67" s="14">
        <v>10.5</v>
      </c>
      <c r="C67" s="15">
        <v>783</v>
      </c>
      <c r="D67" s="15">
        <v>145.8</v>
      </c>
      <c r="E67" s="15">
        <v>1236.4</v>
      </c>
      <c r="F67" s="15">
        <v>7591.8</v>
      </c>
      <c r="G67" s="15">
        <v>-309.6</v>
      </c>
      <c r="H67" s="15">
        <v>-389.2</v>
      </c>
      <c r="I67" s="15">
        <v>501.1</v>
      </c>
      <c r="J67" s="15">
        <v>3545</v>
      </c>
      <c r="K67" s="15">
        <v>-269.1</v>
      </c>
      <c r="L67" s="15">
        <v>10.091</v>
      </c>
      <c r="M67" s="15">
        <v>-450</v>
      </c>
      <c r="N67" s="15">
        <v>145</v>
      </c>
      <c r="O67" s="15">
        <v>2353.7</v>
      </c>
      <c r="P67" s="15">
        <v>729.3</v>
      </c>
      <c r="Q67" s="15">
        <v>-3822</v>
      </c>
      <c r="R67" s="15">
        <v>-4675</v>
      </c>
      <c r="S67" s="15">
        <v>-4526</v>
      </c>
      <c r="T67" s="15">
        <v>-2001</v>
      </c>
      <c r="U67" s="15">
        <v>-3186</v>
      </c>
      <c r="V67" s="15">
        <f>W67/1000000000</f>
        <v>31583.68192512</v>
      </c>
      <c r="W67" s="15">
        <v>31583681925120</v>
      </c>
      <c r="X67" t="s" s="44">
        <f>$A67</f>
        <v>219</v>
      </c>
      <c r="Y67" t="s" s="44">
        <f>Y$2</f>
        <v>153</v>
      </c>
      <c r="Z67" s="35">
        <f>F67/B67-1</f>
        <v>722.028571428571</v>
      </c>
      <c r="AA67" t="s" s="44">
        <f>Y67</f>
        <v>153</v>
      </c>
      <c r="AB67" s="16">
        <f>SUM(H67:K67)/V67</f>
        <v>0.107264251458457</v>
      </c>
      <c r="AC67" t="s" s="44">
        <f>AA67</f>
        <v>153</v>
      </c>
      <c r="AD67" s="35">
        <f>SUM(M67:P67)/V67</f>
        <v>0.0879568128436136</v>
      </c>
      <c r="AE67" t="s" s="44">
        <f>AC67</f>
        <v>153</v>
      </c>
      <c r="AF67" s="16">
        <f>U67/V67</f>
        <v>-0.100874876069025</v>
      </c>
      <c r="AG67" s="15">
        <v>2340</v>
      </c>
      <c r="AH67" s="15">
        <v>2847.101041814550</v>
      </c>
    </row>
    <row r="68" ht="20.05" customHeight="1">
      <c r="A68" t="s" s="56">
        <v>220</v>
      </c>
      <c r="B68" s="14">
        <v>8071.1</v>
      </c>
      <c r="C68" s="15">
        <v>8333.200000000001</v>
      </c>
      <c r="D68" s="15">
        <v>10872.6</v>
      </c>
      <c r="E68" s="15">
        <v>8664.4</v>
      </c>
      <c r="F68" s="15">
        <v>14993.8</v>
      </c>
      <c r="G68" s="15">
        <v>1346.8</v>
      </c>
      <c r="H68" s="15">
        <v>-544.1</v>
      </c>
      <c r="I68" s="15">
        <v>1823.5</v>
      </c>
      <c r="J68" s="15">
        <v>1358.5</v>
      </c>
      <c r="K68" s="15">
        <v>2592.4</v>
      </c>
      <c r="L68" s="15">
        <v>1213</v>
      </c>
      <c r="M68" s="15">
        <v>6679</v>
      </c>
      <c r="N68" s="15">
        <v>559.3</v>
      </c>
      <c r="O68" s="15">
        <v>-337.3</v>
      </c>
      <c r="P68" s="15">
        <v>4890.7</v>
      </c>
      <c r="Q68" s="15">
        <v>-40013</v>
      </c>
      <c r="R68" s="15">
        <v>-49007</v>
      </c>
      <c r="S68" s="15">
        <v>-70178</v>
      </c>
      <c r="T68" s="15">
        <v>-67343</v>
      </c>
      <c r="U68" s="15">
        <v>-69617</v>
      </c>
      <c r="V68" s="15">
        <f>W68/1000000000</f>
        <v>48980.9026944</v>
      </c>
      <c r="W68" s="15">
        <v>48980902694400</v>
      </c>
      <c r="X68" t="s" s="44">
        <f>$A68</f>
        <v>220</v>
      </c>
      <c r="Y68" t="s" s="44">
        <f>Y$2</f>
        <v>153</v>
      </c>
      <c r="Z68" s="35">
        <f>F68/B68-1</f>
        <v>0.857714561831721</v>
      </c>
      <c r="AA68" t="s" s="44">
        <f>Y68</f>
        <v>153</v>
      </c>
      <c r="AB68" s="16">
        <f>SUM(H68:K68)/V68</f>
        <v>0.106782433811657</v>
      </c>
      <c r="AC68" t="s" s="44">
        <f>AA68</f>
        <v>153</v>
      </c>
      <c r="AD68" s="35">
        <f>SUM(M68:P68)/V68</f>
        <v>0.240740765305417</v>
      </c>
      <c r="AE68" t="s" s="44">
        <f>AC68</f>
        <v>153</v>
      </c>
      <c r="AF68" s="16">
        <f>U68/V68</f>
        <v>-1.42130904435045</v>
      </c>
      <c r="AG68" s="15">
        <v>6075</v>
      </c>
      <c r="AH68" s="15">
        <v>11059.2623035291</v>
      </c>
    </row>
    <row r="69" ht="20.05" customHeight="1">
      <c r="A69" t="s" s="56">
        <v>221</v>
      </c>
      <c r="B69" s="14">
        <v>1651.3</v>
      </c>
      <c r="C69" s="15">
        <v>1908</v>
      </c>
      <c r="D69" s="15">
        <v>2102.3</v>
      </c>
      <c r="E69" s="15">
        <v>1960.7</v>
      </c>
      <c r="F69" s="15">
        <v>1948</v>
      </c>
      <c r="G69" s="15">
        <v>25.4</v>
      </c>
      <c r="H69" s="15">
        <v>143.7</v>
      </c>
      <c r="I69" s="15">
        <v>131.3</v>
      </c>
      <c r="J69" s="15">
        <v>-119.3</v>
      </c>
      <c r="K69" s="15">
        <v>64</v>
      </c>
      <c r="L69" s="15">
        <v>31.6</v>
      </c>
      <c r="M69" s="15">
        <v>103</v>
      </c>
      <c r="N69" s="15">
        <v>102.9</v>
      </c>
      <c r="O69" s="15">
        <v>161.1</v>
      </c>
      <c r="P69" s="16">
        <v>12</v>
      </c>
      <c r="Q69" s="15">
        <v>-5202.9</v>
      </c>
      <c r="R69" s="15">
        <v>-5727.2</v>
      </c>
      <c r="S69" s="15">
        <v>-5885</v>
      </c>
      <c r="T69" s="15">
        <v>-6041</v>
      </c>
      <c r="U69" s="15">
        <v>-5752</v>
      </c>
      <c r="V69" s="15">
        <f>W69/1000000000</f>
        <v>2075.72481408</v>
      </c>
      <c r="W69" s="15">
        <v>2075724814080</v>
      </c>
      <c r="X69" t="s" s="44">
        <f>$A69</f>
        <v>221</v>
      </c>
      <c r="Y69" t="s" s="44">
        <f>Y$2</f>
        <v>153</v>
      </c>
      <c r="Z69" s="35">
        <f>F69/B69-1</f>
        <v>0.179676618421849</v>
      </c>
      <c r="AA69" t="s" s="44">
        <f>Y69</f>
        <v>153</v>
      </c>
      <c r="AB69" s="16">
        <f>SUM(H69:K69)/V69</f>
        <v>0.105842546425103</v>
      </c>
      <c r="AC69" t="s" s="44">
        <f>AA69</f>
        <v>153</v>
      </c>
      <c r="AD69" s="35">
        <f>SUM(M69:P69)/V69</f>
        <v>0.1825868233733</v>
      </c>
      <c r="AE69" t="s" s="44">
        <f>AC69</f>
        <v>153</v>
      </c>
      <c r="AF69" s="16">
        <f>U69/V69</f>
        <v>-2.77108023230401</v>
      </c>
      <c r="AG69" s="15">
        <v>1335</v>
      </c>
      <c r="AH69" s="15">
        <v>2025</v>
      </c>
    </row>
    <row r="70" ht="20.05" customHeight="1">
      <c r="A70" t="s" s="56">
        <v>222</v>
      </c>
      <c r="B70" s="14">
        <v>322.38</v>
      </c>
      <c r="C70" s="15">
        <v>362.585</v>
      </c>
      <c r="D70" s="15">
        <v>395.4252</v>
      </c>
      <c r="E70" s="15">
        <v>417.81</v>
      </c>
      <c r="F70" s="15">
        <v>499.419</v>
      </c>
      <c r="G70" s="15">
        <v>-389.7216</v>
      </c>
      <c r="H70" s="15">
        <v>38.5425</v>
      </c>
      <c r="I70" s="15">
        <v>149.0008</v>
      </c>
      <c r="J70" s="15">
        <v>-219.9</v>
      </c>
      <c r="K70" s="15">
        <v>488.4255</v>
      </c>
      <c r="L70" s="15">
        <v>-36.67968</v>
      </c>
      <c r="M70" s="15">
        <v>53.231475</v>
      </c>
      <c r="N70" s="15">
        <v>40.1156</v>
      </c>
      <c r="O70" s="15">
        <v>-57.174</v>
      </c>
      <c r="P70" s="15">
        <v>28.269</v>
      </c>
      <c r="Q70" s="15">
        <v>-1174.896</v>
      </c>
      <c r="R70" s="15">
        <v>-1170.55</v>
      </c>
      <c r="S70" s="15">
        <v>-1246.449</v>
      </c>
      <c r="T70" s="15">
        <v>-1246.1</v>
      </c>
      <c r="U70" s="15">
        <v>-1444.86</v>
      </c>
      <c r="V70" s="15">
        <f>W70/1000000000</f>
        <v>4649.7879296</v>
      </c>
      <c r="W70" s="15">
        <v>4649787929600</v>
      </c>
      <c r="X70" t="s" s="44">
        <f>$A70</f>
        <v>222</v>
      </c>
      <c r="Y70" t="s" s="44">
        <f>Y$2</f>
        <v>153</v>
      </c>
      <c r="Z70" s="35">
        <f>F70/B70-1</f>
        <v>0.549162479061977</v>
      </c>
      <c r="AA70" t="s" s="44">
        <f>Y70</f>
        <v>153</v>
      </c>
      <c r="AB70" s="16">
        <f>SUM(H70:K70)/V70</f>
        <v>0.098083785089793</v>
      </c>
      <c r="AC70" t="s" s="44">
        <f>AA70</f>
        <v>153</v>
      </c>
      <c r="AD70" s="35">
        <f>SUM(M70:P70)/V70</f>
        <v>0.0138591428202068</v>
      </c>
      <c r="AE70" t="s" s="44">
        <f>AC70</f>
        <v>153</v>
      </c>
      <c r="AF70" s="16">
        <f>U70/V70</f>
        <v>-0.310736752272548</v>
      </c>
      <c r="AG70" s="15">
        <v>1100</v>
      </c>
      <c r="AH70" s="15">
        <v>890.467407110081</v>
      </c>
    </row>
    <row r="71" ht="20.05" customHeight="1">
      <c r="A71" t="s" s="56">
        <v>223</v>
      </c>
      <c r="B71" s="14">
        <v>10881</v>
      </c>
      <c r="C71" s="15">
        <v>16543.5</v>
      </c>
      <c r="D71" s="15">
        <v>11760</v>
      </c>
      <c r="E71" s="15">
        <v>18315</v>
      </c>
      <c r="F71" s="15">
        <v>20146.5</v>
      </c>
      <c r="G71" s="15">
        <v>3942</v>
      </c>
      <c r="H71" s="15">
        <v>9166.5</v>
      </c>
      <c r="I71" s="15">
        <v>5283</v>
      </c>
      <c r="J71" s="15">
        <v>4225.5</v>
      </c>
      <c r="K71" s="15">
        <v>11130</v>
      </c>
      <c r="L71" s="15">
        <v>753.015</v>
      </c>
      <c r="M71" s="15">
        <v>1984.35</v>
      </c>
      <c r="N71" s="15">
        <v>0</v>
      </c>
      <c r="O71" s="15">
        <v>14914.5</v>
      </c>
      <c r="P71" s="15">
        <v>504</v>
      </c>
      <c r="Q71" s="15">
        <v>-960</v>
      </c>
      <c r="R71" s="15">
        <v>6139.5</v>
      </c>
      <c r="S71" s="15">
        <v>10186.5</v>
      </c>
      <c r="T71" s="15">
        <v>-997.5</v>
      </c>
      <c r="U71" s="15">
        <v>7807.5</v>
      </c>
      <c r="V71" s="15">
        <v>309000</v>
      </c>
      <c r="W71" s="15">
        <v>671665978880000</v>
      </c>
      <c r="X71" t="s" s="44">
        <f>$A71</f>
        <v>223</v>
      </c>
      <c r="Y71" t="s" s="44">
        <f>Y$2</f>
        <v>153</v>
      </c>
      <c r="Z71" s="35">
        <f>F71/B71-1</f>
        <v>0.851530190239868</v>
      </c>
      <c r="AA71" t="s" s="44">
        <f>Y71</f>
        <v>153</v>
      </c>
      <c r="AB71" s="16">
        <f>SUM(H71:K71)/V71</f>
        <v>0.0964563106796117</v>
      </c>
      <c r="AC71" t="s" s="44">
        <f>AA71</f>
        <v>153</v>
      </c>
      <c r="AD71" s="35">
        <f>SUM(M71:P71)/V71</f>
        <v>0.0563199029126214</v>
      </c>
      <c r="AE71" t="s" s="44">
        <f>AC71</f>
        <v>153</v>
      </c>
      <c r="AF71" s="16">
        <f>U71/V71</f>
        <v>0.0252669902912621</v>
      </c>
      <c r="AG71" s="15">
        <v>20150</v>
      </c>
      <c r="AH71" s="15">
        <v>95761.7374479118</v>
      </c>
    </row>
    <row r="72" ht="20.05" customHeight="1">
      <c r="A72" t="s" s="56">
        <v>224</v>
      </c>
      <c r="B72" s="14">
        <v>1675</v>
      </c>
      <c r="C72" s="15">
        <v>1675</v>
      </c>
      <c r="D72" s="15">
        <v>1634</v>
      </c>
      <c r="E72" s="15">
        <v>1351</v>
      </c>
      <c r="F72" s="15">
        <v>1418.5</v>
      </c>
      <c r="G72" s="15">
        <v>363.5</v>
      </c>
      <c r="H72" s="15">
        <v>363.5</v>
      </c>
      <c r="I72" s="15">
        <v>499</v>
      </c>
      <c r="J72" s="15">
        <v>-78</v>
      </c>
      <c r="K72" s="15">
        <v>225.9</v>
      </c>
      <c r="L72" s="15">
        <v>213</v>
      </c>
      <c r="M72" s="15">
        <v>213</v>
      </c>
      <c r="N72" s="15">
        <v>-450</v>
      </c>
      <c r="O72" s="15">
        <v>166</v>
      </c>
      <c r="P72" s="15">
        <v>372.1</v>
      </c>
      <c r="Q72" s="15">
        <v>0</v>
      </c>
      <c r="R72" s="15">
        <v>-1901</v>
      </c>
      <c r="S72" s="15">
        <v>-1022</v>
      </c>
      <c r="T72" s="15">
        <v>-1140</v>
      </c>
      <c r="U72" s="15">
        <v>-1268</v>
      </c>
      <c r="V72" s="15">
        <f>W72/1000000000</f>
        <v>10903.400448</v>
      </c>
      <c r="W72" s="15">
        <v>10903400448000</v>
      </c>
      <c r="X72" t="s" s="44">
        <f>$A72</f>
        <v>224</v>
      </c>
      <c r="Y72" t="s" s="44">
        <f>Y$2</f>
        <v>153</v>
      </c>
      <c r="Z72" s="35">
        <f>F72/B72-1</f>
        <v>-0.153134328358209</v>
      </c>
      <c r="AA72" t="s" s="44">
        <f>Y72</f>
        <v>153</v>
      </c>
      <c r="AB72" s="16">
        <f>SUM(H72:K72)/V72</f>
        <v>0.09266833817750279</v>
      </c>
      <c r="AC72" t="s" s="44">
        <f>AA72</f>
        <v>153</v>
      </c>
      <c r="AD72" s="35">
        <f>SUM(M72:P72)/V72</f>
        <v>0.0276152381485017</v>
      </c>
      <c r="AE72" t="s" s="44">
        <f>AC72</f>
        <v>153</v>
      </c>
      <c r="AF72" s="16">
        <f>U72/V72</f>
        <v>-0.116293995258386</v>
      </c>
      <c r="AG72" s="15">
        <v>1000</v>
      </c>
      <c r="AH72" s="15">
        <v>1305.214179761540</v>
      </c>
    </row>
    <row r="73" ht="20.05" customHeight="1">
      <c r="A73" t="s" s="56">
        <v>225</v>
      </c>
      <c r="B73" s="14">
        <v>1328.6</v>
      </c>
      <c r="C73" s="15">
        <v>1925</v>
      </c>
      <c r="D73" s="15">
        <v>1307.2</v>
      </c>
      <c r="E73" s="15">
        <v>1443.8</v>
      </c>
      <c r="F73" s="15">
        <v>1744.3</v>
      </c>
      <c r="G73" s="15">
        <v>246.4</v>
      </c>
      <c r="H73" s="15">
        <v>607.5</v>
      </c>
      <c r="I73" s="15">
        <v>641.3</v>
      </c>
      <c r="J73" s="15">
        <v>558.7</v>
      </c>
      <c r="K73" s="15">
        <v>186.3</v>
      </c>
      <c r="L73" s="15">
        <v>118.3</v>
      </c>
      <c r="M73" s="15">
        <v>93.5</v>
      </c>
      <c r="N73" s="15">
        <v>50</v>
      </c>
      <c r="O73" s="15">
        <v>0</v>
      </c>
      <c r="P73" s="15">
        <v>0</v>
      </c>
      <c r="Q73" s="26">
        <v>-4348</v>
      </c>
      <c r="R73" s="26">
        <v>-3244</v>
      </c>
      <c r="S73" s="26">
        <v>-2709</v>
      </c>
      <c r="T73" s="26">
        <v>-2012</v>
      </c>
      <c r="U73" s="26">
        <v>-1649</v>
      </c>
      <c r="V73" s="15">
        <f>W73/1000000000</f>
        <v>21671.820288</v>
      </c>
      <c r="W73" s="15">
        <v>21671820288000</v>
      </c>
      <c r="X73" t="s" s="44">
        <f>$A73</f>
        <v>225</v>
      </c>
      <c r="Y73" t="s" s="44">
        <f>Y$2</f>
        <v>153</v>
      </c>
      <c r="Z73" s="35">
        <f>F73/B73-1</f>
        <v>0.312885744392594</v>
      </c>
      <c r="AA73" t="s" s="44">
        <f>Y73</f>
        <v>153</v>
      </c>
      <c r="AB73" s="16">
        <f>SUM(H73:K73)/V73</f>
        <v>0.091999655474441</v>
      </c>
      <c r="AC73" t="s" s="44">
        <f>AA73</f>
        <v>153</v>
      </c>
      <c r="AD73" s="35">
        <f>SUM(M73:P73)/V73</f>
        <v>0.00662150193629365</v>
      </c>
      <c r="AE73" t="s" s="44">
        <f>AC73</f>
        <v>153</v>
      </c>
      <c r="AF73" s="16">
        <f>U73/V73</f>
        <v>-0.0760895936790817</v>
      </c>
      <c r="AG73" s="15">
        <v>450</v>
      </c>
      <c r="AH73" s="15">
        <v>663.610592147362</v>
      </c>
    </row>
    <row r="74" ht="20.05" customHeight="1">
      <c r="A74" t="s" s="56">
        <v>226</v>
      </c>
      <c r="B74" s="14">
        <v>31483.9</v>
      </c>
      <c r="C74" s="15">
        <v>32810.1</v>
      </c>
      <c r="D74" s="15">
        <v>29291</v>
      </c>
      <c r="E74" s="15">
        <v>32381</v>
      </c>
      <c r="F74" s="15">
        <v>32248</v>
      </c>
      <c r="G74" s="15">
        <v>1970.5</v>
      </c>
      <c r="H74" s="15">
        <v>-9289.5</v>
      </c>
      <c r="I74" s="15">
        <v>3598.9</v>
      </c>
      <c r="J74" s="15">
        <v>-480.9</v>
      </c>
      <c r="K74" s="15">
        <v>9190</v>
      </c>
      <c r="L74" s="15">
        <v>4458</v>
      </c>
      <c r="M74" s="15">
        <v>-8993</v>
      </c>
      <c r="N74" s="15">
        <v>1758</v>
      </c>
      <c r="O74" s="15">
        <v>448</v>
      </c>
      <c r="P74" s="15">
        <v>9885</v>
      </c>
      <c r="Q74" s="15">
        <v>-21445</v>
      </c>
      <c r="R74" s="15">
        <v>-26905</v>
      </c>
      <c r="S74" s="15">
        <v>-22565.1</v>
      </c>
      <c r="T74" s="15">
        <v>-22944</v>
      </c>
      <c r="U74" s="15">
        <v>-22717</v>
      </c>
      <c r="V74" s="15">
        <f>W74/1000000000</f>
        <v>33286.7567232</v>
      </c>
      <c r="W74" s="15">
        <v>33286756723200</v>
      </c>
      <c r="X74" t="s" s="44">
        <f>$A74</f>
        <v>226</v>
      </c>
      <c r="Y74" t="s" s="44">
        <f>Y$2</f>
        <v>153</v>
      </c>
      <c r="Z74" s="35">
        <f>F74/B74-1</f>
        <v>0.0242695472924257</v>
      </c>
      <c r="AA74" t="s" s="44">
        <f>Y74</f>
        <v>153</v>
      </c>
      <c r="AB74" s="16">
        <f>SUM(H74:K74)/V74</f>
        <v>0.0906817093987467</v>
      </c>
      <c r="AC74" t="s" s="44">
        <f>AA74</f>
        <v>153</v>
      </c>
      <c r="AD74" s="35">
        <f>SUM(M74:P74)/V74</f>
        <v>0.09307004661829291</v>
      </c>
      <c r="AE74" t="s" s="44">
        <f>AC74</f>
        <v>153</v>
      </c>
      <c r="AF74" s="16">
        <f>U74/V74</f>
        <v>-0.682463605238141</v>
      </c>
      <c r="AG74" s="15">
        <v>17300</v>
      </c>
      <c r="AH74" s="15">
        <v>47817.7816964521</v>
      </c>
    </row>
    <row r="75" ht="20.05" customHeight="1">
      <c r="A75" t="s" s="56">
        <v>227</v>
      </c>
      <c r="B75" s="14">
        <v>551.5</v>
      </c>
      <c r="C75" s="15">
        <v>655.6</v>
      </c>
      <c r="D75" s="15">
        <v>671.6</v>
      </c>
      <c r="E75" s="15">
        <v>519.6</v>
      </c>
      <c r="F75" s="15">
        <v>629</v>
      </c>
      <c r="G75" s="15">
        <v>52.3</v>
      </c>
      <c r="H75" s="15">
        <v>150.8</v>
      </c>
      <c r="I75" s="15">
        <v>2.2</v>
      </c>
      <c r="J75" s="15">
        <v>-19.1</v>
      </c>
      <c r="K75" s="15">
        <v>1.9</v>
      </c>
      <c r="L75" s="15">
        <v>69.75</v>
      </c>
      <c r="M75" s="15">
        <v>59.35</v>
      </c>
      <c r="N75" s="15">
        <v>12.2</v>
      </c>
      <c r="O75" s="15">
        <v>12.6</v>
      </c>
      <c r="P75" s="15">
        <v>105.6</v>
      </c>
      <c r="Q75" s="15">
        <v>-765</v>
      </c>
      <c r="R75" s="15">
        <v>-667</v>
      </c>
      <c r="S75" s="15">
        <v>-750</v>
      </c>
      <c r="T75" s="15">
        <v>-782</v>
      </c>
      <c r="U75" s="15">
        <v>-810</v>
      </c>
      <c r="V75" s="15">
        <f>W75/1000000000</f>
        <v>1498.5</v>
      </c>
      <c r="W75" s="15">
        <v>1498500000000</v>
      </c>
      <c r="X75" t="s" s="44">
        <f>$A75</f>
        <v>227</v>
      </c>
      <c r="Y75" t="s" s="44">
        <f>Y$2</f>
        <v>153</v>
      </c>
      <c r="Z75" s="35">
        <f>F75/B75-1</f>
        <v>0.14052583862194</v>
      </c>
      <c r="AA75" t="s" s="44">
        <f>Y75</f>
        <v>153</v>
      </c>
      <c r="AB75" s="16">
        <f>SUM(H75:K75)/V75</f>
        <v>0.090623957290624</v>
      </c>
      <c r="AC75" t="s" s="44">
        <f>AA75</f>
        <v>153</v>
      </c>
      <c r="AD75" s="35">
        <f>SUM(M75:P75)/V75</f>
        <v>0.126626626626627</v>
      </c>
      <c r="AE75" t="s" s="44">
        <f>AC75</f>
        <v>153</v>
      </c>
      <c r="AF75" s="16">
        <f>U75/V75</f>
        <v>-0.540540540540541</v>
      </c>
      <c r="AG75" s="15">
        <v>555</v>
      </c>
      <c r="AH75" s="15">
        <v>763.539013788259</v>
      </c>
    </row>
    <row r="76" ht="20.05" customHeight="1">
      <c r="A76" t="s" s="56">
        <v>228</v>
      </c>
      <c r="B76" s="14">
        <v>1239.1</v>
      </c>
      <c r="C76" s="15">
        <v>1316.6</v>
      </c>
      <c r="D76" s="15">
        <v>1259</v>
      </c>
      <c r="E76" s="15">
        <v>1364.9</v>
      </c>
      <c r="F76" s="15">
        <v>1286.9</v>
      </c>
      <c r="G76" s="15">
        <v>344.3</v>
      </c>
      <c r="H76" s="15">
        <v>109.1</v>
      </c>
      <c r="I76" s="15">
        <v>136.6</v>
      </c>
      <c r="J76" s="15">
        <v>-41.2</v>
      </c>
      <c r="K76" s="15">
        <v>132.4</v>
      </c>
      <c r="L76" s="15">
        <v>205.1</v>
      </c>
      <c r="M76" s="15">
        <v>185.7</v>
      </c>
      <c r="N76" s="15">
        <v>3.1</v>
      </c>
      <c r="O76" s="15">
        <v>286.1</v>
      </c>
      <c r="P76" s="15">
        <v>29.4</v>
      </c>
      <c r="Q76" s="15">
        <v>-4844.4</v>
      </c>
      <c r="R76" s="15">
        <v>-4851.7</v>
      </c>
      <c r="S76" s="15">
        <v>-4809.8</v>
      </c>
      <c r="T76" s="15">
        <v>-5230</v>
      </c>
      <c r="U76" s="15">
        <v>-5240</v>
      </c>
      <c r="V76" s="15">
        <f>W76/1000000000</f>
        <v>3819.1020672</v>
      </c>
      <c r="W76" s="15">
        <v>3819102067200</v>
      </c>
      <c r="X76" t="s" s="44">
        <f>$A76</f>
        <v>228</v>
      </c>
      <c r="Y76" t="s" s="44">
        <f>Y$2</f>
        <v>153</v>
      </c>
      <c r="Z76" s="35">
        <f>F76/B76-1</f>
        <v>0.0385763860866758</v>
      </c>
      <c r="AA76" t="s" s="44">
        <f>Y76</f>
        <v>153</v>
      </c>
      <c r="AB76" s="16">
        <f>SUM(H76:K76)/V76</f>
        <v>0.0882144530499549</v>
      </c>
      <c r="AC76" t="s" s="44">
        <f>AA76</f>
        <v>153</v>
      </c>
      <c r="AD76" s="35">
        <f>SUM(M76:P76)/V76</f>
        <v>0.132046745838802</v>
      </c>
      <c r="AE76" t="s" s="44">
        <f>AC76</f>
        <v>153</v>
      </c>
      <c r="AF76" s="16">
        <f>U76/V76</f>
        <v>-1.37205026411922</v>
      </c>
      <c r="AG76" s="15">
        <v>2100</v>
      </c>
      <c r="AH76" s="15">
        <v>3829.006754336690</v>
      </c>
    </row>
    <row r="77" ht="20.05" customHeight="1">
      <c r="A77" t="s" s="56">
        <v>229</v>
      </c>
      <c r="B77" s="14">
        <v>260.5</v>
      </c>
      <c r="C77" s="15">
        <v>257.8</v>
      </c>
      <c r="D77" s="15">
        <v>259</v>
      </c>
      <c r="E77" s="15">
        <v>306.6</v>
      </c>
      <c r="F77" s="15">
        <v>293.1</v>
      </c>
      <c r="G77" s="15">
        <v>15.2</v>
      </c>
      <c r="H77" s="15">
        <v>68.40000000000001</v>
      </c>
      <c r="I77" s="15">
        <v>22.7</v>
      </c>
      <c r="J77" s="15">
        <v>47.5</v>
      </c>
      <c r="K77" s="15">
        <v>17.6</v>
      </c>
      <c r="L77" s="15">
        <v>0</v>
      </c>
      <c r="M77" s="15">
        <v>41.2</v>
      </c>
      <c r="N77" s="15">
        <v>0</v>
      </c>
      <c r="O77" s="15">
        <v>0</v>
      </c>
      <c r="P77" s="15">
        <v>205.9</v>
      </c>
      <c r="Q77" s="26">
        <v>438</v>
      </c>
      <c r="R77" s="26">
        <v>486</v>
      </c>
      <c r="S77" s="26">
        <v>442</v>
      </c>
      <c r="T77" s="26">
        <v>508</v>
      </c>
      <c r="U77" s="26">
        <v>333</v>
      </c>
      <c r="V77" s="15">
        <f>W77/1000000000</f>
        <v>1847.890060288</v>
      </c>
      <c r="W77" s="15">
        <v>1847890060288</v>
      </c>
      <c r="X77" t="s" s="44">
        <f>$A77</f>
        <v>229</v>
      </c>
      <c r="Y77" t="s" s="44">
        <f>Y$2</f>
        <v>153</v>
      </c>
      <c r="Z77" s="35">
        <f>F77/B77-1</f>
        <v>0.125143953934741</v>
      </c>
      <c r="AA77" t="s" s="44">
        <f>Y77</f>
        <v>153</v>
      </c>
      <c r="AB77" s="16">
        <f>SUM(H77:K77)/V77</f>
        <v>0.0845288382446603</v>
      </c>
      <c r="AC77" t="s" s="44">
        <f>AA77</f>
        <v>153</v>
      </c>
      <c r="AD77" s="35">
        <f>SUM(M77:P77)/V77</f>
        <v>0.133720076378077</v>
      </c>
      <c r="AE77" t="s" s="44">
        <f>AC77</f>
        <v>153</v>
      </c>
      <c r="AF77" s="16">
        <f>U77/V77</f>
        <v>0.180205525835287</v>
      </c>
      <c r="AG77" s="15">
        <v>314</v>
      </c>
      <c r="AH77" s="15">
        <v>416.940212259625</v>
      </c>
    </row>
    <row r="78" ht="20.05" customHeight="1">
      <c r="A78" t="s" s="56">
        <v>230</v>
      </c>
      <c r="B78" s="14">
        <v>423.3</v>
      </c>
      <c r="C78" s="15">
        <v>695.3</v>
      </c>
      <c r="D78" s="15">
        <v>576</v>
      </c>
      <c r="E78" s="15">
        <v>543.9</v>
      </c>
      <c r="F78" s="15">
        <v>360.9</v>
      </c>
      <c r="G78" s="15">
        <v>96.3</v>
      </c>
      <c r="H78" s="15">
        <v>94.40000000000001</v>
      </c>
      <c r="I78" s="15">
        <v>61.1</v>
      </c>
      <c r="J78" s="15">
        <v>25.3</v>
      </c>
      <c r="K78" s="15">
        <v>58.4</v>
      </c>
      <c r="L78" s="15">
        <v>-31.5</v>
      </c>
      <c r="M78" s="15">
        <v>-27.7</v>
      </c>
      <c r="N78" s="15">
        <v>25</v>
      </c>
      <c r="O78" s="15">
        <v>-24.4</v>
      </c>
      <c r="P78" s="15">
        <v>35.2</v>
      </c>
      <c r="Q78" s="15">
        <v>-2015</v>
      </c>
      <c r="R78" s="15">
        <v>-1940</v>
      </c>
      <c r="S78" s="15">
        <v>-1858.3</v>
      </c>
      <c r="T78" s="15">
        <v>-1813</v>
      </c>
      <c r="U78" s="15">
        <v>-1835</v>
      </c>
      <c r="V78" s="15">
        <f>W78/1000000000</f>
        <v>2884.050137088</v>
      </c>
      <c r="W78" s="15">
        <v>2884050137088</v>
      </c>
      <c r="X78" t="s" s="44">
        <f>$A78</f>
        <v>230</v>
      </c>
      <c r="Y78" t="s" s="44">
        <f>Y$2</f>
        <v>153</v>
      </c>
      <c r="Z78" s="35">
        <f>F78/B78-1</f>
        <v>-0.147413182140326</v>
      </c>
      <c r="AA78" t="s" s="44">
        <f>Y78</f>
        <v>153</v>
      </c>
      <c r="AB78" s="16">
        <f>SUM(H78:K78)/V78</f>
        <v>0.0829389187531664</v>
      </c>
      <c r="AC78" t="s" s="44">
        <f>AA78</f>
        <v>153</v>
      </c>
      <c r="AD78" s="35">
        <f>SUM(M78:P78)/V78</f>
        <v>0.00280855034239401</v>
      </c>
      <c r="AE78" t="s" s="44">
        <f>AC78</f>
        <v>153</v>
      </c>
      <c r="AF78" s="16">
        <f>U78/V78</f>
        <v>-0.636258009665804</v>
      </c>
      <c r="AG78" s="15">
        <v>153</v>
      </c>
      <c r="AH78" s="15">
        <v>136.107030783</v>
      </c>
    </row>
    <row r="79" ht="20.05" customHeight="1">
      <c r="A79" t="s" s="56">
        <v>231</v>
      </c>
      <c r="B79" s="14">
        <v>709</v>
      </c>
      <c r="C79" s="15">
        <v>800.6</v>
      </c>
      <c r="D79" s="15">
        <v>562.5</v>
      </c>
      <c r="E79" s="15">
        <v>397.9</v>
      </c>
      <c r="F79" s="15">
        <v>962.9</v>
      </c>
      <c r="G79" s="15">
        <v>16.2</v>
      </c>
      <c r="H79" s="15">
        <v>424.9</v>
      </c>
      <c r="I79" s="15">
        <v>-233.1</v>
      </c>
      <c r="J79" s="15">
        <v>-34.9</v>
      </c>
      <c r="K79" s="15">
        <v>-23.7</v>
      </c>
      <c r="L79" s="15">
        <v>-154</v>
      </c>
      <c r="M79" s="15">
        <v>94</v>
      </c>
      <c r="N79" s="15">
        <v>70.33</v>
      </c>
      <c r="O79" s="15">
        <v>57.57</v>
      </c>
      <c r="P79" s="15">
        <v>-24</v>
      </c>
      <c r="Q79" s="15">
        <v>-8388</v>
      </c>
      <c r="R79" s="15">
        <v>-8676</v>
      </c>
      <c r="S79" s="15">
        <v>-9204</v>
      </c>
      <c r="T79" s="15">
        <v>-9405</v>
      </c>
      <c r="U79" s="15">
        <v>-9583</v>
      </c>
      <c r="V79" s="15">
        <f>W79/1000000000</f>
        <v>1648.178064384</v>
      </c>
      <c r="W79" s="15">
        <v>1648178064384</v>
      </c>
      <c r="X79" t="s" s="44">
        <f>$A79</f>
        <v>231</v>
      </c>
      <c r="Y79" t="s" s="44">
        <f>Y$2</f>
        <v>153</v>
      </c>
      <c r="Z79" s="35">
        <f>F79/B79-1</f>
        <v>0.358110014104372</v>
      </c>
      <c r="AA79" t="s" s="44">
        <f>Y79</f>
        <v>153</v>
      </c>
      <c r="AB79" s="16">
        <f>SUM(H79:K79)/V79</f>
        <v>0.0808165105933399</v>
      </c>
      <c r="AC79" t="s" s="44">
        <f>AA79</f>
        <v>153</v>
      </c>
      <c r="AD79" s="35">
        <f>SUM(M79:P79)/V79</f>
        <v>0.120071977825991</v>
      </c>
      <c r="AE79" t="s" s="44">
        <f>AC79</f>
        <v>153</v>
      </c>
      <c r="AF79" s="16">
        <f>U79/V79</f>
        <v>-5.8142989565764</v>
      </c>
      <c r="AG79" s="15">
        <v>159</v>
      </c>
      <c r="AH79" s="15">
        <v>236.425864484434</v>
      </c>
    </row>
    <row r="80" ht="20.05" customHeight="1">
      <c r="A80" t="s" s="56">
        <v>232</v>
      </c>
      <c r="B80" s="14">
        <v>9117.200000000001</v>
      </c>
      <c r="C80" s="15">
        <v>9627.5</v>
      </c>
      <c r="D80" s="15">
        <v>8137</v>
      </c>
      <c r="E80" s="15">
        <v>7739.2</v>
      </c>
      <c r="F80" s="15">
        <v>9404.799999999999</v>
      </c>
      <c r="G80" s="15">
        <v>1311.5</v>
      </c>
      <c r="H80" s="15">
        <v>488.4</v>
      </c>
      <c r="I80" s="15">
        <v>122.8</v>
      </c>
      <c r="J80" s="15">
        <v>1505.5</v>
      </c>
      <c r="K80" s="15">
        <v>1487.7</v>
      </c>
      <c r="L80" s="15">
        <v>260</v>
      </c>
      <c r="M80" s="15">
        <v>1554</v>
      </c>
      <c r="N80" s="15">
        <v>50</v>
      </c>
      <c r="O80" s="15">
        <v>2062.6</v>
      </c>
      <c r="P80" s="15">
        <v>1050.4</v>
      </c>
      <c r="Q80" s="15">
        <v>-32202</v>
      </c>
      <c r="R80" s="15">
        <v>-32470</v>
      </c>
      <c r="S80" s="15">
        <v>-32851</v>
      </c>
      <c r="T80" s="15">
        <v>-29650</v>
      </c>
      <c r="U80" s="15">
        <v>-29150</v>
      </c>
      <c r="V80" s="15">
        <f>W80/1000000000</f>
        <v>48611.0896128</v>
      </c>
      <c r="W80" s="15">
        <v>48611089612800</v>
      </c>
      <c r="X80" t="s" s="44">
        <f>$A80</f>
        <v>232</v>
      </c>
      <c r="Y80" t="s" s="44">
        <f>Y$2</f>
        <v>153</v>
      </c>
      <c r="Z80" s="35">
        <f>F80/B80-1</f>
        <v>0.0315447725178783</v>
      </c>
      <c r="AA80" t="s" s="44">
        <f>Y80</f>
        <v>153</v>
      </c>
      <c r="AB80" s="16">
        <f>SUM(H80:K80)/V80</f>
        <v>0.07414768993474501</v>
      </c>
      <c r="AC80" t="s" s="44">
        <f>AA80</f>
        <v>153</v>
      </c>
      <c r="AD80" s="35">
        <f>SUM(M80:P80)/V80</f>
        <v>0.0970354714854601</v>
      </c>
      <c r="AE80" t="s" s="44">
        <f>AC80</f>
        <v>153</v>
      </c>
      <c r="AF80" s="16">
        <f>U80/V80</f>
        <v>-0.599657408056214</v>
      </c>
      <c r="AG80" s="15">
        <v>7200</v>
      </c>
      <c r="AH80" s="15">
        <v>10778.6545306961</v>
      </c>
    </row>
    <row r="81" ht="20.05" customHeight="1">
      <c r="A81" t="s" s="56">
        <v>233</v>
      </c>
      <c r="B81" s="14">
        <v>8.4</v>
      </c>
      <c r="C81" s="15">
        <v>20.6</v>
      </c>
      <c r="D81" s="15">
        <v>18.5</v>
      </c>
      <c r="E81" s="15">
        <v>20.5</v>
      </c>
      <c r="F81" s="15">
        <v>21</v>
      </c>
      <c r="G81" s="15">
        <v>5.2</v>
      </c>
      <c r="H81" s="15">
        <v>6.9</v>
      </c>
      <c r="I81" s="15">
        <v>8</v>
      </c>
      <c r="J81" s="15">
        <v>3</v>
      </c>
      <c r="K81" s="15">
        <v>10</v>
      </c>
      <c r="L81" s="15">
        <v>3.9</v>
      </c>
      <c r="M81" s="15">
        <v>8.4</v>
      </c>
      <c r="N81" s="15">
        <v>0.6</v>
      </c>
      <c r="O81" s="15">
        <v>10.8</v>
      </c>
      <c r="P81" s="15">
        <v>4.6</v>
      </c>
      <c r="Q81" s="26">
        <v>-8</v>
      </c>
      <c r="R81" s="26">
        <v>-12.9</v>
      </c>
      <c r="S81" s="26">
        <v>-12.5</v>
      </c>
      <c r="T81" s="26">
        <v>-19</v>
      </c>
      <c r="U81" s="26">
        <v>-15</v>
      </c>
      <c r="V81" s="15">
        <f>W81/1000000000</f>
        <v>396.131524608</v>
      </c>
      <c r="W81" s="15">
        <v>396131524608</v>
      </c>
      <c r="X81" t="s" s="44">
        <f>$A81</f>
        <v>233</v>
      </c>
      <c r="Y81" t="s" s="44">
        <f>Y$2</f>
        <v>153</v>
      </c>
      <c r="Z81" s="35">
        <f>F81/B81-1</f>
        <v>1.5</v>
      </c>
      <c r="AA81" t="s" s="44">
        <f>Y81</f>
        <v>153</v>
      </c>
      <c r="AB81" s="16">
        <f>SUM(H81:K81)/V81</f>
        <v>0.0704311529550924</v>
      </c>
      <c r="AC81" t="s" s="44">
        <f>AA81</f>
        <v>153</v>
      </c>
      <c r="AD81" s="35">
        <f>SUM(M81:P81)/V81</f>
        <v>0.0615957036596507</v>
      </c>
      <c r="AE81" t="s" s="44">
        <f>AC81</f>
        <v>153</v>
      </c>
      <c r="AF81" s="16">
        <f>U81/V81</f>
        <v>-0.0378662112661787</v>
      </c>
      <c r="AG81" s="15">
        <v>96</v>
      </c>
      <c r="AH81" s="15">
        <v>138</v>
      </c>
    </row>
    <row r="82" ht="20.05" customHeight="1">
      <c r="A82" t="s" s="56">
        <v>234</v>
      </c>
      <c r="B82" s="14">
        <v>1404.144</v>
      </c>
      <c r="C82" s="15">
        <v>2510.9725</v>
      </c>
      <c r="D82" s="15">
        <v>1588.8643</v>
      </c>
      <c r="E82" s="15">
        <v>2479.006</v>
      </c>
      <c r="F82" s="15">
        <v>2969.8155</v>
      </c>
      <c r="G82" s="15">
        <v>957.1104</v>
      </c>
      <c r="H82" s="15">
        <v>-169.8725</v>
      </c>
      <c r="I82" s="15">
        <v>-244.9917</v>
      </c>
      <c r="J82" s="15">
        <v>38.116</v>
      </c>
      <c r="K82" s="15">
        <v>684.7380000000001</v>
      </c>
      <c r="L82" s="15">
        <v>339.5736</v>
      </c>
      <c r="M82" s="15">
        <v>-268.37</v>
      </c>
      <c r="N82" s="15">
        <v>123.2122</v>
      </c>
      <c r="O82" s="15">
        <v>-111.416</v>
      </c>
      <c r="P82" s="15">
        <v>486.855</v>
      </c>
      <c r="Q82" s="15">
        <v>-5917.464</v>
      </c>
      <c r="R82" s="15">
        <v>-6209.625</v>
      </c>
      <c r="S82" s="15">
        <v>-6389.842</v>
      </c>
      <c r="T82" s="15">
        <v>-6377.1</v>
      </c>
      <c r="U82" s="15">
        <v>-6454.755</v>
      </c>
      <c r="V82" s="15">
        <f>W82/1000000000</f>
        <v>4477.8898944</v>
      </c>
      <c r="W82" s="15">
        <v>4477889894400</v>
      </c>
      <c r="X82" t="s" s="44">
        <f>$A82</f>
        <v>234</v>
      </c>
      <c r="Y82" t="s" s="44">
        <f>Y$2</f>
        <v>153</v>
      </c>
      <c r="Z82" s="35">
        <f>F82/B82-1</f>
        <v>1.11503627833043</v>
      </c>
      <c r="AA82" t="s" s="44">
        <f>Y82</f>
        <v>153</v>
      </c>
      <c r="AB82" s="16">
        <f>SUM(H82:K82)/V82</f>
        <v>0.06878011904338439</v>
      </c>
      <c r="AC82" t="s" s="44">
        <f>AA82</f>
        <v>153</v>
      </c>
      <c r="AD82" s="35">
        <f>SUM(M82:P82)/V82</f>
        <v>0.05142627564112</v>
      </c>
      <c r="AE82" t="s" s="44">
        <f>AC82</f>
        <v>153</v>
      </c>
      <c r="AF82" s="16">
        <f>U82/V82</f>
        <v>-1.44147246855539</v>
      </c>
      <c r="AG82" s="15">
        <v>555</v>
      </c>
      <c r="AH82" s="15">
        <v>1156.078903485930</v>
      </c>
    </row>
    <row r="83" ht="20.05" customHeight="1">
      <c r="A83" t="s" s="56">
        <v>235</v>
      </c>
      <c r="B83" s="14">
        <v>4261.8</v>
      </c>
      <c r="C83" s="15">
        <v>4879.6</v>
      </c>
      <c r="D83" s="15">
        <v>3851.2</v>
      </c>
      <c r="E83" s="15">
        <v>4151.8</v>
      </c>
      <c r="F83" s="15">
        <v>3782.9</v>
      </c>
      <c r="G83" s="15">
        <v>-295.5</v>
      </c>
      <c r="H83" s="15">
        <v>419.1</v>
      </c>
      <c r="I83" s="15">
        <v>-792.2</v>
      </c>
      <c r="J83" s="15">
        <v>-863.8</v>
      </c>
      <c r="K83" s="15">
        <v>1476.4</v>
      </c>
      <c r="L83" s="15">
        <v>-416.96</v>
      </c>
      <c r="M83" s="15">
        <v>206.3</v>
      </c>
      <c r="N83" s="15">
        <v>-829.4</v>
      </c>
      <c r="O83" s="15">
        <v>-405.6</v>
      </c>
      <c r="P83" s="15">
        <v>1256.2</v>
      </c>
      <c r="Q83" s="15">
        <v>-13949</v>
      </c>
      <c r="R83" s="15">
        <v>-13902</v>
      </c>
      <c r="S83" s="15">
        <v>-14389</v>
      </c>
      <c r="T83" s="15">
        <v>-15270</v>
      </c>
      <c r="U83" s="15">
        <v>-14576</v>
      </c>
      <c r="V83" s="15">
        <f>W83/1000000000</f>
        <v>3614.64237056</v>
      </c>
      <c r="W83" s="15">
        <v>3614642370560</v>
      </c>
      <c r="X83" t="s" s="44">
        <f>$A83</f>
        <v>235</v>
      </c>
      <c r="Y83" t="s" s="44">
        <f>Y$2</f>
        <v>153</v>
      </c>
      <c r="Z83" s="35">
        <f>F83/B83-1</f>
        <v>-0.112370359941809</v>
      </c>
      <c r="AA83" t="s" s="44">
        <f>Y83</f>
        <v>153</v>
      </c>
      <c r="AB83" s="16">
        <f>SUM(H83:K83)/V83</f>
        <v>0.0662582837933412</v>
      </c>
      <c r="AC83" t="s" s="44">
        <f>AA83</f>
        <v>153</v>
      </c>
      <c r="AD83" s="35">
        <f>SUM(M83:P83)/V83</f>
        <v>0.0629384532901258</v>
      </c>
      <c r="AE83" t="s" s="44">
        <f>AC83</f>
        <v>153</v>
      </c>
      <c r="AF83" s="16">
        <f>U83/V83</f>
        <v>-4.032487451239</v>
      </c>
      <c r="AG83" s="15">
        <v>685</v>
      </c>
      <c r="AH83" s="15">
        <v>729.223146690250</v>
      </c>
    </row>
    <row r="84" ht="20.05" customHeight="1">
      <c r="A84" t="s" s="56">
        <v>236</v>
      </c>
      <c r="B84" s="14">
        <v>36563</v>
      </c>
      <c r="C84" s="15">
        <v>37167</v>
      </c>
      <c r="D84" s="15">
        <v>35208</v>
      </c>
      <c r="E84" s="15">
        <v>36775</v>
      </c>
      <c r="F84" s="15">
        <v>36891</v>
      </c>
      <c r="G84" s="15">
        <v>8318</v>
      </c>
      <c r="H84" s="15">
        <v>6136</v>
      </c>
      <c r="I84" s="15">
        <v>7475</v>
      </c>
      <c r="J84" s="15">
        <v>7837</v>
      </c>
      <c r="K84" s="15">
        <v>3029</v>
      </c>
      <c r="L84" s="15">
        <v>27396</v>
      </c>
      <c r="M84" s="15">
        <v>-14690</v>
      </c>
      <c r="N84" s="15">
        <v>4183</v>
      </c>
      <c r="O84" s="15">
        <v>9461</v>
      </c>
      <c r="P84" s="15">
        <v>11667</v>
      </c>
      <c r="Q84" s="15">
        <v>-110196</v>
      </c>
      <c r="R84" s="15">
        <v>-93474</v>
      </c>
      <c r="S84" s="15">
        <v>-84491</v>
      </c>
      <c r="T84" s="15">
        <v>-94433</v>
      </c>
      <c r="U84" s="15">
        <v>-92907</v>
      </c>
      <c r="V84" s="15">
        <f>W84/1000000000</f>
        <v>374455.12495104</v>
      </c>
      <c r="W84" s="15">
        <v>374455124951040</v>
      </c>
      <c r="X84" t="s" s="44">
        <f>$A84</f>
        <v>236</v>
      </c>
      <c r="Y84" t="s" s="44">
        <f>Y$2</f>
        <v>153</v>
      </c>
      <c r="Z84" s="35">
        <f>F84/B84-1</f>
        <v>0.00897081749309411</v>
      </c>
      <c r="AA84" t="s" s="44">
        <f>Y84</f>
        <v>153</v>
      </c>
      <c r="AB84" s="16">
        <f>SUM(H84:K84)/V84</f>
        <v>0.0653669782278995</v>
      </c>
      <c r="AC84" t="s" s="44">
        <f>AA84</f>
        <v>153</v>
      </c>
      <c r="AD84" s="35">
        <f>SUM(M84:P84)/V84</f>
        <v>0.0283638793871193</v>
      </c>
      <c r="AE84" t="s" s="44">
        <f>AC84</f>
        <v>153</v>
      </c>
      <c r="AF84" s="16">
        <f>U84/V84</f>
        <v>-0.248112507505799</v>
      </c>
      <c r="AG84" s="15">
        <v>3780</v>
      </c>
      <c r="AH84" s="15">
        <v>4821.537325940360</v>
      </c>
    </row>
    <row r="85" ht="20.05" customHeight="1">
      <c r="A85" t="s" s="56">
        <v>237</v>
      </c>
      <c r="B85" s="14">
        <v>34</v>
      </c>
      <c r="C85" s="15">
        <v>138.6</v>
      </c>
      <c r="D85" s="15">
        <v>223.7</v>
      </c>
      <c r="E85" s="15">
        <v>868.3</v>
      </c>
      <c r="F85" s="15">
        <v>1362.8</v>
      </c>
      <c r="G85" s="15">
        <v>8.6</v>
      </c>
      <c r="H85" s="15">
        <v>1</v>
      </c>
      <c r="I85" s="15">
        <v>42.3</v>
      </c>
      <c r="J85" s="15">
        <v>221.5</v>
      </c>
      <c r="K85" s="15">
        <v>-146.5</v>
      </c>
      <c r="L85" s="15">
        <v>0</v>
      </c>
      <c r="M85" s="15">
        <v>0</v>
      </c>
      <c r="N85" s="15">
        <v>0</v>
      </c>
      <c r="O85" s="15">
        <v>2.7</v>
      </c>
      <c r="P85" s="15">
        <v>2.7</v>
      </c>
      <c r="Q85" s="15">
        <v>-9840</v>
      </c>
      <c r="R85" s="15">
        <v>-10333</v>
      </c>
      <c r="S85" s="15">
        <v>-10628</v>
      </c>
      <c r="T85" s="15">
        <v>-11042</v>
      </c>
      <c r="U85" s="15">
        <v>-11338</v>
      </c>
      <c r="V85" s="15">
        <f>W85/1000000000</f>
        <v>1859.207405568</v>
      </c>
      <c r="W85" s="15">
        <v>1859207405568</v>
      </c>
      <c r="X85" t="s" s="44">
        <f>$A85</f>
        <v>237</v>
      </c>
      <c r="Y85" t="s" s="44">
        <f>Y$2</f>
        <v>153</v>
      </c>
      <c r="Z85" s="35">
        <f>F85/B85-1</f>
        <v>39.0823529411765</v>
      </c>
      <c r="AA85" t="s" s="44">
        <f>Y85</f>
        <v>153</v>
      </c>
      <c r="AB85" s="16">
        <f>SUM(H85:K85)/V85</f>
        <v>0.0636292646241147</v>
      </c>
      <c r="AC85" t="s" s="44">
        <f>AA85</f>
        <v>153</v>
      </c>
      <c r="AD85" s="35">
        <f>SUM(M85:P85)/V85</f>
        <v>0.00290446347396635</v>
      </c>
      <c r="AE85" t="s" s="44">
        <f>AC85</f>
        <v>153</v>
      </c>
      <c r="AF85" s="16">
        <f>U85/V85</f>
        <v>-6.09829756811676</v>
      </c>
      <c r="AG85" s="15">
        <v>174</v>
      </c>
      <c r="AH85" s="15">
        <v>222.295877345101</v>
      </c>
    </row>
    <row r="86" ht="20.05" customHeight="1">
      <c r="A86" t="s" s="56">
        <v>238</v>
      </c>
      <c r="B86" s="14">
        <v>436.5</v>
      </c>
      <c r="C86" s="15">
        <v>414.1</v>
      </c>
      <c r="D86" s="15">
        <v>290</v>
      </c>
      <c r="E86" s="15">
        <v>218.7</v>
      </c>
      <c r="F86" s="15">
        <v>285.1</v>
      </c>
      <c r="G86" s="15">
        <v>-201.2</v>
      </c>
      <c r="H86" s="15">
        <v>166.9</v>
      </c>
      <c r="I86" s="15">
        <v>-148.5</v>
      </c>
      <c r="J86" s="15">
        <v>-67.09999999999999</v>
      </c>
      <c r="K86" s="15">
        <v>165.2</v>
      </c>
      <c r="L86" s="15">
        <v>-417.3</v>
      </c>
      <c r="M86" s="15">
        <v>10.1</v>
      </c>
      <c r="N86" s="15">
        <v>9.800000000000001</v>
      </c>
      <c r="O86" s="15">
        <v>7.5</v>
      </c>
      <c r="P86" s="15">
        <v>6.499</v>
      </c>
      <c r="Q86" s="15">
        <v>-1293</v>
      </c>
      <c r="R86" s="15">
        <v>-891</v>
      </c>
      <c r="S86" s="15">
        <v>-856.4</v>
      </c>
      <c r="T86" s="15">
        <v>-921</v>
      </c>
      <c r="U86" s="15">
        <v>-923</v>
      </c>
      <c r="V86" s="15">
        <f>W86/1000000000</f>
        <v>1888.6048</v>
      </c>
      <c r="W86" s="15">
        <v>1888604800000</v>
      </c>
      <c r="X86" t="s" s="44">
        <f>$A86</f>
        <v>238</v>
      </c>
      <c r="Y86" t="s" s="44">
        <f>Y$2</f>
        <v>153</v>
      </c>
      <c r="Z86" s="35">
        <f>F86/B86-1</f>
        <v>-0.346849942726231</v>
      </c>
      <c r="AA86" t="s" s="44">
        <f>Y86</f>
        <v>153</v>
      </c>
      <c r="AB86" s="16">
        <f>SUM(H86:K86)/V86</f>
        <v>0.0616857481247533</v>
      </c>
      <c r="AC86" t="s" s="44">
        <f>AA86</f>
        <v>153</v>
      </c>
      <c r="AD86" s="35">
        <f>SUM(M86:P86)/V86</f>
        <v>0.0179492289758027</v>
      </c>
      <c r="AE86" t="s" s="44">
        <f>AC86</f>
        <v>153</v>
      </c>
      <c r="AF86" s="16">
        <f>U86/V86</f>
        <v>-0.488720562396114</v>
      </c>
      <c r="AG86" s="15">
        <v>149</v>
      </c>
      <c r="AH86" s="15">
        <v>190.499299107171</v>
      </c>
    </row>
    <row r="87" ht="20.05" customHeight="1">
      <c r="A87" t="s" s="56">
        <v>239</v>
      </c>
      <c r="B87" s="14">
        <v>3889.1</v>
      </c>
      <c r="C87" s="15">
        <v>4111.5</v>
      </c>
      <c r="D87" s="15">
        <v>4581.3</v>
      </c>
      <c r="E87" s="15">
        <v>3999.8</v>
      </c>
      <c r="F87" s="15">
        <v>4914.6</v>
      </c>
      <c r="G87" s="15">
        <v>214.3</v>
      </c>
      <c r="H87" s="15">
        <v>49.6</v>
      </c>
      <c r="I87" s="15">
        <v>7.6</v>
      </c>
      <c r="J87" s="15">
        <v>14.9</v>
      </c>
      <c r="K87" s="15">
        <v>341.6</v>
      </c>
      <c r="L87" s="15">
        <v>-2.5</v>
      </c>
      <c r="M87" s="15">
        <v>100.7</v>
      </c>
      <c r="N87" s="15">
        <v>0</v>
      </c>
      <c r="O87" s="15">
        <v>188.6</v>
      </c>
      <c r="P87" s="15">
        <v>32.9</v>
      </c>
      <c r="Q87" s="15">
        <v>-3159</v>
      </c>
      <c r="R87" s="15">
        <v>-3264</v>
      </c>
      <c r="S87" s="15">
        <v>-3791</v>
      </c>
      <c r="T87" s="15">
        <v>-3798</v>
      </c>
      <c r="U87" s="15">
        <v>-3901</v>
      </c>
      <c r="V87" s="15">
        <f>W87/1000000000</f>
        <v>6747.621888</v>
      </c>
      <c r="W87" s="15">
        <v>6747621888000</v>
      </c>
      <c r="X87" t="s" s="44">
        <f>$A87</f>
        <v>239</v>
      </c>
      <c r="Y87" t="s" s="44">
        <f>Y$2</f>
        <v>153</v>
      </c>
      <c r="Z87" s="35">
        <f>F87/B87-1</f>
        <v>0.263685685634208</v>
      </c>
      <c r="AA87" t="s" s="44">
        <f>Y87</f>
        <v>153</v>
      </c>
      <c r="AB87" s="16">
        <f>SUM(H87:K87)/V87</f>
        <v>0.0613104893645161</v>
      </c>
      <c r="AC87" t="s" s="44">
        <f>AA87</f>
        <v>153</v>
      </c>
      <c r="AD87" s="35">
        <f>SUM(M87:P87)/V87</f>
        <v>0.0477501563288544</v>
      </c>
      <c r="AE87" t="s" s="44">
        <f>AC87</f>
        <v>153</v>
      </c>
      <c r="AF87" s="16">
        <f>U87/V87</f>
        <v>-0.578129608438427</v>
      </c>
      <c r="AG87" s="15">
        <v>1400</v>
      </c>
      <c r="AH87" s="15">
        <v>1846.980429220810</v>
      </c>
    </row>
    <row r="88" ht="20.05" customHeight="1">
      <c r="A88" t="s" s="56">
        <v>240</v>
      </c>
      <c r="B88" s="14">
        <v>173</v>
      </c>
      <c r="C88" s="15">
        <v>198</v>
      </c>
      <c r="D88" s="15">
        <v>199</v>
      </c>
      <c r="E88" s="15">
        <v>186</v>
      </c>
      <c r="F88" s="15">
        <v>203</v>
      </c>
      <c r="G88" s="15">
        <v>87</v>
      </c>
      <c r="H88" s="15">
        <v>66</v>
      </c>
      <c r="I88" s="15">
        <v>78.5</v>
      </c>
      <c r="J88" s="15">
        <v>-10.2</v>
      </c>
      <c r="K88" s="15">
        <v>45.7</v>
      </c>
      <c r="L88" s="15">
        <v>200</v>
      </c>
      <c r="M88" s="15">
        <v>0</v>
      </c>
      <c r="N88" s="15">
        <v>0</v>
      </c>
      <c r="O88" s="15">
        <v>0</v>
      </c>
      <c r="P88" s="15">
        <v>240</v>
      </c>
      <c r="Q88" s="15">
        <v>434</v>
      </c>
      <c r="R88" s="15">
        <v>514</v>
      </c>
      <c r="S88" s="15">
        <v>556</v>
      </c>
      <c r="T88" s="15">
        <v>556</v>
      </c>
      <c r="U88" s="15">
        <v>396</v>
      </c>
      <c r="V88" s="15">
        <f>W88/1000000000</f>
        <v>3002.47128</v>
      </c>
      <c r="W88" s="15">
        <v>3002471280000</v>
      </c>
      <c r="X88" t="s" s="44">
        <f>$A88</f>
        <v>240</v>
      </c>
      <c r="Y88" t="s" s="44">
        <f>Y$2</f>
        <v>153</v>
      </c>
      <c r="Z88" s="35">
        <f>F88/B88-1</f>
        <v>0.173410404624277</v>
      </c>
      <c r="AA88" t="s" s="44">
        <f>Y88</f>
        <v>153</v>
      </c>
      <c r="AB88" s="16">
        <f>SUM(H88:K88)/V88</f>
        <v>0.0599506150813206</v>
      </c>
      <c r="AC88" t="s" s="44">
        <f>AA88</f>
        <v>153</v>
      </c>
      <c r="AD88" s="35">
        <f>SUM(M88:P88)/V88</f>
        <v>0.0799341534417608</v>
      </c>
      <c r="AE88" t="s" s="44">
        <f>AC88</f>
        <v>153</v>
      </c>
      <c r="AF88" s="16">
        <f>U88/V88</f>
        <v>0.131891353178905</v>
      </c>
      <c r="AG88" s="15">
        <v>3750</v>
      </c>
      <c r="AH88" s="15">
        <v>5682.673624817610</v>
      </c>
    </row>
    <row r="89" ht="20.05" customHeight="1">
      <c r="A89" t="s" s="56">
        <v>241</v>
      </c>
      <c r="B89" s="14">
        <v>536</v>
      </c>
      <c r="C89" s="15">
        <v>802</v>
      </c>
      <c r="D89" s="15">
        <v>674</v>
      </c>
      <c r="E89" s="15">
        <v>653</v>
      </c>
      <c r="F89" s="15">
        <v>792</v>
      </c>
      <c r="G89" s="15">
        <v>94.90000000000001</v>
      </c>
      <c r="H89" s="15">
        <v>376.3</v>
      </c>
      <c r="I89" s="15">
        <v>330.6</v>
      </c>
      <c r="J89" s="15">
        <v>82</v>
      </c>
      <c r="K89" s="15">
        <v>326.4</v>
      </c>
      <c r="L89" s="15">
        <v>152.5</v>
      </c>
      <c r="M89" s="15">
        <v>297.5</v>
      </c>
      <c r="N89" s="15">
        <v>100</v>
      </c>
      <c r="O89" s="15">
        <v>407</v>
      </c>
      <c r="P89" s="15">
        <v>350</v>
      </c>
      <c r="Q89" s="15">
        <v>-1466</v>
      </c>
      <c r="R89" s="15">
        <v>-1184.8</v>
      </c>
      <c r="S89" s="15">
        <v>-939.6</v>
      </c>
      <c r="T89" s="15">
        <v>-1648</v>
      </c>
      <c r="U89" s="15">
        <v>-1454</v>
      </c>
      <c r="V89" s="15">
        <f>W89/1000000000</f>
        <v>18752.3005696</v>
      </c>
      <c r="W89" s="15">
        <v>18752300569600</v>
      </c>
      <c r="X89" t="s" s="44">
        <f>$A89</f>
        <v>241</v>
      </c>
      <c r="Y89" t="s" s="44">
        <f>Y$2</f>
        <v>153</v>
      </c>
      <c r="Z89" s="35">
        <f>F89/B89-1</f>
        <v>0.477611940298507</v>
      </c>
      <c r="AA89" t="s" s="44">
        <f>Y89</f>
        <v>153</v>
      </c>
      <c r="AB89" s="16">
        <f>SUM(H89:K89)/V89</f>
        <v>0.0594753692145939</v>
      </c>
      <c r="AC89" t="s" s="44">
        <f>AA89</f>
        <v>153</v>
      </c>
      <c r="AD89" s="35">
        <f>SUM(M89:P89)/V89</f>
        <v>0.061565779394108</v>
      </c>
      <c r="AE89" t="s" s="44">
        <f>AC89</f>
        <v>153</v>
      </c>
      <c r="AF89" s="16">
        <f>U89/V89</f>
        <v>-0.0775371530870793</v>
      </c>
      <c r="AG89" s="15">
        <v>8900</v>
      </c>
      <c r="AH89" s="15">
        <v>15914</v>
      </c>
    </row>
    <row r="90" ht="20.05" customHeight="1">
      <c r="A90" t="s" s="56">
        <v>242</v>
      </c>
      <c r="B90" s="14">
        <v>638.5</v>
      </c>
      <c r="C90" s="15">
        <v>669.5</v>
      </c>
      <c r="D90" s="15">
        <v>744</v>
      </c>
      <c r="E90" s="15">
        <v>614</v>
      </c>
      <c r="F90" s="15">
        <v>645</v>
      </c>
      <c r="G90" s="15">
        <v>46.8</v>
      </c>
      <c r="H90" s="15">
        <v>118.5</v>
      </c>
      <c r="I90" s="15">
        <v>163.5</v>
      </c>
      <c r="J90" s="15">
        <v>-11.5</v>
      </c>
      <c r="K90" s="15">
        <v>112</v>
      </c>
      <c r="L90" s="15">
        <v>-38</v>
      </c>
      <c r="M90" s="15">
        <v>27.9</v>
      </c>
      <c r="N90" s="15">
        <v>314</v>
      </c>
      <c r="O90" s="15">
        <v>-19</v>
      </c>
      <c r="P90" s="15">
        <v>56</v>
      </c>
      <c r="Q90" s="15">
        <v>-229.6</v>
      </c>
      <c r="R90" s="15">
        <v>-67.8</v>
      </c>
      <c r="S90" s="15">
        <v>-286.8</v>
      </c>
      <c r="T90" s="15">
        <v>-203</v>
      </c>
      <c r="U90" s="15">
        <v>-146</v>
      </c>
      <c r="V90" s="15">
        <f>W90/1000000000</f>
        <v>7343.91174144</v>
      </c>
      <c r="W90" s="15">
        <v>7343911741440</v>
      </c>
      <c r="X90" t="s" s="44">
        <f>$A90</f>
        <v>242</v>
      </c>
      <c r="Y90" t="s" s="44">
        <f>Y$2</f>
        <v>153</v>
      </c>
      <c r="Z90" s="35">
        <f>F90/B90-1</f>
        <v>0.0101801096319499</v>
      </c>
      <c r="AA90" t="s" s="44">
        <f>Y90</f>
        <v>153</v>
      </c>
      <c r="AB90" s="16">
        <f>SUM(H90:K90)/V90</f>
        <v>0.0520839592667816</v>
      </c>
      <c r="AC90" t="s" s="44">
        <f>AA90</f>
        <v>153</v>
      </c>
      <c r="AD90" s="35">
        <f>SUM(M90:P90)/V90</f>
        <v>0.0515937572972119</v>
      </c>
      <c r="AE90" t="s" s="44">
        <f>AC90</f>
        <v>153</v>
      </c>
      <c r="AF90" s="16">
        <f>U90/V90</f>
        <v>-0.0198804132103271</v>
      </c>
      <c r="AG90" s="15">
        <v>1010</v>
      </c>
      <c r="AH90" s="15">
        <v>1285</v>
      </c>
    </row>
    <row r="91" ht="20.05" customHeight="1">
      <c r="A91" t="s" s="56">
        <v>243</v>
      </c>
      <c r="B91" s="14">
        <v>7182.5</v>
      </c>
      <c r="C91" s="15">
        <v>6307.5</v>
      </c>
      <c r="D91" s="15">
        <v>6581</v>
      </c>
      <c r="E91" s="15">
        <v>4384</v>
      </c>
      <c r="F91" s="15">
        <v>5552</v>
      </c>
      <c r="G91" s="15">
        <v>1339.5</v>
      </c>
      <c r="H91" s="15">
        <v>150.4</v>
      </c>
      <c r="I91" s="15">
        <v>41</v>
      </c>
      <c r="J91" s="15">
        <v>-1296</v>
      </c>
      <c r="K91" s="15">
        <v>1897</v>
      </c>
      <c r="L91" s="15">
        <v>-0.7</v>
      </c>
      <c r="M91" s="15">
        <v>158.5</v>
      </c>
      <c r="N91" s="15">
        <v>0</v>
      </c>
      <c r="O91" s="15">
        <v>750</v>
      </c>
      <c r="P91" s="15">
        <v>-999</v>
      </c>
      <c r="Q91" s="15">
        <v>-5240</v>
      </c>
      <c r="R91" s="15">
        <v>-5333</v>
      </c>
      <c r="S91" s="15">
        <v>-5588</v>
      </c>
      <c r="T91" s="15">
        <v>-6928</v>
      </c>
      <c r="U91" s="15">
        <v>-6112</v>
      </c>
      <c r="V91" s="15">
        <f>W91/1000000000</f>
        <v>15253.1686304</v>
      </c>
      <c r="W91" s="15">
        <v>15253168630400</v>
      </c>
      <c r="X91" t="s" s="44">
        <f>$A91</f>
        <v>243</v>
      </c>
      <c r="Y91" t="s" s="44">
        <f>Y$2</f>
        <v>153</v>
      </c>
      <c r="Z91" s="35">
        <f>F91/B91-1</f>
        <v>-0.22701009397842</v>
      </c>
      <c r="AA91" t="s" s="44">
        <f>Y91</f>
        <v>153</v>
      </c>
      <c r="AB91" s="16">
        <f>SUM(H91:K91)/V91</f>
        <v>0.0519498616451879</v>
      </c>
      <c r="AC91" t="s" s="44">
        <f>AA91</f>
        <v>153</v>
      </c>
      <c r="AD91" s="35">
        <f>SUM(M91:P91)/V91</f>
        <v>-0.00593319343625631</v>
      </c>
      <c r="AE91" t="s" s="44">
        <f>AC91</f>
        <v>153</v>
      </c>
      <c r="AF91" s="16">
        <f>U91/V91</f>
        <v>-0.400703627429819</v>
      </c>
      <c r="AG91" s="15">
        <v>7925</v>
      </c>
      <c r="AH91" s="15">
        <v>18574.9970896623</v>
      </c>
    </row>
    <row r="92" ht="20.05" customHeight="1">
      <c r="A92" t="s" s="56">
        <v>244</v>
      </c>
      <c r="B92" s="14">
        <v>877.9</v>
      </c>
      <c r="C92" s="15">
        <v>853</v>
      </c>
      <c r="D92" s="15">
        <v>908.9</v>
      </c>
      <c r="E92" s="15">
        <v>882.9</v>
      </c>
      <c r="F92" s="15">
        <v>1070.4</v>
      </c>
      <c r="G92" s="15">
        <v>195.8</v>
      </c>
      <c r="H92" s="15">
        <v>84.8</v>
      </c>
      <c r="I92" s="15">
        <v>142.8</v>
      </c>
      <c r="J92" s="15">
        <v>8</v>
      </c>
      <c r="K92" s="15">
        <v>159.8</v>
      </c>
      <c r="L92" s="15">
        <v>86.7</v>
      </c>
      <c r="M92" s="15">
        <v>185.2</v>
      </c>
      <c r="N92" s="15">
        <v>202.4</v>
      </c>
      <c r="O92" s="15">
        <v>165.4</v>
      </c>
      <c r="P92" s="26">
        <v>29.4</v>
      </c>
      <c r="Q92" s="15">
        <v>-445</v>
      </c>
      <c r="R92" s="15">
        <v>-583</v>
      </c>
      <c r="S92" s="15">
        <v>-723</v>
      </c>
      <c r="T92" s="15">
        <v>-1041</v>
      </c>
      <c r="U92" s="15">
        <v>-992</v>
      </c>
      <c r="V92" s="15">
        <f>W92/1000000000</f>
        <v>7665.3625856</v>
      </c>
      <c r="W92" s="15">
        <v>7665362585600</v>
      </c>
      <c r="X92" t="s" s="44">
        <f>$A92</f>
        <v>244</v>
      </c>
      <c r="Y92" t="s" s="44">
        <f>Y$2</f>
        <v>153</v>
      </c>
      <c r="Z92" s="35">
        <f>F92/B92-1</f>
        <v>0.219273265747807</v>
      </c>
      <c r="AA92" t="s" s="44">
        <f>Y92</f>
        <v>153</v>
      </c>
      <c r="AB92" s="16">
        <f>SUM(H92:K92)/V92</f>
        <v>0.0515826871311725</v>
      </c>
      <c r="AC92" t="s" s="44">
        <f>AA92</f>
        <v>153</v>
      </c>
      <c r="AD92" s="35">
        <f>SUM(M92:P92)/V92</f>
        <v>0.07597814108547001</v>
      </c>
      <c r="AE92" t="s" s="44">
        <f>AC92</f>
        <v>153</v>
      </c>
      <c r="AF92" s="16">
        <f>U92/V92</f>
        <v>-0.129413317233493</v>
      </c>
      <c r="AG92" s="15">
        <v>1340</v>
      </c>
      <c r="AH92" s="15">
        <v>1584.654739761810</v>
      </c>
    </row>
    <row r="93" ht="20.05" customHeight="1">
      <c r="A93" t="s" s="56">
        <v>245</v>
      </c>
      <c r="B93" s="14">
        <v>6.4</v>
      </c>
      <c r="C93" s="15">
        <v>180.3</v>
      </c>
      <c r="D93" s="15">
        <v>27.3</v>
      </c>
      <c r="E93" s="15">
        <v>355.4</v>
      </c>
      <c r="F93" s="15">
        <v>304.8</v>
      </c>
      <c r="G93" s="15">
        <v>-52.6</v>
      </c>
      <c r="H93" s="15">
        <v>15.1</v>
      </c>
      <c r="I93" s="15">
        <v>-23.7</v>
      </c>
      <c r="J93" s="15">
        <v>85.8</v>
      </c>
      <c r="K93" s="15">
        <v>61</v>
      </c>
      <c r="L93" s="15">
        <v>0</v>
      </c>
      <c r="M93" s="15">
        <v>-95.90000000000001</v>
      </c>
      <c r="N93" s="15">
        <v>0</v>
      </c>
      <c r="O93" s="15">
        <v>0</v>
      </c>
      <c r="P93" s="15">
        <v>0</v>
      </c>
      <c r="Q93" s="15">
        <v>-1706</v>
      </c>
      <c r="R93" s="15">
        <v>-1728</v>
      </c>
      <c r="S93" s="15">
        <v>-1741</v>
      </c>
      <c r="T93" s="15">
        <v>-1694</v>
      </c>
      <c r="U93" s="15">
        <v>-1663</v>
      </c>
      <c r="V93" s="15">
        <f>W93/1000000000</f>
        <v>2787.85910656</v>
      </c>
      <c r="W93" s="15">
        <v>2787859106560</v>
      </c>
      <c r="X93" t="s" s="44">
        <f>$A93</f>
        <v>245</v>
      </c>
      <c r="Y93" t="s" s="44">
        <f>Y$2</f>
        <v>153</v>
      </c>
      <c r="Z93" s="35">
        <f>F93/B93-1</f>
        <v>46.625</v>
      </c>
      <c r="AA93" t="s" s="44">
        <f>Y93</f>
        <v>153</v>
      </c>
      <c r="AB93" s="16">
        <f>SUM(H93:K93)/V93</f>
        <v>0.0495720890897273</v>
      </c>
      <c r="AC93" t="s" s="44">
        <f>AA93</f>
        <v>153</v>
      </c>
      <c r="AD93" s="35">
        <f>SUM(M93:P93)/V93</f>
        <v>-0.0343991558878788</v>
      </c>
      <c r="AE93" t="s" s="44">
        <f>AC93</f>
        <v>153</v>
      </c>
      <c r="AF93" s="16">
        <f>U93/V93</f>
        <v>-0.596515080725156</v>
      </c>
      <c r="AG93" s="15">
        <v>3190</v>
      </c>
      <c r="AH93" s="15">
        <v>2781.042045008360</v>
      </c>
    </row>
    <row r="94" ht="20.05" customHeight="1">
      <c r="A94" t="s" s="56">
        <v>246</v>
      </c>
      <c r="B94" s="14">
        <v>1731.7</v>
      </c>
      <c r="C94" s="15">
        <v>1824.5</v>
      </c>
      <c r="D94" s="15">
        <v>1836.9</v>
      </c>
      <c r="E94" s="15">
        <v>1854</v>
      </c>
      <c r="F94" s="15">
        <v>1987.2</v>
      </c>
      <c r="G94" s="15">
        <v>1113.1</v>
      </c>
      <c r="H94" s="15">
        <v>668.7</v>
      </c>
      <c r="I94" s="15">
        <v>-29.66</v>
      </c>
      <c r="J94" s="15">
        <v>-2.14</v>
      </c>
      <c r="K94" s="15">
        <v>104.1</v>
      </c>
      <c r="L94" s="15">
        <v>593.3</v>
      </c>
      <c r="M94" s="15">
        <v>1806</v>
      </c>
      <c r="N94" s="15">
        <v>0.24</v>
      </c>
      <c r="O94" s="15">
        <v>-0.04</v>
      </c>
      <c r="P94" s="15">
        <v>246.1</v>
      </c>
      <c r="Q94" s="15">
        <v>-1492</v>
      </c>
      <c r="R94" s="15">
        <v>-670</v>
      </c>
      <c r="S94" s="15">
        <v>-830</v>
      </c>
      <c r="T94" s="15">
        <v>-578</v>
      </c>
      <c r="U94" s="15">
        <v>-914</v>
      </c>
      <c r="V94" s="15">
        <f>W94/1000000000</f>
        <v>15077.3897216</v>
      </c>
      <c r="W94" s="15">
        <v>15077389721600</v>
      </c>
      <c r="X94" t="s" s="44">
        <f>$A94</f>
        <v>246</v>
      </c>
      <c r="Y94" t="s" s="44">
        <f>Y$2</f>
        <v>153</v>
      </c>
      <c r="Z94" s="35">
        <f>F94/B94-1</f>
        <v>0.147542876941734</v>
      </c>
      <c r="AA94" t="s" s="44">
        <f>Y94</f>
        <v>153</v>
      </c>
      <c r="AB94" s="16">
        <f>SUM(H94:K94)/V94</f>
        <v>0.0491464380560806</v>
      </c>
      <c r="AC94" t="s" s="44">
        <f>AA94</f>
        <v>153</v>
      </c>
      <c r="AD94" s="35">
        <f>SUM(M94:P94)/V94</f>
        <v>0.136117725806335</v>
      </c>
      <c r="AE94" t="s" s="44">
        <f>AC94</f>
        <v>153</v>
      </c>
      <c r="AF94" s="16">
        <f>U94/V94</f>
        <v>-0.0606205727169469</v>
      </c>
      <c r="AG94" s="15">
        <v>1450</v>
      </c>
      <c r="AH94" s="15">
        <v>1935.996391481060</v>
      </c>
    </row>
    <row r="95" ht="20.05" customHeight="1">
      <c r="A95" t="s" s="56">
        <v>247</v>
      </c>
      <c r="B95" s="14">
        <v>1275.8</v>
      </c>
      <c r="C95" s="15">
        <v>1808.4</v>
      </c>
      <c r="D95" s="15">
        <v>1591</v>
      </c>
      <c r="E95" s="15">
        <v>1641.7</v>
      </c>
      <c r="F95" s="15">
        <v>1550.7</v>
      </c>
      <c r="G95" s="15">
        <v>36</v>
      </c>
      <c r="H95" s="15">
        <v>690.2</v>
      </c>
      <c r="I95" s="15">
        <v>177.5</v>
      </c>
      <c r="J95" s="15">
        <v>-202.9</v>
      </c>
      <c r="K95" s="15">
        <v>-288.4</v>
      </c>
      <c r="L95" s="15">
        <v>559.3</v>
      </c>
      <c r="M95" s="15">
        <v>-4.9</v>
      </c>
      <c r="N95" s="15">
        <v>33</v>
      </c>
      <c r="O95" s="15">
        <v>12.8</v>
      </c>
      <c r="P95" s="15">
        <v>340.8</v>
      </c>
      <c r="Q95" s="15">
        <v>758.7</v>
      </c>
      <c r="R95" s="15">
        <v>799</v>
      </c>
      <c r="S95" s="15">
        <v>203</v>
      </c>
      <c r="T95" s="15">
        <v>-1970</v>
      </c>
      <c r="U95" s="15">
        <v>-1602</v>
      </c>
      <c r="V95" s="15">
        <f>W95/1000000000</f>
        <v>7704.1801728</v>
      </c>
      <c r="W95" s="15">
        <v>7704180172800</v>
      </c>
      <c r="X95" t="s" s="44">
        <f>$A95</f>
        <v>247</v>
      </c>
      <c r="Y95" t="s" s="44">
        <f>Y$2</f>
        <v>153</v>
      </c>
      <c r="Z95" s="35">
        <f>F95/B95-1</f>
        <v>0.215472644615143</v>
      </c>
      <c r="AA95" t="s" s="44">
        <f>Y95</f>
        <v>153</v>
      </c>
      <c r="AB95" s="16">
        <f>SUM(H95:K95)/V95</f>
        <v>0.0488565936358679</v>
      </c>
      <c r="AC95" t="s" s="44">
        <f>AA95</f>
        <v>153</v>
      </c>
      <c r="AD95" s="35">
        <f>SUM(M95:P95)/V95</f>
        <v>0.0495445318565642</v>
      </c>
      <c r="AE95" t="s" s="44">
        <f>AC95</f>
        <v>153</v>
      </c>
      <c r="AF95" s="16">
        <f>U95/V95</f>
        <v>-0.207939062180288</v>
      </c>
      <c r="AG95" s="15">
        <v>450</v>
      </c>
      <c r="AH95" s="15">
        <v>826.855821941358</v>
      </c>
    </row>
    <row r="96" ht="20.05" customHeight="1">
      <c r="A96" t="s" s="56">
        <v>248</v>
      </c>
      <c r="B96" s="14">
        <v>14422.9</v>
      </c>
      <c r="C96" s="15">
        <v>14182</v>
      </c>
      <c r="D96" s="15">
        <v>17189</v>
      </c>
      <c r="E96" s="15">
        <v>15404.3</v>
      </c>
      <c r="F96" s="15">
        <v>16315.7</v>
      </c>
      <c r="G96" s="15">
        <v>1253.8</v>
      </c>
      <c r="H96" s="15">
        <v>1709</v>
      </c>
      <c r="I96" s="15">
        <v>-1230.5</v>
      </c>
      <c r="J96" s="15">
        <v>2953.3</v>
      </c>
      <c r="K96" s="15">
        <v>2298.2</v>
      </c>
      <c r="L96" s="15">
        <v>2639.448</v>
      </c>
      <c r="M96" s="15">
        <v>-9460.037</v>
      </c>
      <c r="N96" s="15">
        <v>341</v>
      </c>
      <c r="O96" s="15">
        <v>9422.1</v>
      </c>
      <c r="P96" s="15">
        <v>2337.9</v>
      </c>
      <c r="Q96" s="15">
        <v>-45238</v>
      </c>
      <c r="R96" s="15">
        <v>-43265.2</v>
      </c>
      <c r="S96" s="15">
        <v>-45755</v>
      </c>
      <c r="T96" s="15">
        <v>-43545</v>
      </c>
      <c r="U96" s="15">
        <v>-44816</v>
      </c>
      <c r="V96" s="15">
        <f>W96/1000000000</f>
        <v>121866.8526592</v>
      </c>
      <c r="W96" s="15">
        <v>121866852659200</v>
      </c>
      <c r="X96" t="s" s="44">
        <f>$A96</f>
        <v>248</v>
      </c>
      <c r="Y96" t="s" s="44">
        <f>Y$2</f>
        <v>153</v>
      </c>
      <c r="Z96" s="35">
        <f>F96/B96-1</f>
        <v>0.131235743158449</v>
      </c>
      <c r="AA96" t="s" s="44">
        <f>Y96</f>
        <v>153</v>
      </c>
      <c r="AB96" s="16">
        <f>SUM(H96:K96)/V96</f>
        <v>0.0470185278028301</v>
      </c>
      <c r="AC96" t="s" s="44">
        <f>AA96</f>
        <v>153</v>
      </c>
      <c r="AD96" s="35">
        <f>SUM(M96:P96)/V96</f>
        <v>0.0216708886983849</v>
      </c>
      <c r="AE96" t="s" s="44">
        <f>AC96</f>
        <v>153</v>
      </c>
      <c r="AF96" s="16">
        <f>U96/V96</f>
        <v>-0.367745609426114</v>
      </c>
      <c r="AG96" s="15">
        <v>10450</v>
      </c>
      <c r="AH96" s="15">
        <v>10535.5379985553</v>
      </c>
    </row>
    <row r="97" ht="20.05" customHeight="1">
      <c r="A97" t="s" s="56">
        <v>249</v>
      </c>
      <c r="B97" s="14">
        <v>16595.1</v>
      </c>
      <c r="C97" s="15">
        <v>16624.1</v>
      </c>
      <c r="D97" s="15">
        <v>17380.3</v>
      </c>
      <c r="E97" s="15">
        <v>18724.9</v>
      </c>
      <c r="F97" s="15">
        <v>20930.8</v>
      </c>
      <c r="G97" s="15">
        <v>531.8</v>
      </c>
      <c r="H97" s="15">
        <v>-833.2</v>
      </c>
      <c r="I97" s="15">
        <v>-2126.7</v>
      </c>
      <c r="J97" s="15">
        <v>890.9</v>
      </c>
      <c r="K97" s="15">
        <v>2711.1</v>
      </c>
      <c r="L97" s="15">
        <v>1656</v>
      </c>
      <c r="M97" s="15">
        <v>-1222.1</v>
      </c>
      <c r="N97" s="15">
        <v>-1508.2</v>
      </c>
      <c r="O97" s="15">
        <v>506.6</v>
      </c>
      <c r="P97" s="15">
        <v>2392.3</v>
      </c>
      <c r="Q97" s="15">
        <v>-22252</v>
      </c>
      <c r="R97" s="15">
        <v>-23210</v>
      </c>
      <c r="S97" s="15">
        <v>-25171</v>
      </c>
      <c r="T97" s="15">
        <v>-24470</v>
      </c>
      <c r="U97" s="15">
        <v>-22732</v>
      </c>
      <c r="V97" s="15">
        <f>W97/1000000000</f>
        <v>14217.3402624</v>
      </c>
      <c r="W97" s="15">
        <v>14217340262400</v>
      </c>
      <c r="X97" t="s" s="44">
        <f>$A97</f>
        <v>249</v>
      </c>
      <c r="Y97" t="s" s="44">
        <f>Y$2</f>
        <v>153</v>
      </c>
      <c r="Z97" s="35">
        <f>F97/B97-1</f>
        <v>0.261263867045092</v>
      </c>
      <c r="AA97" t="s" s="44">
        <f>Y97</f>
        <v>153</v>
      </c>
      <c r="AB97" s="16">
        <f>SUM(H97:K97)/V97</f>
        <v>0.0451631590824435</v>
      </c>
      <c r="AC97" t="s" s="44">
        <f>AA97</f>
        <v>153</v>
      </c>
      <c r="AD97" s="35">
        <f>SUM(M97:P97)/V97</f>
        <v>0.0118587581705341</v>
      </c>
      <c r="AE97" t="s" s="44">
        <f>AC97</f>
        <v>153</v>
      </c>
      <c r="AF97" s="16">
        <f>U97/V97</f>
        <v>-1.59889259034746</v>
      </c>
      <c r="AG97" s="15">
        <v>4950</v>
      </c>
      <c r="AH97" s="15">
        <v>8389.780365217801</v>
      </c>
    </row>
    <row r="98" ht="20.05" customHeight="1">
      <c r="A98" t="s" s="56">
        <v>250</v>
      </c>
      <c r="B98" s="14">
        <v>1588.9752</v>
      </c>
      <c r="C98" s="15">
        <v>3003.46</v>
      </c>
      <c r="D98" s="15">
        <v>2598.9178</v>
      </c>
      <c r="E98" s="15">
        <v>2455.55</v>
      </c>
      <c r="F98" s="15">
        <v>1967.8365</v>
      </c>
      <c r="G98" s="15">
        <v>8.5968</v>
      </c>
      <c r="H98" s="15">
        <v>49.9625</v>
      </c>
      <c r="I98" s="15">
        <v>22.9232</v>
      </c>
      <c r="J98" s="15">
        <v>-70.36799999999999</v>
      </c>
      <c r="K98" s="15">
        <v>130.3515</v>
      </c>
      <c r="L98" s="15">
        <v>0</v>
      </c>
      <c r="M98" s="15">
        <v>-35.6875</v>
      </c>
      <c r="N98" s="15">
        <v>0</v>
      </c>
      <c r="O98" s="15">
        <v>0</v>
      </c>
      <c r="P98" s="15">
        <v>23.5575</v>
      </c>
      <c r="Q98" s="15">
        <v>-22194.072</v>
      </c>
      <c r="R98" s="15">
        <v>-23182.6</v>
      </c>
      <c r="S98" s="15">
        <v>-23052.143</v>
      </c>
      <c r="T98" s="15">
        <v>-23338.72</v>
      </c>
      <c r="U98" s="15">
        <v>-24861.015</v>
      </c>
      <c r="V98" s="15">
        <f>W98/1000000000</f>
        <v>2986.021265408</v>
      </c>
      <c r="W98" s="15">
        <v>2986021265408</v>
      </c>
      <c r="X98" t="s" s="44">
        <f>$A98</f>
        <v>250</v>
      </c>
      <c r="Y98" t="s" s="44">
        <f>Y$2</f>
        <v>153</v>
      </c>
      <c r="Z98" s="35">
        <f>F98/B98-1</f>
        <v>0.238431222840986</v>
      </c>
      <c r="AA98" t="s" s="44">
        <f>Y98</f>
        <v>153</v>
      </c>
      <c r="AB98" s="16">
        <f>SUM(H98:K98)/V98</f>
        <v>0.0444970709148132</v>
      </c>
      <c r="AC98" t="s" s="44">
        <f>AA98</f>
        <v>153</v>
      </c>
      <c r="AD98" s="35">
        <f>SUM(M98:P98)/V98</f>
        <v>-0.00406226175966051</v>
      </c>
      <c r="AE98" t="s" s="44">
        <f>AC98</f>
        <v>153</v>
      </c>
      <c r="AF98" s="16">
        <f>U98/V98</f>
        <v>-8.325799714826569</v>
      </c>
      <c r="AG98" s="15">
        <v>146</v>
      </c>
      <c r="AH98" s="15">
        <v>115.245022155786</v>
      </c>
    </row>
    <row r="99" ht="20.05" customHeight="1">
      <c r="A99" t="s" s="56">
        <v>251</v>
      </c>
      <c r="B99" s="14">
        <v>521.8</v>
      </c>
      <c r="C99" s="15">
        <v>960.1</v>
      </c>
      <c r="D99" s="15">
        <v>766.4</v>
      </c>
      <c r="E99" s="15">
        <v>782.2</v>
      </c>
      <c r="F99" s="15">
        <v>920.4</v>
      </c>
      <c r="G99" s="15">
        <v>56.4</v>
      </c>
      <c r="H99" s="15">
        <v>206.8</v>
      </c>
      <c r="I99" s="15">
        <v>-188</v>
      </c>
      <c r="J99" s="15">
        <v>173.7</v>
      </c>
      <c r="K99" s="15">
        <v>-82.09999999999999</v>
      </c>
      <c r="L99" s="15">
        <v>52.6</v>
      </c>
      <c r="M99" s="15">
        <v>49.4</v>
      </c>
      <c r="N99" s="15">
        <v>5.6</v>
      </c>
      <c r="O99" s="15">
        <v>15.9</v>
      </c>
      <c r="P99" s="15">
        <v>85.5</v>
      </c>
      <c r="Q99" s="15">
        <v>-258</v>
      </c>
      <c r="R99" s="15">
        <v>-121.8</v>
      </c>
      <c r="S99" s="15">
        <v>-283</v>
      </c>
      <c r="T99" s="15">
        <v>-44</v>
      </c>
      <c r="U99" s="15">
        <v>-238</v>
      </c>
      <c r="V99" s="15">
        <f>W99/1000000000</f>
        <v>2531.2</v>
      </c>
      <c r="W99" s="15">
        <v>2531200000000</v>
      </c>
      <c r="X99" t="s" s="44">
        <f>$A99</f>
        <v>251</v>
      </c>
      <c r="Y99" t="s" s="44">
        <f>Y$2</f>
        <v>153</v>
      </c>
      <c r="Z99" s="35">
        <f>F99/B99-1</f>
        <v>0.763894212341893</v>
      </c>
      <c r="AA99" t="s" s="44">
        <f>Y99</f>
        <v>153</v>
      </c>
      <c r="AB99" s="16">
        <f>SUM(H99:K99)/V99</f>
        <v>0.0436156763590392</v>
      </c>
      <c r="AC99" t="s" s="44">
        <f>AA99</f>
        <v>153</v>
      </c>
      <c r="AD99" s="35">
        <f>SUM(M99:P99)/V99</f>
        <v>0.0617888748419722</v>
      </c>
      <c r="AE99" t="s" s="44">
        <f>AC99</f>
        <v>153</v>
      </c>
      <c r="AF99" s="16">
        <f>U99/V99</f>
        <v>-0.09402654867256641</v>
      </c>
      <c r="AG99" s="15">
        <v>2260</v>
      </c>
      <c r="AH99" s="15">
        <v>2908.414337481510</v>
      </c>
    </row>
    <row r="100" ht="20.05" customHeight="1">
      <c r="A100" t="s" s="56">
        <v>252</v>
      </c>
      <c r="B100" s="14">
        <v>3247.1</v>
      </c>
      <c r="C100" s="15">
        <v>3274.2</v>
      </c>
      <c r="D100" s="15">
        <v>3202.6</v>
      </c>
      <c r="E100" s="15">
        <v>3125.1</v>
      </c>
      <c r="F100" s="15">
        <v>2498.7</v>
      </c>
      <c r="G100" s="15">
        <v>-25.5</v>
      </c>
      <c r="H100" s="15">
        <v>82.59999999999999</v>
      </c>
      <c r="I100" s="15">
        <v>42.5</v>
      </c>
      <c r="J100" s="15">
        <v>119.9</v>
      </c>
      <c r="K100" s="15">
        <v>391</v>
      </c>
      <c r="L100" s="15">
        <v>-12.6</v>
      </c>
      <c r="M100" s="15">
        <v>51.3</v>
      </c>
      <c r="N100" s="15">
        <v>16.5</v>
      </c>
      <c r="O100" s="15">
        <v>159.3</v>
      </c>
      <c r="P100" s="15">
        <v>409.5</v>
      </c>
      <c r="Q100" s="15">
        <v>-8074.1</v>
      </c>
      <c r="R100" s="15">
        <v>-8101.3</v>
      </c>
      <c r="S100" s="15">
        <v>-8590.799999999999</v>
      </c>
      <c r="T100" s="15">
        <v>-8646.1</v>
      </c>
      <c r="U100" s="15">
        <v>-8074.3</v>
      </c>
      <c r="V100" s="15">
        <f>W100/1000000000</f>
        <v>15486.8128</v>
      </c>
      <c r="W100" s="15">
        <v>15486812800000</v>
      </c>
      <c r="X100" t="s" s="44">
        <f>$A100</f>
        <v>252</v>
      </c>
      <c r="Y100" t="s" s="44">
        <f>Y$2</f>
        <v>153</v>
      </c>
      <c r="Z100" s="35">
        <f>F100/B100-1</f>
        <v>-0.23048258445998</v>
      </c>
      <c r="AA100" t="s" s="44">
        <f>Y100</f>
        <v>153</v>
      </c>
      <c r="AB100" s="16">
        <f>SUM(H100:K100)/V100</f>
        <v>0.0410671975062551</v>
      </c>
      <c r="AC100" t="s" s="44">
        <f>AA100</f>
        <v>153</v>
      </c>
      <c r="AD100" s="35">
        <f>SUM(M100:P100)/V100</f>
        <v>0.041105940145412</v>
      </c>
      <c r="AE100" t="s" s="44">
        <f>AC100</f>
        <v>153</v>
      </c>
      <c r="AF100" s="16">
        <f>U100/V100</f>
        <v>-0.521366152240182</v>
      </c>
      <c r="AG100" s="15">
        <v>6250</v>
      </c>
      <c r="AH100" s="15">
        <v>5173.699309955180</v>
      </c>
    </row>
    <row r="101" ht="20.05" customHeight="1">
      <c r="A101" t="s" s="56">
        <v>253</v>
      </c>
      <c r="B101" s="14">
        <v>2042.8</v>
      </c>
      <c r="C101" s="15">
        <v>2027.7</v>
      </c>
      <c r="D101" s="15">
        <v>1987.3</v>
      </c>
      <c r="E101" s="15">
        <v>2071.6</v>
      </c>
      <c r="F101" s="15">
        <v>2116.9</v>
      </c>
      <c r="G101" s="15">
        <v>-16.7</v>
      </c>
      <c r="H101" s="15">
        <v>58.5</v>
      </c>
      <c r="I101" s="15">
        <v>107.5</v>
      </c>
      <c r="J101" s="15">
        <v>104.85</v>
      </c>
      <c r="K101" s="15">
        <v>-144.25</v>
      </c>
      <c r="L101" s="15">
        <v>-158.2</v>
      </c>
      <c r="M101" s="15">
        <v>244.8</v>
      </c>
      <c r="N101" s="15">
        <v>51.5</v>
      </c>
      <c r="O101" s="15">
        <v>101.6</v>
      </c>
      <c r="P101" s="15">
        <v>-132.9</v>
      </c>
      <c r="Q101" s="15">
        <v>-3634</v>
      </c>
      <c r="R101" s="15">
        <v>-3489</v>
      </c>
      <c r="S101" s="15">
        <v>-3382</v>
      </c>
      <c r="T101" s="15">
        <v>-3537</v>
      </c>
      <c r="U101" s="15">
        <v>-3438</v>
      </c>
      <c r="V101" s="15">
        <f>W101/1000000000</f>
        <v>3157.337206784</v>
      </c>
      <c r="W101" s="15">
        <v>3157337206784</v>
      </c>
      <c r="X101" t="s" s="44">
        <f>$A101</f>
        <v>253</v>
      </c>
      <c r="Y101" t="s" s="44">
        <f>Y$2</f>
        <v>153</v>
      </c>
      <c r="Z101" s="35">
        <f>F101/B101-1</f>
        <v>0.036273741922851</v>
      </c>
      <c r="AA101" t="s" s="44">
        <f>Y101</f>
        <v>153</v>
      </c>
      <c r="AB101" s="16">
        <f>SUM(H101:K101)/V101</f>
        <v>0.0400970791868482</v>
      </c>
      <c r="AC101" t="s" s="44">
        <f>AA101</f>
        <v>153</v>
      </c>
      <c r="AD101" s="35">
        <f>SUM(M101:P101)/V101</f>
        <v>0.0839314848697848</v>
      </c>
      <c r="AE101" t="s" s="44">
        <f>AC101</f>
        <v>153</v>
      </c>
      <c r="AF101" s="16">
        <f>U101/V101</f>
        <v>-1.0888922452163</v>
      </c>
      <c r="AG101" s="15">
        <v>53</v>
      </c>
      <c r="AH101" s="15">
        <v>58.1052084533076</v>
      </c>
    </row>
    <row r="102" ht="20.05" customHeight="1">
      <c r="A102" t="s" s="56">
        <v>254</v>
      </c>
      <c r="B102" s="14">
        <v>8326.200000000001</v>
      </c>
      <c r="C102" s="15">
        <v>11030.9</v>
      </c>
      <c r="D102" s="15">
        <v>8447.700000000001</v>
      </c>
      <c r="E102" s="15">
        <v>7815.5</v>
      </c>
      <c r="F102" s="15">
        <v>8860.200000000001</v>
      </c>
      <c r="G102" s="15">
        <v>937.55</v>
      </c>
      <c r="H102" s="15">
        <v>4717.45</v>
      </c>
      <c r="I102" s="15">
        <v>-3756.5</v>
      </c>
      <c r="J102" s="15">
        <v>5149.2</v>
      </c>
      <c r="K102" s="15">
        <v>-3319.6</v>
      </c>
      <c r="L102" s="15">
        <v>130</v>
      </c>
      <c r="M102" s="15">
        <v>719.9</v>
      </c>
      <c r="N102" s="15">
        <v>-356.9</v>
      </c>
      <c r="O102" s="15">
        <v>257.5</v>
      </c>
      <c r="P102" s="15">
        <v>-1464.8</v>
      </c>
      <c r="Q102" s="15">
        <v>-86929</v>
      </c>
      <c r="R102" s="15">
        <v>-88315</v>
      </c>
      <c r="S102" s="15">
        <v>-87669</v>
      </c>
      <c r="T102" s="15">
        <v>-93815</v>
      </c>
      <c r="U102" s="15">
        <v>-94667</v>
      </c>
      <c r="V102" s="15">
        <f>W102/1000000000</f>
        <v>79914.1334016</v>
      </c>
      <c r="W102" s="15">
        <v>79914133401600</v>
      </c>
      <c r="X102" t="s" s="44">
        <f>$A102</f>
        <v>254</v>
      </c>
      <c r="Y102" t="s" s="44">
        <f>Y$2</f>
        <v>153</v>
      </c>
      <c r="Z102" s="35">
        <f>F102/B102-1</f>
        <v>0.06413489947394969</v>
      </c>
      <c r="AA102" t="s" s="44">
        <f>Y102</f>
        <v>153</v>
      </c>
      <c r="AB102" s="16">
        <f>SUM(H102:K102)/V102</f>
        <v>0.0349193550779859</v>
      </c>
      <c r="AC102" t="s" s="44">
        <f>AA102</f>
        <v>153</v>
      </c>
      <c r="AD102" s="35">
        <f>SUM(M102:P102)/V102</f>
        <v>-0.0105650898540945</v>
      </c>
      <c r="AE102" t="s" s="44">
        <f>AC102</f>
        <v>153</v>
      </c>
      <c r="AF102" s="16">
        <f>U102/V102</f>
        <v>-1.18460897929358</v>
      </c>
      <c r="AG102" s="15">
        <v>12550</v>
      </c>
      <c r="AH102" s="15">
        <v>10535.0532210803</v>
      </c>
    </row>
    <row r="103" ht="20.05" customHeight="1">
      <c r="A103" t="s" s="56">
        <v>255</v>
      </c>
      <c r="B103" s="14">
        <v>1313.8776</v>
      </c>
      <c r="C103" s="15">
        <v>2461.01</v>
      </c>
      <c r="D103" s="15">
        <v>2153.3481</v>
      </c>
      <c r="E103" s="15">
        <v>1827.67686</v>
      </c>
      <c r="F103" s="15">
        <v>1636.916445</v>
      </c>
      <c r="G103" s="15">
        <v>127.5192</v>
      </c>
      <c r="H103" s="15">
        <v>49.7341</v>
      </c>
      <c r="I103" s="15">
        <v>72.967411</v>
      </c>
      <c r="J103" s="15">
        <v>283.70032</v>
      </c>
      <c r="K103" s="15">
        <v>302.69817</v>
      </c>
      <c r="L103" s="15">
        <v>137.69208</v>
      </c>
      <c r="M103" s="15">
        <v>-5.11045</v>
      </c>
      <c r="N103" s="15">
        <v>-20.158089</v>
      </c>
      <c r="O103" s="15">
        <v>433.30562</v>
      </c>
      <c r="P103" s="15">
        <v>322.73775</v>
      </c>
      <c r="Q103" s="15">
        <v>-3008.88</v>
      </c>
      <c r="R103" s="15">
        <v>-3578.7425</v>
      </c>
      <c r="S103" s="15">
        <v>-3733.960048</v>
      </c>
      <c r="T103" s="15">
        <v>-3212.5924</v>
      </c>
      <c r="U103" s="15">
        <v>-2811.195</v>
      </c>
      <c r="V103" s="15">
        <f>W103/1000000000</f>
        <v>20477.979392</v>
      </c>
      <c r="W103" s="15">
        <v>20477979392000</v>
      </c>
      <c r="X103" t="s" s="44">
        <f>$A103</f>
        <v>255</v>
      </c>
      <c r="Y103" t="s" s="44">
        <f>Y$2</f>
        <v>153</v>
      </c>
      <c r="Z103" s="35">
        <f>F103/B103-1</f>
        <v>0.245866772521276</v>
      </c>
      <c r="AA103" t="s" s="44">
        <f>Y103</f>
        <v>153</v>
      </c>
      <c r="AB103" s="16">
        <f>SUM(H103:K103)/V103</f>
        <v>0.0346274399161188</v>
      </c>
      <c r="AC103" t="s" s="44">
        <f>AA103</f>
        <v>153</v>
      </c>
      <c r="AD103" s="35">
        <f>SUM(M103:P103)/V103</f>
        <v>0.0356858856536152</v>
      </c>
      <c r="AE103" t="s" s="44">
        <f>AC103</f>
        <v>153</v>
      </c>
      <c r="AF103" s="16">
        <f>U103/V103</f>
        <v>-0.137278925141327</v>
      </c>
      <c r="AG103" s="15">
        <v>2230</v>
      </c>
      <c r="AH103" s="15">
        <v>2507.116040195450</v>
      </c>
    </row>
    <row r="104" ht="20.05" customHeight="1">
      <c r="A104" t="s" s="56">
        <v>256</v>
      </c>
      <c r="B104" s="14">
        <v>778.8</v>
      </c>
      <c r="C104" s="15">
        <v>664.2</v>
      </c>
      <c r="D104" s="15">
        <v>682.6</v>
      </c>
      <c r="E104" s="15">
        <v>583.8</v>
      </c>
      <c r="F104" s="15">
        <v>636</v>
      </c>
      <c r="G104" s="15">
        <v>19.8</v>
      </c>
      <c r="H104" s="15">
        <v>136.8</v>
      </c>
      <c r="I104" s="15">
        <v>-39.5</v>
      </c>
      <c r="J104" s="15">
        <v>4.8</v>
      </c>
      <c r="K104" s="15">
        <v>99</v>
      </c>
      <c r="L104" s="15">
        <v>-290.2</v>
      </c>
      <c r="M104" s="15">
        <v>87.09999999999999</v>
      </c>
      <c r="N104" s="15">
        <v>253.6</v>
      </c>
      <c r="O104" s="15">
        <v>253.8</v>
      </c>
      <c r="P104" s="15">
        <v>251.8</v>
      </c>
      <c r="Q104" s="15">
        <v>-3788</v>
      </c>
      <c r="R104" s="15">
        <v>-3773</v>
      </c>
      <c r="S104" s="15">
        <v>-3806</v>
      </c>
      <c r="T104" s="15">
        <v>-3822</v>
      </c>
      <c r="U104" s="15">
        <v>-3782</v>
      </c>
      <c r="V104" s="15">
        <f>W104/1000000000</f>
        <v>5904.70046208</v>
      </c>
      <c r="W104" s="15">
        <v>5904700462080</v>
      </c>
      <c r="X104" t="s" s="44">
        <f>$A104</f>
        <v>256</v>
      </c>
      <c r="Y104" t="s" s="44">
        <f>Y$2</f>
        <v>153</v>
      </c>
      <c r="Z104" s="35">
        <f>F104/B104-1</f>
        <v>-0.183359013867488</v>
      </c>
      <c r="AA104" t="s" s="44">
        <f>Y104</f>
        <v>153</v>
      </c>
      <c r="AB104" s="16">
        <f>SUM(H104:K104)/V104</f>
        <v>0.0340576124549356</v>
      </c>
      <c r="AC104" t="s" s="44">
        <f>AA104</f>
        <v>153</v>
      </c>
      <c r="AD104" s="35">
        <f>SUM(M104:P104)/V104</f>
        <v>0.143326491400358</v>
      </c>
      <c r="AE104" t="s" s="44">
        <f>AC104</f>
        <v>153</v>
      </c>
      <c r="AF104" s="16">
        <f>U104/V104</f>
        <v>-0.640506664866069</v>
      </c>
      <c r="AG104" s="15">
        <v>1940</v>
      </c>
      <c r="AH104" s="15">
        <v>1320.161731069280</v>
      </c>
    </row>
    <row r="105" ht="20.05" customHeight="1">
      <c r="A105" t="s" s="56">
        <v>257</v>
      </c>
      <c r="B105" s="14">
        <v>1350.8</v>
      </c>
      <c r="C105" s="15">
        <v>1514.2</v>
      </c>
      <c r="D105" s="15">
        <v>2181.2</v>
      </c>
      <c r="E105" s="15">
        <v>1170.3</v>
      </c>
      <c r="F105" s="15">
        <v>1756.2</v>
      </c>
      <c r="G105" s="15">
        <v>-6.2</v>
      </c>
      <c r="H105" s="15">
        <v>110.2</v>
      </c>
      <c r="I105" s="15">
        <v>272</v>
      </c>
      <c r="J105" s="15">
        <v>-11.2</v>
      </c>
      <c r="K105" s="15">
        <v>124.4</v>
      </c>
      <c r="L105" s="15">
        <v>41.903</v>
      </c>
      <c r="M105" s="15">
        <v>-29.3</v>
      </c>
      <c r="N105" s="15">
        <v>81.09999999999999</v>
      </c>
      <c r="O105" s="15">
        <v>859.5</v>
      </c>
      <c r="P105" s="15">
        <v>58.8</v>
      </c>
      <c r="Q105" s="26">
        <v>-5726</v>
      </c>
      <c r="R105" s="26">
        <v>-6558</v>
      </c>
      <c r="S105" s="26">
        <v>-6329</v>
      </c>
      <c r="T105" s="26">
        <v>-7903</v>
      </c>
      <c r="U105" s="26">
        <v>-7360</v>
      </c>
      <c r="V105" s="15">
        <f>W105/1000000000</f>
        <v>14811.37529856</v>
      </c>
      <c r="W105" s="15">
        <v>14811375298560</v>
      </c>
      <c r="X105" t="s" s="44">
        <f>$A105</f>
        <v>257</v>
      </c>
      <c r="Y105" t="s" s="44">
        <f>Y$2</f>
        <v>153</v>
      </c>
      <c r="Z105" s="35">
        <f>F105/B105-1</f>
        <v>0.300118448326917</v>
      </c>
      <c r="AA105" t="s" s="44">
        <f>Y105</f>
        <v>153</v>
      </c>
      <c r="AB105" s="16">
        <f>SUM(H105:K105)/V105</f>
        <v>0.0334472653628704</v>
      </c>
      <c r="AC105" t="s" s="44">
        <f>AA105</f>
        <v>153</v>
      </c>
      <c r="AD105" s="35">
        <f>SUM(M105:P105)/V105</f>
        <v>0.06549695625458329</v>
      </c>
      <c r="AE105" t="s" s="44">
        <f>AC105</f>
        <v>153</v>
      </c>
      <c r="AF105" s="16">
        <f>U105/V105</f>
        <v>-0.496915367522661</v>
      </c>
      <c r="AG105" s="15">
        <v>1555</v>
      </c>
      <c r="AH105" s="15">
        <v>1154.263562751510</v>
      </c>
    </row>
    <row r="106" ht="20.05" customHeight="1">
      <c r="A106" t="s" s="56">
        <v>258</v>
      </c>
      <c r="B106" s="14">
        <v>1121</v>
      </c>
      <c r="C106" s="15">
        <v>1245</v>
      </c>
      <c r="D106" s="15">
        <v>880.5</v>
      </c>
      <c r="E106" s="15">
        <v>731.6</v>
      </c>
      <c r="F106" s="15">
        <v>1001.7</v>
      </c>
      <c r="G106" s="15">
        <v>484.3</v>
      </c>
      <c r="H106" s="15">
        <v>257.5</v>
      </c>
      <c r="I106" s="15">
        <v>162.6</v>
      </c>
      <c r="J106" s="15">
        <v>33.2</v>
      </c>
      <c r="K106" s="15">
        <v>256.1</v>
      </c>
      <c r="L106" s="15">
        <v>455.4</v>
      </c>
      <c r="M106" s="15">
        <v>0.7</v>
      </c>
      <c r="N106" s="15">
        <v>-11.7</v>
      </c>
      <c r="O106" s="15">
        <v>688.6</v>
      </c>
      <c r="P106" s="15">
        <v>0.1</v>
      </c>
      <c r="Q106" s="15">
        <v>238</v>
      </c>
      <c r="R106" s="15">
        <v>484</v>
      </c>
      <c r="S106" s="15">
        <v>56</v>
      </c>
      <c r="T106" s="15">
        <v>264</v>
      </c>
      <c r="U106" s="15">
        <v>518</v>
      </c>
      <c r="V106" s="15">
        <f>W106/1000000000</f>
        <v>21900.00074752</v>
      </c>
      <c r="W106" s="15">
        <v>21900000747520</v>
      </c>
      <c r="X106" t="s" s="44">
        <f>$A106</f>
        <v>258</v>
      </c>
      <c r="Y106" t="s" s="44">
        <f>Y$2</f>
        <v>153</v>
      </c>
      <c r="Z106" s="35">
        <f>F106/B106-1</f>
        <v>-0.106422836752899</v>
      </c>
      <c r="AA106" t="s" s="44">
        <f>Y106</f>
        <v>153</v>
      </c>
      <c r="AB106" s="16">
        <f>SUM(H106:K106)/V106</f>
        <v>0.0323926929582564</v>
      </c>
      <c r="AC106" t="s" s="44">
        <f>AA106</f>
        <v>153</v>
      </c>
      <c r="AD106" s="35">
        <f>SUM(M106:P106)/V106</f>
        <v>0.0309452044231891</v>
      </c>
      <c r="AE106" t="s" s="44">
        <f>AC106</f>
        <v>153</v>
      </c>
      <c r="AF106" s="16">
        <f>U106/V106</f>
        <v>0.0236529672291751</v>
      </c>
      <c r="AG106" s="15">
        <v>730</v>
      </c>
      <c r="AH106" s="15">
        <v>989</v>
      </c>
    </row>
    <row r="107" ht="20.05" customHeight="1">
      <c r="A107" t="s" s="56">
        <v>259</v>
      </c>
      <c r="B107" s="14">
        <v>3941.8</v>
      </c>
      <c r="C107" s="15">
        <v>4163.2</v>
      </c>
      <c r="D107" s="15">
        <v>3558</v>
      </c>
      <c r="E107" s="15">
        <v>3353</v>
      </c>
      <c r="F107" s="15">
        <v>4749.9</v>
      </c>
      <c r="G107" s="15">
        <v>589.7</v>
      </c>
      <c r="H107" s="15">
        <v>894.7</v>
      </c>
      <c r="I107" s="15">
        <v>-301.6</v>
      </c>
      <c r="J107" s="15">
        <v>-142.4</v>
      </c>
      <c r="K107" s="15">
        <v>689.9</v>
      </c>
      <c r="L107" s="15">
        <v>1840</v>
      </c>
      <c r="M107" s="15">
        <v>1564.2</v>
      </c>
      <c r="N107" s="15">
        <v>281</v>
      </c>
      <c r="O107" s="15">
        <v>2309</v>
      </c>
      <c r="P107" s="15">
        <v>301.6</v>
      </c>
      <c r="Q107" s="15">
        <v>2111</v>
      </c>
      <c r="R107" s="15">
        <v>626</v>
      </c>
      <c r="S107" s="15">
        <v>206</v>
      </c>
      <c r="T107" s="15">
        <v>-1988</v>
      </c>
      <c r="U107" s="15">
        <v>-2239</v>
      </c>
      <c r="V107" s="15">
        <f>W107/1000000000</f>
        <v>35279.6244864</v>
      </c>
      <c r="W107" s="15">
        <v>35279624486400</v>
      </c>
      <c r="X107" t="s" s="44">
        <f>$A107</f>
        <v>259</v>
      </c>
      <c r="Y107" t="s" s="44">
        <f>Y$2</f>
        <v>153</v>
      </c>
      <c r="Z107" s="35">
        <f>F107/B107-1</f>
        <v>0.205007864427419</v>
      </c>
      <c r="AA107" t="s" s="44">
        <f>Y107</f>
        <v>153</v>
      </c>
      <c r="AB107" s="16">
        <f>SUM(H107:K107)/V107</f>
        <v>0.0323302760900897</v>
      </c>
      <c r="AC107" t="s" s="44">
        <f>AA107</f>
        <v>153</v>
      </c>
      <c r="AD107" s="35">
        <f>SUM(M107:P107)/V107</f>
        <v>0.126299530249186</v>
      </c>
      <c r="AE107" t="s" s="44">
        <f>AC107</f>
        <v>153</v>
      </c>
      <c r="AF107" s="16">
        <f>U107/V107</f>
        <v>-0.06346439432378639</v>
      </c>
      <c r="AG107" s="15">
        <v>10275</v>
      </c>
      <c r="AH107" s="15">
        <v>14181.6750992846</v>
      </c>
    </row>
    <row r="108" ht="20.05" customHeight="1">
      <c r="A108" t="s" s="56">
        <v>260</v>
      </c>
      <c r="B108" s="14">
        <v>4072.5</v>
      </c>
      <c r="C108" s="15">
        <v>4002</v>
      </c>
      <c r="D108" s="15">
        <v>3526.5</v>
      </c>
      <c r="E108" s="15">
        <v>4671</v>
      </c>
      <c r="F108" s="15">
        <v>4909.5</v>
      </c>
      <c r="G108" s="15">
        <v>658.5</v>
      </c>
      <c r="H108" s="15">
        <v>585</v>
      </c>
      <c r="I108" s="15">
        <v>154.2</v>
      </c>
      <c r="J108" s="15">
        <v>1030.2</v>
      </c>
      <c r="K108" s="15">
        <v>603.6</v>
      </c>
      <c r="L108" s="15">
        <v>0</v>
      </c>
      <c r="M108" s="15">
        <v>1.5</v>
      </c>
      <c r="N108" s="15">
        <v>0</v>
      </c>
      <c r="O108" s="15">
        <v>-0.3</v>
      </c>
      <c r="P108" s="15">
        <v>0</v>
      </c>
      <c r="Q108" s="15">
        <v>2661</v>
      </c>
      <c r="R108" s="15">
        <v>2850</v>
      </c>
      <c r="S108" s="15">
        <v>2940</v>
      </c>
      <c r="T108" s="15">
        <v>4110</v>
      </c>
      <c r="U108" s="15">
        <v>4380</v>
      </c>
      <c r="V108" s="15">
        <f>W108/1000000000</f>
        <v>73777.3242624</v>
      </c>
      <c r="W108" s="15">
        <v>73777324262400</v>
      </c>
      <c r="X108" t="s" s="44">
        <f>$A108</f>
        <v>260</v>
      </c>
      <c r="Y108" t="s" s="44">
        <f>Y$2</f>
        <v>153</v>
      </c>
      <c r="Z108" s="35">
        <f>F108/B108-1</f>
        <v>0.205524861878453</v>
      </c>
      <c r="AA108" t="s" s="44">
        <f>Y108</f>
        <v>153</v>
      </c>
      <c r="AB108" s="16">
        <f>SUM(H108:K108)/V108</f>
        <v>0.0321643543422648</v>
      </c>
      <c r="AC108" t="s" s="44">
        <f>AA108</f>
        <v>153</v>
      </c>
      <c r="AD108" s="35">
        <f>SUM(M108:P108)/V108</f>
        <v>1.62651602236484e-05</v>
      </c>
      <c r="AE108" t="s" s="44">
        <f>AC108</f>
        <v>153</v>
      </c>
      <c r="AF108" s="16">
        <f>U108/V108</f>
        <v>0.0593678348163167</v>
      </c>
      <c r="AG108" s="15">
        <v>7425</v>
      </c>
      <c r="AH108" s="15">
        <v>7481.566839857940</v>
      </c>
    </row>
    <row r="109" ht="20.05" customHeight="1">
      <c r="A109" t="s" s="56">
        <v>261</v>
      </c>
      <c r="B109" s="14">
        <v>164.179</v>
      </c>
      <c r="C109" s="15">
        <v>183.465</v>
      </c>
      <c r="D109" s="15">
        <v>172.1</v>
      </c>
      <c r="E109" s="15">
        <v>192.1</v>
      </c>
      <c r="F109" s="15">
        <v>177.6</v>
      </c>
      <c r="G109" s="15">
        <v>2.801</v>
      </c>
      <c r="H109" s="15">
        <v>-3.973</v>
      </c>
      <c r="I109" s="15">
        <v>2.47</v>
      </c>
      <c r="J109" s="15">
        <v>30.26</v>
      </c>
      <c r="K109" s="15">
        <v>-15.47</v>
      </c>
      <c r="L109" s="15">
        <v>1.419</v>
      </c>
      <c r="M109" s="15">
        <v>-2.934</v>
      </c>
      <c r="N109" s="15">
        <v>2.07</v>
      </c>
      <c r="O109" s="15">
        <v>30.06</v>
      </c>
      <c r="P109" s="15">
        <v>-14.67</v>
      </c>
      <c r="Q109" s="15">
        <v>-234.708</v>
      </c>
      <c r="R109" s="15">
        <v>-237</v>
      </c>
      <c r="S109" s="15">
        <v>-232</v>
      </c>
      <c r="T109" s="15">
        <v>-226</v>
      </c>
      <c r="U109" s="15">
        <v>-238</v>
      </c>
      <c r="V109" s="15">
        <f>W109/1000000000</f>
        <v>462.075006464</v>
      </c>
      <c r="W109" s="15">
        <v>462075006464</v>
      </c>
      <c r="X109" t="s" s="44">
        <f>$A109</f>
        <v>261</v>
      </c>
      <c r="Y109" t="s" s="44">
        <f>Y$2</f>
        <v>153</v>
      </c>
      <c r="Z109" s="35">
        <f>F109/B109-1</f>
        <v>0.0817461429293637</v>
      </c>
      <c r="AA109" t="s" s="44">
        <f>Y109</f>
        <v>153</v>
      </c>
      <c r="AB109" s="16">
        <f>SUM(H109:K109)/V109</f>
        <v>0.0287550718262776</v>
      </c>
      <c r="AC109" t="s" s="44">
        <f>AA109</f>
        <v>153</v>
      </c>
      <c r="AD109" s="35">
        <f>SUM(M109:P109)/V109</f>
        <v>0.0314364546811551</v>
      </c>
      <c r="AE109" t="s" s="44">
        <f>AC109</f>
        <v>153</v>
      </c>
      <c r="AF109" s="16">
        <f>U109/V109</f>
        <v>-0.515067893027325</v>
      </c>
      <c r="AG109" s="15">
        <v>202</v>
      </c>
      <c r="AH109" s="15">
        <v>164.601980648191</v>
      </c>
    </row>
    <row r="110" ht="20.05" customHeight="1">
      <c r="A110" t="s" s="56">
        <v>262</v>
      </c>
      <c r="B110" s="14">
        <v>9201.299999999999</v>
      </c>
      <c r="C110" s="15">
        <v>11969.3</v>
      </c>
      <c r="D110" s="15">
        <v>9746.9</v>
      </c>
      <c r="E110" s="15">
        <v>9026</v>
      </c>
      <c r="F110" s="15">
        <v>14910.2</v>
      </c>
      <c r="G110" s="15">
        <v>1746</v>
      </c>
      <c r="H110" s="15">
        <v>-638.4</v>
      </c>
      <c r="I110" s="15">
        <v>919.8</v>
      </c>
      <c r="J110" s="15">
        <v>-318.3</v>
      </c>
      <c r="K110" s="15">
        <v>1489.5</v>
      </c>
      <c r="L110" s="15">
        <v>453.9</v>
      </c>
      <c r="M110" s="15">
        <v>639.7</v>
      </c>
      <c r="N110" s="15">
        <v>1864</v>
      </c>
      <c r="O110" s="15">
        <v>638</v>
      </c>
      <c r="P110" s="15">
        <v>164.2</v>
      </c>
      <c r="Q110" s="15">
        <v>-6589</v>
      </c>
      <c r="R110" s="15">
        <v>-6990</v>
      </c>
      <c r="S110" s="15">
        <v>-5076.6</v>
      </c>
      <c r="T110" s="15">
        <v>-7550</v>
      </c>
      <c r="U110" s="15">
        <v>-6608</v>
      </c>
      <c r="V110" s="15">
        <f>W110/1000000000</f>
        <v>51666.2197248</v>
      </c>
      <c r="W110" s="15">
        <v>51666219724800</v>
      </c>
      <c r="X110" t="s" s="44">
        <f>$A110</f>
        <v>262</v>
      </c>
      <c r="Y110" t="s" s="44">
        <f>Y$2</f>
        <v>153</v>
      </c>
      <c r="Z110" s="35">
        <f>F110/B110-1</f>
        <v>0.6204449371284489</v>
      </c>
      <c r="AA110" t="s" s="44">
        <f>Y110</f>
        <v>153</v>
      </c>
      <c r="AB110" s="16">
        <f>SUM(H110:K110)/V110</f>
        <v>0.0281150819188489</v>
      </c>
      <c r="AC110" t="s" s="44">
        <f>AA110</f>
        <v>153</v>
      </c>
      <c r="AD110" s="35">
        <f>SUM(M110:P110)/V110</f>
        <v>0.0639857147979641</v>
      </c>
      <c r="AE110" t="s" s="44">
        <f>AC110</f>
        <v>153</v>
      </c>
      <c r="AF110" s="16">
        <f>U110/V110</f>
        <v>-0.127897880572596</v>
      </c>
      <c r="AG110" s="15">
        <v>2150</v>
      </c>
      <c r="AH110" s="15">
        <v>2329.693754372190</v>
      </c>
    </row>
    <row r="111" ht="20.05" customHeight="1">
      <c r="A111" t="s" s="56">
        <v>263</v>
      </c>
      <c r="B111" s="14">
        <v>2504.8</v>
      </c>
      <c r="C111" s="15">
        <v>2238.4</v>
      </c>
      <c r="D111" s="15">
        <v>2221.8</v>
      </c>
      <c r="E111" s="15">
        <v>2188.2</v>
      </c>
      <c r="F111" s="15">
        <v>2521.5</v>
      </c>
      <c r="G111" s="15">
        <v>39.5</v>
      </c>
      <c r="H111" s="15">
        <v>763.4</v>
      </c>
      <c r="I111" s="15">
        <v>-31.7</v>
      </c>
      <c r="J111" s="15">
        <v>-214.3</v>
      </c>
      <c r="K111" s="15">
        <v>-119.3</v>
      </c>
      <c r="L111" s="15">
        <v>-83.8</v>
      </c>
      <c r="M111" s="15">
        <v>-178.5</v>
      </c>
      <c r="N111" s="15">
        <v>166.9</v>
      </c>
      <c r="O111" s="15">
        <v>224.1</v>
      </c>
      <c r="P111" s="15">
        <v>-44.4</v>
      </c>
      <c r="Q111" s="15">
        <v>-1580</v>
      </c>
      <c r="R111" s="15">
        <v>-866</v>
      </c>
      <c r="S111" s="15">
        <v>-1144</v>
      </c>
      <c r="T111" s="15">
        <v>-1348</v>
      </c>
      <c r="U111" s="15">
        <v>-1361</v>
      </c>
      <c r="V111" s="15">
        <f>W111/1000000000</f>
        <v>16444.34071552</v>
      </c>
      <c r="W111" s="15">
        <v>16444340715520</v>
      </c>
      <c r="X111" t="s" s="44">
        <f>$A111</f>
        <v>263</v>
      </c>
      <c r="Y111" t="s" s="44">
        <f>Y$2</f>
        <v>153</v>
      </c>
      <c r="Z111" s="35">
        <f>F111/B111-1</f>
        <v>0.00666719897796231</v>
      </c>
      <c r="AA111" t="s" s="44">
        <f>Y111</f>
        <v>153</v>
      </c>
      <c r="AB111" s="16">
        <f>SUM(H111:K111)/V111</f>
        <v>0.0242089364898817</v>
      </c>
      <c r="AC111" t="s" s="44">
        <f>AA111</f>
        <v>153</v>
      </c>
      <c r="AD111" s="35">
        <f>SUM(M111:P111)/V111</f>
        <v>0.0102223617783198</v>
      </c>
      <c r="AE111" t="s" s="44">
        <f>AC111</f>
        <v>153</v>
      </c>
      <c r="AF111" s="16">
        <f>U111/V111</f>
        <v>-0.08276403557580771</v>
      </c>
      <c r="AG111" s="15">
        <v>1270</v>
      </c>
      <c r="AH111" s="15">
        <v>1017.4377214302</v>
      </c>
    </row>
    <row r="112" ht="20.05" customHeight="1">
      <c r="A112" t="s" s="56">
        <v>264</v>
      </c>
      <c r="B112" s="14">
        <v>3156.4584</v>
      </c>
      <c r="C112" s="15">
        <v>3998.4275</v>
      </c>
      <c r="D112" s="15">
        <v>4326.754</v>
      </c>
      <c r="E112" s="15">
        <v>4386.272</v>
      </c>
      <c r="F112" s="15">
        <v>4463.361</v>
      </c>
      <c r="G112" s="15">
        <v>474.371424</v>
      </c>
      <c r="H112" s="15">
        <v>852.75995</v>
      </c>
      <c r="I112" s="15">
        <v>787.985</v>
      </c>
      <c r="J112" s="15">
        <v>-228.696</v>
      </c>
      <c r="K112" s="15">
        <v>-912.4605</v>
      </c>
      <c r="L112" s="15">
        <v>1002.043008</v>
      </c>
      <c r="M112" s="15">
        <v>154.71245</v>
      </c>
      <c r="N112" s="15">
        <v>1656.2012</v>
      </c>
      <c r="O112" s="15">
        <v>-929.444</v>
      </c>
      <c r="P112" s="15">
        <v>-888.903</v>
      </c>
      <c r="Q112" s="15">
        <v>-18612.072</v>
      </c>
      <c r="R112" s="15">
        <v>-17144.275</v>
      </c>
      <c r="S112" s="15">
        <v>-16046.24</v>
      </c>
      <c r="T112" s="15">
        <v>-17064.24</v>
      </c>
      <c r="U112" s="15">
        <v>-18343.44</v>
      </c>
      <c r="V112" s="15">
        <f>W112/1000000000</f>
        <v>21325.5576576</v>
      </c>
      <c r="W112" s="15">
        <v>21325557657600</v>
      </c>
      <c r="X112" t="s" s="44">
        <f>$A112</f>
        <v>264</v>
      </c>
      <c r="Y112" t="s" s="44">
        <f>Y$2</f>
        <v>153</v>
      </c>
      <c r="Z112" s="35">
        <f>F112/B112-1</f>
        <v>0.414040812323077</v>
      </c>
      <c r="AA112" t="s" s="44">
        <f>Y112</f>
        <v>153</v>
      </c>
      <c r="AB112" s="16">
        <f>SUM(H112:K112)/V112</f>
        <v>0.0234267472870496</v>
      </c>
      <c r="AC112" t="s" s="44">
        <f>AA112</f>
        <v>153</v>
      </c>
      <c r="AD112" s="35">
        <f>SUM(M112:P112)/V112</f>
        <v>-0.000348565328013868</v>
      </c>
      <c r="AE112" t="s" s="44">
        <f>AC112</f>
        <v>153</v>
      </c>
      <c r="AF112" s="16">
        <f>U112/V112</f>
        <v>-0.860162266071517</v>
      </c>
      <c r="AG112" s="15">
        <v>6850</v>
      </c>
      <c r="AH112" s="15">
        <v>8286.685492496030</v>
      </c>
    </row>
    <row r="113" ht="20.05" customHeight="1">
      <c r="A113" t="s" s="56">
        <v>265</v>
      </c>
      <c r="B113" s="14">
        <v>41496.3</v>
      </c>
      <c r="C113" s="15">
        <v>46457.2</v>
      </c>
      <c r="D113" s="15">
        <v>44051</v>
      </c>
      <c r="E113" s="15">
        <v>46806</v>
      </c>
      <c r="F113" s="15">
        <v>44709</v>
      </c>
      <c r="G113" s="15">
        <v>-38204.1</v>
      </c>
      <c r="H113" s="15">
        <v>-18019.1</v>
      </c>
      <c r="I113" s="15">
        <v>-6471.2</v>
      </c>
      <c r="J113" s="15">
        <v>30660.7</v>
      </c>
      <c r="K113" s="15">
        <v>8702.5</v>
      </c>
      <c r="L113" s="15">
        <v>-35335</v>
      </c>
      <c r="M113" s="15">
        <v>-2587</v>
      </c>
      <c r="N113" s="15">
        <v>3162</v>
      </c>
      <c r="O113" s="15">
        <v>25405.3</v>
      </c>
      <c r="P113" s="15">
        <v>-2531.3</v>
      </c>
      <c r="Q113" s="17"/>
      <c r="R113" s="17"/>
      <c r="S113" s="17"/>
      <c r="T113" s="17"/>
      <c r="U113" s="17"/>
      <c r="V113" s="15">
        <f>W113/1000000000</f>
        <v>677698.5485312</v>
      </c>
      <c r="W113" s="15">
        <v>677698548531200</v>
      </c>
      <c r="X113" t="s" s="44">
        <f>$A113</f>
        <v>265</v>
      </c>
      <c r="Y113" t="s" s="44">
        <f>Y$2</f>
        <v>153</v>
      </c>
      <c r="Z113" s="35">
        <f>F113/B113-1</f>
        <v>0.0774213604586433</v>
      </c>
      <c r="AA113" t="s" s="44">
        <f>Y113</f>
        <v>153</v>
      </c>
      <c r="AB113" s="16">
        <f>SUM(H113:K113)/V113</f>
        <v>0.0219461883638892</v>
      </c>
      <c r="AC113" t="s" s="44">
        <f>AA113</f>
        <v>153</v>
      </c>
      <c r="AD113" s="35">
        <f>SUM(M113:P113)/V113</f>
        <v>0.0346009299427036</v>
      </c>
      <c r="AE113" t="s" s="44">
        <f>AC113</f>
        <v>153</v>
      </c>
      <c r="AF113" s="16">
        <f>U113/V113</f>
        <v>0</v>
      </c>
      <c r="AG113" s="15">
        <v>4480</v>
      </c>
      <c r="AH113" s="15">
        <v>5474.834170176440</v>
      </c>
    </row>
    <row r="114" ht="20.05" customHeight="1">
      <c r="A114" t="s" s="56">
        <v>266</v>
      </c>
      <c r="B114" s="14">
        <v>772</v>
      </c>
      <c r="C114" s="15">
        <v>834</v>
      </c>
      <c r="D114" s="15">
        <v>916</v>
      </c>
      <c r="E114" s="15">
        <v>674</v>
      </c>
      <c r="F114" s="15">
        <v>1069</v>
      </c>
      <c r="G114" s="15">
        <v>35</v>
      </c>
      <c r="H114" s="15">
        <v>98</v>
      </c>
      <c r="I114" s="15">
        <v>40</v>
      </c>
      <c r="J114" s="15">
        <v>-84</v>
      </c>
      <c r="K114" s="15">
        <v>-2</v>
      </c>
      <c r="L114" s="15">
        <v>21</v>
      </c>
      <c r="M114" s="15">
        <v>-264</v>
      </c>
      <c r="N114" s="15">
        <v>-26</v>
      </c>
      <c r="O114" s="15">
        <v>161</v>
      </c>
      <c r="P114" s="15">
        <v>61</v>
      </c>
      <c r="Q114" s="15">
        <v>-1040</v>
      </c>
      <c r="R114" s="15">
        <v>-1040</v>
      </c>
      <c r="S114" s="15">
        <v>-977</v>
      </c>
      <c r="T114" s="15">
        <v>-953</v>
      </c>
      <c r="U114" s="15">
        <v>-1062</v>
      </c>
      <c r="V114" s="15">
        <f>W114/1000000000</f>
        <v>2729.41043712</v>
      </c>
      <c r="W114" s="15">
        <v>2729410437120</v>
      </c>
      <c r="X114" t="s" s="44">
        <f>$A114</f>
        <v>266</v>
      </c>
      <c r="Y114" t="s" s="44">
        <f>Y$2</f>
        <v>153</v>
      </c>
      <c r="Z114" s="35">
        <f>F114/B114-1</f>
        <v>0.384715025906736</v>
      </c>
      <c r="AA114" t="s" s="44">
        <f>Y114</f>
        <v>153</v>
      </c>
      <c r="AB114" s="16">
        <f>SUM(H114:K114)/V114</f>
        <v>0.0190517334046942</v>
      </c>
      <c r="AC114" t="s" s="44">
        <f>AA114</f>
        <v>153</v>
      </c>
      <c r="AD114" s="35">
        <f>SUM(M114:P114)/V114</f>
        <v>-0.0249138052215231</v>
      </c>
      <c r="AE114" t="s" s="44">
        <f>AC114</f>
        <v>153</v>
      </c>
      <c r="AF114" s="16">
        <f>U114/V114</f>
        <v>-0.389095016842023</v>
      </c>
      <c r="AG114" s="15">
        <v>580</v>
      </c>
      <c r="AH114" s="15">
        <v>422.264611009536</v>
      </c>
    </row>
    <row r="115" ht="20.05" customHeight="1">
      <c r="A115" t="s" s="56">
        <v>267</v>
      </c>
      <c r="B115" s="14">
        <v>241.073</v>
      </c>
      <c r="C115" s="15">
        <v>319.027</v>
      </c>
      <c r="D115" s="15">
        <v>294.2</v>
      </c>
      <c r="E115" s="15">
        <v>308.8</v>
      </c>
      <c r="F115" s="15">
        <v>321.2</v>
      </c>
      <c r="G115" s="26">
        <v>61.05</v>
      </c>
      <c r="H115" s="26">
        <v>-41.35</v>
      </c>
      <c r="I115" s="26">
        <v>56.3</v>
      </c>
      <c r="J115" s="26">
        <v>45.1</v>
      </c>
      <c r="K115" s="26">
        <v>14.2</v>
      </c>
      <c r="L115" s="26">
        <v>-0.11</v>
      </c>
      <c r="M115" s="26">
        <v>-0.39</v>
      </c>
      <c r="N115" s="26">
        <v>0</v>
      </c>
      <c r="O115" s="26">
        <v>0</v>
      </c>
      <c r="P115" s="26">
        <v>0</v>
      </c>
      <c r="Q115" s="26">
        <v>115.441</v>
      </c>
      <c r="R115" s="26">
        <v>46</v>
      </c>
      <c r="S115" s="26">
        <v>102</v>
      </c>
      <c r="T115" s="26">
        <v>139</v>
      </c>
      <c r="U115" s="26">
        <v>165</v>
      </c>
      <c r="V115" s="15">
        <f>W115/1000000000</f>
        <v>4217.7637216</v>
      </c>
      <c r="W115" s="15">
        <v>4217763721600</v>
      </c>
      <c r="X115" t="s" s="44">
        <f>$A115</f>
        <v>267</v>
      </c>
      <c r="Y115" t="s" s="44">
        <f>Y$2</f>
        <v>153</v>
      </c>
      <c r="Z115" s="35">
        <f>F115/B115-1</f>
        <v>0.332376500064296</v>
      </c>
      <c r="AA115" t="s" s="44">
        <f>Y115</f>
        <v>153</v>
      </c>
      <c r="AB115" s="16">
        <f>SUM(H115:K115)/V115</f>
        <v>0.0176041155695259</v>
      </c>
      <c r="AC115" t="s" s="44">
        <f>AA115</f>
        <v>153</v>
      </c>
      <c r="AD115" s="35">
        <f>SUM(M115:P115)/V115</f>
        <v>-9.24660615773077e-05</v>
      </c>
      <c r="AE115" t="s" s="44">
        <f>AC115</f>
        <v>153</v>
      </c>
      <c r="AF115" s="16">
        <f>U115/V115</f>
        <v>0.0391202568211686</v>
      </c>
      <c r="AG115" s="15">
        <v>7150</v>
      </c>
      <c r="AH115" s="15">
        <v>8016.0739656254</v>
      </c>
    </row>
    <row r="116" ht="20.05" customHeight="1">
      <c r="A116" t="s" s="56">
        <v>268</v>
      </c>
      <c r="B116" s="14">
        <v>648.5</v>
      </c>
      <c r="C116" s="15">
        <v>1404.2</v>
      </c>
      <c r="D116" s="15">
        <v>339</v>
      </c>
      <c r="E116" s="15">
        <v>235</v>
      </c>
      <c r="F116" s="15">
        <v>330.9</v>
      </c>
      <c r="G116" s="15">
        <v>-74.90000000000001</v>
      </c>
      <c r="H116" s="15">
        <v>104.6</v>
      </c>
      <c r="I116" s="15">
        <v>-102.7</v>
      </c>
      <c r="J116" s="15">
        <v>26.2</v>
      </c>
      <c r="K116" s="15">
        <v>10.7</v>
      </c>
      <c r="L116" s="15">
        <v>-216.5</v>
      </c>
      <c r="M116" s="15">
        <v>-16.4</v>
      </c>
      <c r="N116" s="15">
        <v>17.4</v>
      </c>
      <c r="O116" s="15">
        <v>25.3</v>
      </c>
      <c r="P116" s="15">
        <v>2.6</v>
      </c>
      <c r="Q116" s="15">
        <v>-1555</v>
      </c>
      <c r="R116" s="15">
        <v>-1123</v>
      </c>
      <c r="S116" s="15">
        <v>-1174</v>
      </c>
      <c r="T116" s="15">
        <v>-1188</v>
      </c>
      <c r="U116" s="15">
        <v>-1218</v>
      </c>
      <c r="V116" s="15">
        <f>W116/1000000000</f>
        <v>2556.8976576</v>
      </c>
      <c r="W116" s="15">
        <v>2556897657600</v>
      </c>
      <c r="X116" t="s" s="44">
        <f>$A116</f>
        <v>268</v>
      </c>
      <c r="Y116" t="s" s="44">
        <f>Y$2</f>
        <v>153</v>
      </c>
      <c r="Z116" s="35">
        <f>F116/B116-1</f>
        <v>-0.489745566692367</v>
      </c>
      <c r="AA116" t="s" s="44">
        <f>Y116</f>
        <v>153</v>
      </c>
      <c r="AB116" s="16">
        <f>SUM(H116:K116)/V116</f>
        <v>0.0151746394247234</v>
      </c>
      <c r="AC116" t="s" s="44">
        <f>AA116</f>
        <v>153</v>
      </c>
      <c r="AD116" s="35">
        <f>SUM(M116:P116)/V116</f>
        <v>0.0113027597776935</v>
      </c>
      <c r="AE116" t="s" s="44">
        <f>AC116</f>
        <v>153</v>
      </c>
      <c r="AF116" s="16">
        <f>U116/V116</f>
        <v>-0.476358526270958</v>
      </c>
      <c r="AG116" s="15">
        <v>825</v>
      </c>
      <c r="AH116" s="15">
        <v>809.012779502199</v>
      </c>
    </row>
    <row r="117" ht="20.05" customHeight="1">
      <c r="A117" t="s" s="56">
        <v>269</v>
      </c>
      <c r="B117" s="14">
        <v>10</v>
      </c>
      <c r="C117" s="15">
        <v>15</v>
      </c>
      <c r="D117" s="15">
        <v>13.2</v>
      </c>
      <c r="E117" s="15">
        <v>13.4</v>
      </c>
      <c r="F117" s="15">
        <v>15.1</v>
      </c>
      <c r="G117" s="15">
        <v>-0.4</v>
      </c>
      <c r="H117" s="15">
        <v>2.6</v>
      </c>
      <c r="I117" s="15">
        <v>6.2</v>
      </c>
      <c r="J117" s="15">
        <v>-0.8</v>
      </c>
      <c r="K117" s="15">
        <v>1.1</v>
      </c>
      <c r="L117" s="15">
        <v>0</v>
      </c>
      <c r="M117" s="15">
        <v>0</v>
      </c>
      <c r="N117" s="15">
        <v>0</v>
      </c>
      <c r="O117" s="15">
        <v>1.1</v>
      </c>
      <c r="P117" s="15">
        <v>1.1</v>
      </c>
      <c r="Q117" s="15">
        <v>-61.7</v>
      </c>
      <c r="R117" s="15">
        <v>-59.2</v>
      </c>
      <c r="S117" s="15">
        <v>-54.4</v>
      </c>
      <c r="T117" s="15">
        <v>-54.5</v>
      </c>
      <c r="U117" s="15">
        <v>-54</v>
      </c>
      <c r="V117" s="15">
        <f>W117/1000000000</f>
        <v>621.07201536</v>
      </c>
      <c r="W117" s="15">
        <v>621072015360</v>
      </c>
      <c r="X117" t="s" s="44">
        <f>$A117</f>
        <v>269</v>
      </c>
      <c r="Y117" t="s" s="44">
        <f>Y$2</f>
        <v>153</v>
      </c>
      <c r="Z117" s="35">
        <f>F117/B117-1</f>
        <v>0.51</v>
      </c>
      <c r="AA117" t="s" s="44">
        <f>Y117</f>
        <v>153</v>
      </c>
      <c r="AB117" s="16">
        <f>SUM(H117:K117)/V117</f>
        <v>0.0146520850641213</v>
      </c>
      <c r="AC117" t="s" s="44">
        <f>AA117</f>
        <v>153</v>
      </c>
      <c r="AD117" s="35">
        <f>SUM(M117:P117)/V117</f>
        <v>0.00354226232319417</v>
      </c>
      <c r="AE117" t="s" s="44">
        <f>AC117</f>
        <v>153</v>
      </c>
      <c r="AF117" s="16">
        <f>U117/V117</f>
        <v>-0.0869464388420388</v>
      </c>
      <c r="AG117" s="15">
        <v>60</v>
      </c>
      <c r="AH117" s="15">
        <v>57.8972497462267</v>
      </c>
    </row>
    <row r="118" ht="20.05" customHeight="1">
      <c r="A118" t="s" s="56">
        <v>270</v>
      </c>
      <c r="B118" s="14">
        <v>3024.5</v>
      </c>
      <c r="C118" s="15">
        <v>3516.5</v>
      </c>
      <c r="D118" s="15">
        <v>3195.9</v>
      </c>
      <c r="E118" s="15">
        <v>2881.4</v>
      </c>
      <c r="F118" s="15">
        <v>4136.3</v>
      </c>
      <c r="G118" s="15">
        <v>-802.4</v>
      </c>
      <c r="H118" s="15">
        <v>209.4</v>
      </c>
      <c r="I118" s="15">
        <v>1114.6</v>
      </c>
      <c r="J118" s="15">
        <v>-247.1</v>
      </c>
      <c r="K118" s="15">
        <v>-742.3</v>
      </c>
      <c r="L118" s="15">
        <v>-823</v>
      </c>
      <c r="M118" s="15">
        <v>-2228</v>
      </c>
      <c r="N118" s="15">
        <v>2911.5</v>
      </c>
      <c r="O118" s="15">
        <v>-1275.9</v>
      </c>
      <c r="P118" s="15">
        <v>-77.2</v>
      </c>
      <c r="Q118" s="15">
        <v>-76290</v>
      </c>
      <c r="R118" s="15">
        <v>-69464</v>
      </c>
      <c r="S118" s="15">
        <v>-68675</v>
      </c>
      <c r="T118" s="15">
        <v>-69424</v>
      </c>
      <c r="U118" s="15">
        <v>-69401</v>
      </c>
      <c r="V118" s="15">
        <f>W118/1000000000</f>
        <v>23007.44734208</v>
      </c>
      <c r="W118" s="15">
        <v>23007447342080</v>
      </c>
      <c r="X118" t="s" s="44">
        <f>$A118</f>
        <v>270</v>
      </c>
      <c r="Y118" t="s" s="44">
        <f>Y$2</f>
        <v>153</v>
      </c>
      <c r="Z118" s="35">
        <f>F118/B118-1</f>
        <v>0.367597950074392</v>
      </c>
      <c r="AA118" t="s" s="44">
        <f>Y118</f>
        <v>153</v>
      </c>
      <c r="AB118" s="16">
        <f>SUM(H118:K118)/V118</f>
        <v>0.0145431170622751</v>
      </c>
      <c r="AC118" t="s" s="44">
        <f>AA118</f>
        <v>153</v>
      </c>
      <c r="AD118" s="35">
        <f>SUM(M118:P118)/V118</f>
        <v>-0.0291036197994603</v>
      </c>
      <c r="AE118" t="s" s="44">
        <f>AC118</f>
        <v>153</v>
      </c>
      <c r="AF118" s="16">
        <f>U118/V118</f>
        <v>-3.01645806108474</v>
      </c>
      <c r="AG118" s="15">
        <v>3170</v>
      </c>
      <c r="AH118" s="15">
        <v>4086.111499519740</v>
      </c>
    </row>
    <row r="119" ht="20.05" customHeight="1">
      <c r="A119" t="s" s="56">
        <v>271</v>
      </c>
      <c r="B119" s="14">
        <v>11.2</v>
      </c>
      <c r="C119" s="15">
        <v>17.5</v>
      </c>
      <c r="D119" s="15">
        <v>12.3</v>
      </c>
      <c r="E119" s="15">
        <v>9.199999999999999</v>
      </c>
      <c r="F119" s="15">
        <v>10.5</v>
      </c>
      <c r="G119" s="15">
        <v>-0.91</v>
      </c>
      <c r="H119" s="15">
        <v>5.11</v>
      </c>
      <c r="I119" s="15">
        <v>2.1</v>
      </c>
      <c r="J119" s="15">
        <v>-0.7</v>
      </c>
      <c r="K119" s="15">
        <v>-5.4</v>
      </c>
      <c r="L119" s="15">
        <v>0</v>
      </c>
      <c r="M119" s="15">
        <v>0.04</v>
      </c>
      <c r="N119" s="15">
        <v>0</v>
      </c>
      <c r="O119" s="15">
        <v>0</v>
      </c>
      <c r="P119" s="15">
        <v>0</v>
      </c>
      <c r="Q119" s="15">
        <v>11</v>
      </c>
      <c r="R119" s="15">
        <v>20.4</v>
      </c>
      <c r="S119" s="15">
        <v>21.8</v>
      </c>
      <c r="T119" s="15">
        <v>21.3</v>
      </c>
      <c r="U119" s="15">
        <v>18.4</v>
      </c>
      <c r="V119" s="15">
        <f>W119/1000000000</f>
        <v>124.28387328</v>
      </c>
      <c r="W119" s="15">
        <v>124283873280</v>
      </c>
      <c r="X119" t="s" s="44">
        <f>$A119</f>
        <v>271</v>
      </c>
      <c r="Y119" t="s" s="44">
        <f>Y$2</f>
        <v>153</v>
      </c>
      <c r="Z119" s="35">
        <f>F119/B119-1</f>
        <v>-0.0625</v>
      </c>
      <c r="AA119" t="s" s="44">
        <f>Y119</f>
        <v>153</v>
      </c>
      <c r="AB119" s="16">
        <f>SUM(H119:K119)/V119</f>
        <v>0.008931166777360351</v>
      </c>
      <c r="AC119" t="s" s="44">
        <f>AA119</f>
        <v>153</v>
      </c>
      <c r="AD119" s="35">
        <f>SUM(M119:P119)/V119</f>
        <v>0.000321843847832805</v>
      </c>
      <c r="AE119" t="s" s="44">
        <f>AC119</f>
        <v>153</v>
      </c>
      <c r="AF119" s="16">
        <f>U119/V119</f>
        <v>0.148048170003091</v>
      </c>
      <c r="AG119" s="15">
        <v>210</v>
      </c>
      <c r="AH119" s="15">
        <v>180.334550461799</v>
      </c>
    </row>
    <row r="120" ht="20.05" customHeight="1">
      <c r="A120" t="s" s="56">
        <v>272</v>
      </c>
      <c r="B120" s="14">
        <v>234</v>
      </c>
      <c r="C120" s="15">
        <v>306.6</v>
      </c>
      <c r="D120" s="15">
        <v>292.1</v>
      </c>
      <c r="E120" s="15">
        <v>287</v>
      </c>
      <c r="F120" s="15">
        <v>234</v>
      </c>
      <c r="G120" s="15">
        <v>95.22</v>
      </c>
      <c r="H120" s="15">
        <v>15.28</v>
      </c>
      <c r="I120" s="15">
        <v>37.551</v>
      </c>
      <c r="J120" s="15">
        <v>55.649</v>
      </c>
      <c r="K120" s="15">
        <v>-93</v>
      </c>
      <c r="L120" s="15">
        <v>42.5</v>
      </c>
      <c r="M120" s="15">
        <v>42.5</v>
      </c>
      <c r="N120" s="15">
        <v>0</v>
      </c>
      <c r="O120" s="15">
        <v>0</v>
      </c>
      <c r="P120" s="15">
        <v>0</v>
      </c>
      <c r="Q120" s="15">
        <v>2</v>
      </c>
      <c r="R120" s="15">
        <v>-22.4</v>
      </c>
      <c r="S120" s="15">
        <v>-43</v>
      </c>
      <c r="T120" s="15">
        <v>-18</v>
      </c>
      <c r="U120" s="15">
        <v>-47</v>
      </c>
      <c r="V120" s="15">
        <f>W120/1000000000</f>
        <v>2032.5</v>
      </c>
      <c r="W120" s="15">
        <v>2032500000000</v>
      </c>
      <c r="X120" t="s" s="44">
        <f>$A120</f>
        <v>272</v>
      </c>
      <c r="Y120" t="s" s="44">
        <f>Y$2</f>
        <v>153</v>
      </c>
      <c r="Z120" s="35">
        <f>F120/B120-1</f>
        <v>0</v>
      </c>
      <c r="AA120" t="s" s="44">
        <f>Y120</f>
        <v>153</v>
      </c>
      <c r="AB120" s="16">
        <f>SUM(H120:K120)/V120</f>
        <v>0.00761623616236162</v>
      </c>
      <c r="AC120" t="s" s="44">
        <f>AA120</f>
        <v>153</v>
      </c>
      <c r="AD120" s="35">
        <f>SUM(M120:P120)/V120</f>
        <v>0.020910209102091</v>
      </c>
      <c r="AE120" t="s" s="44">
        <f>AC120</f>
        <v>153</v>
      </c>
      <c r="AF120" s="16">
        <f>U120/V120</f>
        <v>-0.0231242312423124</v>
      </c>
      <c r="AG120" s="15">
        <v>1355</v>
      </c>
      <c r="AH120" s="15">
        <v>1671.200973017990</v>
      </c>
    </row>
    <row r="121" ht="20.05" customHeight="1">
      <c r="A121" t="s" s="56">
        <v>273</v>
      </c>
      <c r="B121" s="14">
        <v>21138.2</v>
      </c>
      <c r="C121" s="15">
        <v>21730.2</v>
      </c>
      <c r="D121" s="15">
        <v>22908.6</v>
      </c>
      <c r="E121" s="15">
        <v>24978.1</v>
      </c>
      <c r="F121" s="15">
        <v>24252.3</v>
      </c>
      <c r="G121" s="15">
        <v>904.9</v>
      </c>
      <c r="H121" s="15">
        <v>756.6</v>
      </c>
      <c r="I121" s="15">
        <v>-343.6</v>
      </c>
      <c r="J121" s="15">
        <v>-952.8</v>
      </c>
      <c r="K121" s="15">
        <v>1114.4</v>
      </c>
      <c r="L121" s="15">
        <v>1147.347</v>
      </c>
      <c r="M121" s="15">
        <v>3.7</v>
      </c>
      <c r="N121" s="15">
        <v>71</v>
      </c>
      <c r="O121" s="15">
        <v>702.9</v>
      </c>
      <c r="P121" s="15">
        <v>146.1</v>
      </c>
      <c r="Q121" s="15">
        <v>-15835</v>
      </c>
      <c r="R121" s="15">
        <v>-15234</v>
      </c>
      <c r="S121" s="15">
        <v>-19120</v>
      </c>
      <c r="T121" s="15">
        <v>-18221</v>
      </c>
      <c r="U121" s="15">
        <v>-17720</v>
      </c>
      <c r="V121" s="15">
        <f>W121/1000000000</f>
        <v>114607.61567232</v>
      </c>
      <c r="W121" s="15">
        <v>114607615672320</v>
      </c>
      <c r="X121" t="s" s="44">
        <f>$A121</f>
        <v>273</v>
      </c>
      <c r="Y121" t="s" s="44">
        <f>Y$2</f>
        <v>153</v>
      </c>
      <c r="Z121" s="35">
        <f>F121/B121-1</f>
        <v>0.147320963942058</v>
      </c>
      <c r="AA121" t="s" s="44">
        <f>Y121</f>
        <v>153</v>
      </c>
      <c r="AB121" s="16">
        <f>SUM(H121:K121)/V121</f>
        <v>0.00501362842799963</v>
      </c>
      <c r="AC121" t="s" s="44">
        <f>AA121</f>
        <v>153</v>
      </c>
      <c r="AD121" s="35">
        <f>SUM(M121:P121)/V121</f>
        <v>0.008059673823430671</v>
      </c>
      <c r="AE121" t="s" s="44">
        <f>AC121</f>
        <v>153</v>
      </c>
      <c r="AF121" s="16">
        <f>U121/V121</f>
        <v>-0.154614507038207</v>
      </c>
      <c r="AG121" s="15">
        <v>2760</v>
      </c>
      <c r="AH121" s="15">
        <v>1869.545156344350</v>
      </c>
    </row>
    <row r="122" ht="20.05" customHeight="1">
      <c r="A122" t="s" s="56">
        <v>274</v>
      </c>
      <c r="B122" s="14">
        <v>4352</v>
      </c>
      <c r="C122" s="15">
        <v>4514</v>
      </c>
      <c r="D122" s="15">
        <v>4580</v>
      </c>
      <c r="E122" s="15">
        <v>4796.2</v>
      </c>
      <c r="F122" s="15">
        <v>4908.5</v>
      </c>
      <c r="G122" s="15">
        <v>666.5</v>
      </c>
      <c r="H122" s="15">
        <v>3624</v>
      </c>
      <c r="I122" s="15">
        <v>-2420.4</v>
      </c>
      <c r="J122" s="15">
        <v>-1649.2</v>
      </c>
      <c r="K122" s="15">
        <v>728.9</v>
      </c>
      <c r="L122" s="15">
        <v>655</v>
      </c>
      <c r="M122" s="15">
        <v>-655</v>
      </c>
      <c r="N122" s="15">
        <v>0</v>
      </c>
      <c r="O122" s="15">
        <v>757</v>
      </c>
      <c r="P122" s="15">
        <v>0</v>
      </c>
      <c r="Q122" s="17"/>
      <c r="R122" s="17"/>
      <c r="S122" s="17"/>
      <c r="T122" s="17"/>
      <c r="U122" s="17"/>
      <c r="V122" s="15">
        <f>W122/1000000000</f>
        <v>60281.6299008</v>
      </c>
      <c r="W122" s="15">
        <v>60281629900800</v>
      </c>
      <c r="X122" t="s" s="44">
        <f>$A122</f>
        <v>274</v>
      </c>
      <c r="Y122" t="s" s="44">
        <f>Y$2</f>
        <v>153</v>
      </c>
      <c r="Z122" s="35">
        <f>F122/B122-1</f>
        <v>0.127872242647059</v>
      </c>
      <c r="AA122" t="s" s="44">
        <f>Y122</f>
        <v>153</v>
      </c>
      <c r="AB122" s="16">
        <f>SUM(H122:K122)/V122</f>
        <v>0.00469960750009914</v>
      </c>
      <c r="AC122" t="s" s="44">
        <f>AA122</f>
        <v>153</v>
      </c>
      <c r="AD122" s="35">
        <f>SUM(M122:P122)/V122</f>
        <v>0.00169205776565518</v>
      </c>
      <c r="AE122" t="s" s="44">
        <f>AC122</f>
        <v>153</v>
      </c>
      <c r="AF122" s="16">
        <f>U122/V122</f>
        <v>0</v>
      </c>
      <c r="AG122" s="15">
        <v>1320</v>
      </c>
      <c r="AH122" s="15">
        <v>670.0824446786251</v>
      </c>
    </row>
    <row r="123" ht="20.05" customHeight="1">
      <c r="A123" t="s" s="56">
        <v>275</v>
      </c>
      <c r="B123" s="14">
        <v>6728.3</v>
      </c>
      <c r="C123" s="15">
        <v>7162.5</v>
      </c>
      <c r="D123" s="15">
        <v>7015.7</v>
      </c>
      <c r="E123" s="15">
        <v>6858.9</v>
      </c>
      <c r="F123" s="15">
        <v>7307.2</v>
      </c>
      <c r="G123" s="15">
        <v>1230.15</v>
      </c>
      <c r="H123" s="15">
        <v>307.45</v>
      </c>
      <c r="I123" s="15">
        <v>182.4</v>
      </c>
      <c r="J123" s="15">
        <v>-150.1</v>
      </c>
      <c r="K123" s="15">
        <v>18</v>
      </c>
      <c r="L123" s="15">
        <v>156.2</v>
      </c>
      <c r="M123" s="15">
        <v>-269.5</v>
      </c>
      <c r="N123" s="15">
        <v>43.5</v>
      </c>
      <c r="O123" s="15">
        <v>2132.3</v>
      </c>
      <c r="P123" s="15">
        <v>47.1</v>
      </c>
      <c r="Q123" s="15">
        <v>1372</v>
      </c>
      <c r="R123" s="15">
        <v>1815</v>
      </c>
      <c r="S123" s="15">
        <v>1451</v>
      </c>
      <c r="T123" s="15">
        <v>-400</v>
      </c>
      <c r="U123" s="15">
        <v>-894</v>
      </c>
      <c r="V123" s="15">
        <f>W123/1000000000</f>
        <v>94823.9792128</v>
      </c>
      <c r="W123" s="15">
        <v>94823979212800</v>
      </c>
      <c r="X123" t="s" s="44">
        <f>$A123</f>
        <v>275</v>
      </c>
      <c r="Y123" t="s" s="44">
        <f>Y$2</f>
        <v>153</v>
      </c>
      <c r="Z123" s="35">
        <f>F123/B123-1</f>
        <v>0.0860395642287056</v>
      </c>
      <c r="AA123" t="s" s="44">
        <f>Y123</f>
        <v>153</v>
      </c>
      <c r="AB123" s="16">
        <f>SUM(H123:K123)/V123</f>
        <v>0.00377277987034432</v>
      </c>
      <c r="AC123" t="s" s="44">
        <f>AA123</f>
        <v>153</v>
      </c>
      <c r="AD123" s="35">
        <f>SUM(M123:P123)/V123</f>
        <v>0.020600274489813</v>
      </c>
      <c r="AE123" t="s" s="44">
        <f>AC123</f>
        <v>153</v>
      </c>
      <c r="AF123" s="16">
        <f>U123/V123</f>
        <v>-0.009427994979979931</v>
      </c>
      <c r="AG123" s="15">
        <v>2050</v>
      </c>
      <c r="AH123" s="15">
        <v>2133.274951849090</v>
      </c>
    </row>
    <row r="124" ht="20.05" customHeight="1">
      <c r="A124" t="s" s="56">
        <v>276</v>
      </c>
      <c r="B124" s="14">
        <v>1121</v>
      </c>
      <c r="C124" s="15">
        <v>1197</v>
      </c>
      <c r="D124" s="15">
        <v>1182</v>
      </c>
      <c r="E124" s="15">
        <v>1060.4</v>
      </c>
      <c r="F124" s="15">
        <v>1332.8</v>
      </c>
      <c r="G124" s="15">
        <v>30</v>
      </c>
      <c r="H124" s="15">
        <v>38</v>
      </c>
      <c r="I124" s="15">
        <v>-19</v>
      </c>
      <c r="J124" s="15">
        <v>-32.3</v>
      </c>
      <c r="K124" s="15">
        <v>47.4</v>
      </c>
      <c r="L124" s="15">
        <v>1</v>
      </c>
      <c r="M124" s="15">
        <v>-11</v>
      </c>
      <c r="N124" s="15">
        <v>197</v>
      </c>
      <c r="O124" s="15">
        <v>-185.1</v>
      </c>
      <c r="P124" s="15">
        <v>2.05</v>
      </c>
      <c r="Q124" s="15">
        <v>-443</v>
      </c>
      <c r="R124" s="15">
        <v>-411</v>
      </c>
      <c r="S124" s="15">
        <v>-498</v>
      </c>
      <c r="T124" s="15">
        <v>-410</v>
      </c>
      <c r="U124" s="15">
        <v>-463</v>
      </c>
      <c r="V124" s="15">
        <v>9694</v>
      </c>
      <c r="W124" s="15">
        <v>9792250000000</v>
      </c>
      <c r="X124" t="s" s="44">
        <f>$A124</f>
        <v>276</v>
      </c>
      <c r="Y124" t="s" s="44">
        <f>Y$2</f>
        <v>153</v>
      </c>
      <c r="Z124" s="35">
        <f>F124/B124-1</f>
        <v>0.188938447814451</v>
      </c>
      <c r="AA124" t="s" s="44">
        <f>Y124</f>
        <v>153</v>
      </c>
      <c r="AB124" s="16">
        <f>SUM(H124:K124)/V124</f>
        <v>0.00351763977718176</v>
      </c>
      <c r="AC124" t="s" s="44">
        <f>AA124</f>
        <v>153</v>
      </c>
      <c r="AD124" s="35">
        <f>SUM(M124:P124)/V124</f>
        <v>0.00030431194553332</v>
      </c>
      <c r="AE124" t="s" s="44">
        <f>AC124</f>
        <v>153</v>
      </c>
      <c r="AF124" s="16">
        <f>U124/V124</f>
        <v>-0.0477615019599752</v>
      </c>
      <c r="AG124" s="15">
        <v>7475</v>
      </c>
      <c r="AH124" s="15">
        <v>7617.469578011320</v>
      </c>
    </row>
    <row r="125" ht="20.05" customHeight="1">
      <c r="A125" t="s" s="56">
        <v>277</v>
      </c>
      <c r="B125" s="14">
        <v>231.7</v>
      </c>
      <c r="C125" s="15">
        <v>264.1</v>
      </c>
      <c r="D125" s="15">
        <v>215</v>
      </c>
      <c r="E125" s="15">
        <v>243</v>
      </c>
      <c r="F125" s="15">
        <v>289.1</v>
      </c>
      <c r="G125" s="15">
        <v>6.279</v>
      </c>
      <c r="H125" s="15">
        <v>-19.465</v>
      </c>
      <c r="I125" s="15">
        <v>110</v>
      </c>
      <c r="J125" s="15">
        <v>4.1</v>
      </c>
      <c r="K125" s="15">
        <v>35.1</v>
      </c>
      <c r="L125" s="15">
        <v>16.421</v>
      </c>
      <c r="M125" s="15">
        <v>76.565</v>
      </c>
      <c r="N125" s="15">
        <v>14</v>
      </c>
      <c r="O125" s="15">
        <v>20.9</v>
      </c>
      <c r="P125" s="15">
        <v>28.2</v>
      </c>
      <c r="Q125" s="15">
        <v>-1719</v>
      </c>
      <c r="R125" s="15">
        <v>-1726.2</v>
      </c>
      <c r="S125" s="15">
        <v>-1600.4</v>
      </c>
      <c r="T125" s="15">
        <v>-1584.4</v>
      </c>
      <c r="U125" s="15">
        <v>-357</v>
      </c>
      <c r="V125" s="15">
        <v>87785</v>
      </c>
      <c r="W125" s="15">
        <v>0</v>
      </c>
      <c r="X125" t="s" s="44">
        <f>$A125</f>
        <v>277</v>
      </c>
      <c r="Y125" t="s" s="44">
        <f>Y$2</f>
        <v>153</v>
      </c>
      <c r="Z125" s="35">
        <f>F125/B125-1</f>
        <v>0.24773413897281</v>
      </c>
      <c r="AA125" t="s" s="44">
        <f>Y125</f>
        <v>153</v>
      </c>
      <c r="AB125" s="16">
        <f>SUM(H125:K125)/V125</f>
        <v>0.00147787207381671</v>
      </c>
      <c r="AC125" t="s" s="44">
        <f>AA125</f>
        <v>153</v>
      </c>
      <c r="AD125" s="35">
        <f>SUM(M125:P125)/V125</f>
        <v>0.00159098934897762</v>
      </c>
      <c r="AE125" t="s" s="44">
        <f>AC125</f>
        <v>153</v>
      </c>
      <c r="AF125" s="16">
        <f>U125/V125</f>
        <v>-0.00406675400125306</v>
      </c>
      <c r="AG125" s="15">
        <v>37750</v>
      </c>
      <c r="AH125" s="15">
        <v>26268.2332829946</v>
      </c>
    </row>
    <row r="126" ht="20.05" customHeight="1">
      <c r="A126" t="s" s="56">
        <v>278</v>
      </c>
      <c r="B126" s="14">
        <v>21945.8</v>
      </c>
      <c r="C126" s="15">
        <v>22757.2</v>
      </c>
      <c r="D126" s="15">
        <v>22529.4</v>
      </c>
      <c r="E126" s="15">
        <v>22636.3</v>
      </c>
      <c r="F126" s="15">
        <v>23640.3</v>
      </c>
      <c r="G126" s="15">
        <v>11616</v>
      </c>
      <c r="H126" s="15">
        <v>10405.4</v>
      </c>
      <c r="I126" s="15">
        <v>-19919.1</v>
      </c>
      <c r="J126" s="15">
        <v>84350.399999999994</v>
      </c>
      <c r="K126" s="15">
        <v>-73577.3</v>
      </c>
      <c r="L126" s="15">
        <v>-368</v>
      </c>
      <c r="M126" s="15">
        <v>2846</v>
      </c>
      <c r="N126" s="15">
        <v>57.6</v>
      </c>
      <c r="O126" s="15">
        <v>15025.2</v>
      </c>
      <c r="P126" s="15">
        <v>-388.8</v>
      </c>
      <c r="Q126" s="17"/>
      <c r="R126" s="17"/>
      <c r="S126" s="17"/>
      <c r="T126" s="17"/>
      <c r="U126" s="17"/>
      <c r="V126" s="15">
        <f>W126/1000000000</f>
        <v>992363.7649408</v>
      </c>
      <c r="W126" s="15">
        <v>992363764940800</v>
      </c>
      <c r="X126" t="s" s="44">
        <f>$A126</f>
        <v>278</v>
      </c>
      <c r="Y126" t="s" s="44">
        <f>Y$2</f>
        <v>153</v>
      </c>
      <c r="Z126" s="35">
        <f>F126/B126-1</f>
        <v>0.0772129519087935</v>
      </c>
      <c r="AA126" t="s" s="44">
        <f>Y126</f>
        <v>153</v>
      </c>
      <c r="AB126" s="16">
        <f>SUM(H126:K126)/V126</f>
        <v>0.00126909107778147</v>
      </c>
      <c r="AC126" t="s" s="44">
        <f>AA126</f>
        <v>153</v>
      </c>
      <c r="AD126" s="35">
        <f>SUM(M126:P126)/V126</f>
        <v>0.0176749702273202</v>
      </c>
      <c r="AE126" t="s" s="44">
        <f>AC126</f>
        <v>153</v>
      </c>
      <c r="AF126" s="16">
        <f>U126/V126</f>
        <v>0</v>
      </c>
      <c r="AG126" s="15">
        <v>8050</v>
      </c>
      <c r="AH126" s="15">
        <v>9463</v>
      </c>
    </row>
    <row r="127" ht="20.05" customHeight="1">
      <c r="A127" t="s" s="56">
        <v>279</v>
      </c>
      <c r="B127" s="14">
        <v>279</v>
      </c>
      <c r="C127" s="15">
        <v>278</v>
      </c>
      <c r="D127" s="15">
        <v>302</v>
      </c>
      <c r="E127" s="15">
        <v>298</v>
      </c>
      <c r="F127" s="15">
        <v>269.2</v>
      </c>
      <c r="G127" s="15">
        <v>51.3</v>
      </c>
      <c r="H127" s="15">
        <v>-21</v>
      </c>
      <c r="I127" s="15">
        <v>41.5</v>
      </c>
      <c r="J127" s="15">
        <v>-0.8</v>
      </c>
      <c r="K127" s="15">
        <v>-20.1</v>
      </c>
      <c r="L127" s="15">
        <v>54.8</v>
      </c>
      <c r="M127" s="15">
        <v>-1</v>
      </c>
      <c r="N127" s="15">
        <v>0.4</v>
      </c>
      <c r="O127" s="15">
        <v>106.6</v>
      </c>
      <c r="P127" s="15">
        <v>0.1</v>
      </c>
      <c r="Q127" s="15">
        <v>-32</v>
      </c>
      <c r="R127" s="15">
        <v>-146</v>
      </c>
      <c r="S127" s="15">
        <v>-77</v>
      </c>
      <c r="T127" s="15">
        <v>-160</v>
      </c>
      <c r="U127" s="15">
        <v>-115</v>
      </c>
      <c r="V127" s="15">
        <f>W127/1000000000</f>
        <v>2145.92</v>
      </c>
      <c r="W127" s="15">
        <v>2145920000000</v>
      </c>
      <c r="X127" t="s" s="44">
        <f>$A127</f>
        <v>279</v>
      </c>
      <c r="Y127" t="s" s="44">
        <f>Y$2</f>
        <v>153</v>
      </c>
      <c r="Z127" s="35">
        <f>F127/B127-1</f>
        <v>-0.0351254480286738</v>
      </c>
      <c r="AA127" t="s" s="44">
        <f>Y127</f>
        <v>153</v>
      </c>
      <c r="AB127" s="16">
        <f>SUM(H127:K127)/V127</f>
        <v>-0.000186400238592305</v>
      </c>
      <c r="AC127" t="s" s="44">
        <f>AA127</f>
        <v>153</v>
      </c>
      <c r="AD127" s="35">
        <f>SUM(M127:P127)/V127</f>
        <v>0.049442663286609</v>
      </c>
      <c r="AE127" t="s" s="44">
        <f>AC127</f>
        <v>153</v>
      </c>
      <c r="AF127" s="16">
        <f>U127/V127</f>
        <v>-0.0535900685952878</v>
      </c>
      <c r="AG127" s="15">
        <v>4790</v>
      </c>
      <c r="AH127" s="15">
        <v>7773.0629654765</v>
      </c>
    </row>
    <row r="128" ht="20.05" customHeight="1">
      <c r="A128" t="s" s="56">
        <v>280</v>
      </c>
      <c r="B128" s="14">
        <v>12602.9088</v>
      </c>
      <c r="C128" s="15">
        <v>14414.895</v>
      </c>
      <c r="D128" s="15">
        <v>14265.3939</v>
      </c>
      <c r="E128" s="15">
        <v>13858.098</v>
      </c>
      <c r="F128" s="15">
        <v>16601.7555</v>
      </c>
      <c r="G128" s="15">
        <v>2924.3448</v>
      </c>
      <c r="H128" s="15">
        <v>-1811.4975</v>
      </c>
      <c r="I128" s="15">
        <v>1200.6026</v>
      </c>
      <c r="J128" s="15">
        <v>-894.26</v>
      </c>
      <c r="K128" s="15">
        <v>1319.22</v>
      </c>
      <c r="L128" s="15">
        <v>544.4640000000001</v>
      </c>
      <c r="M128" s="15">
        <v>-3043.43</v>
      </c>
      <c r="N128" s="15">
        <v>-1978.5587</v>
      </c>
      <c r="O128" s="15">
        <v>3417.246</v>
      </c>
      <c r="P128" s="15">
        <v>-841.788</v>
      </c>
      <c r="Q128" s="15">
        <v>-43428.168</v>
      </c>
      <c r="R128" s="15">
        <v>-45123.275</v>
      </c>
      <c r="S128" s="15">
        <v>-44771.875</v>
      </c>
      <c r="T128" s="15">
        <v>-45973.76</v>
      </c>
      <c r="U128" s="15">
        <v>-46266.93</v>
      </c>
      <c r="V128" s="15">
        <f>W128/1000000000</f>
        <v>47187.203328</v>
      </c>
      <c r="W128" s="15">
        <v>47187203328000</v>
      </c>
      <c r="X128" t="s" s="44">
        <f>$A128</f>
        <v>280</v>
      </c>
      <c r="Y128" t="s" s="44">
        <f>Y$2</f>
        <v>153</v>
      </c>
      <c r="Z128" s="35">
        <f>F128/B128-1</f>
        <v>0.317295535773456</v>
      </c>
      <c r="AA128" t="s" s="44">
        <f>Y128</f>
        <v>153</v>
      </c>
      <c r="AB128" s="16">
        <f>SUM(H128:K128)/V128</f>
        <v>-0.00394036702509279</v>
      </c>
      <c r="AC128" t="s" s="44">
        <f>AA128</f>
        <v>153</v>
      </c>
      <c r="AD128" s="35">
        <f>SUM(M128:P128)/V128</f>
        <v>-0.0518473341807115</v>
      </c>
      <c r="AE128" t="s" s="44">
        <f>AC128</f>
        <v>153</v>
      </c>
      <c r="AF128" s="16">
        <f>U128/V128</f>
        <v>-0.980497396262221</v>
      </c>
      <c r="AG128" s="15">
        <v>8625</v>
      </c>
      <c r="AH128" s="15">
        <v>15743.5501276916</v>
      </c>
    </row>
    <row r="129" ht="20.05" customHeight="1">
      <c r="A129" t="s" s="56">
        <v>281</v>
      </c>
      <c r="B129" s="14">
        <v>113.3</v>
      </c>
      <c r="C129" s="15">
        <v>113.2</v>
      </c>
      <c r="D129" s="15">
        <v>137.8</v>
      </c>
      <c r="E129" s="15">
        <v>140.5</v>
      </c>
      <c r="F129" s="15">
        <v>300.9</v>
      </c>
      <c r="G129" s="15">
        <v>74.40000000000001</v>
      </c>
      <c r="H129" s="15">
        <v>51.5</v>
      </c>
      <c r="I129" s="15">
        <v>-140.2</v>
      </c>
      <c r="J129" s="15">
        <v>-68.59999999999999</v>
      </c>
      <c r="K129" s="15">
        <v>150.8</v>
      </c>
      <c r="L129" s="15">
        <v>75.8</v>
      </c>
      <c r="M129" s="15">
        <v>27.2</v>
      </c>
      <c r="N129" s="15">
        <v>-83.5</v>
      </c>
      <c r="O129" s="15">
        <v>22.9</v>
      </c>
      <c r="P129" s="15">
        <v>163.2</v>
      </c>
      <c r="Q129" s="26">
        <v>-1213</v>
      </c>
      <c r="R129" s="26">
        <v>-1766</v>
      </c>
      <c r="S129" s="26">
        <v>-499</v>
      </c>
      <c r="T129" s="26">
        <v>-1268</v>
      </c>
      <c r="U129" s="26">
        <v>-1587</v>
      </c>
      <c r="V129" s="15">
        <f>W129/1000000000</f>
        <v>1464.515846144</v>
      </c>
      <c r="W129" s="15">
        <v>1464515846144</v>
      </c>
      <c r="X129" t="s" s="44">
        <f>$A129</f>
        <v>281</v>
      </c>
      <c r="Y129" t="s" s="44">
        <f>Y$2</f>
        <v>153</v>
      </c>
      <c r="Z129" s="35">
        <f>F129/B129-1</f>
        <v>1.65578111209179</v>
      </c>
      <c r="AA129" t="s" s="44">
        <f>Y129</f>
        <v>153</v>
      </c>
      <c r="AB129" s="16">
        <f>SUM(H129:K129)/V129</f>
        <v>-0.00443832684850368</v>
      </c>
      <c r="AC129" t="s" s="44">
        <f>AA129</f>
        <v>153</v>
      </c>
      <c r="AD129" s="35">
        <f>SUM(M129:P129)/V129</f>
        <v>0.08862997306704271</v>
      </c>
      <c r="AE129" t="s" s="44">
        <f>AC129</f>
        <v>153</v>
      </c>
      <c r="AF129" s="16">
        <f>U129/V129</f>
        <v>-1.08363457055005</v>
      </c>
      <c r="AG129" s="15">
        <v>206</v>
      </c>
      <c r="AH129" s="15">
        <v>222.455160094136</v>
      </c>
    </row>
    <row r="130" ht="20.05" customHeight="1">
      <c r="A130" t="s" s="56">
        <v>282</v>
      </c>
      <c r="B130" s="14">
        <v>2564</v>
      </c>
      <c r="C130" s="15">
        <v>2812</v>
      </c>
      <c r="D130" s="15">
        <v>2356.7</v>
      </c>
      <c r="E130" s="15">
        <v>2591</v>
      </c>
      <c r="F130" s="15">
        <v>2998.2</v>
      </c>
      <c r="G130" s="15">
        <v>2272</v>
      </c>
      <c r="H130" s="15">
        <v>4960</v>
      </c>
      <c r="I130" s="15">
        <v>-3853.7</v>
      </c>
      <c r="J130" s="15">
        <v>982.2</v>
      </c>
      <c r="K130" s="15">
        <v>-2454.4</v>
      </c>
      <c r="L130" s="15">
        <v>0</v>
      </c>
      <c r="M130" s="15">
        <v>-4</v>
      </c>
      <c r="N130" s="15">
        <v>3085</v>
      </c>
      <c r="O130" s="15">
        <v>-744.8</v>
      </c>
      <c r="P130" s="15">
        <v>-854</v>
      </c>
      <c r="Q130" s="17"/>
      <c r="R130" s="17"/>
      <c r="S130" s="17"/>
      <c r="T130" s="17"/>
      <c r="U130" s="17"/>
      <c r="V130" s="15">
        <f>W130/1000000000</f>
        <v>63107.339392</v>
      </c>
      <c r="W130" s="15">
        <v>63107339392000</v>
      </c>
      <c r="X130" t="s" s="44">
        <f>$A130</f>
        <v>282</v>
      </c>
      <c r="Y130" t="s" s="44">
        <f>Y$2</f>
        <v>153</v>
      </c>
      <c r="Z130" s="35">
        <f>F130/B130-1</f>
        <v>0.169344773790952</v>
      </c>
      <c r="AA130" t="s" s="44">
        <f>Y130</f>
        <v>153</v>
      </c>
      <c r="AB130" s="16">
        <f>SUM(H130:K130)/V130</f>
        <v>-0.0057980577778309</v>
      </c>
      <c r="AC130" t="s" s="44">
        <f>AA130</f>
        <v>153</v>
      </c>
      <c r="AD130" s="35">
        <f>SUM(M130:P130)/V130</f>
        <v>0.0234869670355315</v>
      </c>
      <c r="AE130" t="s" s="44">
        <f>AC130</f>
        <v>153</v>
      </c>
      <c r="AF130" s="16">
        <f>U130/V130</f>
        <v>0</v>
      </c>
      <c r="AG130" s="15">
        <v>5375</v>
      </c>
      <c r="AH130" s="15">
        <v>4916.858234096680</v>
      </c>
    </row>
    <row r="131" ht="20.05" customHeight="1">
      <c r="A131" t="s" s="56">
        <v>283</v>
      </c>
      <c r="B131" s="14">
        <v>3255.3216</v>
      </c>
      <c r="C131" s="15">
        <v>3503.085</v>
      </c>
      <c r="D131" s="15">
        <v>3889.7805</v>
      </c>
      <c r="E131" s="15">
        <v>3574.108</v>
      </c>
      <c r="F131" s="15">
        <v>3788.046</v>
      </c>
      <c r="G131" s="15">
        <v>-65.9088</v>
      </c>
      <c r="H131" s="15">
        <v>-278.3625</v>
      </c>
      <c r="I131" s="15">
        <v>166.1932</v>
      </c>
      <c r="J131" s="15">
        <v>272.676</v>
      </c>
      <c r="K131" s="15">
        <v>-186.8895</v>
      </c>
      <c r="L131" s="15">
        <v>127.146672</v>
      </c>
      <c r="M131" s="15">
        <v>-440.169625</v>
      </c>
      <c r="N131" s="15">
        <v>54.4426</v>
      </c>
      <c r="O131" s="15">
        <v>359.17</v>
      </c>
      <c r="P131" s="15">
        <v>380.061</v>
      </c>
      <c r="Q131" s="15">
        <v>-5287.032</v>
      </c>
      <c r="R131" s="15">
        <v>-5581.525</v>
      </c>
      <c r="S131" s="15">
        <v>-5472.914</v>
      </c>
      <c r="T131" s="15">
        <v>-5849.34</v>
      </c>
      <c r="U131" s="15">
        <v>-6203.475</v>
      </c>
      <c r="V131" s="15">
        <f>W131/1000000000</f>
        <v>3648.0124</v>
      </c>
      <c r="W131" s="15">
        <v>3648012400000</v>
      </c>
      <c r="X131" t="s" s="44">
        <f>$A131</f>
        <v>283</v>
      </c>
      <c r="Y131" t="s" s="44">
        <f>Y$2</f>
        <v>153</v>
      </c>
      <c r="Z131" s="35">
        <f>F131/B131-1</f>
        <v>0.163647241489136</v>
      </c>
      <c r="AA131" t="s" s="44">
        <f>Y131</f>
        <v>153</v>
      </c>
      <c r="AB131" s="16">
        <f>SUM(H131:K131)/V131</f>
        <v>-0.00723210261017753</v>
      </c>
      <c r="AC131" t="s" s="44">
        <f>AA131</f>
        <v>153</v>
      </c>
      <c r="AD131" s="35">
        <f>SUM(M131:P131)/V131</f>
        <v>0.0969031725330758</v>
      </c>
      <c r="AE131" t="s" s="44">
        <f>AC131</f>
        <v>153</v>
      </c>
      <c r="AF131" s="16">
        <f>U131/V131</f>
        <v>-1.70050820002695</v>
      </c>
      <c r="AG131" s="15">
        <v>5575</v>
      </c>
      <c r="AH131" s="15">
        <v>6418.604216940180</v>
      </c>
    </row>
    <row r="132" ht="20.05" customHeight="1">
      <c r="A132" t="s" s="56">
        <v>284</v>
      </c>
      <c r="B132" s="14">
        <v>2244.1</v>
      </c>
      <c r="C132" s="15">
        <v>2417.7</v>
      </c>
      <c r="D132" s="15">
        <v>2547</v>
      </c>
      <c r="E132" s="15">
        <v>2514.3</v>
      </c>
      <c r="F132" s="15">
        <v>2528</v>
      </c>
      <c r="G132" s="15">
        <v>279.38</v>
      </c>
      <c r="H132" s="15">
        <v>-19.8</v>
      </c>
      <c r="I132" s="15">
        <v>195.2</v>
      </c>
      <c r="J132" s="15">
        <v>-230</v>
      </c>
      <c r="K132" s="15">
        <v>15.7</v>
      </c>
      <c r="L132" s="15">
        <v>155.836</v>
      </c>
      <c r="M132" s="15">
        <v>117.164</v>
      </c>
      <c r="N132" s="15">
        <v>31.9</v>
      </c>
      <c r="O132" s="15">
        <v>33.9</v>
      </c>
      <c r="P132" s="15">
        <v>222.1</v>
      </c>
      <c r="Q132" s="15">
        <v>-1366</v>
      </c>
      <c r="R132" s="15">
        <v>-1381</v>
      </c>
      <c r="S132" s="15">
        <v>-1365</v>
      </c>
      <c r="T132" s="15">
        <v>-1666</v>
      </c>
      <c r="U132" s="15">
        <v>-1710</v>
      </c>
      <c r="V132" s="15">
        <f>W132/1000000000</f>
        <v>4702.6569408</v>
      </c>
      <c r="W132" s="15">
        <v>4702656940800</v>
      </c>
      <c r="X132" t="s" s="44">
        <f>$A132</f>
        <v>284</v>
      </c>
      <c r="Y132" t="s" s="44">
        <f>Y$2</f>
        <v>153</v>
      </c>
      <c r="Z132" s="35">
        <f>F132/B132-1</f>
        <v>0.126509513836282</v>
      </c>
      <c r="AA132" t="s" s="44">
        <f>Y132</f>
        <v>153</v>
      </c>
      <c r="AB132" s="16">
        <f>SUM(H132:K132)/V132</f>
        <v>-0.008271919574338</v>
      </c>
      <c r="AC132" t="s" s="44">
        <f>AA132</f>
        <v>153</v>
      </c>
      <c r="AD132" s="35">
        <f>SUM(M132:P132)/V132</f>
        <v>0.086135137029811</v>
      </c>
      <c r="AE132" t="s" s="44">
        <f>AC132</f>
        <v>153</v>
      </c>
      <c r="AF132" s="16">
        <f>U132/V132</f>
        <v>-0.363624228075013</v>
      </c>
      <c r="AG132" s="15">
        <v>1135</v>
      </c>
      <c r="AH132" s="15">
        <v>1906.278793674070</v>
      </c>
    </row>
    <row r="133" ht="20.05" customHeight="1">
      <c r="A133" t="s" s="56">
        <v>285</v>
      </c>
      <c r="B133" s="14">
        <v>526.4</v>
      </c>
      <c r="C133" s="15">
        <v>663.5</v>
      </c>
      <c r="D133" s="15">
        <v>314.4</v>
      </c>
      <c r="E133" s="15">
        <v>451</v>
      </c>
      <c r="F133" s="15">
        <v>246.2</v>
      </c>
      <c r="G133" s="15">
        <v>-44.2</v>
      </c>
      <c r="H133" s="15">
        <v>76.8</v>
      </c>
      <c r="I133" s="15">
        <v>67.40000000000001</v>
      </c>
      <c r="J133" s="15">
        <v>-132.3</v>
      </c>
      <c r="K133" s="15">
        <v>-41.1</v>
      </c>
      <c r="L133" s="15">
        <v>169.4</v>
      </c>
      <c r="M133" s="15">
        <v>78</v>
      </c>
      <c r="N133" s="15">
        <v>69.40000000000001</v>
      </c>
      <c r="O133" s="15">
        <v>51.5</v>
      </c>
      <c r="P133" s="15">
        <v>-64.7</v>
      </c>
      <c r="Q133" s="15">
        <v>-2395</v>
      </c>
      <c r="R133" s="15">
        <v>-2352.3</v>
      </c>
      <c r="S133" s="15">
        <v>-2326</v>
      </c>
      <c r="T133" s="15">
        <v>-2346</v>
      </c>
      <c r="U133" s="15">
        <v>-2496</v>
      </c>
      <c r="V133" s="15">
        <f>W133/1000000000</f>
        <v>2532.22212096</v>
      </c>
      <c r="W133" s="15">
        <v>2532222120960</v>
      </c>
      <c r="X133" t="s" s="44">
        <f>$A133</f>
        <v>285</v>
      </c>
      <c r="Y133" t="s" s="44">
        <f>Y$2</f>
        <v>153</v>
      </c>
      <c r="Z133" s="35">
        <f>F133/B133-1</f>
        <v>-0.5322948328267481</v>
      </c>
      <c r="AA133" t="s" s="44">
        <f>Y133</f>
        <v>153</v>
      </c>
      <c r="AB133" s="16">
        <f>SUM(H133:K133)/V133</f>
        <v>-0.0115313738705236</v>
      </c>
      <c r="AC133" t="s" s="44">
        <f>AA133</f>
        <v>153</v>
      </c>
      <c r="AD133" s="35">
        <f>SUM(M133:P133)/V133</f>
        <v>0.0529969305967215</v>
      </c>
      <c r="AE133" t="s" s="44">
        <f>AC133</f>
        <v>153</v>
      </c>
      <c r="AF133" s="16">
        <f>U133/V133</f>
        <v>-0.985695519891333</v>
      </c>
      <c r="AG133" s="15">
        <v>945</v>
      </c>
      <c r="AH133" s="15">
        <v>1110.855177511760</v>
      </c>
    </row>
    <row r="134" ht="20.05" customHeight="1">
      <c r="A134" t="s" s="56">
        <v>286</v>
      </c>
      <c r="B134" s="14">
        <v>12124.3</v>
      </c>
      <c r="C134" s="15">
        <v>14104.9</v>
      </c>
      <c r="D134" s="15">
        <v>14295.4</v>
      </c>
      <c r="E134" s="15">
        <v>14341.9</v>
      </c>
      <c r="F134" s="15">
        <v>14801.4</v>
      </c>
      <c r="G134" s="15">
        <v>-1310.27</v>
      </c>
      <c r="H134" s="15">
        <v>-445.807</v>
      </c>
      <c r="I134" s="15">
        <v>592.9</v>
      </c>
      <c r="J134" s="15">
        <v>-1388.9</v>
      </c>
      <c r="K134" s="15">
        <v>-519.4</v>
      </c>
      <c r="L134" s="15">
        <v>436.576</v>
      </c>
      <c r="M134" s="15">
        <v>-380.107</v>
      </c>
      <c r="N134" s="15">
        <v>200</v>
      </c>
      <c r="O134" s="15">
        <v>-695.7</v>
      </c>
      <c r="P134" s="15">
        <v>-373.9</v>
      </c>
      <c r="Q134" s="15">
        <v>-8723</v>
      </c>
      <c r="R134" s="15">
        <v>-8493</v>
      </c>
      <c r="S134" s="15">
        <v>-7936</v>
      </c>
      <c r="T134" s="15">
        <v>-11555</v>
      </c>
      <c r="U134" s="15">
        <v>-11451</v>
      </c>
      <c r="V134" s="15">
        <f>W134/1000000000</f>
        <v>101667.6007936</v>
      </c>
      <c r="W134" s="15">
        <v>101667600793600</v>
      </c>
      <c r="X134" t="s" s="44">
        <f>$A134</f>
        <v>286</v>
      </c>
      <c r="Y134" t="s" s="44">
        <f>Y$2</f>
        <v>153</v>
      </c>
      <c r="Z134" s="35">
        <f>F134/B134-1</f>
        <v>0.220804500053611</v>
      </c>
      <c r="AA134" t="s" s="44">
        <f>Y134</f>
        <v>153</v>
      </c>
      <c r="AB134" s="16">
        <f>SUM(H134:K134)/V134</f>
        <v>-0.0173231883732115</v>
      </c>
      <c r="AC134" t="s" s="44">
        <f>AA134</f>
        <v>153</v>
      </c>
      <c r="AD134" s="35">
        <f>SUM(M134:P134)/V134</f>
        <v>-0.0122920870586598</v>
      </c>
      <c r="AE134" t="s" s="44">
        <f>AC134</f>
        <v>153</v>
      </c>
      <c r="AF134" s="16">
        <f>U134/V134</f>
        <v>-0.112631752009642</v>
      </c>
      <c r="AG134" s="15">
        <v>6200</v>
      </c>
      <c r="AH134" s="15">
        <v>4809.984196431010</v>
      </c>
    </row>
    <row r="135" ht="20.05" customHeight="1">
      <c r="A135" t="s" s="56">
        <v>287</v>
      </c>
      <c r="B135" s="14">
        <v>691.8</v>
      </c>
      <c r="C135" s="15">
        <v>2513.4</v>
      </c>
      <c r="D135" s="15">
        <v>1223</v>
      </c>
      <c r="E135" s="15">
        <v>511.5</v>
      </c>
      <c r="F135" s="15">
        <v>1453.2</v>
      </c>
      <c r="G135" s="15">
        <v>-174.8</v>
      </c>
      <c r="H135" s="15">
        <v>496</v>
      </c>
      <c r="I135" s="15">
        <v>-152.1</v>
      </c>
      <c r="J135" s="15">
        <v>-140.1</v>
      </c>
      <c r="K135" s="15">
        <v>-417</v>
      </c>
      <c r="L135" s="15">
        <v>1455.5</v>
      </c>
      <c r="M135" s="15">
        <v>322.9</v>
      </c>
      <c r="N135" s="15">
        <v>425</v>
      </c>
      <c r="O135" s="15">
        <v>-453.7</v>
      </c>
      <c r="P135" s="15">
        <v>-49.7</v>
      </c>
      <c r="Q135" s="15">
        <v>-3369</v>
      </c>
      <c r="R135" s="15">
        <v>-3772</v>
      </c>
      <c r="S135" s="15">
        <v>-4362</v>
      </c>
      <c r="T135" s="15">
        <v>-4207</v>
      </c>
      <c r="U135" s="15">
        <v>-4724</v>
      </c>
      <c r="V135" s="15">
        <f>W135/1000000000</f>
        <v>10299.98828032</v>
      </c>
      <c r="W135" s="15">
        <v>10299988280320</v>
      </c>
      <c r="X135" t="s" s="44">
        <f>$A135</f>
        <v>287</v>
      </c>
      <c r="Y135" t="s" s="44">
        <f>Y$2</f>
        <v>153</v>
      </c>
      <c r="Z135" s="35">
        <f>F135/B135-1</f>
        <v>1.10060711188205</v>
      </c>
      <c r="AA135" t="s" s="44">
        <f>Y135</f>
        <v>153</v>
      </c>
      <c r="AB135" s="16">
        <f>SUM(H135:K135)/V135</f>
        <v>-0.020699052678279</v>
      </c>
      <c r="AC135" t="s" s="44">
        <f>AA135</f>
        <v>153</v>
      </c>
      <c r="AD135" s="35">
        <f>SUM(M135:P135)/V135</f>
        <v>0.023737891087426</v>
      </c>
      <c r="AE135" t="s" s="44">
        <f>AC135</f>
        <v>153</v>
      </c>
      <c r="AF135" s="16">
        <f>U135/V135</f>
        <v>-0.458641298556238</v>
      </c>
      <c r="AG135" s="15">
        <v>1895</v>
      </c>
      <c r="AH135" s="15">
        <v>1600.751449597020</v>
      </c>
    </row>
    <row r="136" ht="20.05" customHeight="1">
      <c r="A136" t="s" s="56">
        <v>288</v>
      </c>
      <c r="B136" s="14">
        <v>273.6</v>
      </c>
      <c r="C136" s="15">
        <v>300.6</v>
      </c>
      <c r="D136" s="15">
        <v>307.7</v>
      </c>
      <c r="E136" s="15">
        <v>347.4</v>
      </c>
      <c r="F136" s="15">
        <v>359.4</v>
      </c>
      <c r="G136" s="15">
        <v>9.9</v>
      </c>
      <c r="H136" s="15">
        <v>13.1</v>
      </c>
      <c r="I136" s="15">
        <v>53.7</v>
      </c>
      <c r="J136" s="15">
        <v>-90.7</v>
      </c>
      <c r="K136" s="15">
        <v>-89.7</v>
      </c>
      <c r="L136" s="15">
        <v>83.40000000000001</v>
      </c>
      <c r="M136" s="15">
        <v>21.4</v>
      </c>
      <c r="N136" s="15">
        <v>33</v>
      </c>
      <c r="O136" s="15">
        <v>-86.59999999999999</v>
      </c>
      <c r="P136" s="15">
        <v>-74.90000000000001</v>
      </c>
      <c r="Q136" s="15">
        <v>-353</v>
      </c>
      <c r="R136" s="15">
        <v>-342</v>
      </c>
      <c r="S136" s="15">
        <v>-363</v>
      </c>
      <c r="T136" s="15">
        <v>-457</v>
      </c>
      <c r="U136" s="15">
        <v>-502</v>
      </c>
      <c r="V136" s="15">
        <f>W136/1000000000</f>
        <v>5477.680234496</v>
      </c>
      <c r="W136" s="15">
        <v>5477680234496</v>
      </c>
      <c r="X136" t="s" s="44">
        <f>$A136</f>
        <v>288</v>
      </c>
      <c r="Y136" t="s" s="44">
        <f>Y$2</f>
        <v>153</v>
      </c>
      <c r="Z136" s="35">
        <f>F136/B136-1</f>
        <v>0.31359649122807</v>
      </c>
      <c r="AA136" t="s" s="44">
        <f>Y136</f>
        <v>153</v>
      </c>
      <c r="AB136" s="16">
        <f>SUM(H136:K136)/V136</f>
        <v>-0.0207387060099999</v>
      </c>
      <c r="AC136" t="s" s="44">
        <f>AA136</f>
        <v>153</v>
      </c>
      <c r="AD136" s="35">
        <f>SUM(M136:P136)/V136</f>
        <v>-0.0195520723034418</v>
      </c>
      <c r="AE136" t="s" s="44">
        <f>AC136</f>
        <v>153</v>
      </c>
      <c r="AF136" s="16">
        <f>U136/V136</f>
        <v>-0.0916446339526405</v>
      </c>
      <c r="AG136" s="15">
        <v>458</v>
      </c>
      <c r="AH136" s="15">
        <v>336.386926442316</v>
      </c>
    </row>
    <row r="137" ht="20.05" customHeight="1">
      <c r="A137" t="s" s="56">
        <v>289</v>
      </c>
      <c r="B137" s="14">
        <v>696</v>
      </c>
      <c r="C137" s="15">
        <v>482.2</v>
      </c>
      <c r="D137" s="15">
        <v>487</v>
      </c>
      <c r="E137" s="15">
        <v>521.9</v>
      </c>
      <c r="F137" s="15">
        <v>609.6</v>
      </c>
      <c r="G137" s="15">
        <v>148.7</v>
      </c>
      <c r="H137" s="15">
        <v>-472.1</v>
      </c>
      <c r="I137" s="15">
        <v>271</v>
      </c>
      <c r="J137" s="15">
        <v>203.1</v>
      </c>
      <c r="K137" s="15">
        <v>-137.5</v>
      </c>
      <c r="L137" s="15">
        <v>381.8</v>
      </c>
      <c r="M137" s="15">
        <v>41.2</v>
      </c>
      <c r="N137" s="15">
        <v>43</v>
      </c>
      <c r="O137" s="15">
        <v>19</v>
      </c>
      <c r="P137" s="15">
        <v>284.5</v>
      </c>
      <c r="Q137" s="15">
        <v>-2569</v>
      </c>
      <c r="R137" s="15">
        <v>-3048</v>
      </c>
      <c r="S137" s="15">
        <v>-2961</v>
      </c>
      <c r="T137" s="15">
        <v>-3055</v>
      </c>
      <c r="U137" s="15">
        <v>-3167</v>
      </c>
      <c r="V137" s="15">
        <f>W137/1000000000</f>
        <v>6453.8496</v>
      </c>
      <c r="W137" s="15">
        <v>6453849600000</v>
      </c>
      <c r="X137" t="s" s="44">
        <f>$A137</f>
        <v>289</v>
      </c>
      <c r="Y137" t="s" s="44">
        <f>Y$2</f>
        <v>153</v>
      </c>
      <c r="Z137" s="35">
        <f>F137/B137-1</f>
        <v>-0.124137931034483</v>
      </c>
      <c r="AA137" t="s" s="44">
        <f>Y137</f>
        <v>153</v>
      </c>
      <c r="AB137" s="16">
        <f>SUM(H137:K137)/V137</f>
        <v>-0.0209952212087496</v>
      </c>
      <c r="AC137" t="s" s="44">
        <f>AA137</f>
        <v>153</v>
      </c>
      <c r="AD137" s="35">
        <f>SUM(M137:P137)/V137</f>
        <v>0.060072673524961</v>
      </c>
      <c r="AE137" t="s" s="44">
        <f>AC137</f>
        <v>153</v>
      </c>
      <c r="AF137" s="16">
        <f>U137/V137</f>
        <v>-0.490714875041402</v>
      </c>
      <c r="AG137" s="15">
        <v>484</v>
      </c>
      <c r="AH137" s="15">
        <v>412.163093554254</v>
      </c>
    </row>
    <row r="138" ht="20.05" customHeight="1">
      <c r="A138" t="s" s="56">
        <v>290</v>
      </c>
      <c r="B138" s="14">
        <v>874.3</v>
      </c>
      <c r="C138" s="15">
        <v>815.2</v>
      </c>
      <c r="D138" s="15">
        <v>689</v>
      </c>
      <c r="E138" s="15">
        <v>772</v>
      </c>
      <c r="F138" s="15">
        <v>649.8</v>
      </c>
      <c r="G138" s="15">
        <v>-144.2</v>
      </c>
      <c r="H138" s="15">
        <v>-407.7</v>
      </c>
      <c r="I138" s="15">
        <v>90.2</v>
      </c>
      <c r="J138" s="15">
        <v>143.5</v>
      </c>
      <c r="K138" s="15">
        <v>115.3</v>
      </c>
      <c r="L138" s="15">
        <v>-196.911</v>
      </c>
      <c r="M138" s="15">
        <v>-327.637</v>
      </c>
      <c r="N138" s="15">
        <v>63.7</v>
      </c>
      <c r="O138" s="15">
        <v>183.7</v>
      </c>
      <c r="P138" s="15">
        <v>114</v>
      </c>
      <c r="Q138" s="15">
        <v>-3557</v>
      </c>
      <c r="R138" s="15">
        <v>-4149</v>
      </c>
      <c r="S138" s="15">
        <v>-3324</v>
      </c>
      <c r="T138" s="15">
        <v>-3358</v>
      </c>
      <c r="U138" s="15">
        <v>-3200</v>
      </c>
      <c r="V138" s="15">
        <f>W138/1000000000</f>
        <v>2531.87997696</v>
      </c>
      <c r="W138" s="15">
        <v>2531879976960</v>
      </c>
      <c r="X138" t="s" s="44">
        <f>$A138</f>
        <v>290</v>
      </c>
      <c r="Y138" t="s" s="44">
        <f>Y$2</f>
        <v>153</v>
      </c>
      <c r="Z138" s="35">
        <f>F138/B138-1</f>
        <v>-0.25677685005147</v>
      </c>
      <c r="AA138" t="s" s="44">
        <f>Y138</f>
        <v>153</v>
      </c>
      <c r="AB138" s="16">
        <f>SUM(H138:K138)/V138</f>
        <v>-0.0231843533398769</v>
      </c>
      <c r="AC138" t="s" s="44">
        <f>AA138</f>
        <v>153</v>
      </c>
      <c r="AD138" s="35">
        <f>SUM(M138:P138)/V138</f>
        <v>0.013335150286444</v>
      </c>
      <c r="AE138" t="s" s="44">
        <f>AC138</f>
        <v>153</v>
      </c>
      <c r="AF138" s="16">
        <f>U138/V138</f>
        <v>-1.26388297593877</v>
      </c>
      <c r="AG138" s="15">
        <v>60</v>
      </c>
      <c r="AH138" s="15">
        <v>63.0840947662831</v>
      </c>
    </row>
    <row r="139" ht="20.05" customHeight="1">
      <c r="A139" t="s" s="56">
        <v>291</v>
      </c>
      <c r="B139" s="14">
        <v>2859.9</v>
      </c>
      <c r="C139" s="15">
        <v>2889.4</v>
      </c>
      <c r="D139" s="15">
        <v>2972.4</v>
      </c>
      <c r="E139" s="15">
        <v>2969</v>
      </c>
      <c r="F139" s="15">
        <v>3148.5</v>
      </c>
      <c r="G139" s="15">
        <v>284.2</v>
      </c>
      <c r="H139" s="15">
        <v>85.40000000000001</v>
      </c>
      <c r="I139" s="15">
        <v>-4.9</v>
      </c>
      <c r="J139" s="15">
        <v>-220.8</v>
      </c>
      <c r="K139" s="15">
        <v>-10.9</v>
      </c>
      <c r="L139" s="15">
        <v>304.9</v>
      </c>
      <c r="M139" s="15">
        <v>118</v>
      </c>
      <c r="N139" s="15">
        <v>-105</v>
      </c>
      <c r="O139" s="15">
        <v>-181.6</v>
      </c>
      <c r="P139" s="15">
        <v>78.59999999999999</v>
      </c>
      <c r="Q139" s="15">
        <v>-235</v>
      </c>
      <c r="R139" s="15">
        <v>-81</v>
      </c>
      <c r="S139" s="15">
        <v>-433</v>
      </c>
      <c r="T139" s="15">
        <v>-802</v>
      </c>
      <c r="U139" s="15">
        <v>-698</v>
      </c>
      <c r="V139" s="15">
        <f>W139/1000000000</f>
        <v>6291.2544768</v>
      </c>
      <c r="W139" s="15">
        <v>6291254476800</v>
      </c>
      <c r="X139" t="s" s="44">
        <f>$A139</f>
        <v>291</v>
      </c>
      <c r="Y139" t="s" s="44">
        <f>Y$2</f>
        <v>153</v>
      </c>
      <c r="Z139" s="35">
        <f>F139/B139-1</f>
        <v>0.100912619322354</v>
      </c>
      <c r="AA139" t="s" s="44">
        <f>Y139</f>
        <v>153</v>
      </c>
      <c r="AB139" s="16">
        <f>SUM(H139:K139)/V139</f>
        <v>-0.024033362592083</v>
      </c>
      <c r="AC139" t="s" s="44">
        <f>AA139</f>
        <v>153</v>
      </c>
      <c r="AD139" s="35">
        <f>SUM(M139:P139)/V139</f>
        <v>-0.014305572971478</v>
      </c>
      <c r="AE139" t="s" s="44">
        <f>AC139</f>
        <v>153</v>
      </c>
      <c r="AF139" s="16">
        <f>U139/V139</f>
        <v>-0.110947665934352</v>
      </c>
      <c r="AG139" s="15">
        <v>1395</v>
      </c>
      <c r="AH139" s="15">
        <v>2226.493967692440</v>
      </c>
    </row>
    <row r="140" ht="20.05" customHeight="1">
      <c r="A140" t="s" s="56">
        <v>292</v>
      </c>
      <c r="B140" s="14">
        <v>202.4</v>
      </c>
      <c r="C140" s="15">
        <v>269.7</v>
      </c>
      <c r="D140" s="15">
        <v>347</v>
      </c>
      <c r="E140" s="15">
        <v>375</v>
      </c>
      <c r="F140" s="15">
        <v>415</v>
      </c>
      <c r="G140" s="15">
        <v>-527.925</v>
      </c>
      <c r="H140" s="15">
        <v>-1060.125</v>
      </c>
      <c r="I140" s="15">
        <v>290.8</v>
      </c>
      <c r="J140" s="15">
        <v>303.2</v>
      </c>
      <c r="K140" s="15">
        <v>-571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7"/>
      <c r="R140" s="17"/>
      <c r="S140" s="17"/>
      <c r="T140" s="17"/>
      <c r="U140" s="17"/>
      <c r="V140" s="15">
        <f>W140/1000000000</f>
        <v>42261.409024</v>
      </c>
      <c r="W140" s="15">
        <v>42261409024000</v>
      </c>
      <c r="X140" t="s" s="44">
        <f>$A140</f>
        <v>292</v>
      </c>
      <c r="Y140" t="s" s="44">
        <f>Y$2</f>
        <v>153</v>
      </c>
      <c r="Z140" s="35">
        <f>F140/B140-1</f>
        <v>1.050395256917</v>
      </c>
      <c r="AA140" t="s" s="44">
        <f>Y140</f>
        <v>153</v>
      </c>
      <c r="AB140" s="16">
        <f>SUM(H140:K140)/V140</f>
        <v>-0.0245407104010901</v>
      </c>
      <c r="AC140" t="s" s="44">
        <f>AA140</f>
        <v>153</v>
      </c>
      <c r="AD140" s="35">
        <f>SUM(M140:P140)/V140</f>
        <v>0</v>
      </c>
      <c r="AE140" t="s" s="44">
        <f>AC140</f>
        <v>153</v>
      </c>
      <c r="AF140" s="16">
        <f>U140/V140</f>
        <v>0</v>
      </c>
      <c r="AG140" s="15">
        <v>3050</v>
      </c>
      <c r="AH140" s="15">
        <v>5680</v>
      </c>
    </row>
    <row r="141" ht="20.05" customHeight="1">
      <c r="A141" t="s" s="56">
        <v>293</v>
      </c>
      <c r="B141" s="14">
        <v>4804.4</v>
      </c>
      <c r="C141" s="15">
        <v>4633.6</v>
      </c>
      <c r="D141" s="15">
        <v>4583.9</v>
      </c>
      <c r="E141" s="15">
        <v>4690.1</v>
      </c>
      <c r="F141" s="15">
        <v>4748.4</v>
      </c>
      <c r="G141" s="15">
        <v>9111</v>
      </c>
      <c r="H141" s="15">
        <v>15802.2</v>
      </c>
      <c r="I141" s="15">
        <v>-10661.3</v>
      </c>
      <c r="J141" s="15">
        <v>-535.7</v>
      </c>
      <c r="K141" s="15">
        <v>-5414.1</v>
      </c>
      <c r="L141" s="15">
        <v>153</v>
      </c>
      <c r="M141" s="15">
        <v>335</v>
      </c>
      <c r="N141" s="15">
        <v>-751.3</v>
      </c>
      <c r="O141" s="15">
        <v>1903.3</v>
      </c>
      <c r="P141" s="15">
        <v>1874.5</v>
      </c>
      <c r="Q141" s="17"/>
      <c r="R141" s="17"/>
      <c r="S141" s="17"/>
      <c r="T141" s="17"/>
      <c r="U141" s="17"/>
      <c r="V141" s="15">
        <f>W141/1000000000</f>
        <v>28554.46770688</v>
      </c>
      <c r="W141" s="15">
        <v>28554467706880</v>
      </c>
      <c r="X141" t="s" s="44">
        <f>$A141</f>
        <v>293</v>
      </c>
      <c r="Y141" t="s" s="44">
        <f>Y$2</f>
        <v>153</v>
      </c>
      <c r="Z141" s="35">
        <f>F141/B141-1</f>
        <v>-0.0116559820164849</v>
      </c>
      <c r="AA141" t="s" s="44">
        <f>Y141</f>
        <v>153</v>
      </c>
      <c r="AB141" s="16">
        <f>SUM(H141:K141)/V141</f>
        <v>-0.0283283165458938</v>
      </c>
      <c r="AC141" t="s" s="44">
        <f>AA141</f>
        <v>153</v>
      </c>
      <c r="AD141" s="35">
        <f>SUM(M141:P141)/V141</f>
        <v>0.117722383569072</v>
      </c>
      <c r="AE141" t="s" s="44">
        <f>AC141</f>
        <v>153</v>
      </c>
      <c r="AF141" s="16">
        <f>U141/V141</f>
        <v>0</v>
      </c>
      <c r="AG141" s="15">
        <v>1145</v>
      </c>
      <c r="AH141" s="15">
        <v>1461.611395723180</v>
      </c>
    </row>
    <row r="142" ht="20.05" customHeight="1">
      <c r="A142" t="s" s="56">
        <v>294</v>
      </c>
      <c r="B142" s="14">
        <v>101</v>
      </c>
      <c r="C142" s="15">
        <v>127</v>
      </c>
      <c r="D142" s="15">
        <v>10</v>
      </c>
      <c r="E142" s="15">
        <v>217</v>
      </c>
      <c r="F142" s="15">
        <v>130</v>
      </c>
      <c r="G142" s="15">
        <v>4.9</v>
      </c>
      <c r="H142" s="15">
        <v>3.2</v>
      </c>
      <c r="I142" s="15">
        <v>0.76</v>
      </c>
      <c r="J142" s="15">
        <v>8.24</v>
      </c>
      <c r="K142" s="15">
        <v>-27</v>
      </c>
      <c r="L142" s="15">
        <v>4</v>
      </c>
      <c r="M142" s="15">
        <v>1.4</v>
      </c>
      <c r="N142" s="15">
        <v>-2.8</v>
      </c>
      <c r="O142" s="15">
        <v>9.300000000000001</v>
      </c>
      <c r="P142" s="15">
        <v>-28.5</v>
      </c>
      <c r="Q142" s="15">
        <v>-175.5</v>
      </c>
      <c r="R142" s="15">
        <v>-185</v>
      </c>
      <c r="S142" s="15">
        <v>-177.3</v>
      </c>
      <c r="T142" s="15">
        <v>-160.8</v>
      </c>
      <c r="U142" s="15">
        <v>-176.4</v>
      </c>
      <c r="V142" s="15">
        <f>W142/1000000000</f>
        <v>504</v>
      </c>
      <c r="W142" s="15">
        <v>504000000000</v>
      </c>
      <c r="X142" t="s" s="44">
        <f>$A142</f>
        <v>294</v>
      </c>
      <c r="Y142" t="s" s="44">
        <f>Y$2</f>
        <v>153</v>
      </c>
      <c r="Z142" s="35">
        <f>F142/B142-1</f>
        <v>0.287128712871287</v>
      </c>
      <c r="AA142" t="s" s="44">
        <f>Y142</f>
        <v>153</v>
      </c>
      <c r="AB142" s="16">
        <f>SUM(H142:K142)/V142</f>
        <v>-0.0293650793650794</v>
      </c>
      <c r="AC142" t="s" s="44">
        <f>AA142</f>
        <v>153</v>
      </c>
      <c r="AD142" s="35">
        <f>SUM(M142:P142)/V142</f>
        <v>-0.0408730158730159</v>
      </c>
      <c r="AE142" t="s" s="44">
        <f>AC142</f>
        <v>153</v>
      </c>
      <c r="AF142" s="16">
        <f>U142/V142</f>
        <v>-0.35</v>
      </c>
      <c r="AG142" s="15">
        <v>252</v>
      </c>
      <c r="AH142" s="15">
        <v>224.025835981426</v>
      </c>
    </row>
    <row r="143" ht="20.05" customHeight="1">
      <c r="A143" t="s" s="56">
        <v>295</v>
      </c>
      <c r="B143" s="14">
        <v>996</v>
      </c>
      <c r="C143" s="15">
        <v>1392</v>
      </c>
      <c r="D143" s="15">
        <v>1470</v>
      </c>
      <c r="E143" s="15">
        <v>1663</v>
      </c>
      <c r="F143" s="15">
        <v>1624</v>
      </c>
      <c r="G143" s="15">
        <v>126.95</v>
      </c>
      <c r="H143" s="15">
        <v>81.2</v>
      </c>
      <c r="I143" s="15">
        <v>-560.1</v>
      </c>
      <c r="J143" s="15">
        <v>-279.2</v>
      </c>
      <c r="K143" s="15">
        <v>-219.7</v>
      </c>
      <c r="L143" s="15">
        <v>199.95</v>
      </c>
      <c r="M143" s="15">
        <v>-3570</v>
      </c>
      <c r="N143" s="15">
        <v>0</v>
      </c>
      <c r="O143" s="15">
        <v>402</v>
      </c>
      <c r="P143" s="15">
        <v>104</v>
      </c>
      <c r="Q143" s="15">
        <v>-591</v>
      </c>
      <c r="R143" s="15">
        <v>2755</v>
      </c>
      <c r="S143" s="15">
        <v>2010</v>
      </c>
      <c r="T143" s="15">
        <v>1320.2</v>
      </c>
      <c r="U143" s="15">
        <v>1300</v>
      </c>
      <c r="V143" s="15">
        <f>W143/1000000000</f>
        <v>32849.57546496</v>
      </c>
      <c r="W143" s="15">
        <v>32849575464960</v>
      </c>
      <c r="X143" t="s" s="44">
        <f>$A143</f>
        <v>295</v>
      </c>
      <c r="Y143" t="s" s="44">
        <f>Y$2</f>
        <v>153</v>
      </c>
      <c r="Z143" s="35">
        <f>F143/B143-1</f>
        <v>0.6305220883534139</v>
      </c>
      <c r="AA143" t="s" s="44">
        <f>Y143</f>
        <v>153</v>
      </c>
      <c r="AB143" s="16">
        <f>SUM(H143:K143)/V143</f>
        <v>-0.0297659858966214</v>
      </c>
      <c r="AC143" t="s" s="44">
        <f>AA143</f>
        <v>153</v>
      </c>
      <c r="AD143" s="35">
        <f>SUM(M143:P143)/V143</f>
        <v>-0.09327365594932301</v>
      </c>
      <c r="AE143" t="s" s="44">
        <f>AC143</f>
        <v>153</v>
      </c>
      <c r="AF143" s="16">
        <f>U143/V143</f>
        <v>0.0395743318322845</v>
      </c>
      <c r="AG143" s="15">
        <v>4140</v>
      </c>
      <c r="AH143" s="15">
        <v>3685.065140747180</v>
      </c>
    </row>
    <row r="144" ht="20.05" customHeight="1">
      <c r="A144" t="s" s="56">
        <v>296</v>
      </c>
      <c r="B144" s="14">
        <v>6585.4</v>
      </c>
      <c r="C144" s="15">
        <v>6857.1</v>
      </c>
      <c r="D144" s="15">
        <v>6798.8</v>
      </c>
      <c r="E144" s="15">
        <v>6925.7</v>
      </c>
      <c r="F144" s="15">
        <v>7107.3</v>
      </c>
      <c r="G144" s="15">
        <v>453</v>
      </c>
      <c r="H144" s="15">
        <v>145.5</v>
      </c>
      <c r="I144" s="15">
        <v>-219.6</v>
      </c>
      <c r="J144" s="15">
        <v>52.5</v>
      </c>
      <c r="K144" s="15">
        <v>-199</v>
      </c>
      <c r="L144" s="15">
        <v>42.7</v>
      </c>
      <c r="M144" s="15">
        <v>58</v>
      </c>
      <c r="N144" s="15">
        <v>-150</v>
      </c>
      <c r="O144" s="15">
        <v>547.6</v>
      </c>
      <c r="P144" s="15">
        <v>22.7</v>
      </c>
      <c r="Q144" s="15">
        <v>-1870</v>
      </c>
      <c r="R144" s="15">
        <v>-1558</v>
      </c>
      <c r="S144" s="15">
        <v>-2378</v>
      </c>
      <c r="T144" s="15">
        <v>-2703</v>
      </c>
      <c r="U144" s="15">
        <v>-2667</v>
      </c>
      <c r="V144" s="15">
        <f>W144/1000000000</f>
        <v>7367.5008</v>
      </c>
      <c r="W144" s="15">
        <v>7367500800000</v>
      </c>
      <c r="X144" t="s" s="44">
        <f>$A144</f>
        <v>296</v>
      </c>
      <c r="Y144" t="s" s="44">
        <f>Y$2</f>
        <v>153</v>
      </c>
      <c r="Z144" s="35">
        <f>F144/B144-1</f>
        <v>0.0792510705500046</v>
      </c>
      <c r="AA144" t="s" s="44">
        <f>Y144</f>
        <v>153</v>
      </c>
      <c r="AB144" s="16">
        <f>SUM(H144:K144)/V144</f>
        <v>-0.0299423109665628</v>
      </c>
      <c r="AC144" t="s" s="44">
        <f>AA144</f>
        <v>153</v>
      </c>
      <c r="AD144" s="35">
        <f>SUM(M144:P144)/V144</f>
        <v>0.0649202508400135</v>
      </c>
      <c r="AE144" t="s" s="44">
        <f>AC144</f>
        <v>153</v>
      </c>
      <c r="AF144" s="16">
        <f>U144/V144</f>
        <v>-0.361995210098925</v>
      </c>
      <c r="AG144" s="15">
        <v>2720</v>
      </c>
      <c r="AH144" s="15">
        <v>4133.198095906090</v>
      </c>
    </row>
    <row r="145" ht="20.05" customHeight="1">
      <c r="A145" t="s" s="56">
        <v>297</v>
      </c>
      <c r="B145" s="14">
        <v>9.089</v>
      </c>
      <c r="C145" s="15">
        <v>8.497999999999999</v>
      </c>
      <c r="D145" s="15">
        <v>18.157</v>
      </c>
      <c r="E145" s="15">
        <v>16.92</v>
      </c>
      <c r="F145" s="15">
        <v>27.177</v>
      </c>
      <c r="G145" s="15">
        <v>-49.418</v>
      </c>
      <c r="H145" s="15">
        <v>1119.317</v>
      </c>
      <c r="I145" s="15">
        <v>-802.495</v>
      </c>
      <c r="J145" s="15">
        <v>-501.273</v>
      </c>
      <c r="K145" s="15">
        <v>-423.44</v>
      </c>
      <c r="L145" s="15">
        <v>-5.284</v>
      </c>
      <c r="M145" s="15">
        <v>-2.71</v>
      </c>
      <c r="N145" s="15">
        <v>-10.054</v>
      </c>
      <c r="O145" s="15">
        <v>-1043.529</v>
      </c>
      <c r="P145" s="15">
        <v>-69.81999999999999</v>
      </c>
      <c r="Q145" s="15">
        <v>-1145.784</v>
      </c>
      <c r="R145" s="15">
        <v>-1014.663</v>
      </c>
      <c r="S145" s="15">
        <v>-937.3150000000001</v>
      </c>
      <c r="T145" s="15">
        <v>-1889.236</v>
      </c>
      <c r="U145" s="15">
        <v>-2043.093</v>
      </c>
      <c r="V145" s="15">
        <f>W145/1000000000</f>
        <v>20022.55804416</v>
      </c>
      <c r="W145" s="15">
        <v>20022558044160</v>
      </c>
      <c r="X145" t="s" s="44">
        <f>$A145</f>
        <v>297</v>
      </c>
      <c r="Y145" t="s" s="44">
        <f>Y$2</f>
        <v>153</v>
      </c>
      <c r="Z145" s="35">
        <f>F145/B145-1</f>
        <v>1.99009792056332</v>
      </c>
      <c r="AA145" t="s" s="44">
        <f>Y145</f>
        <v>153</v>
      </c>
      <c r="AB145" s="16">
        <f>SUM(H145:K145)/V145</f>
        <v>-0.0303603065432144</v>
      </c>
      <c r="AC145" t="s" s="44">
        <f>AA145</f>
        <v>153</v>
      </c>
      <c r="AD145" s="35">
        <f>SUM(M145:P145)/V145</f>
        <v>-0.0562422142823282</v>
      </c>
      <c r="AE145" t="s" s="44">
        <f>AC145</f>
        <v>153</v>
      </c>
      <c r="AF145" s="16">
        <f>U145/V145</f>
        <v>-0.102039559355699</v>
      </c>
      <c r="AG145" s="15">
        <v>1380</v>
      </c>
      <c r="AH145" s="15">
        <v>734.7427614730231</v>
      </c>
    </row>
    <row r="146" ht="20.05" customHeight="1">
      <c r="A146" t="s" s="56">
        <v>298</v>
      </c>
      <c r="B146" s="14">
        <v>698.8</v>
      </c>
      <c r="C146" s="15">
        <v>706.1</v>
      </c>
      <c r="D146" s="15">
        <v>738.9</v>
      </c>
      <c r="E146" s="15">
        <v>758</v>
      </c>
      <c r="F146" s="15">
        <v>701.4</v>
      </c>
      <c r="G146" s="15">
        <v>-140.8</v>
      </c>
      <c r="H146" s="15">
        <v>46.3</v>
      </c>
      <c r="I146" s="15">
        <v>-7.1</v>
      </c>
      <c r="J146" s="15">
        <v>-54.8</v>
      </c>
      <c r="K146" s="15">
        <v>-23.8</v>
      </c>
      <c r="L146" s="15">
        <v>-51.6</v>
      </c>
      <c r="M146" s="15">
        <v>0</v>
      </c>
      <c r="N146" s="15">
        <v>0</v>
      </c>
      <c r="O146" s="15">
        <v>-10</v>
      </c>
      <c r="P146" s="15">
        <v>-30</v>
      </c>
      <c r="Q146" s="15">
        <v>-803</v>
      </c>
      <c r="R146" s="15">
        <v>-895</v>
      </c>
      <c r="S146" s="15">
        <v>-915</v>
      </c>
      <c r="T146" s="15">
        <v>-855</v>
      </c>
      <c r="U146" s="15">
        <v>-819</v>
      </c>
      <c r="V146" s="15">
        <f>W146/1000000000</f>
        <v>1251.5919872</v>
      </c>
      <c r="W146" s="15">
        <v>1251591987200</v>
      </c>
      <c r="X146" t="s" s="44">
        <f>$A146</f>
        <v>298</v>
      </c>
      <c r="Y146" t="s" s="44">
        <f>Y$2</f>
        <v>153</v>
      </c>
      <c r="Z146" s="35">
        <f>F146/B146-1</f>
        <v>0.00372066399542072</v>
      </c>
      <c r="AA146" t="s" s="44">
        <f>Y146</f>
        <v>153</v>
      </c>
      <c r="AB146" s="16">
        <f>SUM(H146:K146)/V146</f>
        <v>-0.0314799075121468</v>
      </c>
      <c r="AC146" t="s" s="44">
        <f>AA146</f>
        <v>153</v>
      </c>
      <c r="AD146" s="35">
        <f>SUM(M146:P146)/V146</f>
        <v>-0.0319592969666465</v>
      </c>
      <c r="AE146" t="s" s="44">
        <f>AC146</f>
        <v>153</v>
      </c>
      <c r="AF146" s="16">
        <f>U146/V146</f>
        <v>-0.654366605392087</v>
      </c>
      <c r="AG146" s="15">
        <v>800</v>
      </c>
      <c r="AH146" s="15">
        <v>643.829583167552</v>
      </c>
    </row>
    <row r="147" ht="20.05" customHeight="1">
      <c r="A147" t="s" s="56">
        <v>299</v>
      </c>
      <c r="B147" s="14">
        <v>82</v>
      </c>
      <c r="C147" s="15">
        <v>51.4</v>
      </c>
      <c r="D147" s="15">
        <v>57.9</v>
      </c>
      <c r="E147" s="15">
        <v>39</v>
      </c>
      <c r="F147" s="15">
        <v>46.9</v>
      </c>
      <c r="G147" s="15">
        <v>-10.6</v>
      </c>
      <c r="H147" s="15">
        <v>11.2</v>
      </c>
      <c r="I147" s="15">
        <v>10.5</v>
      </c>
      <c r="J147" s="15">
        <v>-29.1</v>
      </c>
      <c r="K147" s="15">
        <v>-3</v>
      </c>
      <c r="L147" s="15">
        <v>4.7</v>
      </c>
      <c r="M147" s="15">
        <v>4</v>
      </c>
      <c r="N147" s="15">
        <v>1.4</v>
      </c>
      <c r="O147" s="15">
        <v>-6.9</v>
      </c>
      <c r="P147" s="15">
        <v>0.3</v>
      </c>
      <c r="Q147" s="15">
        <v>-8</v>
      </c>
      <c r="R147" s="15">
        <v>5</v>
      </c>
      <c r="S147" s="15">
        <v>14</v>
      </c>
      <c r="T147" s="15">
        <v>9</v>
      </c>
      <c r="U147" s="15">
        <v>3</v>
      </c>
      <c r="V147" s="15">
        <f>W147/1000000000</f>
        <v>307.5</v>
      </c>
      <c r="W147" s="15">
        <v>307500000000</v>
      </c>
      <c r="X147" t="s" s="44">
        <f>$A147</f>
        <v>299</v>
      </c>
      <c r="Y147" t="s" s="44">
        <f>Y$2</f>
        <v>153</v>
      </c>
      <c r="Z147" s="35">
        <f>F147/B147-1</f>
        <v>-0.428048780487805</v>
      </c>
      <c r="AA147" t="s" s="44">
        <f>Y147</f>
        <v>153</v>
      </c>
      <c r="AB147" s="16">
        <f>SUM(H147:K147)/V147</f>
        <v>-0.0338211382113821</v>
      </c>
      <c r="AC147" t="s" s="44">
        <f>AA147</f>
        <v>153</v>
      </c>
      <c r="AD147" s="35">
        <f>SUM(M147:P147)/V147</f>
        <v>-0.00390243902439024</v>
      </c>
      <c r="AE147" t="s" s="44">
        <f>AC147</f>
        <v>153</v>
      </c>
      <c r="AF147" s="16">
        <f>U147/V147</f>
        <v>0.00975609756097561</v>
      </c>
      <c r="AG147" s="15">
        <v>246</v>
      </c>
      <c r="AH147" s="15">
        <v>167.522114116001</v>
      </c>
    </row>
    <row r="148" ht="20.05" customHeight="1">
      <c r="A148" t="s" s="56">
        <v>300</v>
      </c>
      <c r="B148" s="14">
        <v>1590.5</v>
      </c>
      <c r="C148" s="15">
        <v>1618.1</v>
      </c>
      <c r="D148" s="15">
        <v>1641.5</v>
      </c>
      <c r="E148" s="15">
        <v>1662.1</v>
      </c>
      <c r="F148" s="15">
        <v>1618.4</v>
      </c>
      <c r="G148" s="15">
        <v>-418.1</v>
      </c>
      <c r="H148" s="15">
        <v>-971.5</v>
      </c>
      <c r="I148" s="15">
        <v>348.6</v>
      </c>
      <c r="J148" s="15">
        <v>-23.2</v>
      </c>
      <c r="K148" s="15">
        <v>-1010.8</v>
      </c>
      <c r="L148" s="15">
        <v>-364.8</v>
      </c>
      <c r="M148" s="15">
        <v>-749.8</v>
      </c>
      <c r="N148" s="15">
        <v>986.6</v>
      </c>
      <c r="O148" s="15">
        <v>471.6</v>
      </c>
      <c r="P148" s="15">
        <v>-2209</v>
      </c>
      <c r="Q148" s="15">
        <v>-31141</v>
      </c>
      <c r="R148" s="15">
        <v>-31452</v>
      </c>
      <c r="S148" s="15">
        <v>-31192</v>
      </c>
      <c r="T148" s="15">
        <v>-28802</v>
      </c>
      <c r="U148" s="15">
        <v>-29513</v>
      </c>
      <c r="V148" s="15">
        <f>W148/1000000000</f>
        <v>48678.36672</v>
      </c>
      <c r="W148" s="15">
        <v>48678366720000</v>
      </c>
      <c r="X148" t="s" s="44">
        <f>$A148</f>
        <v>300</v>
      </c>
      <c r="Y148" t="s" s="44">
        <f>Y$2</f>
        <v>153</v>
      </c>
      <c r="Z148" s="35">
        <f>F148/B148-1</f>
        <v>0.0175416535680604</v>
      </c>
      <c r="AA148" t="s" s="44">
        <f>Y148</f>
        <v>153</v>
      </c>
      <c r="AB148" s="16">
        <f>SUM(H148:K148)/V148</f>
        <v>-0.0340377073357978</v>
      </c>
      <c r="AC148" t="s" s="44">
        <f>AA148</f>
        <v>153</v>
      </c>
      <c r="AD148" s="35">
        <f>SUM(M148:P148)/V148</f>
        <v>-0.0308268354324933</v>
      </c>
      <c r="AE148" t="s" s="44">
        <f>AC148</f>
        <v>153</v>
      </c>
      <c r="AF148" s="16">
        <f>U148/V148</f>
        <v>-0.606285748446738</v>
      </c>
      <c r="AG148" s="15">
        <v>2150</v>
      </c>
      <c r="AH148" s="15">
        <v>1790.114737204</v>
      </c>
    </row>
    <row r="149" ht="20.05" customHeight="1">
      <c r="A149" t="s" s="56">
        <v>301</v>
      </c>
      <c r="B149" s="14">
        <v>3664.5</v>
      </c>
      <c r="C149" s="15">
        <v>5127</v>
      </c>
      <c r="D149" s="15">
        <v>5248.5</v>
      </c>
      <c r="E149" s="15">
        <v>9286.5</v>
      </c>
      <c r="F149" s="15">
        <v>6390</v>
      </c>
      <c r="G149" s="15">
        <v>-631.5</v>
      </c>
      <c r="H149" s="15">
        <v>-1591.5</v>
      </c>
      <c r="I149" s="15">
        <v>-375</v>
      </c>
      <c r="J149" s="26">
        <v>2550</v>
      </c>
      <c r="K149" s="26">
        <v>-2580</v>
      </c>
      <c r="L149" s="15">
        <v>-1168.14</v>
      </c>
      <c r="M149" s="15">
        <v>620.505</v>
      </c>
      <c r="N149" s="15">
        <v>-406.5</v>
      </c>
      <c r="O149" s="15">
        <v>-688.5</v>
      </c>
      <c r="P149" s="26">
        <v>-1950</v>
      </c>
      <c r="Q149" s="15">
        <v>-49350</v>
      </c>
      <c r="R149" s="15">
        <v>-50340</v>
      </c>
      <c r="S149" s="15">
        <v>-47865</v>
      </c>
      <c r="T149" s="15">
        <v>-49140</v>
      </c>
      <c r="U149" s="15">
        <v>-45840</v>
      </c>
      <c r="V149" s="15">
        <f>W149/1000000000</f>
        <v>53470.225760256</v>
      </c>
      <c r="W149" s="15">
        <v>53470225760256</v>
      </c>
      <c r="X149" t="s" s="44">
        <f>$A149</f>
        <v>301</v>
      </c>
      <c r="Y149" t="s" s="44">
        <f>Y$2</f>
        <v>153</v>
      </c>
      <c r="Z149" s="35">
        <f>F149/B149-1</f>
        <v>0.743757674989767</v>
      </c>
      <c r="AA149" t="s" s="44">
        <f>Y149</f>
        <v>153</v>
      </c>
      <c r="AB149" s="16">
        <f>SUM(H149:K149)/V149</f>
        <v>-0.0373385369448727</v>
      </c>
      <c r="AC149" t="s" s="44">
        <f>AA149</f>
        <v>153</v>
      </c>
      <c r="AD149" s="35">
        <f>SUM(M149:P149)/V149</f>
        <v>-0.0453428981368189</v>
      </c>
      <c r="AE149" t="s" s="44">
        <f>AC149</f>
        <v>153</v>
      </c>
      <c r="AF149" s="16">
        <f>U149/V149</f>
        <v>-0.8572995409731839</v>
      </c>
      <c r="AG149" s="15">
        <v>144</v>
      </c>
      <c r="AH149" s="15">
        <v>129.735717640580</v>
      </c>
    </row>
    <row r="150" ht="20.05" customHeight="1">
      <c r="A150" t="s" s="56">
        <v>302</v>
      </c>
      <c r="B150" s="14">
        <v>2010</v>
      </c>
      <c r="C150" s="15">
        <v>2397</v>
      </c>
      <c r="D150" s="15">
        <v>2178</v>
      </c>
      <c r="E150" s="15">
        <v>2286.2</v>
      </c>
      <c r="F150" s="15">
        <v>2447.6</v>
      </c>
      <c r="G150" s="15">
        <v>-1049</v>
      </c>
      <c r="H150" s="15">
        <v>282.1</v>
      </c>
      <c r="I150" s="15">
        <v>263.5</v>
      </c>
      <c r="J150" s="15">
        <v>-1111.8</v>
      </c>
      <c r="K150" s="15">
        <v>-13.7</v>
      </c>
      <c r="L150" s="15">
        <v>-42</v>
      </c>
      <c r="M150" s="15">
        <v>174</v>
      </c>
      <c r="N150" s="15">
        <v>-728</v>
      </c>
      <c r="O150" s="15">
        <v>-945</v>
      </c>
      <c r="P150" s="15">
        <v>-149</v>
      </c>
      <c r="Q150" s="15">
        <v>-14090</v>
      </c>
      <c r="R150" s="15">
        <v>-14137</v>
      </c>
      <c r="S150" s="15">
        <v>-14283</v>
      </c>
      <c r="T150" s="15">
        <v>-13989</v>
      </c>
      <c r="U150" s="15">
        <v>-14090</v>
      </c>
      <c r="V150" s="15">
        <f>W150/1000000000</f>
        <v>15412.9499136</v>
      </c>
      <c r="W150" s="15">
        <v>15412949913600</v>
      </c>
      <c r="X150" t="s" s="44">
        <f>$A150</f>
        <v>302</v>
      </c>
      <c r="Y150" t="s" s="44">
        <f>Y$2</f>
        <v>153</v>
      </c>
      <c r="Z150" s="35">
        <f>F150/B150-1</f>
        <v>0.21771144278607</v>
      </c>
      <c r="AA150" t="s" s="44">
        <f>Y150</f>
        <v>153</v>
      </c>
      <c r="AB150" s="16">
        <f>SUM(H150:K150)/V150</f>
        <v>-0.0376242058302098</v>
      </c>
      <c r="AC150" t="s" s="44">
        <f>AA150</f>
        <v>153</v>
      </c>
      <c r="AD150" s="35">
        <f>SUM(M150:P150)/V150</f>
        <v>-0.106923075027049</v>
      </c>
      <c r="AE150" t="s" s="44">
        <f>AC150</f>
        <v>153</v>
      </c>
      <c r="AF150" s="16">
        <f>U150/V150</f>
        <v>-0.914166339278592</v>
      </c>
      <c r="AG150" s="15">
        <v>900</v>
      </c>
      <c r="AH150" s="15">
        <v>566.074565758941</v>
      </c>
    </row>
    <row r="151" ht="20.05" customHeight="1">
      <c r="A151" t="s" s="56">
        <v>303</v>
      </c>
      <c r="B151" s="14">
        <v>1027.7</v>
      </c>
      <c r="C151" s="15">
        <v>1383.7</v>
      </c>
      <c r="D151" s="15">
        <v>1281.4</v>
      </c>
      <c r="E151" s="15">
        <v>1587.6</v>
      </c>
      <c r="F151" s="15">
        <v>1446.9</v>
      </c>
      <c r="G151" s="15">
        <v>-112.1</v>
      </c>
      <c r="H151" s="15">
        <v>149.3</v>
      </c>
      <c r="I151" s="15">
        <v>-194.4</v>
      </c>
      <c r="J151" s="15">
        <v>-21.3</v>
      </c>
      <c r="K151" s="15">
        <v>-57.5</v>
      </c>
      <c r="L151" s="15">
        <v>-111</v>
      </c>
      <c r="M151" s="15">
        <v>80</v>
      </c>
      <c r="N151" s="15">
        <v>9.9</v>
      </c>
      <c r="O151" s="15">
        <v>-39.8</v>
      </c>
      <c r="P151" s="15">
        <v>19.9</v>
      </c>
      <c r="Q151" s="15">
        <v>-1966</v>
      </c>
      <c r="R151" s="15">
        <v>-2037</v>
      </c>
      <c r="S151" s="15">
        <v>-2183</v>
      </c>
      <c r="T151" s="15">
        <v>-2161</v>
      </c>
      <c r="U151" s="15">
        <v>-2054</v>
      </c>
      <c r="V151" s="15">
        <f>W151/1000000000</f>
        <v>3229.52666112</v>
      </c>
      <c r="W151" s="15">
        <v>3229526661120</v>
      </c>
      <c r="X151" t="s" s="44">
        <f>$A151</f>
        <v>303</v>
      </c>
      <c r="Y151" t="s" s="44">
        <f>Y$2</f>
        <v>153</v>
      </c>
      <c r="Z151" s="35">
        <f>F151/B151-1</f>
        <v>0.407901138464532</v>
      </c>
      <c r="AA151" t="s" s="44">
        <f>Y151</f>
        <v>153</v>
      </c>
      <c r="AB151" s="16">
        <f>SUM(H151:K151)/V151</f>
        <v>-0.0383647552725363</v>
      </c>
      <c r="AC151" t="s" s="44">
        <f>AA151</f>
        <v>153</v>
      </c>
      <c r="AD151" s="35">
        <f>SUM(M151:P151)/V151</f>
        <v>0.0216750029788341</v>
      </c>
      <c r="AE151" t="s" s="44">
        <f>AC151</f>
        <v>153</v>
      </c>
      <c r="AF151" s="16">
        <f>U151/V151</f>
        <v>-0.636006515978931</v>
      </c>
      <c r="AG151" s="15">
        <v>810</v>
      </c>
      <c r="AH151" s="15">
        <v>782.576863037048</v>
      </c>
    </row>
    <row r="152" ht="20.05" customHeight="1">
      <c r="A152" t="s" s="56">
        <v>304</v>
      </c>
      <c r="B152" s="14">
        <v>3148.5</v>
      </c>
      <c r="C152" s="15">
        <v>3243.1</v>
      </c>
      <c r="D152" s="15">
        <v>3374.6</v>
      </c>
      <c r="E152" s="15">
        <v>3725.3</v>
      </c>
      <c r="F152" s="15">
        <v>3938.5</v>
      </c>
      <c r="G152" s="15">
        <v>-3844.9</v>
      </c>
      <c r="H152" s="15">
        <v>-2983.6</v>
      </c>
      <c r="I152" s="15">
        <v>-2321</v>
      </c>
      <c r="J152" s="15">
        <v>-1917.4</v>
      </c>
      <c r="K152" s="15">
        <v>4754.1</v>
      </c>
      <c r="L152" s="15">
        <v>-1340.3</v>
      </c>
      <c r="M152" s="15">
        <v>-3303</v>
      </c>
      <c r="N152" s="15">
        <v>-1133.5</v>
      </c>
      <c r="O152" s="15">
        <v>-2614.5</v>
      </c>
      <c r="P152" s="15">
        <v>385.4</v>
      </c>
      <c r="Q152" s="15">
        <v>2951</v>
      </c>
      <c r="R152" s="15">
        <v>2884</v>
      </c>
      <c r="S152" s="15">
        <v>1996.5</v>
      </c>
      <c r="T152" s="15">
        <v>2121</v>
      </c>
      <c r="U152" s="15">
        <v>3382</v>
      </c>
      <c r="V152" s="15">
        <f>W152/1000000000</f>
        <v>61607.77793536</v>
      </c>
      <c r="W152" s="15">
        <v>61607777935360</v>
      </c>
      <c r="X152" t="s" s="44">
        <f>$A152</f>
        <v>304</v>
      </c>
      <c r="Y152" t="s" s="44">
        <f>Y$2</f>
        <v>153</v>
      </c>
      <c r="Z152" s="35">
        <f>F152/B152-1</f>
        <v>0.25091313323805</v>
      </c>
      <c r="AA152" t="s" s="44">
        <f>Y152</f>
        <v>153</v>
      </c>
      <c r="AB152" s="16">
        <f>SUM(H152:K152)/V152</f>
        <v>-0.0400582537255177</v>
      </c>
      <c r="AC152" t="s" s="44">
        <f>AA152</f>
        <v>153</v>
      </c>
      <c r="AD152" s="35">
        <f>SUM(M152:P152)/V152</f>
        <v>-0.108194131055882</v>
      </c>
      <c r="AE152" t="s" s="44">
        <f>AC152</f>
        <v>153</v>
      </c>
      <c r="AF152" s="16">
        <f>U152/V152</f>
        <v>0.0548956659912074</v>
      </c>
      <c r="AG152" s="15">
        <v>1010</v>
      </c>
      <c r="AH152" s="15">
        <v>1012.201224678760</v>
      </c>
    </row>
    <row r="153" ht="20.05" customHeight="1">
      <c r="A153" t="s" s="56">
        <v>305</v>
      </c>
      <c r="B153" s="14">
        <v>1361.16</v>
      </c>
      <c r="C153" s="15">
        <v>1555.975</v>
      </c>
      <c r="D153" s="15">
        <v>1147.5927</v>
      </c>
      <c r="E153" s="15">
        <v>907.454</v>
      </c>
      <c r="F153" s="15">
        <v>722.4299999999999</v>
      </c>
      <c r="G153" s="15">
        <v>319.5144</v>
      </c>
      <c r="H153" s="15">
        <v>-71.375</v>
      </c>
      <c r="I153" s="15">
        <v>319.4921</v>
      </c>
      <c r="J153" s="15">
        <v>-555.614</v>
      </c>
      <c r="K153" s="15">
        <v>-50.256</v>
      </c>
      <c r="L153" s="15">
        <v>1091.7936</v>
      </c>
      <c r="M153" s="15">
        <v>57.1</v>
      </c>
      <c r="N153" s="15">
        <v>163.3278</v>
      </c>
      <c r="O153" s="15">
        <v>-404.616</v>
      </c>
      <c r="P153" s="15">
        <v>-6.282</v>
      </c>
      <c r="Q153" s="15">
        <v>-6398.8848</v>
      </c>
      <c r="R153" s="15">
        <v>-6348.0925</v>
      </c>
      <c r="S153" s="15">
        <v>-6144.8503</v>
      </c>
      <c r="T153" s="15">
        <v>-6620.456</v>
      </c>
      <c r="U153" s="15">
        <v>-7302.825</v>
      </c>
      <c r="V153" s="15">
        <f>W153/1000000000</f>
        <v>8394.23010816</v>
      </c>
      <c r="W153" s="15">
        <v>8394230108160</v>
      </c>
      <c r="X153" t="s" s="44">
        <f>$A153</f>
        <v>305</v>
      </c>
      <c r="Y153" t="s" s="44">
        <f>Y$2</f>
        <v>153</v>
      </c>
      <c r="Z153" s="35">
        <f>F153/B153-1</f>
        <v>-0.469254165564665</v>
      </c>
      <c r="AA153" t="s" s="44">
        <f>Y153</f>
        <v>153</v>
      </c>
      <c r="AB153" s="16">
        <f>SUM(H153:K153)/V153</f>
        <v>-0.0426189055327694</v>
      </c>
      <c r="AC153" t="s" s="44">
        <f>AA153</f>
        <v>153</v>
      </c>
      <c r="AD153" s="35">
        <f>SUM(M153:P153)/V153</f>
        <v>-0.022690609805281</v>
      </c>
      <c r="AE153" t="s" s="44">
        <f>AC153</f>
        <v>153</v>
      </c>
      <c r="AF153" s="16">
        <f>U153/V153</f>
        <v>-0.869981511812614</v>
      </c>
      <c r="AG153" s="15">
        <v>338</v>
      </c>
      <c r="AH153" s="15">
        <v>246.296227733048</v>
      </c>
    </row>
    <row r="154" ht="20.05" customHeight="1">
      <c r="A154" t="s" s="56">
        <v>306</v>
      </c>
      <c r="B154" s="14">
        <v>87</v>
      </c>
      <c r="C154" s="15">
        <v>57.6</v>
      </c>
      <c r="D154" s="15">
        <v>60.7</v>
      </c>
      <c r="E154" s="15">
        <v>52</v>
      </c>
      <c r="F154" s="15">
        <v>59.8</v>
      </c>
      <c r="G154" s="15">
        <v>-97.2</v>
      </c>
      <c r="H154" s="15">
        <v>-702.5</v>
      </c>
      <c r="I154" s="15">
        <v>-60.2</v>
      </c>
      <c r="J154" s="15">
        <v>-26.6</v>
      </c>
      <c r="K154" s="15">
        <v>-0.9</v>
      </c>
      <c r="L154" s="15">
        <v>-26.6</v>
      </c>
      <c r="M154" s="15">
        <v>-698.2</v>
      </c>
      <c r="N154" s="15">
        <v>-10</v>
      </c>
      <c r="O154" s="15">
        <v>2.6</v>
      </c>
      <c r="P154" s="15">
        <v>-1.8</v>
      </c>
      <c r="Q154" s="15">
        <v>274</v>
      </c>
      <c r="R154" s="15">
        <v>279</v>
      </c>
      <c r="S154" s="15">
        <v>228</v>
      </c>
      <c r="T154" s="15">
        <v>207</v>
      </c>
      <c r="U154" s="15">
        <v>199</v>
      </c>
      <c r="V154" s="15">
        <f>W154/1000000000</f>
        <v>15561.000419328</v>
      </c>
      <c r="W154" s="15">
        <v>15561000419328</v>
      </c>
      <c r="X154" t="s" s="44">
        <f>$A154</f>
        <v>306</v>
      </c>
      <c r="Y154" t="s" s="44">
        <f>Y$2</f>
        <v>153</v>
      </c>
      <c r="Z154" s="35">
        <f>F154/B154-1</f>
        <v>-0.31264367816092</v>
      </c>
      <c r="AA154" t="s" s="44">
        <f>Y154</f>
        <v>153</v>
      </c>
      <c r="AB154" s="16">
        <f>SUM(H154:K154)/V154</f>
        <v>-0.0507807967808104</v>
      </c>
      <c r="AC154" t="s" s="44">
        <f>AA154</f>
        <v>153</v>
      </c>
      <c r="AD154" s="35">
        <f>SUM(M154:P154)/V154</f>
        <v>-0.0454598021295182</v>
      </c>
      <c r="AE154" t="s" s="44">
        <f>AC154</f>
        <v>153</v>
      </c>
      <c r="AF154" s="16">
        <f>U154/V154</f>
        <v>0.0127883808648206</v>
      </c>
      <c r="AG154" s="15">
        <v>468</v>
      </c>
      <c r="AH154" s="15">
        <v>265.439277566291</v>
      </c>
    </row>
    <row r="155" ht="20.05" customHeight="1">
      <c r="A155" t="s" s="56">
        <v>307</v>
      </c>
      <c r="B155" s="14">
        <v>34824.4</v>
      </c>
      <c r="C155" s="15">
        <v>38829</v>
      </c>
      <c r="D155" s="15">
        <v>37610.1</v>
      </c>
      <c r="E155" s="15">
        <v>38313.9</v>
      </c>
      <c r="F155" s="15">
        <v>40066.8</v>
      </c>
      <c r="G155" s="15">
        <v>5424</v>
      </c>
      <c r="H155" s="15">
        <v>7657.4</v>
      </c>
      <c r="I155" s="15">
        <v>-37138.6</v>
      </c>
      <c r="J155" s="15">
        <v>-3034.4</v>
      </c>
      <c r="K155" s="15">
        <v>10733</v>
      </c>
      <c r="L155" s="15">
        <v>4532</v>
      </c>
      <c r="M155" s="15">
        <v>-1238</v>
      </c>
      <c r="N155" s="15">
        <v>-1947.9</v>
      </c>
      <c r="O155" s="15">
        <v>3710.9</v>
      </c>
      <c r="P155" s="15">
        <v>-13396</v>
      </c>
      <c r="Q155" s="17"/>
      <c r="R155" s="17"/>
      <c r="S155" s="17"/>
      <c r="T155" s="17"/>
      <c r="U155" s="17"/>
      <c r="V155" s="15">
        <f>W155/1000000000</f>
        <v>428166.9610496</v>
      </c>
      <c r="W155" s="15">
        <v>428166961049600</v>
      </c>
      <c r="X155" t="s" s="44">
        <f>$A155</f>
        <v>307</v>
      </c>
      <c r="Y155" t="s" s="44">
        <f>Y$2</f>
        <v>153</v>
      </c>
      <c r="Z155" s="35">
        <f>F155/B155-1</f>
        <v>0.150538128438681</v>
      </c>
      <c r="AA155" t="s" s="44">
        <f>Y155</f>
        <v>153</v>
      </c>
      <c r="AB155" s="16">
        <f>SUM(H155:K155)/V155</f>
        <v>-0.0508740794633069</v>
      </c>
      <c r="AC155" t="s" s="44">
        <f>AA155</f>
        <v>153</v>
      </c>
      <c r="AD155" s="35">
        <f>SUM(M155:P155)/V155</f>
        <v>-0.0300607033491054</v>
      </c>
      <c r="AE155" t="s" s="44">
        <f>AC155</f>
        <v>153</v>
      </c>
      <c r="AF155" s="16">
        <f>U155/V155</f>
        <v>0</v>
      </c>
      <c r="AG155" s="15">
        <v>9175</v>
      </c>
      <c r="AH155" s="15">
        <v>11891.5036020042</v>
      </c>
    </row>
    <row r="156" ht="20.05" customHeight="1">
      <c r="A156" t="s" s="56">
        <v>308</v>
      </c>
      <c r="B156" s="14">
        <v>51.8</v>
      </c>
      <c r="C156" s="15">
        <v>111.4</v>
      </c>
      <c r="D156" s="15">
        <v>77</v>
      </c>
      <c r="E156" s="15">
        <v>97.90000000000001</v>
      </c>
      <c r="F156" s="15">
        <v>84.2</v>
      </c>
      <c r="G156" s="15">
        <v>39.9</v>
      </c>
      <c r="H156" s="15">
        <v>-26.932</v>
      </c>
      <c r="I156" s="15">
        <v>-19.3</v>
      </c>
      <c r="J156" s="15">
        <v>-36.4</v>
      </c>
      <c r="K156" s="15">
        <v>18.255</v>
      </c>
      <c r="L156" s="15">
        <v>-12.579</v>
      </c>
      <c r="M156" s="15">
        <v>-27.932</v>
      </c>
      <c r="N156" s="15">
        <v>-12.6</v>
      </c>
      <c r="O156" s="15">
        <v>11.9</v>
      </c>
      <c r="P156" s="15">
        <v>-1.7</v>
      </c>
      <c r="Q156" s="26">
        <v>120</v>
      </c>
      <c r="R156" s="26">
        <v>132</v>
      </c>
      <c r="S156" s="26">
        <v>101</v>
      </c>
      <c r="T156" s="26">
        <v>70</v>
      </c>
      <c r="U156" s="26">
        <v>96</v>
      </c>
      <c r="V156" s="15">
        <f>W156/1000000000</f>
        <v>1260</v>
      </c>
      <c r="W156" s="15">
        <v>1260000000000</v>
      </c>
      <c r="X156" t="s" s="44">
        <f>$A156</f>
        <v>308</v>
      </c>
      <c r="Y156" t="s" s="44">
        <f>Y$2</f>
        <v>153</v>
      </c>
      <c r="Z156" s="35">
        <f>F156/B156-1</f>
        <v>0.625482625482625</v>
      </c>
      <c r="AA156" t="s" s="44">
        <f>Y156</f>
        <v>153</v>
      </c>
      <c r="AB156" s="16">
        <f>SUM(H156:K156)/V156</f>
        <v>-0.0510928571428571</v>
      </c>
      <c r="AC156" t="s" s="44">
        <f>AA156</f>
        <v>153</v>
      </c>
      <c r="AD156" s="35">
        <f>SUM(M156:P156)/V156</f>
        <v>-0.0240730158730159</v>
      </c>
      <c r="AE156" t="s" s="44">
        <f>AC156</f>
        <v>153</v>
      </c>
      <c r="AF156" s="16">
        <f>U156/V156</f>
        <v>0.0761904761904762</v>
      </c>
      <c r="AG156" s="15">
        <v>210</v>
      </c>
      <c r="AH156" s="15">
        <v>188.093465897234</v>
      </c>
    </row>
    <row r="157" ht="20.05" customHeight="1">
      <c r="A157" t="s" s="56">
        <v>309</v>
      </c>
      <c r="B157" s="14">
        <v>301.3</v>
      </c>
      <c r="C157" s="15">
        <v>301.7</v>
      </c>
      <c r="D157" s="15">
        <v>568</v>
      </c>
      <c r="E157" s="15">
        <v>571</v>
      </c>
      <c r="F157" s="15">
        <v>597.3</v>
      </c>
      <c r="G157" s="15">
        <v>-186.5</v>
      </c>
      <c r="H157" s="15">
        <v>-16.5</v>
      </c>
      <c r="I157" s="15">
        <v>-403.8</v>
      </c>
      <c r="J157" s="15">
        <v>-136.2</v>
      </c>
      <c r="K157" s="15">
        <v>376.9</v>
      </c>
      <c r="L157" s="15">
        <v>-44.913</v>
      </c>
      <c r="M157" s="15">
        <v>86.78</v>
      </c>
      <c r="N157" s="15">
        <v>-125</v>
      </c>
      <c r="O157" s="15">
        <v>35.4</v>
      </c>
      <c r="P157" s="15">
        <v>-667.2</v>
      </c>
      <c r="Q157" s="15">
        <v>-5106</v>
      </c>
      <c r="R157" s="15">
        <v>-16942</v>
      </c>
      <c r="S157" s="15">
        <v>-17737</v>
      </c>
      <c r="T157" s="15">
        <v>-18153</v>
      </c>
      <c r="U157" s="15">
        <v>-18921</v>
      </c>
      <c r="V157" s="15">
        <f>W157/1000000000</f>
        <v>3149.533425664</v>
      </c>
      <c r="W157" s="15">
        <v>3149533425664</v>
      </c>
      <c r="X157" t="s" s="44">
        <f>$A157</f>
        <v>309</v>
      </c>
      <c r="Y157" t="s" s="44">
        <f>Y$2</f>
        <v>153</v>
      </c>
      <c r="Z157" s="35">
        <f>F157/B157-1</f>
        <v>0.982409558579489</v>
      </c>
      <c r="AA157" t="s" s="44">
        <f>Y157</f>
        <v>153</v>
      </c>
      <c r="AB157" s="16">
        <f>SUM(H157:K157)/V157</f>
        <v>-0.0570243193917321</v>
      </c>
      <c r="AC157" t="s" s="44">
        <f>AA157</f>
        <v>153</v>
      </c>
      <c r="AD157" s="35">
        <f>SUM(M157:P157)/V157</f>
        <v>-0.212736272153944</v>
      </c>
      <c r="AE157" t="s" s="44">
        <f>AC157</f>
        <v>153</v>
      </c>
      <c r="AF157" s="16">
        <f>U157/V157</f>
        <v>-6.00755649894745</v>
      </c>
      <c r="AG157" s="15">
        <v>101</v>
      </c>
      <c r="AH157" s="15">
        <v>122.463894412512</v>
      </c>
    </row>
    <row r="158" ht="20.05" customHeight="1">
      <c r="A158" t="s" s="56">
        <v>310</v>
      </c>
      <c r="B158" s="14">
        <v>3470.2416</v>
      </c>
      <c r="C158" s="15">
        <v>5677.1675</v>
      </c>
      <c r="D158" s="15">
        <v>5017.3154</v>
      </c>
      <c r="E158" s="15">
        <v>7747.81</v>
      </c>
      <c r="F158" s="15">
        <v>9847.035</v>
      </c>
      <c r="G158" s="15">
        <v>674.8488</v>
      </c>
      <c r="H158" s="15">
        <v>1414.6525</v>
      </c>
      <c r="I158" s="15">
        <v>2383.00991</v>
      </c>
      <c r="J158" s="15">
        <v>-2963.5923</v>
      </c>
      <c r="K158" s="15">
        <v>-1457.031375</v>
      </c>
      <c r="L158" s="15">
        <v>-315.216</v>
      </c>
      <c r="M158" s="15">
        <v>-269.7975</v>
      </c>
      <c r="N158" s="15">
        <v>67.3369</v>
      </c>
      <c r="O158" s="15">
        <v>-82.096</v>
      </c>
      <c r="P158" s="15">
        <v>-73.8135</v>
      </c>
      <c r="Q158" s="15">
        <v>-186049.08</v>
      </c>
      <c r="R158" s="15">
        <v>-189129.475</v>
      </c>
      <c r="S158" s="15">
        <v>-190534.773</v>
      </c>
      <c r="T158" s="15">
        <v>-118452.8</v>
      </c>
      <c r="U158" s="15">
        <v>-127681.65</v>
      </c>
      <c r="V158" s="15">
        <f>W158/1000000000</f>
        <v>10611.77294848</v>
      </c>
      <c r="W158" s="15">
        <v>10611772948480</v>
      </c>
      <c r="X158" t="s" s="44">
        <f>$A158</f>
        <v>310</v>
      </c>
      <c r="Y158" t="s" s="44">
        <f>Y$2</f>
        <v>153</v>
      </c>
      <c r="Z158" s="35">
        <f>F158/B158-1</f>
        <v>1.8375646813755</v>
      </c>
      <c r="AA158" t="s" s="44">
        <f>Y158</f>
        <v>153</v>
      </c>
      <c r="AB158" s="16">
        <f>SUM(H158:K158)/V158</f>
        <v>-0.0587047299282097</v>
      </c>
      <c r="AC158" t="s" s="44">
        <f>AA158</f>
        <v>153</v>
      </c>
      <c r="AD158" s="35">
        <f>SUM(M158:P158)/V158</f>
        <v>-0.0337709920613531</v>
      </c>
      <c r="AE158" t="s" s="44">
        <f>AC158</f>
        <v>153</v>
      </c>
      <c r="AF158" s="16">
        <f>U158/V158</f>
        <v>-12.0320751885564</v>
      </c>
      <c r="AG158" s="15">
        <v>116</v>
      </c>
      <c r="AH158" s="15">
        <v>197.334362350878</v>
      </c>
    </row>
    <row r="159" ht="20.05" customHeight="1">
      <c r="A159" t="s" s="56">
        <v>311</v>
      </c>
      <c r="B159" s="14">
        <v>2691</v>
      </c>
      <c r="C159" s="15">
        <v>2815</v>
      </c>
      <c r="D159" s="15">
        <v>2678.8</v>
      </c>
      <c r="E159" s="15">
        <v>2774.5</v>
      </c>
      <c r="F159" s="15">
        <v>2833.7</v>
      </c>
      <c r="G159" s="15">
        <v>-82</v>
      </c>
      <c r="H159" s="15">
        <v>-877</v>
      </c>
      <c r="I159" s="15">
        <v>182.4</v>
      </c>
      <c r="J159" s="15">
        <v>192.1</v>
      </c>
      <c r="K159" s="15">
        <v>-810.5</v>
      </c>
      <c r="L159" s="15">
        <v>15.873</v>
      </c>
      <c r="M159" s="15">
        <v>576.192</v>
      </c>
      <c r="N159" s="15">
        <v>16.17</v>
      </c>
      <c r="O159" s="15">
        <v>503.2</v>
      </c>
      <c r="P159" s="15">
        <v>-859.37</v>
      </c>
      <c r="Q159" s="26">
        <v>-28232</v>
      </c>
      <c r="R159" s="26">
        <v>-30241</v>
      </c>
      <c r="S159" s="26">
        <v>-30667</v>
      </c>
      <c r="T159" s="26">
        <v>-30750</v>
      </c>
      <c r="U159" s="15">
        <v>-30719</v>
      </c>
      <c r="V159" s="15">
        <f>W159/1000000000</f>
        <v>20797.127983104</v>
      </c>
      <c r="W159" s="15">
        <v>20797127983104</v>
      </c>
      <c r="X159" t="s" s="44">
        <f>$A159</f>
        <v>311</v>
      </c>
      <c r="Y159" t="s" s="44">
        <f>Y$2</f>
        <v>153</v>
      </c>
      <c r="Z159" s="35">
        <f>F159/B159-1</f>
        <v>0.0530286138981791</v>
      </c>
      <c r="AA159" t="s" s="44">
        <f>Y159</f>
        <v>153</v>
      </c>
      <c r="AB159" s="16">
        <f>SUM(H159:K159)/V159</f>
        <v>-0.0631337173607196</v>
      </c>
      <c r="AC159" t="s" s="44">
        <f>AA159</f>
        <v>153</v>
      </c>
      <c r="AD159" s="35">
        <f>SUM(M159:P159)/V159</f>
        <v>0.0113569527577023</v>
      </c>
      <c r="AE159" t="s" s="44">
        <f>AC159</f>
        <v>153</v>
      </c>
      <c r="AF159" s="16">
        <f>U159/V159</f>
        <v>-1.47707895171664</v>
      </c>
      <c r="AG159" s="15">
        <v>66</v>
      </c>
      <c r="AH159" s="15">
        <v>69.1402251168311</v>
      </c>
    </row>
    <row r="160" ht="20.05" customHeight="1">
      <c r="A160" t="s" s="56">
        <v>312</v>
      </c>
      <c r="B160" s="14">
        <v>24891.2</v>
      </c>
      <c r="C160" s="15">
        <v>26355.7</v>
      </c>
      <c r="D160" s="15">
        <v>26161</v>
      </c>
      <c r="E160" s="15">
        <v>27344.5</v>
      </c>
      <c r="F160" s="15">
        <v>29892.6</v>
      </c>
      <c r="G160" s="15">
        <v>6379.45</v>
      </c>
      <c r="H160" s="15">
        <v>-2439.85</v>
      </c>
      <c r="I160" s="15">
        <v>-575.5</v>
      </c>
      <c r="J160" s="15">
        <v>-446.5</v>
      </c>
      <c r="K160" s="15">
        <v>-3141.7</v>
      </c>
      <c r="L160" s="15">
        <v>0</v>
      </c>
      <c r="M160" s="15">
        <v>-79</v>
      </c>
      <c r="N160" s="15">
        <v>51</v>
      </c>
      <c r="O160" s="15">
        <v>7155.4</v>
      </c>
      <c r="P160" s="15">
        <v>198.2</v>
      </c>
      <c r="Q160" s="15">
        <v>-898</v>
      </c>
      <c r="R160" s="15">
        <v>-6055</v>
      </c>
      <c r="S160" s="15">
        <v>-11492.4</v>
      </c>
      <c r="T160" s="15">
        <v>-8052</v>
      </c>
      <c r="U160" s="15">
        <v>-14810</v>
      </c>
      <c r="V160" s="15">
        <f>W160/1000000000</f>
        <v>95962.35264</v>
      </c>
      <c r="W160" s="15">
        <v>95962352640000</v>
      </c>
      <c r="X160" t="s" s="44">
        <f>$A160</f>
        <v>312</v>
      </c>
      <c r="Y160" t="s" s="44">
        <f>Y$2</f>
        <v>153</v>
      </c>
      <c r="Z160" s="35">
        <f>F160/B160-1</f>
        <v>0.200930449315421</v>
      </c>
      <c r="AA160" t="s" s="44">
        <f>Y160</f>
        <v>153</v>
      </c>
      <c r="AB160" s="16">
        <f>SUM(H160:K160)/V160</f>
        <v>-0.0688139652512796</v>
      </c>
      <c r="AC160" t="s" s="44">
        <f>AA160</f>
        <v>153</v>
      </c>
      <c r="AD160" s="35">
        <f>SUM(M160:P160)/V160</f>
        <v>0.0763382701493551</v>
      </c>
      <c r="AE160" t="s" s="44">
        <f>AC160</f>
        <v>153</v>
      </c>
      <c r="AF160" s="16">
        <f>U160/V160</f>
        <v>-0.15433135591787</v>
      </c>
      <c r="AG160" s="15">
        <v>825</v>
      </c>
      <c r="AH160" s="15">
        <v>1395</v>
      </c>
    </row>
    <row r="161" ht="20.05" customHeight="1">
      <c r="A161" t="s" s="56">
        <v>313</v>
      </c>
      <c r="B161" s="14">
        <v>1575</v>
      </c>
      <c r="C161" s="15">
        <v>1950</v>
      </c>
      <c r="D161" s="15">
        <v>2310</v>
      </c>
      <c r="E161" s="15">
        <v>1711.5</v>
      </c>
      <c r="F161" s="15">
        <v>2227.5</v>
      </c>
      <c r="G161" s="15">
        <v>297</v>
      </c>
      <c r="H161" s="15">
        <v>160.5</v>
      </c>
      <c r="I161" s="15">
        <v>30</v>
      </c>
      <c r="J161" s="15">
        <v>-153</v>
      </c>
      <c r="K161" s="15">
        <v>-357</v>
      </c>
      <c r="L161" s="15">
        <v>1.5</v>
      </c>
      <c r="M161" s="15">
        <v>991.5</v>
      </c>
      <c r="N161" s="15">
        <v>10.5</v>
      </c>
      <c r="O161" s="15">
        <v>-223.5</v>
      </c>
      <c r="P161" s="15">
        <v>-288</v>
      </c>
      <c r="Q161" s="15">
        <v>-1530</v>
      </c>
      <c r="R161" s="15">
        <v>-1710</v>
      </c>
      <c r="S161" s="15">
        <v>-1927.5</v>
      </c>
      <c r="T161" s="15">
        <v>-1815</v>
      </c>
      <c r="U161" s="15">
        <v>-3450</v>
      </c>
      <c r="V161" s="15">
        <f>W161/1000000000</f>
        <v>4368</v>
      </c>
      <c r="W161" s="15">
        <v>4368000000000</v>
      </c>
      <c r="X161" t="s" s="44">
        <f>$A161</f>
        <v>313</v>
      </c>
      <c r="Y161" t="s" s="44">
        <f>Y$2</f>
        <v>153</v>
      </c>
      <c r="Z161" s="35">
        <f>F161/B161-1</f>
        <v>0.414285714285714</v>
      </c>
      <c r="AA161" t="s" s="44">
        <f>Y161</f>
        <v>153</v>
      </c>
      <c r="AB161" s="16">
        <f>SUM(H161:K161)/V161</f>
        <v>-0.0731456043956044</v>
      </c>
      <c r="AC161" t="s" s="44">
        <f>AA161</f>
        <v>153</v>
      </c>
      <c r="AD161" s="35">
        <f>SUM(M161:P161)/V161</f>
        <v>0.112293956043956</v>
      </c>
      <c r="AE161" t="s" s="44">
        <f>AC161</f>
        <v>153</v>
      </c>
      <c r="AF161" s="16">
        <f>U161/V161</f>
        <v>-0.789835164835165</v>
      </c>
      <c r="AG161" s="15">
        <v>5200</v>
      </c>
      <c r="AH161" s="15">
        <v>7885.5823625</v>
      </c>
    </row>
    <row r="162" ht="20.05" customHeight="1">
      <c r="A162" t="s" s="56">
        <v>314</v>
      </c>
      <c r="B162" s="14">
        <v>859.6799999999999</v>
      </c>
      <c r="C162" s="15">
        <v>913.6</v>
      </c>
      <c r="D162" s="15">
        <v>863.9181</v>
      </c>
      <c r="E162" s="15">
        <v>857.61</v>
      </c>
      <c r="F162" s="15">
        <v>884.1915</v>
      </c>
      <c r="G162" s="15">
        <v>-35.82</v>
      </c>
      <c r="H162" s="15">
        <v>12.8475</v>
      </c>
      <c r="I162" s="15">
        <v>-171.924</v>
      </c>
      <c r="J162" s="15">
        <v>-43.98</v>
      </c>
      <c r="K162" s="15">
        <v>130.3515</v>
      </c>
      <c r="L162" s="15">
        <v>30.51864</v>
      </c>
      <c r="M162" s="15">
        <v>0</v>
      </c>
      <c r="N162" s="15">
        <v>-154.7316</v>
      </c>
      <c r="O162" s="15">
        <v>-24.922</v>
      </c>
      <c r="P162" s="15">
        <v>219.87</v>
      </c>
      <c r="Q162" s="15">
        <v>-1289.52</v>
      </c>
      <c r="R162" s="15">
        <v>-1356.125</v>
      </c>
      <c r="S162" s="15">
        <v>-1447.027</v>
      </c>
      <c r="T162" s="15">
        <v>-1524.64</v>
      </c>
      <c r="U162" s="15">
        <v>-1491.975</v>
      </c>
      <c r="V162" s="15">
        <f>W162/1000000000</f>
        <v>940.733512704</v>
      </c>
      <c r="W162" s="15">
        <v>940733512704</v>
      </c>
      <c r="X162" t="s" s="44">
        <f>$A162</f>
        <v>314</v>
      </c>
      <c r="Y162" t="s" s="44">
        <f>Y$2</f>
        <v>153</v>
      </c>
      <c r="Z162" s="35">
        <f>F162/B162-1</f>
        <v>0.0285123534338358</v>
      </c>
      <c r="AA162" t="s" s="44">
        <f>Y162</f>
        <v>153</v>
      </c>
      <c r="AB162" s="16">
        <f>SUM(H162:K162)/V162</f>
        <v>-0.0772854363304441</v>
      </c>
      <c r="AC162" t="s" s="44">
        <f>AA162</f>
        <v>153</v>
      </c>
      <c r="AD162" s="35">
        <f>SUM(M162:P162)/V162</f>
        <v>0.0427500449988264</v>
      </c>
      <c r="AE162" t="s" s="44">
        <f>AC162</f>
        <v>153</v>
      </c>
      <c r="AF162" s="16">
        <f>U162/V162</f>
        <v>-1.58596986272078</v>
      </c>
      <c r="AG162" s="15">
        <v>146</v>
      </c>
      <c r="AH162" s="15">
        <v>164.261955269955</v>
      </c>
    </row>
    <row r="163" ht="20.05" customHeight="1">
      <c r="A163" t="s" s="56">
        <v>315</v>
      </c>
      <c r="B163" s="14">
        <v>3934.6</v>
      </c>
      <c r="C163" s="15">
        <v>3364</v>
      </c>
      <c r="D163" s="15">
        <v>2260.5</v>
      </c>
      <c r="E163" s="15">
        <v>2164.6</v>
      </c>
      <c r="F163" s="15">
        <v>2708.6</v>
      </c>
      <c r="G163" s="15">
        <v>-449.559</v>
      </c>
      <c r="H163" s="15">
        <v>394.759</v>
      </c>
      <c r="I163" s="15">
        <v>-275.3</v>
      </c>
      <c r="J163" s="15">
        <v>-638.3</v>
      </c>
      <c r="K163" s="15">
        <v>46.8</v>
      </c>
      <c r="L163" s="15">
        <v>-488.319</v>
      </c>
      <c r="M163" s="15">
        <v>309.059</v>
      </c>
      <c r="N163" s="15">
        <v>-291.9</v>
      </c>
      <c r="O163" s="15">
        <v>-654.7</v>
      </c>
      <c r="P163" s="15">
        <v>94.90000000000001</v>
      </c>
      <c r="Q163" s="15">
        <v>-10944</v>
      </c>
      <c r="R163" s="15">
        <v>-9780</v>
      </c>
      <c r="S163" s="15">
        <v>-9917</v>
      </c>
      <c r="T163" s="15">
        <v>-10352</v>
      </c>
      <c r="U163" s="15">
        <v>-10634</v>
      </c>
      <c r="V163" s="15">
        <f>W163/1000000000</f>
        <v>5748.38986752</v>
      </c>
      <c r="W163" s="15">
        <v>5748389867520</v>
      </c>
      <c r="X163" t="s" s="44">
        <f>$A163</f>
        <v>315</v>
      </c>
      <c r="Y163" t="s" s="44">
        <f>Y$2</f>
        <v>153</v>
      </c>
      <c r="Z163" s="35">
        <f>F163/B163-1</f>
        <v>-0.31159457123977</v>
      </c>
      <c r="AA163" t="s" s="44">
        <f>Y163</f>
        <v>153</v>
      </c>
      <c r="AB163" s="16">
        <f>SUM(H163:K163)/V163</f>
        <v>-0.0821170816313561</v>
      </c>
      <c r="AC163" t="s" s="44">
        <f>AA163</f>
        <v>153</v>
      </c>
      <c r="AD163" s="35">
        <f>SUM(M163:P163)/V163</f>
        <v>-0.09439878165989971</v>
      </c>
      <c r="AE163" t="s" s="44">
        <f>AC163</f>
        <v>153</v>
      </c>
      <c r="AF163" s="16">
        <f>U163/V163</f>
        <v>-1.84990932157978</v>
      </c>
      <c r="AG163" s="15">
        <v>1035</v>
      </c>
      <c r="AH163" s="15">
        <v>1166</v>
      </c>
    </row>
    <row r="164" ht="20.05" customHeight="1">
      <c r="A164" t="s" s="56">
        <v>316</v>
      </c>
      <c r="B164" s="14">
        <v>2135.9</v>
      </c>
      <c r="C164" s="15">
        <v>2415.6</v>
      </c>
      <c r="D164" s="15">
        <v>2754</v>
      </c>
      <c r="E164" s="15">
        <v>2754.9</v>
      </c>
      <c r="F164" s="15">
        <v>2862</v>
      </c>
      <c r="G164" s="15">
        <v>-420.7</v>
      </c>
      <c r="H164" s="15">
        <v>-61</v>
      </c>
      <c r="I164" s="15">
        <v>146.7</v>
      </c>
      <c r="J164" s="15">
        <v>-208.2</v>
      </c>
      <c r="K164" s="15">
        <v>31.2</v>
      </c>
      <c r="L164" s="15">
        <v>-438.209</v>
      </c>
      <c r="M164" s="15">
        <v>-118.5</v>
      </c>
      <c r="N164" s="15">
        <v>205.8</v>
      </c>
      <c r="O164" s="15">
        <v>-342.4</v>
      </c>
      <c r="P164" s="15">
        <v>37.2</v>
      </c>
      <c r="Q164" s="15">
        <v>-3169</v>
      </c>
      <c r="R164" s="15">
        <v>-2868</v>
      </c>
      <c r="S164" s="15">
        <v>-2885</v>
      </c>
      <c r="T164" s="15">
        <v>-2570</v>
      </c>
      <c r="U164" s="15">
        <v>-2947</v>
      </c>
      <c r="V164" s="15">
        <f>W164/1000000000</f>
        <v>1061.167477248</v>
      </c>
      <c r="W164" s="15">
        <v>1061167477248</v>
      </c>
      <c r="X164" t="s" s="44">
        <f>$A164</f>
        <v>316</v>
      </c>
      <c r="Y164" t="s" s="44">
        <f>Y$2</f>
        <v>153</v>
      </c>
      <c r="Z164" s="35">
        <f>F164/B164-1</f>
        <v>0.339950372208437</v>
      </c>
      <c r="AA164" t="s" s="44">
        <f>Y164</f>
        <v>153</v>
      </c>
      <c r="AB164" s="16">
        <f>SUM(H164:K164)/V164</f>
        <v>-0.0860373145215256</v>
      </c>
      <c r="AC164" t="s" s="44">
        <f>AA164</f>
        <v>153</v>
      </c>
      <c r="AD164" s="35">
        <f>SUM(M164:P164)/V164</f>
        <v>-0.205339877702524</v>
      </c>
      <c r="AE164" t="s" s="44">
        <f>AC164</f>
        <v>153</v>
      </c>
      <c r="AF164" s="16">
        <f>U164/V164</f>
        <v>-2.77712996599053</v>
      </c>
      <c r="AG164" s="15">
        <v>474</v>
      </c>
      <c r="AH164" s="15">
        <v>326.293429623781</v>
      </c>
    </row>
    <row r="165" ht="20.05" customHeight="1">
      <c r="A165" t="s" s="56">
        <v>317</v>
      </c>
      <c r="B165" s="14">
        <v>9289.5</v>
      </c>
      <c r="C165" s="15">
        <v>10488</v>
      </c>
      <c r="D165" s="15">
        <v>10165.5</v>
      </c>
      <c r="E165" s="15">
        <v>9882</v>
      </c>
      <c r="F165" s="15">
        <v>9169.5</v>
      </c>
      <c r="G165" s="15">
        <v>-1417.5</v>
      </c>
      <c r="H165" s="15">
        <v>-3880.5</v>
      </c>
      <c r="I165" s="15">
        <v>-11005.5</v>
      </c>
      <c r="J165" s="15">
        <v>943.5</v>
      </c>
      <c r="K165" s="15">
        <v>-3838.5</v>
      </c>
      <c r="L165" s="15">
        <v>-15294.06</v>
      </c>
      <c r="M165" s="15">
        <v>-2266.5</v>
      </c>
      <c r="N165" s="15">
        <v>-6553.5</v>
      </c>
      <c r="O165" s="15">
        <v>1143</v>
      </c>
      <c r="P165" s="15">
        <v>-694.5</v>
      </c>
      <c r="Q165" s="15">
        <v>465</v>
      </c>
      <c r="R165" s="15">
        <v>-7290</v>
      </c>
      <c r="S165" s="15">
        <v>-11550</v>
      </c>
      <c r="T165" s="15">
        <v>-9675</v>
      </c>
      <c r="U165" s="15">
        <v>-13680</v>
      </c>
      <c r="V165" s="15">
        <f>W165/1000000000</f>
        <v>203302.0280832</v>
      </c>
      <c r="W165" s="15">
        <v>203302028083200</v>
      </c>
      <c r="X165" t="s" s="44">
        <f>$A165</f>
        <v>317</v>
      </c>
      <c r="Y165" t="s" s="44">
        <f>Y$2</f>
        <v>153</v>
      </c>
      <c r="Z165" s="35">
        <f>F165/B165-1</f>
        <v>-0.0129178104311319</v>
      </c>
      <c r="AA165" t="s" s="44">
        <f>Y165</f>
        <v>153</v>
      </c>
      <c r="AB165" s="16">
        <f>SUM(H165:K165)/V165</f>
        <v>-0.08746100650173171</v>
      </c>
      <c r="AC165" t="s" s="44">
        <f>AA165</f>
        <v>153</v>
      </c>
      <c r="AD165" s="35">
        <f>SUM(M165:P165)/V165</f>
        <v>-0.0411776511967407</v>
      </c>
      <c r="AE165" t="s" s="44">
        <f>AC165</f>
        <v>153</v>
      </c>
      <c r="AF165" s="16">
        <f>U165/V165</f>
        <v>-0.0672890483630668</v>
      </c>
      <c r="AG165" s="15">
        <v>2350</v>
      </c>
      <c r="AH165" s="15">
        <v>1259.337871442080</v>
      </c>
    </row>
    <row r="166" ht="20.05" customHeight="1">
      <c r="A166" t="s" s="56">
        <v>318</v>
      </c>
      <c r="B166" s="14">
        <v>1802.4624</v>
      </c>
      <c r="C166" s="15">
        <v>1710.145</v>
      </c>
      <c r="D166" s="15">
        <v>1763.6537</v>
      </c>
      <c r="E166" s="15">
        <v>3200.278</v>
      </c>
      <c r="F166" s="15">
        <v>4469.643</v>
      </c>
      <c r="G166" s="15">
        <v>-553.0608</v>
      </c>
      <c r="H166" s="15">
        <v>-1617.3575</v>
      </c>
      <c r="I166" s="15">
        <v>-4968.6036</v>
      </c>
      <c r="J166" s="15">
        <v>-1778.258</v>
      </c>
      <c r="K166" s="15">
        <v>-1388.322</v>
      </c>
      <c r="L166" s="15">
        <v>980.278776</v>
      </c>
      <c r="M166" s="15">
        <v>-1375.638925</v>
      </c>
      <c r="N166" s="15">
        <v>-4055.9737</v>
      </c>
      <c r="O166" s="15">
        <v>-6142.54</v>
      </c>
      <c r="P166" s="15">
        <v>-670.6035000000001</v>
      </c>
      <c r="Q166" s="15">
        <v>-3008.88</v>
      </c>
      <c r="R166" s="15">
        <v>-4482.35</v>
      </c>
      <c r="S166" s="15">
        <v>-10759.577</v>
      </c>
      <c r="T166" s="15">
        <v>-14938.54</v>
      </c>
      <c r="U166" s="15">
        <v>-18720.36</v>
      </c>
      <c r="V166" s="15">
        <f>W166/1000000000</f>
        <v>108191.702016</v>
      </c>
      <c r="W166" s="15">
        <v>108191702016000</v>
      </c>
      <c r="X166" t="s" s="44">
        <f>$A166</f>
        <v>318</v>
      </c>
      <c r="Y166" t="s" s="44">
        <f>Y$2</f>
        <v>153</v>
      </c>
      <c r="Z166" s="35">
        <f>F166/B166-1</f>
        <v>1.47974271197003</v>
      </c>
      <c r="AA166" t="s" s="44">
        <f>Y166</f>
        <v>153</v>
      </c>
      <c r="AB166" s="16">
        <f>SUM(H166:K166)/V166</f>
        <v>-0.0901413039842717</v>
      </c>
      <c r="AC166" t="s" s="44">
        <f>AA166</f>
        <v>153</v>
      </c>
      <c r="AD166" s="35">
        <f>SUM(M166:P166)/V166</f>
        <v>-0.113176481161089</v>
      </c>
      <c r="AE166" t="s" s="44">
        <f>AC166</f>
        <v>153</v>
      </c>
      <c r="AF166" s="16">
        <f>U166/V166</f>
        <v>-0.173029536010364</v>
      </c>
      <c r="AG166" s="15">
        <v>4500</v>
      </c>
      <c r="AH166" s="15">
        <v>2496.625772765170</v>
      </c>
    </row>
    <row r="167" ht="20.05" customHeight="1">
      <c r="A167" t="s" s="56">
        <v>319</v>
      </c>
      <c r="B167" s="14">
        <v>7.83333333333333</v>
      </c>
      <c r="C167" s="15">
        <v>7.83333333333333</v>
      </c>
      <c r="D167" s="15">
        <v>13.2</v>
      </c>
      <c r="E167" s="15">
        <v>12.5</v>
      </c>
      <c r="F167" s="15">
        <v>18.174</v>
      </c>
      <c r="G167" s="15">
        <v>-25.2</v>
      </c>
      <c r="H167" s="15">
        <v>-25.2</v>
      </c>
      <c r="I167" s="15">
        <v>-7.8</v>
      </c>
      <c r="J167" s="15">
        <v>-12.6</v>
      </c>
      <c r="K167" s="15">
        <v>1.035</v>
      </c>
      <c r="L167" s="15">
        <v>-31.7666666666667</v>
      </c>
      <c r="M167" s="15">
        <v>-31.7666666666667</v>
      </c>
      <c r="N167" s="15">
        <v>0</v>
      </c>
      <c r="O167" s="15">
        <v>0</v>
      </c>
      <c r="P167" s="15">
        <v>0</v>
      </c>
      <c r="Q167" s="15">
        <v>0</v>
      </c>
      <c r="R167" s="15">
        <v>16</v>
      </c>
      <c r="S167" s="15">
        <v>6.7</v>
      </c>
      <c r="T167" s="15">
        <v>-7</v>
      </c>
      <c r="U167" s="15">
        <v>-8.394</v>
      </c>
      <c r="V167" s="15">
        <f>W167/1000000000</f>
        <v>487.6</v>
      </c>
      <c r="W167" s="15">
        <v>487600000000</v>
      </c>
      <c r="X167" t="s" s="44">
        <f>$A167</f>
        <v>319</v>
      </c>
      <c r="Y167" t="s" s="44">
        <f>Y$2</f>
        <v>153</v>
      </c>
      <c r="Z167" s="35">
        <f>F167/B167-1</f>
        <v>1.32008510638298</v>
      </c>
      <c r="AA167" t="s" s="44">
        <f>Y167</f>
        <v>153</v>
      </c>
      <c r="AB167" s="16">
        <f>SUM(H167:K167)/V167</f>
        <v>-0.0913966365873667</v>
      </c>
      <c r="AC167" t="s" s="44">
        <f>AA167</f>
        <v>153</v>
      </c>
      <c r="AD167" s="35">
        <f>SUM(M167:P167)/V167</f>
        <v>-0.06514902925895549</v>
      </c>
      <c r="AE167" t="s" s="44">
        <f>AC167</f>
        <v>153</v>
      </c>
      <c r="AF167" s="16">
        <f>U167/V167</f>
        <v>-0.0172149302707137</v>
      </c>
      <c r="AG167" s="15">
        <v>106</v>
      </c>
      <c r="AH167" s="15">
        <v>10.5208093738769</v>
      </c>
    </row>
    <row r="168" ht="20.05" customHeight="1">
      <c r="A168" t="s" s="56">
        <v>320</v>
      </c>
      <c r="B168" s="14">
        <v>1443.5</v>
      </c>
      <c r="C168" s="15">
        <v>1539.6</v>
      </c>
      <c r="D168" s="15">
        <v>1534.7</v>
      </c>
      <c r="E168" s="15">
        <v>1629.3</v>
      </c>
      <c r="F168" s="15">
        <v>1788</v>
      </c>
      <c r="G168" s="15">
        <v>397.9</v>
      </c>
      <c r="H168" s="15">
        <v>73.8</v>
      </c>
      <c r="I168" s="15">
        <v>-636.4</v>
      </c>
      <c r="J168" s="15">
        <v>-926.6</v>
      </c>
      <c r="K168" s="15">
        <v>246</v>
      </c>
      <c r="L168" s="15">
        <v>369</v>
      </c>
      <c r="M168" s="15">
        <v>-2383.8</v>
      </c>
      <c r="N168" s="15">
        <v>61.5</v>
      </c>
      <c r="O168" s="15">
        <v>-655.5</v>
      </c>
      <c r="P168" s="15">
        <v>151</v>
      </c>
      <c r="Q168" s="15">
        <v>-1226</v>
      </c>
      <c r="R168" s="15">
        <v>780</v>
      </c>
      <c r="S168" s="15">
        <v>149</v>
      </c>
      <c r="T168" s="15">
        <v>-199</v>
      </c>
      <c r="U168" s="15">
        <v>-87</v>
      </c>
      <c r="V168" s="15">
        <f>W168/1000000000</f>
        <v>13526.383476736</v>
      </c>
      <c r="W168" s="15">
        <v>13526383476736</v>
      </c>
      <c r="X168" t="s" s="44">
        <f>$A168</f>
        <v>320</v>
      </c>
      <c r="Y168" t="s" s="44">
        <f>Y$2</f>
        <v>153</v>
      </c>
      <c r="Z168" s="35">
        <f>F168/B168-1</f>
        <v>0.238656044336682</v>
      </c>
      <c r="AA168" t="s" s="44">
        <f>Y168</f>
        <v>153</v>
      </c>
      <c r="AB168" s="16">
        <f>SUM(H168:K168)/V168</f>
        <v>-0.0919092677017606</v>
      </c>
      <c r="AC168" t="s" s="44">
        <f>AA168</f>
        <v>153</v>
      </c>
      <c r="AD168" s="35">
        <f>SUM(M168:P168)/V168</f>
        <v>-0.208984168226622</v>
      </c>
      <c r="AE168" t="s" s="44">
        <f>AC168</f>
        <v>153</v>
      </c>
      <c r="AF168" s="16">
        <f>U168/V168</f>
        <v>-0.00643187442893595</v>
      </c>
      <c r="AG168" s="15">
        <v>214</v>
      </c>
      <c r="AH168" s="15">
        <v>233.934935203829</v>
      </c>
    </row>
    <row r="169" ht="20.05" customHeight="1">
      <c r="A169" t="s" s="56">
        <v>321</v>
      </c>
      <c r="B169" s="14">
        <v>6826</v>
      </c>
      <c r="C169" s="15">
        <v>6953.8</v>
      </c>
      <c r="D169" s="15">
        <v>6742</v>
      </c>
      <c r="E169" s="15">
        <v>7333</v>
      </c>
      <c r="F169" s="15">
        <v>7520.4</v>
      </c>
      <c r="G169" s="15">
        <v>1470.8</v>
      </c>
      <c r="H169" s="15">
        <v>-927.2</v>
      </c>
      <c r="I169" s="15">
        <v>-1108.1</v>
      </c>
      <c r="J169" s="15">
        <v>-1915.9</v>
      </c>
      <c r="K169" s="15">
        <v>615.9</v>
      </c>
      <c r="L169" s="15">
        <v>206.1</v>
      </c>
      <c r="M169" s="15">
        <v>79.04000000000001</v>
      </c>
      <c r="N169" s="15">
        <v>142</v>
      </c>
      <c r="O169" s="15">
        <v>-2509</v>
      </c>
      <c r="P169" s="15">
        <v>-1503.5</v>
      </c>
      <c r="Q169" s="26">
        <v>-45093</v>
      </c>
      <c r="R169" s="26">
        <v>-50000</v>
      </c>
      <c r="S169" s="15">
        <v>-50188</v>
      </c>
      <c r="T169" s="26">
        <v>-54073</v>
      </c>
      <c r="U169" s="26">
        <v>-55199</v>
      </c>
      <c r="V169" s="15">
        <f>W169/1000000000</f>
        <v>29801.46770944</v>
      </c>
      <c r="W169" s="15">
        <v>29801467709440</v>
      </c>
      <c r="X169" t="s" s="44">
        <f>$A169</f>
        <v>321</v>
      </c>
      <c r="Y169" t="s" s="44">
        <f>Y$2</f>
        <v>153</v>
      </c>
      <c r="Z169" s="35">
        <f>F169/B169-1</f>
        <v>0.10172868444184</v>
      </c>
      <c r="AA169" t="s" s="44">
        <f>Y169</f>
        <v>153</v>
      </c>
      <c r="AB169" s="16">
        <f>SUM(H169:K169)/V169</f>
        <v>-0.111917306641361</v>
      </c>
      <c r="AC169" t="s" s="44">
        <f>AA169</f>
        <v>153</v>
      </c>
      <c r="AD169" s="35">
        <f>SUM(M169:P169)/V169</f>
        <v>-0.127223935309703</v>
      </c>
      <c r="AE169" t="s" s="44">
        <f>AC169</f>
        <v>153</v>
      </c>
      <c r="AF169" s="16">
        <f>U169/V169</f>
        <v>-1.85222421050474</v>
      </c>
      <c r="AG169" s="15">
        <v>2270</v>
      </c>
      <c r="AH169" s="15">
        <v>2207.157825510880</v>
      </c>
    </row>
    <row r="170" ht="20.05" customHeight="1">
      <c r="A170" t="s" s="56">
        <v>322</v>
      </c>
      <c r="B170" s="14">
        <v>56.1</v>
      </c>
      <c r="C170" s="15">
        <v>63.6</v>
      </c>
      <c r="D170" s="15">
        <v>74</v>
      </c>
      <c r="E170" s="15">
        <v>59.1</v>
      </c>
      <c r="F170" s="15">
        <v>125.2</v>
      </c>
      <c r="G170" s="15">
        <v>54.397</v>
      </c>
      <c r="H170" s="15">
        <v>-2.3</v>
      </c>
      <c r="I170" s="15">
        <v>-10.8</v>
      </c>
      <c r="J170" s="15">
        <v>-11.7</v>
      </c>
      <c r="K170" s="15">
        <v>9</v>
      </c>
      <c r="L170" s="15">
        <v>30.1</v>
      </c>
      <c r="M170" s="15">
        <v>22.2</v>
      </c>
      <c r="N170" s="15">
        <v>-10.9</v>
      </c>
      <c r="O170" s="15">
        <v>-12.1</v>
      </c>
      <c r="P170" s="15">
        <v>1.2</v>
      </c>
      <c r="Q170" s="15">
        <v>-447</v>
      </c>
      <c r="R170" s="15">
        <v>-271</v>
      </c>
      <c r="S170" s="15">
        <v>-272</v>
      </c>
      <c r="T170" s="15">
        <v>-305</v>
      </c>
      <c r="U170" s="15">
        <v>-326</v>
      </c>
      <c r="V170" s="15">
        <f>W170/1000000000</f>
        <v>133.75</v>
      </c>
      <c r="W170" s="15">
        <v>133750000000</v>
      </c>
      <c r="X170" t="s" s="44">
        <f>$A170</f>
        <v>322</v>
      </c>
      <c r="Y170" t="s" s="44">
        <f>Y$2</f>
        <v>153</v>
      </c>
      <c r="Z170" s="35">
        <f>F170/B170-1</f>
        <v>1.23172905525847</v>
      </c>
      <c r="AA170" t="s" s="44">
        <f>Y170</f>
        <v>153</v>
      </c>
      <c r="AB170" s="16">
        <f>SUM(H170:K170)/V170</f>
        <v>-0.118130841121495</v>
      </c>
      <c r="AC170" t="s" s="44">
        <f>AA170</f>
        <v>153</v>
      </c>
      <c r="AD170" s="35">
        <f>SUM(M170:P170)/V170</f>
        <v>0.00299065420560748</v>
      </c>
      <c r="AE170" t="s" s="44">
        <f>AC170</f>
        <v>153</v>
      </c>
      <c r="AF170" s="16">
        <f>U170/V170</f>
        <v>-2.43738317757009</v>
      </c>
      <c r="AG170" s="15">
        <v>125</v>
      </c>
      <c r="AH170" s="15">
        <v>179.086001924607</v>
      </c>
    </row>
    <row r="171" ht="20.05" customHeight="1">
      <c r="A171" t="s" s="56">
        <v>323</v>
      </c>
      <c r="B171" s="14">
        <v>131.4</v>
      </c>
      <c r="C171" s="15">
        <v>118</v>
      </c>
      <c r="D171" s="15">
        <v>158</v>
      </c>
      <c r="E171" s="15">
        <v>108</v>
      </c>
      <c r="F171" s="15">
        <v>226.3</v>
      </c>
      <c r="G171" s="15">
        <v>-792.8</v>
      </c>
      <c r="H171" s="15">
        <v>45.62</v>
      </c>
      <c r="I171" s="15">
        <v>-3763</v>
      </c>
      <c r="J171" s="15">
        <v>-352.4</v>
      </c>
      <c r="K171" s="15">
        <v>-281.5</v>
      </c>
      <c r="L171" s="15">
        <v>-748.4</v>
      </c>
      <c r="M171" s="15">
        <v>-1.6</v>
      </c>
      <c r="N171" s="15">
        <v>-4800.4</v>
      </c>
      <c r="O171" s="15">
        <v>0</v>
      </c>
      <c r="P171" s="15">
        <v>0</v>
      </c>
      <c r="Q171" s="17"/>
      <c r="R171" s="17"/>
      <c r="S171" s="17"/>
      <c r="T171" s="17"/>
      <c r="U171" s="17"/>
      <c r="V171" s="15">
        <f>W171/1000000000</f>
        <v>35963.64634112</v>
      </c>
      <c r="W171" s="15">
        <v>35963646341120</v>
      </c>
      <c r="X171" t="s" s="44">
        <f>$A171</f>
        <v>323</v>
      </c>
      <c r="Y171" t="s" s="44">
        <f>Y$2</f>
        <v>153</v>
      </c>
      <c r="Z171" s="35">
        <f>F171/B171-1</f>
        <v>0.722222222222222</v>
      </c>
      <c r="AA171" t="s" s="44">
        <f>Y171</f>
        <v>153</v>
      </c>
      <c r="AB171" s="16">
        <f>SUM(H171:K171)/V171</f>
        <v>-0.120991068556495</v>
      </c>
      <c r="AC171" t="s" s="44">
        <f>AA171</f>
        <v>153</v>
      </c>
      <c r="AD171" s="35">
        <f>SUM(M171:P171)/V171</f>
        <v>-0.133523724331298</v>
      </c>
      <c r="AE171" t="s" s="44">
        <f>AC171</f>
        <v>153</v>
      </c>
      <c r="AF171" s="16">
        <f>U171/V171</f>
        <v>0</v>
      </c>
      <c r="AG171" s="15">
        <v>1655</v>
      </c>
      <c r="AH171" s="15">
        <v>693.176201476506</v>
      </c>
    </row>
    <row r="172" ht="20.05" customHeight="1">
      <c r="A172" t="s" s="56">
        <v>324</v>
      </c>
      <c r="B172" s="14">
        <v>814.8</v>
      </c>
      <c r="C172" s="15">
        <v>915.5</v>
      </c>
      <c r="D172" s="15">
        <v>852.8</v>
      </c>
      <c r="E172" s="15">
        <v>896.2</v>
      </c>
      <c r="F172" s="15">
        <v>887.6</v>
      </c>
      <c r="G172" s="15">
        <v>-117</v>
      </c>
      <c r="H172" s="15">
        <v>46.7</v>
      </c>
      <c r="I172" s="15">
        <v>-38.4</v>
      </c>
      <c r="J172" s="15">
        <v>-81.2</v>
      </c>
      <c r="K172" s="15">
        <v>-120</v>
      </c>
      <c r="L172" s="15">
        <v>-116.899</v>
      </c>
      <c r="M172" s="15">
        <v>-15.9</v>
      </c>
      <c r="N172" s="15">
        <v>20.9</v>
      </c>
      <c r="O172" s="15">
        <v>-99.09999999999999</v>
      </c>
      <c r="P172" s="15">
        <v>-94.40000000000001</v>
      </c>
      <c r="Q172" s="15">
        <v>-976</v>
      </c>
      <c r="R172" s="15">
        <v>-951</v>
      </c>
      <c r="S172" s="15">
        <v>-1036</v>
      </c>
      <c r="T172" s="15">
        <v>-1189</v>
      </c>
      <c r="U172" s="15">
        <v>-1315</v>
      </c>
      <c r="V172" s="15">
        <f>W172/1000000000</f>
        <v>1577.882208</v>
      </c>
      <c r="W172" s="15">
        <v>1577882208000</v>
      </c>
      <c r="X172" t="s" s="44">
        <f>$A172</f>
        <v>324</v>
      </c>
      <c r="Y172" t="s" s="44">
        <f>Y$2</f>
        <v>153</v>
      </c>
      <c r="Z172" s="35">
        <f>F172/B172-1</f>
        <v>0.0893470790378007</v>
      </c>
      <c r="AA172" t="s" s="44">
        <f>Y172</f>
        <v>153</v>
      </c>
      <c r="AB172" s="16">
        <f>SUM(H172:K172)/V172</f>
        <v>-0.122252471713022</v>
      </c>
      <c r="AC172" t="s" s="44">
        <f>AA172</f>
        <v>153</v>
      </c>
      <c r="AD172" s="35">
        <f>SUM(M172:P172)/V172</f>
        <v>-0.11946392388753</v>
      </c>
      <c r="AE172" t="s" s="44">
        <f>AC172</f>
        <v>153</v>
      </c>
      <c r="AF172" s="16">
        <f>U172/V172</f>
        <v>-0.833395543300277</v>
      </c>
      <c r="AG172" s="15">
        <v>525</v>
      </c>
      <c r="AH172" s="15">
        <v>329.544683386381</v>
      </c>
    </row>
    <row r="173" ht="20.05" customHeight="1">
      <c r="A173" t="s" s="56">
        <v>325</v>
      </c>
      <c r="B173" s="14">
        <v>30.0888</v>
      </c>
      <c r="C173" s="15">
        <v>34.26</v>
      </c>
      <c r="D173" s="15">
        <v>42.40792</v>
      </c>
      <c r="E173" s="15">
        <v>37.2364</v>
      </c>
      <c r="F173" s="15">
        <v>43.974</v>
      </c>
      <c r="G173" s="15">
        <v>-209.1888</v>
      </c>
      <c r="H173" s="15">
        <v>-1693.015</v>
      </c>
      <c r="I173" s="15">
        <v>-929.836627</v>
      </c>
      <c r="J173" s="15">
        <v>-208.15734</v>
      </c>
      <c r="K173" s="15">
        <v>-282.69</v>
      </c>
      <c r="L173" s="15">
        <v>8.5968</v>
      </c>
      <c r="M173" s="15">
        <v>-2359.6575</v>
      </c>
      <c r="N173" s="15">
        <v>-863.259058</v>
      </c>
      <c r="O173" s="15">
        <v>8.121639999999999</v>
      </c>
      <c r="P173" s="15">
        <v>-745.9875</v>
      </c>
      <c r="Q173" s="15">
        <v>-1203.552</v>
      </c>
      <c r="R173" s="15">
        <v>-585.275</v>
      </c>
      <c r="S173" s="15">
        <v>-644.715</v>
      </c>
      <c r="T173" s="15">
        <v>-894.26</v>
      </c>
      <c r="U173" s="15">
        <v>-1303.515</v>
      </c>
      <c r="V173" s="15">
        <f>W173/1000000000</f>
        <v>22260.089044992</v>
      </c>
      <c r="W173" s="15">
        <v>22260089044992</v>
      </c>
      <c r="X173" t="s" s="44">
        <f>$A173</f>
        <v>325</v>
      </c>
      <c r="Y173" t="s" s="44">
        <f>Y$2</f>
        <v>153</v>
      </c>
      <c r="Z173" s="35">
        <f>F173/B173-1</f>
        <v>0.461474036850921</v>
      </c>
      <c r="AA173" t="s" s="44">
        <f>Y173</f>
        <v>153</v>
      </c>
      <c r="AB173" s="16">
        <f>SUM(H173:K173)/V173</f>
        <v>-0.139878100249581</v>
      </c>
      <c r="AC173" t="s" s="44">
        <f>AA173</f>
        <v>153</v>
      </c>
      <c r="AD173" s="35">
        <f>SUM(M173:P173)/V173</f>
        <v>-0.177932011412645</v>
      </c>
      <c r="AE173" t="s" s="44">
        <f>AC173</f>
        <v>153</v>
      </c>
      <c r="AF173" s="16">
        <f>U173/V173</f>
        <v>-0.0585583910902306</v>
      </c>
      <c r="AG173" s="15">
        <v>157</v>
      </c>
      <c r="AH173" s="15">
        <v>79.4090258003705</v>
      </c>
    </row>
    <row r="174" ht="20.05" customHeight="1">
      <c r="A174" t="s" s="56">
        <v>326</v>
      </c>
      <c r="B174" s="14">
        <v>2906.1</v>
      </c>
      <c r="C174" s="15">
        <v>4179.7</v>
      </c>
      <c r="D174" s="15">
        <v>3787.3</v>
      </c>
      <c r="E174" s="15">
        <v>2539.5</v>
      </c>
      <c r="F174" s="15">
        <v>2806.3</v>
      </c>
      <c r="G174" s="15">
        <v>535.3</v>
      </c>
      <c r="H174" s="15">
        <v>2363.2</v>
      </c>
      <c r="I174" s="15">
        <v>-2160</v>
      </c>
      <c r="J174" s="15">
        <v>123.5</v>
      </c>
      <c r="K174" s="15">
        <v>-863.5</v>
      </c>
      <c r="L174" s="15">
        <v>-419.039</v>
      </c>
      <c r="M174" s="15">
        <v>836.252</v>
      </c>
      <c r="N174" s="15">
        <v>-345.4</v>
      </c>
      <c r="O174" s="15">
        <v>-1057.3</v>
      </c>
      <c r="P174" s="15">
        <v>899.7</v>
      </c>
      <c r="Q174" s="15">
        <v>-33536</v>
      </c>
      <c r="R174" s="15">
        <v>-31090</v>
      </c>
      <c r="S174" s="15">
        <v>-31569</v>
      </c>
      <c r="T174" s="15">
        <v>-30629</v>
      </c>
      <c r="U174" s="15">
        <v>-30829</v>
      </c>
      <c r="V174" s="15">
        <f>W174/1000000000</f>
        <v>3598.457018368</v>
      </c>
      <c r="W174" s="15">
        <v>3598457018368</v>
      </c>
      <c r="X174" t="s" s="44">
        <f>$A174</f>
        <v>326</v>
      </c>
      <c r="Y174" t="s" s="44">
        <f>Y$2</f>
        <v>153</v>
      </c>
      <c r="Z174" s="35">
        <f>F174/B174-1</f>
        <v>-0.034341557413716</v>
      </c>
      <c r="AA174" t="s" s="44">
        <f>Y174</f>
        <v>153</v>
      </c>
      <c r="AB174" s="16">
        <f>SUM(H174:K174)/V174</f>
        <v>-0.149175048433246</v>
      </c>
      <c r="AC174" t="s" s="44">
        <f>AA174</f>
        <v>153</v>
      </c>
      <c r="AD174" s="35">
        <f>SUM(M174:P174)/V174</f>
        <v>0.0926096930709316</v>
      </c>
      <c r="AE174" t="s" s="44">
        <f>AC174</f>
        <v>153</v>
      </c>
      <c r="AF174" s="16">
        <f>U174/V174</f>
        <v>-8.56728310012768</v>
      </c>
      <c r="AG174" s="15">
        <v>428</v>
      </c>
      <c r="AH174" s="15">
        <v>562.132038142817</v>
      </c>
    </row>
    <row r="175" ht="20.05" customHeight="1">
      <c r="A175" t="s" s="56">
        <v>327</v>
      </c>
      <c r="B175" s="14">
        <v>572.633333333333</v>
      </c>
      <c r="C175" s="15">
        <v>572.633333333333</v>
      </c>
      <c r="D175" s="15">
        <v>1000.5</v>
      </c>
      <c r="E175" s="15">
        <v>1141.1</v>
      </c>
      <c r="F175" s="15">
        <v>1091.2</v>
      </c>
      <c r="G175" s="15">
        <v>224.7</v>
      </c>
      <c r="H175" s="15">
        <v>-124.4</v>
      </c>
      <c r="I175" s="15">
        <v>-614.5</v>
      </c>
      <c r="J175" s="15">
        <v>-125.3</v>
      </c>
      <c r="K175" s="15">
        <v>-98.09999999999999</v>
      </c>
      <c r="L175" s="15">
        <v>100</v>
      </c>
      <c r="M175" s="15">
        <v>-305</v>
      </c>
      <c r="N175" s="15">
        <v>-520</v>
      </c>
      <c r="O175" s="15">
        <v>-155</v>
      </c>
      <c r="P175" s="15">
        <v>-135</v>
      </c>
      <c r="Q175" s="15">
        <v>-3779</v>
      </c>
      <c r="R175" s="15">
        <v>-7484.9</v>
      </c>
      <c r="S175" s="15">
        <v>-7709</v>
      </c>
      <c r="T175" s="15">
        <v>-7898</v>
      </c>
      <c r="U175" s="15">
        <v>-7911</v>
      </c>
      <c r="V175" s="15">
        <f>W175/1000000000</f>
        <v>6254.5269696</v>
      </c>
      <c r="W175" s="15">
        <v>6254526969600</v>
      </c>
      <c r="X175" t="s" s="44">
        <f>$A175</f>
        <v>327</v>
      </c>
      <c r="Y175" t="s" s="44">
        <f>Y$2</f>
        <v>153</v>
      </c>
      <c r="Z175" s="35">
        <f>F175/B175-1</f>
        <v>0.905582397112755</v>
      </c>
      <c r="AA175" t="s" s="44">
        <f>Y175</f>
        <v>153</v>
      </c>
      <c r="AB175" s="16">
        <f>SUM(H175:K175)/V175</f>
        <v>-0.153856559365279</v>
      </c>
      <c r="AC175" t="s" s="44">
        <f>AA175</f>
        <v>153</v>
      </c>
      <c r="AD175" s="35">
        <f>SUM(M175:P175)/V175</f>
        <v>-0.178270875706418</v>
      </c>
      <c r="AE175" t="s" s="44">
        <f>AC175</f>
        <v>153</v>
      </c>
      <c r="AF175" s="16">
        <f>U175/V175</f>
        <v>-1.26484385445154</v>
      </c>
      <c r="AG175" s="15">
        <v>1495</v>
      </c>
      <c r="AH175" s="15">
        <v>1322.462739632530</v>
      </c>
    </row>
    <row r="176" ht="20.05" customHeight="1">
      <c r="A176" t="s" s="56">
        <v>328</v>
      </c>
      <c r="B176" s="14">
        <v>391</v>
      </c>
      <c r="C176" s="15">
        <v>422.88</v>
      </c>
      <c r="D176" s="15">
        <v>425</v>
      </c>
      <c r="E176" s="15">
        <v>406</v>
      </c>
      <c r="F176" s="15">
        <v>422.5</v>
      </c>
      <c r="G176" s="15">
        <v>-87.59999999999999</v>
      </c>
      <c r="H176" s="15">
        <v>-98.94</v>
      </c>
      <c r="I176" s="15">
        <v>8.35</v>
      </c>
      <c r="J176" s="15">
        <v>25.65</v>
      </c>
      <c r="K176" s="15">
        <v>-73.09999999999999</v>
      </c>
      <c r="L176" s="15">
        <v>-154.8</v>
      </c>
      <c r="M176" s="15">
        <v>-298.2</v>
      </c>
      <c r="N176" s="15">
        <v>70.3</v>
      </c>
      <c r="O176" s="15">
        <v>-126.3</v>
      </c>
      <c r="P176" s="15">
        <v>-162</v>
      </c>
      <c r="Q176" s="15">
        <v>-3284</v>
      </c>
      <c r="R176" s="15">
        <v>-3367.34</v>
      </c>
      <c r="S176" s="15">
        <v>-3414.89</v>
      </c>
      <c r="T176" s="15">
        <v>-3375</v>
      </c>
      <c r="U176" s="15">
        <v>-3472</v>
      </c>
      <c r="V176" s="15">
        <f>W176/1000000000</f>
        <v>884.295903744</v>
      </c>
      <c r="W176" s="15">
        <v>884295903744</v>
      </c>
      <c r="X176" t="s" s="44">
        <f>$A176</f>
        <v>328</v>
      </c>
      <c r="Y176" t="s" s="44">
        <f>Y$2</f>
        <v>153</v>
      </c>
      <c r="Z176" s="35">
        <f>F176/B176-1</f>
        <v>0.0805626598465473</v>
      </c>
      <c r="AA176" t="s" s="44">
        <f>Y176</f>
        <v>153</v>
      </c>
      <c r="AB176" s="16">
        <f>SUM(H176:K176)/V176</f>
        <v>-0.156101593839297</v>
      </c>
      <c r="AC176" t="s" s="44">
        <f>AA176</f>
        <v>153</v>
      </c>
      <c r="AD176" s="35">
        <f>SUM(M176:P176)/V176</f>
        <v>-0.5837412542730021</v>
      </c>
      <c r="AE176" t="s" s="44">
        <f>AC176</f>
        <v>153</v>
      </c>
      <c r="AF176" s="16">
        <f>U176/V176</f>
        <v>-3.92628755295595</v>
      </c>
      <c r="AG176" s="15">
        <v>254</v>
      </c>
      <c r="AH176" s="15">
        <v>337.915759534633</v>
      </c>
    </row>
    <row r="177" ht="20.05" customHeight="1">
      <c r="A177" t="s" s="56">
        <v>329</v>
      </c>
      <c r="B177" s="14">
        <v>549</v>
      </c>
      <c r="C177" s="15">
        <v>552</v>
      </c>
      <c r="D177" s="15">
        <v>628.5</v>
      </c>
      <c r="E177" s="15">
        <v>633</v>
      </c>
      <c r="F177" s="15">
        <v>703.5</v>
      </c>
      <c r="G177" s="26">
        <v>46.5</v>
      </c>
      <c r="H177" s="26">
        <v>-85.5</v>
      </c>
      <c r="I177" s="26">
        <v>25.5</v>
      </c>
      <c r="J177" s="26">
        <v>-159</v>
      </c>
      <c r="K177" s="15">
        <v>129</v>
      </c>
      <c r="L177" s="15">
        <v>48</v>
      </c>
      <c r="M177" s="15">
        <v>-13.5</v>
      </c>
      <c r="N177" s="15">
        <v>-12</v>
      </c>
      <c r="O177" s="15">
        <v>-66</v>
      </c>
      <c r="P177" s="15">
        <v>55.5</v>
      </c>
      <c r="Q177" s="15">
        <v>-810</v>
      </c>
      <c r="R177" s="15">
        <v>-900</v>
      </c>
      <c r="S177" s="15">
        <v>-960</v>
      </c>
      <c r="T177" s="15">
        <v>-1035</v>
      </c>
      <c r="U177" s="15">
        <v>-1095</v>
      </c>
      <c r="V177" s="15">
        <f>W177/1000000000</f>
        <v>553.5</v>
      </c>
      <c r="W177" s="15">
        <v>553500000000</v>
      </c>
      <c r="X177" t="s" s="44">
        <f>$A177</f>
        <v>329</v>
      </c>
      <c r="Y177" t="s" s="44">
        <f>Y$2</f>
        <v>153</v>
      </c>
      <c r="Z177" s="35">
        <f>F177/B177-1</f>
        <v>0.281420765027322</v>
      </c>
      <c r="AA177" t="s" s="44">
        <f>Y177</f>
        <v>153</v>
      </c>
      <c r="AB177" s="16">
        <f>SUM(H177:K177)/V177</f>
        <v>-0.16260162601626</v>
      </c>
      <c r="AC177" t="s" s="44">
        <f>AA177</f>
        <v>153</v>
      </c>
      <c r="AD177" s="35">
        <f>SUM(M177:P177)/V177</f>
        <v>-0.0650406504065041</v>
      </c>
      <c r="AE177" t="s" s="44">
        <f>AC177</f>
        <v>153</v>
      </c>
      <c r="AF177" s="16">
        <f>U177/V177</f>
        <v>-1.97831978319783</v>
      </c>
      <c r="AG177" s="15">
        <v>1350</v>
      </c>
      <c r="AH177" s="15">
        <v>1378.767695533620</v>
      </c>
    </row>
    <row r="178" ht="20.05" customHeight="1">
      <c r="A178" t="s" s="56">
        <v>330</v>
      </c>
      <c r="B178" s="14">
        <v>1380.8</v>
      </c>
      <c r="C178" s="15">
        <v>1895.3</v>
      </c>
      <c r="D178" s="15">
        <v>1975.7</v>
      </c>
      <c r="E178" s="15">
        <v>1160.3</v>
      </c>
      <c r="F178" s="15">
        <v>758.9</v>
      </c>
      <c r="G178" s="15">
        <v>-155.76</v>
      </c>
      <c r="H178" s="15">
        <v>-32.34</v>
      </c>
      <c r="I178" s="15">
        <v>290.9</v>
      </c>
      <c r="J178" s="15">
        <v>-284</v>
      </c>
      <c r="K178" s="15">
        <v>-317.4</v>
      </c>
      <c r="L178" s="15">
        <v>-191.22</v>
      </c>
      <c r="M178" s="15">
        <v>-117.28</v>
      </c>
      <c r="N178" s="15">
        <v>2</v>
      </c>
      <c r="O178" s="15">
        <v>81</v>
      </c>
      <c r="P178" s="15">
        <v>-285</v>
      </c>
      <c r="Q178" s="15">
        <v>-3023</v>
      </c>
      <c r="R178" s="15">
        <v>-3041</v>
      </c>
      <c r="S178" s="15">
        <v>-2754</v>
      </c>
      <c r="T178" s="15">
        <v>-2944</v>
      </c>
      <c r="U178" s="15">
        <v>-3267</v>
      </c>
      <c r="V178" s="15">
        <f>W178/1000000000</f>
        <v>2048.725030912</v>
      </c>
      <c r="W178" s="15">
        <v>2048725030912</v>
      </c>
      <c r="X178" t="s" s="44">
        <f>$A178</f>
        <v>330</v>
      </c>
      <c r="Y178" t="s" s="44">
        <f>Y$2</f>
        <v>153</v>
      </c>
      <c r="Z178" s="35">
        <f>F178/B178-1</f>
        <v>-0.450391077636153</v>
      </c>
      <c r="AA178" t="s" s="44">
        <f>Y178</f>
        <v>153</v>
      </c>
      <c r="AB178" s="16">
        <f>SUM(H178:K178)/V178</f>
        <v>-0.167343101112687</v>
      </c>
      <c r="AC178" t="s" s="44">
        <f>AA178</f>
        <v>153</v>
      </c>
      <c r="AD178" s="35">
        <f>SUM(M178:P178)/V178</f>
        <v>-0.155843266022806</v>
      </c>
      <c r="AE178" t="s" s="44">
        <f>AC178</f>
        <v>153</v>
      </c>
      <c r="AF178" s="16">
        <f>U178/V178</f>
        <v>-1.59465030724288</v>
      </c>
      <c r="AG178" s="15">
        <v>322</v>
      </c>
      <c r="AH178" s="15">
        <v>359.647267335805</v>
      </c>
    </row>
    <row r="179" ht="20.05" customHeight="1">
      <c r="A179" t="s" s="56">
        <v>331</v>
      </c>
      <c r="B179" s="14">
        <v>1287</v>
      </c>
      <c r="C179" s="15">
        <v>1287</v>
      </c>
      <c r="D179" s="15">
        <v>1497</v>
      </c>
      <c r="E179" s="15">
        <v>1903</v>
      </c>
      <c r="F179" s="15">
        <v>4569</v>
      </c>
      <c r="G179" s="15">
        <v>-4555.5</v>
      </c>
      <c r="H179" s="15">
        <v>-4555.5</v>
      </c>
      <c r="I179" s="15">
        <v>-4252</v>
      </c>
      <c r="J179" s="15">
        <v>-5762</v>
      </c>
      <c r="K179" s="15">
        <v>-3617</v>
      </c>
      <c r="L179" s="15">
        <v>-14443.5</v>
      </c>
      <c r="M179" s="15">
        <v>-14443.5</v>
      </c>
      <c r="N179" s="15">
        <v>9</v>
      </c>
      <c r="O179" s="15">
        <v>-13612</v>
      </c>
      <c r="P179" s="15">
        <v>139</v>
      </c>
      <c r="Q179" s="15">
        <v>0</v>
      </c>
      <c r="R179" s="15">
        <v>15039</v>
      </c>
      <c r="S179" s="15">
        <v>10458</v>
      </c>
      <c r="T179" s="15">
        <v>19491</v>
      </c>
      <c r="U179" s="15">
        <v>15820</v>
      </c>
      <c r="V179" s="15">
        <f>W179/1000000000</f>
        <v>108009.30029568</v>
      </c>
      <c r="W179" s="15">
        <v>108009300295680</v>
      </c>
      <c r="X179" t="s" s="44">
        <f>$A179</f>
        <v>331</v>
      </c>
      <c r="Y179" t="s" s="44">
        <f>Y$2</f>
        <v>153</v>
      </c>
      <c r="Z179" s="35">
        <f>F179/B179-1</f>
        <v>2.55011655011655</v>
      </c>
      <c r="AA179" t="s" s="44">
        <f>Y179</f>
        <v>153</v>
      </c>
      <c r="AB179" s="16">
        <f>SUM(H179:K179)/V179</f>
        <v>-0.168379018753142</v>
      </c>
      <c r="AC179" t="s" s="44">
        <f>AA179</f>
        <v>153</v>
      </c>
      <c r="AD179" s="35">
        <f>SUM(M179:P179)/V179</f>
        <v>-0.258380527636065</v>
      </c>
      <c r="AE179" t="s" s="44">
        <f>AC179</f>
        <v>153</v>
      </c>
      <c r="AF179" s="16">
        <f>U179/V179</f>
        <v>0.146468868483474</v>
      </c>
      <c r="AG179" s="15">
        <v>105</v>
      </c>
      <c r="AH179" s="15">
        <v>133.990568431438</v>
      </c>
    </row>
    <row r="180" ht="20.05" customHeight="1">
      <c r="A180" t="s" s="56">
        <v>332</v>
      </c>
      <c r="B180" s="14">
        <v>1379.1</v>
      </c>
      <c r="C180" s="15">
        <v>1670.9</v>
      </c>
      <c r="D180" s="15">
        <v>1721</v>
      </c>
      <c r="E180" s="15">
        <v>1921.4</v>
      </c>
      <c r="F180" s="15">
        <v>1293.3</v>
      </c>
      <c r="G180" s="15">
        <v>25.999</v>
      </c>
      <c r="H180" s="15">
        <v>-86.501</v>
      </c>
      <c r="I180" s="15">
        <v>-186.55</v>
      </c>
      <c r="J180" s="15">
        <v>-42.35</v>
      </c>
      <c r="K180" s="15">
        <v>116.07</v>
      </c>
      <c r="L180" s="15">
        <v>0</v>
      </c>
      <c r="M180" s="15">
        <v>0</v>
      </c>
      <c r="N180" s="15">
        <v>0</v>
      </c>
      <c r="O180" s="15">
        <v>0</v>
      </c>
      <c r="P180" s="15">
        <v>59.4</v>
      </c>
      <c r="Q180" s="15">
        <v>71</v>
      </c>
      <c r="R180" s="15">
        <v>-75.501</v>
      </c>
      <c r="S180" s="15">
        <v>-285.051</v>
      </c>
      <c r="T180" s="15">
        <v>-384</v>
      </c>
      <c r="U180" s="15">
        <v>-196</v>
      </c>
      <c r="V180" s="15">
        <f>W180/1000000000</f>
        <v>1172.15</v>
      </c>
      <c r="W180" s="15">
        <v>1172150000000</v>
      </c>
      <c r="X180" t="s" s="44">
        <f>$A180</f>
        <v>332</v>
      </c>
      <c r="Y180" t="s" s="44">
        <f>Y$2</f>
        <v>153</v>
      </c>
      <c r="Z180" s="35">
        <f>F180/B180-1</f>
        <v>-0.0622144877093757</v>
      </c>
      <c r="AA180" t="s" s="44">
        <f>Y180</f>
        <v>153</v>
      </c>
      <c r="AB180" s="16">
        <f>SUM(H180:K180)/V180</f>
        <v>-0.170055880220108</v>
      </c>
      <c r="AC180" t="s" s="44">
        <f>AA180</f>
        <v>153</v>
      </c>
      <c r="AD180" s="35">
        <f>SUM(M180:P180)/V180</f>
        <v>0.0506761080066544</v>
      </c>
      <c r="AE180" t="s" s="44">
        <f>AC180</f>
        <v>153</v>
      </c>
      <c r="AF180" s="16">
        <f>U180/V180</f>
        <v>-0.167214093759331</v>
      </c>
      <c r="AG180" s="15">
        <v>1970</v>
      </c>
      <c r="AH180" s="15">
        <v>2735</v>
      </c>
    </row>
    <row r="181" ht="20.05" customHeight="1">
      <c r="A181" t="s" s="56">
        <v>333</v>
      </c>
      <c r="B181" s="14">
        <v>1093</v>
      </c>
      <c r="C181" s="15">
        <v>719</v>
      </c>
      <c r="D181" s="15">
        <v>470</v>
      </c>
      <c r="E181" s="15">
        <v>714</v>
      </c>
      <c r="F181" s="15">
        <v>490</v>
      </c>
      <c r="G181" s="15">
        <v>-47.279</v>
      </c>
      <c r="H181" s="15">
        <v>955.724</v>
      </c>
      <c r="I181" s="15">
        <v>-924.1</v>
      </c>
      <c r="J181" s="15">
        <v>-170</v>
      </c>
      <c r="K181" s="15">
        <v>-89</v>
      </c>
      <c r="L181" s="15">
        <v>-26.432</v>
      </c>
      <c r="M181" s="15">
        <v>259.232</v>
      </c>
      <c r="N181" s="15">
        <v>-43.7</v>
      </c>
      <c r="O181" s="15">
        <v>-108</v>
      </c>
      <c r="P181" s="15">
        <v>6</v>
      </c>
      <c r="Q181" s="15">
        <v>-2678.5</v>
      </c>
      <c r="R181" s="15">
        <v>-2124.003</v>
      </c>
      <c r="S181" s="15">
        <v>-2462</v>
      </c>
      <c r="T181" s="15">
        <v>-2795</v>
      </c>
      <c r="U181" s="15">
        <v>-2433</v>
      </c>
      <c r="V181" s="15">
        <f>W181/1000000000</f>
        <v>1311.363964928</v>
      </c>
      <c r="W181" s="15">
        <v>1311363964928</v>
      </c>
      <c r="X181" t="s" s="44">
        <f>$A181</f>
        <v>333</v>
      </c>
      <c r="Y181" t="s" s="44">
        <f>Y$2</f>
        <v>153</v>
      </c>
      <c r="Z181" s="35">
        <f>F181/B181-1</f>
        <v>-0.551692589204026</v>
      </c>
      <c r="AA181" t="s" s="44">
        <f>Y181</f>
        <v>153</v>
      </c>
      <c r="AB181" s="16">
        <f>SUM(H181:K181)/V181</f>
        <v>-0.173388934026782</v>
      </c>
      <c r="AC181" t="s" s="44">
        <f>AA181</f>
        <v>153</v>
      </c>
      <c r="AD181" s="35">
        <f>SUM(M181:P181)/V181</f>
        <v>0.0865755069045484</v>
      </c>
      <c r="AE181" t="s" s="44">
        <f>AC181</f>
        <v>153</v>
      </c>
      <c r="AF181" s="16">
        <f>U181/V181</f>
        <v>-1.85532015906323</v>
      </c>
      <c r="AG181" s="15">
        <v>137</v>
      </c>
      <c r="AH181" s="15">
        <v>171.642318422528</v>
      </c>
    </row>
    <row r="182" ht="20.05" customHeight="1">
      <c r="A182" t="s" s="56">
        <v>334</v>
      </c>
      <c r="B182" s="14">
        <v>1009</v>
      </c>
      <c r="C182" s="15">
        <v>1154</v>
      </c>
      <c r="D182" s="15">
        <v>1173</v>
      </c>
      <c r="E182" s="15">
        <v>1281.9</v>
      </c>
      <c r="F182" s="15">
        <v>1393.1</v>
      </c>
      <c r="G182" s="15">
        <v>152</v>
      </c>
      <c r="H182" s="15">
        <v>-414</v>
      </c>
      <c r="I182" s="15">
        <v>-733</v>
      </c>
      <c r="J182" s="15">
        <v>-756</v>
      </c>
      <c r="K182" s="15">
        <v>-929</v>
      </c>
      <c r="L182" s="15">
        <v>-58</v>
      </c>
      <c r="M182" s="15">
        <v>-558</v>
      </c>
      <c r="N182" s="15">
        <v>-392</v>
      </c>
      <c r="O182" s="15">
        <v>-1242</v>
      </c>
      <c r="P182" s="15">
        <v>-636</v>
      </c>
      <c r="Q182" s="17"/>
      <c r="R182" s="17"/>
      <c r="S182" s="17"/>
      <c r="T182" s="17"/>
      <c r="U182" s="17"/>
      <c r="V182" s="15">
        <f>W182/1000000000</f>
        <v>16311.19613952</v>
      </c>
      <c r="W182" s="15">
        <v>16311196139520</v>
      </c>
      <c r="X182" t="s" s="44">
        <f>$A182</f>
        <v>334</v>
      </c>
      <c r="Y182" t="s" s="44">
        <f>Y$2</f>
        <v>153</v>
      </c>
      <c r="Z182" s="35">
        <f>F182/B182-1</f>
        <v>0.380673934588702</v>
      </c>
      <c r="AA182" t="s" s="44">
        <f>Y182</f>
        <v>153</v>
      </c>
      <c r="AB182" s="16">
        <f>SUM(H182:K182)/V182</f>
        <v>-0.173623073119599</v>
      </c>
      <c r="AC182" t="s" s="44">
        <f>AA182</f>
        <v>153</v>
      </c>
      <c r="AD182" s="35">
        <f>SUM(M182:P182)/V182</f>
        <v>-0.173377842790334</v>
      </c>
      <c r="AE182" t="s" s="44">
        <f>AC182</f>
        <v>153</v>
      </c>
      <c r="AF182" s="16">
        <f>U182/V182</f>
        <v>0</v>
      </c>
      <c r="AG182" s="15">
        <v>1090</v>
      </c>
      <c r="AH182" s="15">
        <v>1169.221544729260</v>
      </c>
    </row>
    <row r="183" ht="20.05" customHeight="1">
      <c r="A183" t="s" s="56">
        <v>335</v>
      </c>
      <c r="B183" s="14">
        <v>149.9</v>
      </c>
      <c r="C183" s="15">
        <v>149.9</v>
      </c>
      <c r="D183" s="15">
        <v>301</v>
      </c>
      <c r="E183" s="15">
        <v>349.7</v>
      </c>
      <c r="F183" s="15">
        <v>556.9</v>
      </c>
      <c r="G183" s="15">
        <v>18.6</v>
      </c>
      <c r="H183" s="15">
        <v>18.6</v>
      </c>
      <c r="I183" s="15">
        <v>-2.3</v>
      </c>
      <c r="J183" s="15">
        <v>-177</v>
      </c>
      <c r="K183" s="15">
        <v>-111.1</v>
      </c>
      <c r="L183" s="15">
        <v>12.6</v>
      </c>
      <c r="M183" s="15">
        <v>12.6</v>
      </c>
      <c r="N183" s="15">
        <v>1.2</v>
      </c>
      <c r="O183" s="15">
        <v>-415</v>
      </c>
      <c r="P183" s="15">
        <v>1.5</v>
      </c>
      <c r="Q183" s="15">
        <v>0</v>
      </c>
      <c r="R183" s="15">
        <v>-78</v>
      </c>
      <c r="S183" s="15">
        <v>-119</v>
      </c>
      <c r="T183" s="15">
        <v>103</v>
      </c>
      <c r="U183" s="15">
        <v>-30</v>
      </c>
      <c r="V183" s="15">
        <f>W183/1000000000</f>
        <v>1467.377703936</v>
      </c>
      <c r="W183" s="15">
        <v>1467377703936</v>
      </c>
      <c r="X183" t="s" s="44">
        <f>$A183</f>
        <v>335</v>
      </c>
      <c r="Y183" t="s" s="44">
        <f>Y$2</f>
        <v>153</v>
      </c>
      <c r="Z183" s="35">
        <f>F183/B183-1</f>
        <v>2.71514342895264</v>
      </c>
      <c r="AA183" t="s" s="44">
        <f>Y183</f>
        <v>153</v>
      </c>
      <c r="AB183" s="16">
        <f>SUM(H183:K183)/V183</f>
        <v>-0.18522838344275</v>
      </c>
      <c r="AC183" t="s" s="44">
        <f>AA183</f>
        <v>153</v>
      </c>
      <c r="AD183" s="35">
        <f>SUM(M183:P183)/V183</f>
        <v>-0.272390672781705</v>
      </c>
      <c r="AE183" t="s" s="44">
        <f>AC183</f>
        <v>153</v>
      </c>
      <c r="AF183" s="16">
        <f>U183/V183</f>
        <v>-0.0204446339340784</v>
      </c>
      <c r="AG183" s="15">
        <v>123</v>
      </c>
      <c r="AH183" s="15">
        <v>46.9591228229706</v>
      </c>
    </row>
    <row r="184" ht="20.05" customHeight="1">
      <c r="A184" t="s" s="56">
        <v>336</v>
      </c>
      <c r="B184" s="14">
        <v>9821.700000000001</v>
      </c>
      <c r="C184" s="15">
        <v>12286.4</v>
      </c>
      <c r="D184" s="15">
        <v>11480</v>
      </c>
      <c r="E184" s="15">
        <v>11920</v>
      </c>
      <c r="F184" s="15">
        <v>11541</v>
      </c>
      <c r="G184" s="15">
        <v>1154.55</v>
      </c>
      <c r="H184" s="15">
        <v>398.05</v>
      </c>
      <c r="I184" s="15">
        <v>-869</v>
      </c>
      <c r="J184" s="15">
        <v>-325</v>
      </c>
      <c r="K184" s="15">
        <v>-533</v>
      </c>
      <c r="L184" s="15">
        <v>393.327</v>
      </c>
      <c r="M184" s="15">
        <v>127.65</v>
      </c>
      <c r="N184" s="15">
        <v>-438</v>
      </c>
      <c r="O184" s="15">
        <v>-398</v>
      </c>
      <c r="P184" s="15">
        <v>-227</v>
      </c>
      <c r="Q184" s="15">
        <v>-4405</v>
      </c>
      <c r="R184" s="15">
        <v>-4389</v>
      </c>
      <c r="S184" s="15">
        <v>-7012</v>
      </c>
      <c r="T184" s="15">
        <v>-7822</v>
      </c>
      <c r="U184" s="15">
        <v>-8773</v>
      </c>
      <c r="V184" s="15">
        <f>W184/1000000000</f>
        <v>6454.791038976</v>
      </c>
      <c r="W184" s="15">
        <v>6454791038976</v>
      </c>
      <c r="X184" t="s" s="44">
        <f>$A184</f>
        <v>336</v>
      </c>
      <c r="Y184" t="s" s="44">
        <f>Y$2</f>
        <v>153</v>
      </c>
      <c r="Z184" s="35">
        <f>F184/B184-1</f>
        <v>0.175051162222426</v>
      </c>
      <c r="AA184" t="s" s="44">
        <f>Y184</f>
        <v>153</v>
      </c>
      <c r="AB184" s="16">
        <f>SUM(H184:K184)/V184</f>
        <v>-0.205885828367703</v>
      </c>
      <c r="AC184" t="s" s="44">
        <f>AA184</f>
        <v>153</v>
      </c>
      <c r="AD184" s="35">
        <f>SUM(M184:P184)/V184</f>
        <v>-0.144907866784853</v>
      </c>
      <c r="AE184" t="s" s="44">
        <f>AC184</f>
        <v>153</v>
      </c>
      <c r="AF184" s="16">
        <f>U184/V184</f>
        <v>-1.3591454699348</v>
      </c>
      <c r="AG184" s="15">
        <v>406</v>
      </c>
      <c r="AH184" s="15">
        <v>298.580599754408</v>
      </c>
    </row>
    <row r="185" ht="20.05" customHeight="1">
      <c r="A185" t="s" s="56">
        <v>337</v>
      </c>
      <c r="B185" s="14">
        <v>11365.5</v>
      </c>
      <c r="C185" s="15">
        <v>12639</v>
      </c>
      <c r="D185" s="15">
        <v>12201</v>
      </c>
      <c r="E185" s="15">
        <v>12066</v>
      </c>
      <c r="F185" s="15">
        <v>11389.5</v>
      </c>
      <c r="G185" s="15">
        <v>-246</v>
      </c>
      <c r="H185" s="15">
        <v>-3993</v>
      </c>
      <c r="I185" s="15">
        <v>-10261.5</v>
      </c>
      <c r="J185" s="15">
        <v>990</v>
      </c>
      <c r="K185" s="15">
        <v>-2946</v>
      </c>
      <c r="L185" s="15">
        <v>-15733.08</v>
      </c>
      <c r="M185" s="15">
        <v>-2102.685</v>
      </c>
      <c r="N185" s="15">
        <v>-6860.1</v>
      </c>
      <c r="O185" s="15">
        <v>648</v>
      </c>
      <c r="P185" s="15">
        <v>-732</v>
      </c>
      <c r="Q185" s="26">
        <v>-38640</v>
      </c>
      <c r="R185" s="26">
        <v>-46500</v>
      </c>
      <c r="S185" s="26">
        <v>-49920</v>
      </c>
      <c r="T185" s="26">
        <v>-47580</v>
      </c>
      <c r="U185" s="26">
        <v>-50910</v>
      </c>
      <c r="V185" s="15">
        <f>W185/1000000000</f>
        <v>78606.78131712</v>
      </c>
      <c r="W185" s="15">
        <v>78606781317120</v>
      </c>
      <c r="X185" t="s" s="44">
        <f>$A185</f>
        <v>337</v>
      </c>
      <c r="Y185" t="s" s="44">
        <f>Y$2</f>
        <v>153</v>
      </c>
      <c r="Z185" s="35">
        <f>F185/B185-1</f>
        <v>0.00211165368879504</v>
      </c>
      <c r="AA185" t="s" s="44">
        <f>Y185</f>
        <v>153</v>
      </c>
      <c r="AB185" s="16">
        <f>SUM(H185:K185)/V185</f>
        <v>-0.206222665886836</v>
      </c>
      <c r="AC185" t="s" s="44">
        <f>AA185</f>
        <v>153</v>
      </c>
      <c r="AD185" s="35">
        <f>SUM(M185:P185)/V185</f>
        <v>-0.115089116338487</v>
      </c>
      <c r="AE185" t="s" s="44">
        <f>AC185</f>
        <v>153</v>
      </c>
      <c r="AF185" s="16">
        <f>U185/V185</f>
        <v>-0.647654046469807</v>
      </c>
      <c r="AG185" s="15">
        <v>840</v>
      </c>
      <c r="AH185" s="15">
        <v>636.275899119861</v>
      </c>
    </row>
    <row r="186" ht="20.05" customHeight="1">
      <c r="A186" t="s" s="56">
        <v>338</v>
      </c>
      <c r="B186" s="14">
        <v>2113.9</v>
      </c>
      <c r="C186" s="15">
        <v>2543.2</v>
      </c>
      <c r="D186" s="15">
        <v>2223.9</v>
      </c>
      <c r="E186" s="15">
        <v>1954.8</v>
      </c>
      <c r="F186" s="15">
        <v>1439.7</v>
      </c>
      <c r="G186" s="15">
        <v>157.3</v>
      </c>
      <c r="H186" s="15">
        <v>-68.59999999999999</v>
      </c>
      <c r="I186" s="15">
        <v>-284.8</v>
      </c>
      <c r="J186" s="15">
        <v>-226.4</v>
      </c>
      <c r="K186" s="15">
        <v>-0.7</v>
      </c>
      <c r="L186" s="15">
        <v>60</v>
      </c>
      <c r="M186" s="15">
        <v>52.3</v>
      </c>
      <c r="N186" s="15">
        <v>-303</v>
      </c>
      <c r="O186" s="15">
        <v>-400</v>
      </c>
      <c r="P186" s="15">
        <v>-147.2</v>
      </c>
      <c r="Q186" s="15">
        <v>-1094.854</v>
      </c>
      <c r="R186" s="15">
        <v>-1019</v>
      </c>
      <c r="S186" s="15">
        <v>-1362.8</v>
      </c>
      <c r="T186" s="15">
        <v>-1530.2</v>
      </c>
      <c r="U186" s="15">
        <v>-1588.7</v>
      </c>
      <c r="V186" s="15">
        <f>W186/1000000000</f>
        <v>2714.47328768</v>
      </c>
      <c r="W186" s="15">
        <v>2714473287680</v>
      </c>
      <c r="X186" t="s" s="44">
        <f>$A186</f>
        <v>338</v>
      </c>
      <c r="Y186" t="s" s="44">
        <f>Y$2</f>
        <v>153</v>
      </c>
      <c r="Z186" s="35">
        <f>F186/B186-1</f>
        <v>-0.318936562751313</v>
      </c>
      <c r="AA186" t="s" s="44">
        <f>Y186</f>
        <v>153</v>
      </c>
      <c r="AB186" s="16">
        <f>SUM(H186:K186)/V186</f>
        <v>-0.213853642485515</v>
      </c>
      <c r="AC186" t="s" s="44">
        <f>AA186</f>
        <v>153</v>
      </c>
      <c r="AD186" s="35">
        <f>SUM(M186:P186)/V186</f>
        <v>-0.293942844684225</v>
      </c>
      <c r="AE186" t="s" s="44">
        <f>AC186</f>
        <v>153</v>
      </c>
      <c r="AF186" s="16">
        <f>U186/V186</f>
        <v>-0.585270080648989</v>
      </c>
      <c r="AG186" s="15">
        <v>770</v>
      </c>
      <c r="AH186" s="15">
        <v>589.063174137426</v>
      </c>
    </row>
    <row r="187" ht="20.05" customHeight="1">
      <c r="A187" t="s" s="56">
        <v>339</v>
      </c>
      <c r="B187" s="14">
        <v>1821.3</v>
      </c>
      <c r="C187" s="15">
        <v>1821.3</v>
      </c>
      <c r="D187" s="15">
        <v>1870.2</v>
      </c>
      <c r="E187" s="15">
        <v>1856.2</v>
      </c>
      <c r="F187" s="15">
        <v>1880.1</v>
      </c>
      <c r="G187" s="15">
        <v>-3317.35</v>
      </c>
      <c r="H187" s="15">
        <v>-3317.35</v>
      </c>
      <c r="I187" s="15">
        <v>1864.3</v>
      </c>
      <c r="J187" s="15">
        <v>292.3</v>
      </c>
      <c r="K187" s="15">
        <v>-11751.6</v>
      </c>
      <c r="L187" s="15">
        <v>-7252.5</v>
      </c>
      <c r="M187" s="15">
        <v>-7252.5</v>
      </c>
      <c r="N187" s="15">
        <v>2358</v>
      </c>
      <c r="O187" s="15">
        <v>1909.4</v>
      </c>
      <c r="P187" s="15">
        <v>-132.4</v>
      </c>
      <c r="Q187" s="15">
        <v>0</v>
      </c>
      <c r="R187" s="15">
        <v>-4949.613</v>
      </c>
      <c r="S187" s="15">
        <v>-4734.713</v>
      </c>
      <c r="T187" s="15">
        <v>-4546</v>
      </c>
      <c r="U187" s="15">
        <v>-16296</v>
      </c>
      <c r="V187" s="15">
        <f>W187/1000000000</f>
        <v>58051.61234432</v>
      </c>
      <c r="W187" s="15">
        <v>58051612344320</v>
      </c>
      <c r="X187" t="s" s="44">
        <f>$A187</f>
        <v>339</v>
      </c>
      <c r="Y187" t="s" s="44">
        <f>Y$2</f>
        <v>153</v>
      </c>
      <c r="Z187" s="35">
        <f>F187/B187-1</f>
        <v>0.0322846318563663</v>
      </c>
      <c r="AA187" t="s" s="44">
        <f>Y187</f>
        <v>153</v>
      </c>
      <c r="AB187" s="16">
        <f>SUM(H187:K187)/V187</f>
        <v>-0.222428791872538</v>
      </c>
      <c r="AC187" t="s" s="44">
        <f>AA187</f>
        <v>153</v>
      </c>
      <c r="AD187" s="35">
        <f>SUM(M187:P187)/V187</f>
        <v>-0.0537022121196093</v>
      </c>
      <c r="AE187" t="s" s="44">
        <f>AC187</f>
        <v>153</v>
      </c>
      <c r="AF187" s="16">
        <f>U187/V187</f>
        <v>-0.280715717305903</v>
      </c>
      <c r="AG187" s="15">
        <v>695</v>
      </c>
      <c r="AH187" s="15">
        <v>374.798993514561</v>
      </c>
    </row>
    <row r="188" ht="20.05" customHeight="1">
      <c r="A188" t="s" s="56">
        <v>340</v>
      </c>
      <c r="B188" s="14">
        <v>4579.2288</v>
      </c>
      <c r="C188" s="15">
        <v>5243.2075</v>
      </c>
      <c r="D188" s="15">
        <v>7010.2011</v>
      </c>
      <c r="E188" s="15">
        <v>9641.882</v>
      </c>
      <c r="F188" s="15">
        <v>10377.864</v>
      </c>
      <c r="G188" s="15">
        <v>352.4688</v>
      </c>
      <c r="H188" s="15">
        <v>302.63</v>
      </c>
      <c r="I188" s="15">
        <v>-9914.284</v>
      </c>
      <c r="J188" s="15">
        <v>439.8</v>
      </c>
      <c r="K188" s="15">
        <v>2663.568</v>
      </c>
      <c r="L188" s="15">
        <v>-373.9608</v>
      </c>
      <c r="M188" s="15">
        <v>332.6075</v>
      </c>
      <c r="N188" s="15">
        <v>-8411.3817</v>
      </c>
      <c r="O188" s="15">
        <v>529.226</v>
      </c>
      <c r="P188" s="15">
        <v>246.5685</v>
      </c>
      <c r="Q188" s="15">
        <v>-51050.664</v>
      </c>
      <c r="R188" s="15">
        <v>-56728.85</v>
      </c>
      <c r="S188" s="15">
        <v>-76319.929</v>
      </c>
      <c r="T188" s="15">
        <v>-75029.88</v>
      </c>
      <c r="U188" s="15">
        <v>-73907.73</v>
      </c>
      <c r="V188" s="15">
        <f>W188/1000000000</f>
        <v>28653.73924352</v>
      </c>
      <c r="W188" s="15">
        <v>28653739243520</v>
      </c>
      <c r="X188" t="s" s="44">
        <f>$A188</f>
        <v>340</v>
      </c>
      <c r="Y188" t="s" s="44">
        <f>Y$2</f>
        <v>153</v>
      </c>
      <c r="Z188" s="35">
        <f>F188/B188-1</f>
        <v>1.26629077804542</v>
      </c>
      <c r="AA188" t="s" s="44">
        <f>Y188</f>
        <v>153</v>
      </c>
      <c r="AB188" s="16">
        <f>SUM(H188:K188)/V188</f>
        <v>-0.227135660888372</v>
      </c>
      <c r="AC188" t="s" s="44">
        <f>AA188</f>
        <v>153</v>
      </c>
      <c r="AD188" s="35">
        <f>SUM(M188:P188)/V188</f>
        <v>-0.254870041146604</v>
      </c>
      <c r="AE188" t="s" s="44">
        <f>AC188</f>
        <v>153</v>
      </c>
      <c r="AF188" s="16">
        <f>U188/V188</f>
        <v>-2.57933979826783</v>
      </c>
      <c r="AG188" s="15">
        <v>1145</v>
      </c>
      <c r="AH188" s="15">
        <v>1310.323767926810</v>
      </c>
    </row>
    <row r="189" ht="20.05" customHeight="1">
      <c r="A189" t="s" s="56">
        <v>341</v>
      </c>
      <c r="B189" s="14">
        <v>1086</v>
      </c>
      <c r="C189" s="15">
        <v>1223.2</v>
      </c>
      <c r="D189" s="15">
        <v>1055</v>
      </c>
      <c r="E189" s="15">
        <v>1055</v>
      </c>
      <c r="F189" s="15">
        <v>1080</v>
      </c>
      <c r="G189" s="15">
        <v>-454.633</v>
      </c>
      <c r="H189" s="15">
        <v>-440.1</v>
      </c>
      <c r="I189" s="15">
        <v>41.9</v>
      </c>
      <c r="J189" s="15">
        <v>-126.9</v>
      </c>
      <c r="K189" s="15">
        <v>-981</v>
      </c>
      <c r="L189" s="15">
        <v>-599.949</v>
      </c>
      <c r="M189" s="15">
        <v>-300.097</v>
      </c>
      <c r="N189" s="15">
        <v>66</v>
      </c>
      <c r="O189" s="15">
        <v>-41</v>
      </c>
      <c r="P189" s="15">
        <v>-1069</v>
      </c>
      <c r="Q189" s="15">
        <v>-3830</v>
      </c>
      <c r="R189" s="15">
        <v>-4227.9</v>
      </c>
      <c r="S189" s="15">
        <v>-4678</v>
      </c>
      <c r="T189" s="15">
        <v>-5161</v>
      </c>
      <c r="U189" s="15">
        <v>-5438</v>
      </c>
      <c r="V189" s="15">
        <f>W189/1000000000</f>
        <v>6246.08638208</v>
      </c>
      <c r="W189" s="15">
        <v>6246086382080</v>
      </c>
      <c r="X189" t="s" s="44">
        <f>$A189</f>
        <v>341</v>
      </c>
      <c r="Y189" t="s" s="44">
        <f>Y$2</f>
        <v>153</v>
      </c>
      <c r="Z189" s="35">
        <f>F189/B189-1</f>
        <v>-0.00552486187845304</v>
      </c>
      <c r="AA189" t="s" s="44">
        <f>Y189</f>
        <v>153</v>
      </c>
      <c r="AB189" s="16">
        <f>SUM(H189:K189)/V189</f>
        <v>-0.241126988624588</v>
      </c>
      <c r="AC189" t="s" s="44">
        <f>AA189</f>
        <v>153</v>
      </c>
      <c r="AD189" s="35">
        <f>SUM(M189:P189)/V189</f>
        <v>-0.215190267597997</v>
      </c>
      <c r="AE189" t="s" s="44">
        <f>AC189</f>
        <v>153</v>
      </c>
      <c r="AF189" s="16">
        <f>U189/V189</f>
        <v>-0.870625167080879</v>
      </c>
      <c r="AG189" s="15">
        <v>2270</v>
      </c>
      <c r="AH189" s="15">
        <v>2724.674866992630</v>
      </c>
    </row>
    <row r="190" ht="20.05" customHeight="1">
      <c r="A190" t="s" s="56">
        <v>342</v>
      </c>
      <c r="B190" s="14">
        <v>548.8</v>
      </c>
      <c r="C190" s="15">
        <v>284.7</v>
      </c>
      <c r="D190" s="15">
        <v>349.5</v>
      </c>
      <c r="E190" s="15">
        <v>288.4</v>
      </c>
      <c r="F190" s="15">
        <v>379.9</v>
      </c>
      <c r="G190" s="26">
        <v>-1594.5</v>
      </c>
      <c r="H190" s="26">
        <v>-280.4</v>
      </c>
      <c r="I190" s="26">
        <v>-259.7</v>
      </c>
      <c r="J190" s="26">
        <v>-749.9</v>
      </c>
      <c r="K190" s="26">
        <v>37.4</v>
      </c>
      <c r="L190" s="15">
        <v>-2369.3</v>
      </c>
      <c r="M190" s="15">
        <v>12.4</v>
      </c>
      <c r="N190" s="15">
        <v>-95.40000000000001</v>
      </c>
      <c r="O190" s="15">
        <v>-664.3</v>
      </c>
      <c r="P190" s="15">
        <v>57.9</v>
      </c>
      <c r="Q190" s="15">
        <v>612</v>
      </c>
      <c r="R190" s="15">
        <v>108</v>
      </c>
      <c r="S190" s="15">
        <v>-215</v>
      </c>
      <c r="T190" s="15">
        <v>-933</v>
      </c>
      <c r="U190" s="15">
        <v>-923</v>
      </c>
      <c r="V190" s="15">
        <f>W190/1000000000</f>
        <v>5138.88</v>
      </c>
      <c r="W190" s="15">
        <v>5138880000000</v>
      </c>
      <c r="X190" t="s" s="44">
        <f>$A190</f>
        <v>342</v>
      </c>
      <c r="Y190" t="s" s="44">
        <f>Y$2</f>
        <v>153</v>
      </c>
      <c r="Z190" s="35">
        <f>F190/B190-1</f>
        <v>-0.307762390670554</v>
      </c>
      <c r="AA190" t="s" s="44">
        <f>Y190</f>
        <v>153</v>
      </c>
      <c r="AB190" s="16">
        <f>SUM(H190:K190)/V190</f>
        <v>-0.243749610810138</v>
      </c>
      <c r="AC190" t="s" s="44">
        <f>AA190</f>
        <v>153</v>
      </c>
      <c r="AD190" s="35">
        <f>SUM(M190:P190)/V190</f>
        <v>-0.134153745563236</v>
      </c>
      <c r="AE190" t="s" s="44">
        <f>AC190</f>
        <v>153</v>
      </c>
      <c r="AF190" s="16">
        <f>U190/V190</f>
        <v>-0.179611121489507</v>
      </c>
      <c r="AG190" s="15">
        <v>300</v>
      </c>
      <c r="AH190" s="15">
        <v>209.009848867420</v>
      </c>
    </row>
    <row r="191" ht="20.05" customHeight="1">
      <c r="A191" t="s" s="56">
        <v>343</v>
      </c>
      <c r="B191" s="14">
        <v>484</v>
      </c>
      <c r="C191" s="15">
        <v>521</v>
      </c>
      <c r="D191" s="15">
        <v>788</v>
      </c>
      <c r="E191" s="15">
        <v>903</v>
      </c>
      <c r="F191" s="15">
        <v>899</v>
      </c>
      <c r="G191" s="15">
        <v>-366</v>
      </c>
      <c r="H191" s="15">
        <v>-962</v>
      </c>
      <c r="I191" s="15">
        <v>-2741</v>
      </c>
      <c r="J191" s="15">
        <v>-520</v>
      </c>
      <c r="K191" s="15">
        <v>-2530</v>
      </c>
      <c r="L191" s="15">
        <v>-21285</v>
      </c>
      <c r="M191" s="15">
        <v>-2040</v>
      </c>
      <c r="N191" s="15">
        <v>2000</v>
      </c>
      <c r="O191" s="15">
        <v>-2</v>
      </c>
      <c r="P191" s="15">
        <v>-2</v>
      </c>
      <c r="Q191" s="15">
        <v>22571</v>
      </c>
      <c r="R191" s="15">
        <v>21580</v>
      </c>
      <c r="S191" s="15">
        <v>18167</v>
      </c>
      <c r="T191" s="15">
        <v>17916</v>
      </c>
      <c r="U191" s="15">
        <v>15240</v>
      </c>
      <c r="V191" s="15">
        <f>W191/1000000000</f>
        <v>27208.368979968</v>
      </c>
      <c r="W191" s="15">
        <v>27208368979968</v>
      </c>
      <c r="X191" t="s" s="44">
        <f>$A191</f>
        <v>343</v>
      </c>
      <c r="Y191" t="s" s="44">
        <f>Y$2</f>
        <v>153</v>
      </c>
      <c r="Z191" s="35">
        <f>F191/B191-1</f>
        <v>0.857438016528926</v>
      </c>
      <c r="AA191" t="s" s="44">
        <f>Y191</f>
        <v>153</v>
      </c>
      <c r="AB191" s="16">
        <f>SUM(H191:K191)/V191</f>
        <v>-0.248195693206449</v>
      </c>
      <c r="AC191" t="s" s="44">
        <f>AA191</f>
        <v>153</v>
      </c>
      <c r="AD191" s="35">
        <f>SUM(M191:P191)/V191</f>
        <v>-0.00161714948927643</v>
      </c>
      <c r="AE191" t="s" s="44">
        <f>AC191</f>
        <v>153</v>
      </c>
      <c r="AF191" s="16">
        <f>U191/V191</f>
        <v>0.560121777649383</v>
      </c>
      <c r="AG191" s="15">
        <v>264</v>
      </c>
      <c r="AH191" s="15">
        <v>222.656494862307</v>
      </c>
    </row>
    <row r="192" ht="20.05" customHeight="1">
      <c r="A192" t="s" s="56">
        <v>344</v>
      </c>
      <c r="B192" s="14">
        <v>746.4888</v>
      </c>
      <c r="C192" s="15">
        <v>970.7</v>
      </c>
      <c r="D192" s="15">
        <v>1047.3037</v>
      </c>
      <c r="E192" s="15">
        <v>930.91</v>
      </c>
      <c r="F192" s="15">
        <v>962.7165</v>
      </c>
      <c r="G192" s="15">
        <v>-152.73648</v>
      </c>
      <c r="H192" s="15">
        <v>-33.4035</v>
      </c>
      <c r="I192" s="15">
        <v>-230.6647</v>
      </c>
      <c r="J192" s="15">
        <v>-66.703</v>
      </c>
      <c r="K192" s="15">
        <v>-82.45125</v>
      </c>
      <c r="L192" s="15">
        <v>-216.3528</v>
      </c>
      <c r="M192" s="15">
        <v>11.42</v>
      </c>
      <c r="N192" s="15">
        <v>-372.502</v>
      </c>
      <c r="O192" s="15">
        <v>27.854</v>
      </c>
      <c r="P192" s="15">
        <v>-48.6855</v>
      </c>
      <c r="Q192" s="15">
        <v>-1346.832</v>
      </c>
      <c r="R192" s="15">
        <v>-1498.875</v>
      </c>
      <c r="S192" s="15">
        <v>-1745.0286</v>
      </c>
      <c r="T192" s="15">
        <v>-1683.701</v>
      </c>
      <c r="U192" s="15">
        <v>-1806.075</v>
      </c>
      <c r="V192" s="15">
        <f>W192/1000000000</f>
        <v>1577.09376</v>
      </c>
      <c r="W192" s="15">
        <v>1577093760000</v>
      </c>
      <c r="X192" t="s" s="44">
        <f>$A192</f>
        <v>344</v>
      </c>
      <c r="Y192" t="s" s="44">
        <f>Y$2</f>
        <v>153</v>
      </c>
      <c r="Z192" s="35">
        <f>F192/B192-1</f>
        <v>0.289659670714417</v>
      </c>
      <c r="AA192" t="s" s="44">
        <f>Y192</f>
        <v>153</v>
      </c>
      <c r="AB192" s="16">
        <f>SUM(H192:K192)/V192</f>
        <v>-0.262015144870017</v>
      </c>
      <c r="AC192" t="s" s="44">
        <f>AA192</f>
        <v>153</v>
      </c>
      <c r="AD192" s="35">
        <f>SUM(M192:P192)/V192</f>
        <v>-0.242162837547465</v>
      </c>
      <c r="AE192" t="s" s="44">
        <f>AC192</f>
        <v>153</v>
      </c>
      <c r="AF192" s="16">
        <f>U192/V192</f>
        <v>-1.14519190032177</v>
      </c>
      <c r="AG192" s="15">
        <v>625</v>
      </c>
      <c r="AH192" s="15">
        <v>736.924491692926</v>
      </c>
    </row>
    <row r="193" ht="20.05" customHeight="1">
      <c r="A193" t="s" s="56">
        <v>345</v>
      </c>
      <c r="B193" s="14">
        <v>2095.3</v>
      </c>
      <c r="C193" s="15">
        <v>2568.2</v>
      </c>
      <c r="D193" s="15">
        <v>2619.3</v>
      </c>
      <c r="E193" s="15">
        <v>2697</v>
      </c>
      <c r="F193" s="15">
        <v>2790.8</v>
      </c>
      <c r="G193" s="15">
        <v>303.261</v>
      </c>
      <c r="H193" s="15">
        <v>-16899.561</v>
      </c>
      <c r="I193" s="15">
        <v>-469.6</v>
      </c>
      <c r="J193" s="15">
        <v>1141.4</v>
      </c>
      <c r="K193" s="15">
        <v>-897.8</v>
      </c>
      <c r="L193" s="15">
        <v>-16822.72</v>
      </c>
      <c r="M193" s="15">
        <v>-2893.161</v>
      </c>
      <c r="N193" s="15">
        <v>2516.4</v>
      </c>
      <c r="O193" s="15">
        <v>2155.3</v>
      </c>
      <c r="P193" s="15">
        <v>-899.6</v>
      </c>
      <c r="Q193" s="15">
        <v>-21969</v>
      </c>
      <c r="R193" s="15">
        <v>-49017</v>
      </c>
      <c r="S193" s="15">
        <v>-48804</v>
      </c>
      <c r="T193" s="15">
        <v>-49683</v>
      </c>
      <c r="U193" s="15">
        <v>-50060</v>
      </c>
      <c r="V193" s="15">
        <f>W193/1000000000</f>
        <v>56770.7480064</v>
      </c>
      <c r="W193" s="15">
        <v>56770748006400</v>
      </c>
      <c r="X193" t="s" s="44">
        <f>$A193</f>
        <v>345</v>
      </c>
      <c r="Y193" t="s" s="44">
        <f>Y$2</f>
        <v>153</v>
      </c>
      <c r="Z193" s="35">
        <f>F193/B193-1</f>
        <v>0.331933374695748</v>
      </c>
      <c r="AA193" t="s" s="44">
        <f>Y193</f>
        <v>153</v>
      </c>
      <c r="AB193" s="16">
        <f>SUM(H193:K193)/V193</f>
        <v>-0.301661711381174</v>
      </c>
      <c r="AC193" t="s" s="44">
        <f>AA193</f>
        <v>153</v>
      </c>
      <c r="AD193" s="35">
        <f>SUM(M193:P193)/V193</f>
        <v>0.0154822515268059</v>
      </c>
      <c r="AE193" t="s" s="44">
        <f>AC193</f>
        <v>153</v>
      </c>
      <c r="AF193" s="16">
        <f>U193/V193</f>
        <v>-0.881792151027436</v>
      </c>
      <c r="AG193" s="15">
        <v>1140</v>
      </c>
      <c r="AH193" s="15">
        <v>758.466815793101</v>
      </c>
    </row>
    <row r="194" ht="20.05" customHeight="1">
      <c r="A194" t="s" s="56">
        <v>346</v>
      </c>
      <c r="B194" s="14">
        <v>2975</v>
      </c>
      <c r="C194" s="15">
        <v>3178</v>
      </c>
      <c r="D194" s="15">
        <v>3445.1</v>
      </c>
      <c r="E194" s="15">
        <v>3421.8</v>
      </c>
      <c r="F194" s="15">
        <v>2956.1</v>
      </c>
      <c r="G194" s="15">
        <v>8944.6</v>
      </c>
      <c r="H194" s="15">
        <v>-4710.4</v>
      </c>
      <c r="I194" s="15">
        <v>1331.5</v>
      </c>
      <c r="J194" s="15">
        <v>15685.2</v>
      </c>
      <c r="K194" s="15">
        <v>-17722.7</v>
      </c>
      <c r="L194" s="15">
        <v>341.95</v>
      </c>
      <c r="M194" s="15">
        <v>0</v>
      </c>
      <c r="N194" s="15">
        <v>0</v>
      </c>
      <c r="O194" s="15">
        <v>504.8</v>
      </c>
      <c r="P194" s="15">
        <v>0.2</v>
      </c>
      <c r="Q194" s="17"/>
      <c r="R194" s="17"/>
      <c r="S194" s="17"/>
      <c r="T194" s="17"/>
      <c r="U194" s="17"/>
      <c r="V194" s="15">
        <f>W194/1000000000</f>
        <v>17094.2488576</v>
      </c>
      <c r="W194" s="15">
        <v>17094248857600</v>
      </c>
      <c r="X194" t="s" s="44">
        <f>$A194</f>
        <v>346</v>
      </c>
      <c r="Y194" t="s" s="44">
        <f>Y$2</f>
        <v>153</v>
      </c>
      <c r="Z194" s="35">
        <f>F194/B194-1</f>
        <v>-0.00635294117647059</v>
      </c>
      <c r="AA194" t="s" s="44">
        <f>Y194</f>
        <v>153</v>
      </c>
      <c r="AB194" s="16">
        <f>SUM(H194:K194)/V194</f>
        <v>-0.316855104024761</v>
      </c>
      <c r="AC194" t="s" s="44">
        <f>AA194</f>
        <v>153</v>
      </c>
      <c r="AD194" s="35">
        <f>SUM(M194:P194)/V194</f>
        <v>0.0295420994632051</v>
      </c>
      <c r="AE194" t="s" s="44">
        <f>AC194</f>
        <v>153</v>
      </c>
      <c r="AF194" s="16">
        <f>U194/V194</f>
        <v>0</v>
      </c>
      <c r="AG194" s="15">
        <v>745</v>
      </c>
      <c r="AH194" s="15">
        <v>900.0308847551599</v>
      </c>
    </row>
    <row r="195" ht="20.05" customHeight="1">
      <c r="A195" t="s" s="56">
        <v>347</v>
      </c>
      <c r="B195" s="14">
        <v>2754</v>
      </c>
      <c r="C195" s="15">
        <v>2637</v>
      </c>
      <c r="D195" s="15">
        <v>2574.1</v>
      </c>
      <c r="E195" s="15">
        <v>3266.8</v>
      </c>
      <c r="F195" s="15">
        <v>2042.3</v>
      </c>
      <c r="G195" s="15">
        <v>-4070.25</v>
      </c>
      <c r="H195" s="15">
        <v>3954.75</v>
      </c>
      <c r="I195" s="15">
        <v>-9081.9</v>
      </c>
      <c r="J195" s="15">
        <v>3310.5</v>
      </c>
      <c r="K195" s="15">
        <v>-4111.8</v>
      </c>
      <c r="L195" s="15">
        <v>1476</v>
      </c>
      <c r="M195" s="15">
        <v>-1076</v>
      </c>
      <c r="N195" s="15">
        <v>1198.9</v>
      </c>
      <c r="O195" s="15">
        <v>-2114.4</v>
      </c>
      <c r="P195" s="15">
        <v>840.3</v>
      </c>
      <c r="Q195" s="17"/>
      <c r="R195" s="17"/>
      <c r="S195" s="17"/>
      <c r="T195" s="17"/>
      <c r="U195" s="17"/>
      <c r="V195" s="15">
        <f>W195/1000000000</f>
        <v>17834.356260864</v>
      </c>
      <c r="W195" s="15">
        <v>17834356260864</v>
      </c>
      <c r="X195" t="s" s="44">
        <f>$A195</f>
        <v>347</v>
      </c>
      <c r="Y195" t="s" s="44">
        <f>Y$2</f>
        <v>153</v>
      </c>
      <c r="Z195" s="35">
        <f>F195/B195-1</f>
        <v>-0.258424110384895</v>
      </c>
      <c r="AA195" t="s" s="44">
        <f>Y195</f>
        <v>153</v>
      </c>
      <c r="AB195" s="16">
        <f>SUM(H195:K195)/V195</f>
        <v>-0.332417380996784</v>
      </c>
      <c r="AC195" t="s" s="44">
        <f>AA195</f>
        <v>153</v>
      </c>
      <c r="AD195" s="35">
        <f>SUM(M195:P195)/V195</f>
        <v>-0.0645495684375338</v>
      </c>
      <c r="AE195" t="s" s="44">
        <f>AC195</f>
        <v>153</v>
      </c>
      <c r="AF195" s="16">
        <f>U195/V195</f>
        <v>0</v>
      </c>
      <c r="AG195" s="15">
        <v>234</v>
      </c>
      <c r="AH195" s="15">
        <v>204.769948814127</v>
      </c>
    </row>
    <row r="196" ht="20.05" customHeight="1">
      <c r="A196" t="s" s="56">
        <v>348</v>
      </c>
      <c r="B196" s="14">
        <v>1388.7</v>
      </c>
      <c r="C196" s="15">
        <v>1719.5</v>
      </c>
      <c r="D196" s="15">
        <v>1688.9</v>
      </c>
      <c r="E196" s="15">
        <v>2028.6</v>
      </c>
      <c r="F196" s="15">
        <v>1615.6</v>
      </c>
      <c r="G196" s="15">
        <v>-27.3</v>
      </c>
      <c r="H196" s="15">
        <v>-147</v>
      </c>
      <c r="I196" s="15">
        <v>-304.6</v>
      </c>
      <c r="J196" s="15">
        <v>61.4</v>
      </c>
      <c r="K196" s="15">
        <v>26.2</v>
      </c>
      <c r="L196" s="15">
        <v>-0.2</v>
      </c>
      <c r="M196" s="15">
        <v>-766.3</v>
      </c>
      <c r="N196" s="15">
        <v>100</v>
      </c>
      <c r="O196" s="15">
        <v>204.8</v>
      </c>
      <c r="P196" s="15">
        <v>-4.8</v>
      </c>
      <c r="Q196" s="15">
        <v>-3907</v>
      </c>
      <c r="R196" s="15">
        <v>-3313</v>
      </c>
      <c r="S196" s="15">
        <v>-3916</v>
      </c>
      <c r="T196" s="15">
        <v>-3308</v>
      </c>
      <c r="U196" s="15">
        <v>-3274</v>
      </c>
      <c r="V196" s="15">
        <f>W196/1000000000</f>
        <v>1042.760764416</v>
      </c>
      <c r="W196" s="15">
        <v>1042760764416</v>
      </c>
      <c r="X196" t="s" s="44">
        <f>$A196</f>
        <v>348</v>
      </c>
      <c r="Y196" t="s" s="44">
        <f>Y$2</f>
        <v>153</v>
      </c>
      <c r="Z196" s="35">
        <f>F196/B196-1</f>
        <v>0.163390221070066</v>
      </c>
      <c r="AA196" t="s" s="44">
        <f>Y196</f>
        <v>153</v>
      </c>
      <c r="AB196" s="16">
        <f>SUM(H196:K196)/V196</f>
        <v>-0.349073356441311</v>
      </c>
      <c r="AC196" t="s" s="44">
        <f>AA196</f>
        <v>153</v>
      </c>
      <c r="AD196" s="35">
        <f>SUM(M196:P196)/V196</f>
        <v>-0.447178313485119</v>
      </c>
      <c r="AE196" t="s" s="44">
        <f>AC196</f>
        <v>153</v>
      </c>
      <c r="AF196" s="16">
        <f>U196/V196</f>
        <v>-3.13974222249684</v>
      </c>
      <c r="AG196" s="15">
        <v>123</v>
      </c>
      <c r="AH196" s="15">
        <v>137.191047809210</v>
      </c>
    </row>
    <row r="197" ht="20.05" customHeight="1">
      <c r="A197" t="s" s="56">
        <v>349</v>
      </c>
      <c r="B197" s="14">
        <v>1624.2</v>
      </c>
      <c r="C197" s="15">
        <v>1564.1</v>
      </c>
      <c r="D197" s="15">
        <v>2011.9</v>
      </c>
      <c r="E197" s="15">
        <v>1115.9</v>
      </c>
      <c r="F197" s="15">
        <v>1624.2</v>
      </c>
      <c r="G197" s="15">
        <v>-259.5</v>
      </c>
      <c r="H197" s="15">
        <v>-38.1</v>
      </c>
      <c r="I197" s="15">
        <v>-205.9</v>
      </c>
      <c r="J197" s="15">
        <v>11.6</v>
      </c>
      <c r="K197" s="15">
        <v>-338.7</v>
      </c>
      <c r="L197" s="15">
        <v>-277.2</v>
      </c>
      <c r="M197" s="15">
        <v>-33.2</v>
      </c>
      <c r="N197" s="15">
        <v>-184.1</v>
      </c>
      <c r="O197" s="15">
        <v>18.2</v>
      </c>
      <c r="P197" s="15">
        <v>-385.1</v>
      </c>
      <c r="Q197" s="15">
        <v>-3031</v>
      </c>
      <c r="R197" s="15">
        <v>-3260</v>
      </c>
      <c r="S197" s="15">
        <v>-3279</v>
      </c>
      <c r="T197" s="15">
        <v>-3218</v>
      </c>
      <c r="U197" s="15">
        <v>-3380</v>
      </c>
      <c r="V197" s="15">
        <f>W197/1000000000</f>
        <v>1625.02817792</v>
      </c>
      <c r="W197" s="15">
        <v>1625028177920</v>
      </c>
      <c r="X197" t="s" s="44">
        <f>$A197</f>
        <v>349</v>
      </c>
      <c r="Y197" t="s" s="44">
        <f>Y$2</f>
        <v>153</v>
      </c>
      <c r="Z197" s="35">
        <f>F197/B197-1</f>
        <v>0</v>
      </c>
      <c r="AA197" t="s" s="44">
        <f>Y197</f>
        <v>153</v>
      </c>
      <c r="AB197" s="16">
        <f>SUM(H197:K197)/V197</f>
        <v>-0.351440059784683</v>
      </c>
      <c r="AC197" t="s" s="44">
        <f>AA197</f>
        <v>153</v>
      </c>
      <c r="AD197" s="35">
        <f>SUM(M197:P197)/V197</f>
        <v>-0.359501458459485</v>
      </c>
      <c r="AE197" t="s" s="44">
        <f>AC197</f>
        <v>153</v>
      </c>
      <c r="AF197" s="16">
        <f>U197/V197</f>
        <v>-2.07996393288781</v>
      </c>
      <c r="AG197" s="15">
        <v>230</v>
      </c>
      <c r="AH197" s="15">
        <v>225.655883854636</v>
      </c>
    </row>
    <row r="198" ht="20.05" customHeight="1">
      <c r="A198" t="s" s="56">
        <v>350</v>
      </c>
      <c r="B198" s="14">
        <v>2.77966666666667</v>
      </c>
      <c r="C198" s="15">
        <v>4.30833333333333</v>
      </c>
      <c r="D198" s="15">
        <v>4.246</v>
      </c>
      <c r="E198" s="15">
        <v>1.374</v>
      </c>
      <c r="F198" s="15">
        <v>1.957</v>
      </c>
      <c r="G198" s="15">
        <v>-3.934</v>
      </c>
      <c r="H198" s="15">
        <v>-36.951</v>
      </c>
      <c r="I198" s="15">
        <v>-1.5</v>
      </c>
      <c r="J198" s="15">
        <v>0.5629999999999999</v>
      </c>
      <c r="K198" s="15">
        <v>0.199</v>
      </c>
      <c r="L198" s="15">
        <v>-3.55566666666667</v>
      </c>
      <c r="M198" s="15">
        <v>-38.0403333333333</v>
      </c>
      <c r="N198" s="15">
        <v>0</v>
      </c>
      <c r="O198" s="15">
        <v>0</v>
      </c>
      <c r="P198" s="15">
        <v>-0.019</v>
      </c>
      <c r="Q198" s="15">
        <v>-14.003</v>
      </c>
      <c r="R198" s="15">
        <v>-12</v>
      </c>
      <c r="S198" s="15">
        <v>-11.336</v>
      </c>
      <c r="T198" s="15">
        <v>-12.214</v>
      </c>
      <c r="U198" s="15">
        <v>-10.391</v>
      </c>
      <c r="V198" s="15">
        <f>W198/1000000000</f>
        <v>79.34217804799999</v>
      </c>
      <c r="W198" s="15">
        <v>79342178048</v>
      </c>
      <c r="X198" t="s" s="44">
        <f>$A198</f>
        <v>350</v>
      </c>
      <c r="Y198" t="s" s="44">
        <f>Y$2</f>
        <v>153</v>
      </c>
      <c r="Z198" s="35">
        <f>F198/B198-1</f>
        <v>-0.295958748051326</v>
      </c>
      <c r="AA198" t="s" s="44">
        <f>Y198</f>
        <v>153</v>
      </c>
      <c r="AB198" s="16">
        <f>SUM(H198:K198)/V198</f>
        <v>-0.475018469712277</v>
      </c>
      <c r="AC198" t="s" s="44">
        <f>AA198</f>
        <v>153</v>
      </c>
      <c r="AD198" s="35">
        <f>SUM(M198:P198)/V198</f>
        <v>-0.479686016563704</v>
      </c>
      <c r="AE198" t="s" s="44">
        <f>AC198</f>
        <v>153</v>
      </c>
      <c r="AF198" s="16">
        <f>U198/V198</f>
        <v>-0.130964390638655</v>
      </c>
      <c r="AG198" s="15">
        <v>119</v>
      </c>
      <c r="AH198" s="15">
        <v>79.2100741881288</v>
      </c>
    </row>
    <row r="199" ht="20.05" customHeight="1">
      <c r="A199" t="s" s="56">
        <v>351</v>
      </c>
      <c r="B199" s="14">
        <v>169.5</v>
      </c>
      <c r="C199" s="15">
        <v>287.8</v>
      </c>
      <c r="D199" s="15">
        <v>257.6</v>
      </c>
      <c r="E199" s="15">
        <v>279</v>
      </c>
      <c r="F199" s="15">
        <v>210.9</v>
      </c>
      <c r="G199" s="15">
        <v>-73</v>
      </c>
      <c r="H199" s="15">
        <v>-49.1</v>
      </c>
      <c r="I199" s="15">
        <v>-56.4</v>
      </c>
      <c r="J199" s="15">
        <v>-87.40000000000001</v>
      </c>
      <c r="K199" s="15">
        <v>-56.3</v>
      </c>
      <c r="L199" s="15">
        <v>-56.25</v>
      </c>
      <c r="M199" s="15">
        <v>-56.25</v>
      </c>
      <c r="N199" s="15">
        <v>-47</v>
      </c>
      <c r="O199" s="15">
        <v>-95.09999999999999</v>
      </c>
      <c r="P199" s="15">
        <v>-46.5</v>
      </c>
      <c r="Q199" s="15">
        <v>-3332</v>
      </c>
      <c r="R199" s="15">
        <v>-3330</v>
      </c>
      <c r="S199" s="15">
        <v>-3426</v>
      </c>
      <c r="T199" s="15">
        <v>-3426</v>
      </c>
      <c r="U199" s="15">
        <v>-3506</v>
      </c>
      <c r="V199" s="15">
        <f>W199/1000000000</f>
        <v>471.836256</v>
      </c>
      <c r="W199" s="15">
        <v>471836256000</v>
      </c>
      <c r="X199" t="s" s="44">
        <f>$A199</f>
        <v>351</v>
      </c>
      <c r="Y199" t="s" s="44">
        <f>Y$2</f>
        <v>153</v>
      </c>
      <c r="Z199" s="35">
        <f>F199/B199-1</f>
        <v>0.244247787610619</v>
      </c>
      <c r="AA199" t="s" s="44">
        <f>Y199</f>
        <v>153</v>
      </c>
      <c r="AB199" s="16">
        <f>SUM(H199:K199)/V199</f>
        <v>-0.528149324752187</v>
      </c>
      <c r="AC199" t="s" s="44">
        <f>AA199</f>
        <v>153</v>
      </c>
      <c r="AD199" s="35">
        <f>SUM(M199:P199)/V199</f>
        <v>-0.518930024741465</v>
      </c>
      <c r="AE199" t="s" s="44">
        <f>AC199</f>
        <v>153</v>
      </c>
      <c r="AF199" s="16">
        <f>U199/V199</f>
        <v>-7.43054387071094</v>
      </c>
      <c r="AG199" s="15">
        <v>125</v>
      </c>
      <c r="AH199" s="15">
        <v>102.251694268912</v>
      </c>
    </row>
    <row r="200" ht="20.05" customHeight="1">
      <c r="A200" t="s" s="56">
        <v>352</v>
      </c>
      <c r="B200" s="14">
        <v>3722.3</v>
      </c>
      <c r="C200" s="15">
        <v>5578.2</v>
      </c>
      <c r="D200" s="15">
        <v>3335.9</v>
      </c>
      <c r="E200" s="15">
        <v>3477.9</v>
      </c>
      <c r="F200" s="15">
        <v>3730.3</v>
      </c>
      <c r="G200" s="15">
        <v>-480.4</v>
      </c>
      <c r="H200" s="15">
        <v>-1730.1</v>
      </c>
      <c r="I200" s="15">
        <v>-186.6</v>
      </c>
      <c r="J200" s="15">
        <v>-1764.3</v>
      </c>
      <c r="K200" s="15">
        <v>-588.5</v>
      </c>
      <c r="L200" s="15">
        <v>190.5</v>
      </c>
      <c r="M200" s="15">
        <v>-1428.9</v>
      </c>
      <c r="N200" s="15">
        <v>286.6</v>
      </c>
      <c r="O200" s="15">
        <v>-468.7</v>
      </c>
      <c r="P200" s="15">
        <v>-250.6</v>
      </c>
      <c r="Q200" s="15">
        <v>-35458</v>
      </c>
      <c r="R200" s="15">
        <v>-24707</v>
      </c>
      <c r="S200" s="15">
        <v>-25353</v>
      </c>
      <c r="T200" s="15">
        <v>-27125</v>
      </c>
      <c r="U200" s="15">
        <v>-27864</v>
      </c>
      <c r="V200" s="15">
        <f>W200/1000000000</f>
        <v>5309.632512</v>
      </c>
      <c r="W200" s="15">
        <v>5309632512000</v>
      </c>
      <c r="X200" t="s" s="44">
        <f>$A200</f>
        <v>352</v>
      </c>
      <c r="Y200" t="s" s="44">
        <f>Y$2</f>
        <v>153</v>
      </c>
      <c r="Z200" s="35">
        <f>F200/B200-1</f>
        <v>0.00214920882250222</v>
      </c>
      <c r="AA200" t="s" s="44">
        <f>Y200</f>
        <v>153</v>
      </c>
      <c r="AB200" s="16">
        <f>SUM(H200:K200)/V200</f>
        <v>-0.804104613709281</v>
      </c>
      <c r="AC200" t="s" s="44">
        <f>AA200</f>
        <v>153</v>
      </c>
      <c r="AD200" s="35">
        <f>SUM(M200:P200)/V200</f>
        <v>-0.350608068598477</v>
      </c>
      <c r="AE200" t="s" s="44">
        <f>AC200</f>
        <v>153</v>
      </c>
      <c r="AF200" s="16">
        <f>U200/V200</f>
        <v>-5.24782081189727</v>
      </c>
      <c r="AG200" s="15">
        <v>75</v>
      </c>
      <c r="AH200" s="15">
        <v>85.6471478593182</v>
      </c>
    </row>
    <row r="201" ht="20.05" customHeight="1">
      <c r="A201" t="s" s="56">
        <v>353</v>
      </c>
      <c r="B201" s="14">
        <v>4754.4</v>
      </c>
      <c r="C201" s="15">
        <v>5552.1</v>
      </c>
      <c r="D201" s="15">
        <v>4281</v>
      </c>
      <c r="E201" s="15">
        <v>4743</v>
      </c>
      <c r="F201" s="15">
        <v>4437.7</v>
      </c>
      <c r="G201" s="15">
        <v>-732.6</v>
      </c>
      <c r="H201" s="15">
        <v>859.9</v>
      </c>
      <c r="I201" s="15">
        <v>-1115.4</v>
      </c>
      <c r="J201" s="15">
        <v>-1799.6</v>
      </c>
      <c r="K201" s="15">
        <v>-1302</v>
      </c>
      <c r="L201" s="15">
        <v>-579</v>
      </c>
      <c r="M201" s="15">
        <v>-563.9</v>
      </c>
      <c r="N201" s="15">
        <v>641</v>
      </c>
      <c r="O201" s="15">
        <v>-2351</v>
      </c>
      <c r="P201" s="15">
        <v>-580.8</v>
      </c>
      <c r="Q201" s="15">
        <v>-36678</v>
      </c>
      <c r="R201" s="15">
        <v>-34641</v>
      </c>
      <c r="S201" s="15">
        <v>-37246</v>
      </c>
      <c r="T201" s="15">
        <v>-38324</v>
      </c>
      <c r="U201" s="15">
        <v>-38782</v>
      </c>
      <c r="V201" s="15">
        <f>W201/1000000000</f>
        <v>3803.98404096</v>
      </c>
      <c r="W201" s="15">
        <v>3803984040960</v>
      </c>
      <c r="X201" t="s" s="44">
        <f>$A201</f>
        <v>353</v>
      </c>
      <c r="Y201" t="s" s="44">
        <f>Y$2</f>
        <v>153</v>
      </c>
      <c r="Z201" s="35">
        <f>F201/B201-1</f>
        <v>-0.0666119804812384</v>
      </c>
      <c r="AA201" t="s" s="44">
        <f>Y201</f>
        <v>153</v>
      </c>
      <c r="AB201" s="16">
        <f>SUM(H201:K201)/V201</f>
        <v>-0.882522104154985</v>
      </c>
      <c r="AC201" t="s" s="44">
        <f>AA201</f>
        <v>153</v>
      </c>
      <c r="AD201" s="35">
        <f>SUM(M201:P201)/V201</f>
        <v>-0.750450046388619</v>
      </c>
      <c r="AE201" t="s" s="44">
        <f>AC201</f>
        <v>153</v>
      </c>
      <c r="AF201" s="16">
        <f>U201/V201</f>
        <v>-10.1951006056831</v>
      </c>
      <c r="AG201" s="15">
        <v>615</v>
      </c>
      <c r="AH201" s="15">
        <v>921.117871006284</v>
      </c>
    </row>
    <row r="202" ht="20.05" customHeight="1">
      <c r="A202" t="s" s="56">
        <v>354</v>
      </c>
      <c r="B202" s="14">
        <v>4881</v>
      </c>
      <c r="C202" s="15">
        <v>6161.7</v>
      </c>
      <c r="D202" s="15">
        <v>3163</v>
      </c>
      <c r="E202" s="15">
        <v>4021</v>
      </c>
      <c r="F202" s="15">
        <v>5607.8</v>
      </c>
      <c r="G202" s="15">
        <v>-4103.886</v>
      </c>
      <c r="H202" s="15">
        <v>2948.186</v>
      </c>
      <c r="I202" s="15">
        <v>-3871</v>
      </c>
      <c r="J202" s="15">
        <v>-4098</v>
      </c>
      <c r="K202" s="15">
        <v>-938.2</v>
      </c>
      <c r="L202" s="15">
        <v>-2563.098</v>
      </c>
      <c r="M202" s="15">
        <v>1965.486</v>
      </c>
      <c r="N202" s="15">
        <v>-1228</v>
      </c>
      <c r="O202" s="15">
        <v>-3041</v>
      </c>
      <c r="P202" s="15">
        <v>-913.1</v>
      </c>
      <c r="Q202" s="15">
        <v>-45500</v>
      </c>
      <c r="R202" s="15">
        <v>-44967</v>
      </c>
      <c r="S202" s="15">
        <v>-47384</v>
      </c>
      <c r="T202" s="15">
        <v>-51528</v>
      </c>
      <c r="U202" s="15">
        <v>-53497</v>
      </c>
      <c r="V202" s="15">
        <f>W202/1000000000</f>
        <v>6098.81829376</v>
      </c>
      <c r="W202" s="15">
        <v>6098818293760</v>
      </c>
      <c r="X202" t="s" s="44">
        <f>$A202</f>
        <v>354</v>
      </c>
      <c r="Y202" t="s" s="44">
        <f>Y$2</f>
        <v>153</v>
      </c>
      <c r="Z202" s="35">
        <f>F202/B202-1</f>
        <v>0.148903913132555</v>
      </c>
      <c r="AA202" t="s" s="44">
        <f>Y202</f>
        <v>153</v>
      </c>
      <c r="AB202" s="16">
        <f>SUM(H202:K202)/V202</f>
        <v>-0.977076822586592</v>
      </c>
      <c r="AC202" t="s" s="44">
        <f>AA202</f>
        <v>153</v>
      </c>
      <c r="AD202" s="35">
        <f>SUM(M202:P202)/V202</f>
        <v>-0.527415942739444</v>
      </c>
      <c r="AE202" t="s" s="44">
        <f>AC202</f>
        <v>153</v>
      </c>
      <c r="AF202" s="16">
        <f>U202/V202</f>
        <v>-8.771699274060261</v>
      </c>
      <c r="AG202" s="15">
        <v>680</v>
      </c>
      <c r="AH202" s="15">
        <v>886.298467164472</v>
      </c>
    </row>
    <row r="203" ht="20.05" customHeight="1">
      <c r="A203" t="s" s="56">
        <v>355</v>
      </c>
      <c r="B203" s="14">
        <v>1104.2</v>
      </c>
      <c r="C203" s="15">
        <v>1092.4</v>
      </c>
      <c r="D203" s="15">
        <v>1192.8</v>
      </c>
      <c r="E203" s="15">
        <v>252.8</v>
      </c>
      <c r="F203" s="15">
        <v>717</v>
      </c>
      <c r="G203" s="15">
        <v>-4.1</v>
      </c>
      <c r="H203" s="15">
        <v>15.5</v>
      </c>
      <c r="I203" s="15">
        <v>38</v>
      </c>
      <c r="J203" s="15">
        <v>-202.4</v>
      </c>
      <c r="K203" s="15">
        <v>-187.3</v>
      </c>
      <c r="L203" s="15">
        <v>-73.8</v>
      </c>
      <c r="M203" s="15">
        <v>-52.4</v>
      </c>
      <c r="N203" s="15">
        <v>-59.7</v>
      </c>
      <c r="O203" s="15">
        <v>-91.7</v>
      </c>
      <c r="P203" s="15">
        <v>0</v>
      </c>
      <c r="Q203" s="15">
        <v>-14899</v>
      </c>
      <c r="R203" s="15">
        <v>-14883</v>
      </c>
      <c r="S203" s="15">
        <v>-14775</v>
      </c>
      <c r="T203" s="15">
        <v>-9868</v>
      </c>
      <c r="U203" s="15">
        <v>-10309</v>
      </c>
      <c r="V203" s="15">
        <f>W203/1000000000</f>
        <v>322.52064</v>
      </c>
      <c r="W203" s="15">
        <v>322520640000</v>
      </c>
      <c r="X203" t="s" s="44">
        <f>$A203</f>
        <v>355</v>
      </c>
      <c r="Y203" t="s" s="44">
        <f>Y$2</f>
        <v>153</v>
      </c>
      <c r="Z203" s="35">
        <f>F203/B203-1</f>
        <v>-0.35066111211737</v>
      </c>
      <c r="AA203" t="s" s="44">
        <f>Y203</f>
        <v>153</v>
      </c>
      <c r="AB203" s="16">
        <f>SUM(H203:K203)/V203</f>
        <v>-1.04241390566508</v>
      </c>
      <c r="AC203" t="s" s="44">
        <f>AA203</f>
        <v>153</v>
      </c>
      <c r="AD203" s="35">
        <f>SUM(M203:P203)/V203</f>
        <v>-0.631897543053369</v>
      </c>
      <c r="AE203" t="s" s="44">
        <f>AC203</f>
        <v>153</v>
      </c>
      <c r="AF203" s="35">
        <f>U203/V203</f>
        <v>-31.9638457867379</v>
      </c>
      <c r="AG203" s="15">
        <v>129</v>
      </c>
      <c r="AH203" s="15">
        <v>118.350397222578</v>
      </c>
    </row>
    <row r="204" ht="20.05" customHeight="1">
      <c r="A204" t="s" s="56">
        <v>356</v>
      </c>
      <c r="B204" s="14">
        <v>2407.9</v>
      </c>
      <c r="C204" s="15">
        <v>5098.9</v>
      </c>
      <c r="D204" s="15">
        <v>2748.3</v>
      </c>
      <c r="E204" s="15">
        <v>3342.1</v>
      </c>
      <c r="F204" s="15">
        <v>4213.3</v>
      </c>
      <c r="G204" s="15">
        <v>-366.085</v>
      </c>
      <c r="H204" s="15">
        <v>-4368.1</v>
      </c>
      <c r="I204" s="15">
        <v>-1700.5</v>
      </c>
      <c r="J204" s="15">
        <v>-2251.7</v>
      </c>
      <c r="K204" s="15">
        <v>-1748.3</v>
      </c>
      <c r="L204" s="15">
        <v>-1211.615</v>
      </c>
      <c r="M204" s="15">
        <v>-315.5</v>
      </c>
      <c r="N204" s="15">
        <v>-4168.6</v>
      </c>
      <c r="O204" s="15">
        <v>2698.4</v>
      </c>
      <c r="P204" s="15">
        <v>1071.6</v>
      </c>
      <c r="Q204" s="15">
        <v>-103465</v>
      </c>
      <c r="R204" s="15">
        <v>-90436</v>
      </c>
      <c r="S204" s="15">
        <v>-91736</v>
      </c>
      <c r="T204" s="15">
        <v>-86041</v>
      </c>
      <c r="U204" s="15">
        <v>-89178</v>
      </c>
      <c r="V204" s="15">
        <f>W204/1000000000</f>
        <v>8296.35821568</v>
      </c>
      <c r="W204" s="15">
        <v>8296358215680</v>
      </c>
      <c r="X204" t="s" s="44">
        <f>$A204</f>
        <v>356</v>
      </c>
      <c r="Y204" t="s" s="44">
        <f>Y$2</f>
        <v>153</v>
      </c>
      <c r="Z204" s="35">
        <f>F204/B204-1</f>
        <v>0.749781967689688</v>
      </c>
      <c r="AA204" t="s" s="44">
        <f>Y204</f>
        <v>153</v>
      </c>
      <c r="AB204" s="16">
        <f>SUM(H204:K204)/V204</f>
        <v>-1.21361683503136</v>
      </c>
      <c r="AC204" t="s" s="44">
        <f>AA204</f>
        <v>153</v>
      </c>
      <c r="AD204" s="35">
        <f>SUM(M204:P204)/V204</f>
        <v>-0.0860739111590386</v>
      </c>
      <c r="AE204" t="s" s="44">
        <f>AC204</f>
        <v>153</v>
      </c>
      <c r="AF204" s="16">
        <f>U204/V204</f>
        <v>-10.7490537030398</v>
      </c>
      <c r="AG204" s="15">
        <v>288</v>
      </c>
      <c r="AH204" s="15">
        <v>461.195379157610</v>
      </c>
    </row>
    <row r="205" ht="20.05" customHeight="1">
      <c r="A205" t="s" s="56">
        <v>357</v>
      </c>
      <c r="B205" s="14">
        <v>3717</v>
      </c>
      <c r="C205" s="15">
        <v>4707</v>
      </c>
      <c r="D205" s="15">
        <v>4984.5</v>
      </c>
      <c r="E205" s="15">
        <v>5859</v>
      </c>
      <c r="F205" s="15">
        <v>6394.5</v>
      </c>
      <c r="G205" s="15">
        <v>-1483.5</v>
      </c>
      <c r="H205" s="15">
        <v>-2703</v>
      </c>
      <c r="I205" s="15">
        <v>-1447.5</v>
      </c>
      <c r="J205" s="15">
        <v>252</v>
      </c>
      <c r="K205" s="26">
        <v>448.5</v>
      </c>
      <c r="L205" s="15">
        <v>-5246.505</v>
      </c>
      <c r="M205" s="15">
        <v>-264</v>
      </c>
      <c r="N205" s="15">
        <v>-589.5</v>
      </c>
      <c r="O205" s="15">
        <v>267</v>
      </c>
      <c r="P205" s="26">
        <v>105</v>
      </c>
      <c r="Q205" s="15">
        <v>-11805</v>
      </c>
      <c r="R205" s="15">
        <v>-17640</v>
      </c>
      <c r="S205" s="15">
        <v>-18510</v>
      </c>
      <c r="T205" s="15">
        <v>-18255</v>
      </c>
      <c r="U205" s="15">
        <v>-17835</v>
      </c>
      <c r="V205" s="15">
        <f>W205/1000000000</f>
        <v>2396.685166592</v>
      </c>
      <c r="W205" s="15">
        <v>2396685166592</v>
      </c>
      <c r="X205" t="s" s="44">
        <f>$A205</f>
        <v>357</v>
      </c>
      <c r="Y205" t="s" s="44">
        <f>Y$2</f>
        <v>153</v>
      </c>
      <c r="Z205" s="35">
        <f>F205/B205-1</f>
        <v>0.720338983050847</v>
      </c>
      <c r="AA205" t="s" s="44">
        <f>Y205</f>
        <v>153</v>
      </c>
      <c r="AB205" s="16">
        <f>SUM(H205:K205)/V205</f>
        <v>-1.43948819314711</v>
      </c>
      <c r="AC205" t="s" s="44">
        <f>AA205</f>
        <v>153</v>
      </c>
      <c r="AD205" s="35">
        <f>SUM(M205:P205)/V205</f>
        <v>-0.200902482608792</v>
      </c>
      <c r="AE205" t="s" s="44">
        <f>AC205</f>
        <v>153</v>
      </c>
      <c r="AF205" s="16">
        <f>U205/V205</f>
        <v>-7.44152809413876</v>
      </c>
      <c r="AG205" s="15">
        <v>278</v>
      </c>
      <c r="AH205" s="15">
        <v>548.460032836831</v>
      </c>
    </row>
  </sheetData>
  <mergeCells count="1">
    <mergeCell ref="A1:AH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24" customWidth="1"/>
    <col min="2" max="28" width="10.4844" style="124" customWidth="1"/>
    <col min="29" max="29" width="18.9766" style="125" customWidth="1"/>
    <col min="30" max="48" width="9" style="125" customWidth="1"/>
    <col min="49" max="16384" width="16.3516" style="125" customWidth="1"/>
  </cols>
  <sheetData>
    <row r="1" ht="11.65" customHeight="1"/>
    <row r="2" ht="27.65" customHeight="1">
      <c r="B2" t="s" s="2">
        <v>496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245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243.7</v>
      </c>
      <c r="D8" s="15">
        <v>43.5</v>
      </c>
      <c r="E8" s="15">
        <v>-12.1</v>
      </c>
      <c r="F8" s="15"/>
      <c r="G8" s="15"/>
      <c r="H8" s="15"/>
      <c r="I8" s="15">
        <v>249.1</v>
      </c>
      <c r="J8" s="15">
        <v>14.4</v>
      </c>
      <c r="K8" s="15">
        <v>-101.8</v>
      </c>
      <c r="L8" s="15">
        <v>-132.9</v>
      </c>
      <c r="M8" s="15">
        <v>0</v>
      </c>
      <c r="N8" s="15">
        <f>SUM(C5:C8)/4</f>
        <v>60.925</v>
      </c>
      <c r="O8" s="15"/>
      <c r="P8" s="16"/>
      <c r="Q8" s="16"/>
      <c r="R8" s="16"/>
      <c r="S8" s="17"/>
      <c r="T8" s="15">
        <f>SUM(J5:K8)/4</f>
        <v>-21.85</v>
      </c>
      <c r="U8" s="25"/>
      <c r="V8" s="15">
        <f>-(L8+M8)+V7</f>
        <v>132.9</v>
      </c>
      <c r="W8" s="17"/>
      <c r="X8" s="15">
        <f>F8-G8</f>
        <v>0</v>
      </c>
      <c r="Y8" s="24"/>
      <c r="Z8" s="68"/>
      <c r="AA8" s="22"/>
      <c r="AB8" s="20">
        <v>13.761</v>
      </c>
    </row>
    <row r="9" ht="20.05" customHeight="1">
      <c r="B9" s="13"/>
      <c r="C9" s="14">
        <v>299.9</v>
      </c>
      <c r="D9" s="15">
        <v>46.2</v>
      </c>
      <c r="E9" s="15">
        <v>17.8</v>
      </c>
      <c r="F9" s="17"/>
      <c r="G9" s="15"/>
      <c r="H9" s="15"/>
      <c r="I9" s="15">
        <v>282.7</v>
      </c>
      <c r="J9" s="15">
        <v>52.9</v>
      </c>
      <c r="K9" s="15">
        <v>-91.59999999999999</v>
      </c>
      <c r="L9" s="15">
        <v>31.5</v>
      </c>
      <c r="M9" s="15">
        <v>0</v>
      </c>
      <c r="N9" s="15">
        <f>SUM(C6:C9)/4</f>
        <v>135.9</v>
      </c>
      <c r="O9" s="15"/>
      <c r="P9" s="16"/>
      <c r="Q9" s="16">
        <f>(E9+D9)/C9</f>
        <v>0.213404468156052</v>
      </c>
      <c r="R9" s="16"/>
      <c r="S9" s="17"/>
      <c r="T9" s="15">
        <f>SUM(J6:K9)/4</f>
        <v>-31.525</v>
      </c>
      <c r="U9" s="25"/>
      <c r="V9" s="15">
        <f>-(L9+M9)+V8</f>
        <v>101.4</v>
      </c>
      <c r="W9" s="17"/>
      <c r="X9" s="15">
        <f>F13-G9</f>
        <v>42</v>
      </c>
      <c r="Y9" s="24"/>
      <c r="Z9" s="69"/>
      <c r="AA9" s="22"/>
      <c r="AB9" s="20">
        <v>14</v>
      </c>
    </row>
    <row r="10" ht="20.05" customHeight="1">
      <c r="B10" s="13"/>
      <c r="C10" s="14">
        <v>302.9</v>
      </c>
      <c r="D10" s="15">
        <v>47</v>
      </c>
      <c r="E10" s="15">
        <v>15.5</v>
      </c>
      <c r="F10" s="15"/>
      <c r="G10" s="15"/>
      <c r="H10" s="15"/>
      <c r="I10" s="15">
        <v>318.4</v>
      </c>
      <c r="J10" s="15">
        <v>16.4</v>
      </c>
      <c r="K10" s="15">
        <v>-48</v>
      </c>
      <c r="L10" s="15">
        <v>-6.5</v>
      </c>
      <c r="M10" s="15">
        <v>0</v>
      </c>
      <c r="N10" s="15">
        <f>SUM(C7:C10)/4</f>
        <v>211.625</v>
      </c>
      <c r="O10" s="15"/>
      <c r="P10" s="16">
        <f>C10/C9-1</f>
        <v>0.0100033344448149</v>
      </c>
      <c r="Q10" s="16">
        <f>(E10+D10)/C10</f>
        <v>0.20633872565203</v>
      </c>
      <c r="R10" s="16"/>
      <c r="S10" s="17"/>
      <c r="T10" s="15">
        <f>SUM(J7:K10)/4</f>
        <v>-39.425</v>
      </c>
      <c r="U10" s="25"/>
      <c r="V10" s="15">
        <f>-(L10+M10)+V9</f>
        <v>107.9</v>
      </c>
      <c r="W10" s="17"/>
      <c r="X10" s="15">
        <f>F10-G10</f>
        <v>0</v>
      </c>
      <c r="Y10" s="24"/>
      <c r="Z10" s="69"/>
      <c r="AA10" s="22"/>
      <c r="AB10" s="20">
        <v>14.902</v>
      </c>
    </row>
    <row r="11" ht="20.05" customHeight="1">
      <c r="B11" s="13"/>
      <c r="C11" s="14">
        <v>337.8</v>
      </c>
      <c r="D11" s="15">
        <v>47.6</v>
      </c>
      <c r="E11" s="15">
        <v>14</v>
      </c>
      <c r="F11" s="15">
        <v>42</v>
      </c>
      <c r="G11" s="15">
        <v>602</v>
      </c>
      <c r="H11" s="15">
        <v>1762</v>
      </c>
      <c r="I11" s="15">
        <v>306.8</v>
      </c>
      <c r="J11" s="15">
        <v>138.3</v>
      </c>
      <c r="K11" s="15">
        <v>-142.6</v>
      </c>
      <c r="L11" s="15">
        <v>14.9</v>
      </c>
      <c r="M11" s="15">
        <v>0</v>
      </c>
      <c r="N11" s="15">
        <f>SUM(C8:C11)/4</f>
        <v>296.075</v>
      </c>
      <c r="O11" s="15"/>
      <c r="P11" s="16">
        <f>C11/C10-1</f>
        <v>0.115219544404094</v>
      </c>
      <c r="Q11" s="16">
        <f>(E11+D11)/C11</f>
        <v>0.182356423919479</v>
      </c>
      <c r="R11" s="16"/>
      <c r="S11" s="17"/>
      <c r="T11" s="15">
        <f>SUM(J8:K11)/4</f>
        <v>-40.5</v>
      </c>
      <c r="U11" s="25"/>
      <c r="V11" s="15">
        <f>-(L11+M11)+V10</f>
        <v>93</v>
      </c>
      <c r="W11" s="17"/>
      <c r="X11" s="15">
        <f>F11-G11</f>
        <v>-560</v>
      </c>
      <c r="Y11" s="24"/>
      <c r="Z11" s="69"/>
      <c r="AA11" s="22"/>
      <c r="AB11" s="20">
        <v>14.38</v>
      </c>
    </row>
    <row r="12" ht="20.05" customHeight="1">
      <c r="B12" s="21">
        <v>2019</v>
      </c>
      <c r="C12" s="14">
        <v>292.3</v>
      </c>
      <c r="D12" s="15">
        <v>50.2</v>
      </c>
      <c r="E12" s="15">
        <v>-3.6</v>
      </c>
      <c r="F12" s="15">
        <v>30</v>
      </c>
      <c r="G12" s="15">
        <v>606</v>
      </c>
      <c r="H12" s="15">
        <v>1763</v>
      </c>
      <c r="I12" s="15">
        <v>302</v>
      </c>
      <c r="J12" s="15">
        <v>20.3</v>
      </c>
      <c r="K12" s="15">
        <v>-87</v>
      </c>
      <c r="L12" s="15">
        <v>55</v>
      </c>
      <c r="M12" s="15">
        <v>0</v>
      </c>
      <c r="N12" s="15">
        <f>SUM(C9:C12)/4</f>
        <v>308.225</v>
      </c>
      <c r="O12" s="23"/>
      <c r="P12" s="16">
        <f>C12/C11-1</f>
        <v>-0.134695085849615</v>
      </c>
      <c r="Q12" s="16">
        <f>(E12+D12)/C12</f>
        <v>0.159425248032843</v>
      </c>
      <c r="R12" s="16">
        <f>AVERAGE(Q9:Q12)</f>
        <v>0.190381216440101</v>
      </c>
      <c r="S12" s="17"/>
      <c r="T12" s="15">
        <f>SUM(J9:K12)/4</f>
        <v>-35.325</v>
      </c>
      <c r="U12" s="25"/>
      <c r="V12" s="15">
        <f>-(L12+M12)+V11</f>
        <v>38</v>
      </c>
      <c r="W12" s="17"/>
      <c r="X12" s="15">
        <f>F12-G12</f>
        <v>-576</v>
      </c>
      <c r="Y12" s="24"/>
      <c r="Z12" s="18">
        <v>4950</v>
      </c>
      <c r="AA12" s="22"/>
      <c r="AB12" s="20">
        <v>14.24</v>
      </c>
    </row>
    <row r="13" ht="20.05" customHeight="1">
      <c r="B13" s="13"/>
      <c r="C13" s="14">
        <v>390.1</v>
      </c>
      <c r="D13" s="15">
        <v>53.9</v>
      </c>
      <c r="E13" s="15">
        <v>44.7</v>
      </c>
      <c r="F13" s="15">
        <v>42</v>
      </c>
      <c r="G13" s="15">
        <v>602</v>
      </c>
      <c r="H13" s="15">
        <v>1762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f>SUM(C10:C13)/4</f>
        <v>330.775</v>
      </c>
      <c r="O13" s="23"/>
      <c r="P13" s="16">
        <f>C13/C12-1</f>
        <v>0.334587752309271</v>
      </c>
      <c r="Q13" s="16">
        <f>(E13+D13)/C13</f>
        <v>0.252755703665727</v>
      </c>
      <c r="R13" s="16">
        <f>AVERAGE(Q10:Q13)</f>
        <v>0.20021902531752</v>
      </c>
      <c r="S13" s="17"/>
      <c r="T13" s="15">
        <f>SUM(J10:K13)/4</f>
        <v>-25.65</v>
      </c>
      <c r="U13" s="25"/>
      <c r="V13" s="15">
        <f>-(L13+M13)+V12</f>
        <v>38</v>
      </c>
      <c r="W13" s="17"/>
      <c r="X13" s="15">
        <f>F13-G13</f>
        <v>-560</v>
      </c>
      <c r="Y13" s="24"/>
      <c r="Z13" s="18">
        <v>3800</v>
      </c>
      <c r="AA13" s="24"/>
      <c r="AB13" s="15">
        <v>14.127</v>
      </c>
    </row>
    <row r="14" ht="20.05" customHeight="1">
      <c r="B14" s="13"/>
      <c r="C14" s="14">
        <v>345.1</v>
      </c>
      <c r="D14" s="15">
        <v>53.7</v>
      </c>
      <c r="E14" s="15">
        <v>13.5</v>
      </c>
      <c r="F14" s="15">
        <v>58</v>
      </c>
      <c r="G14" s="15">
        <v>654</v>
      </c>
      <c r="H14" s="15">
        <v>1870</v>
      </c>
      <c r="I14" s="15">
        <v>734.8</v>
      </c>
      <c r="J14" s="15">
        <v>97.7</v>
      </c>
      <c r="K14" s="15">
        <v>-109.7</v>
      </c>
      <c r="L14" s="15">
        <v>40</v>
      </c>
      <c r="M14" s="15">
        <v>0</v>
      </c>
      <c r="N14" s="15">
        <f>SUM(C11:C14)/4</f>
        <v>341.325</v>
      </c>
      <c r="O14" s="23"/>
      <c r="P14" s="16">
        <f>C14/C13-1</f>
        <v>-0.115355037169956</v>
      </c>
      <c r="Q14" s="16">
        <f>(E14+D14)/C14</f>
        <v>0.1947261663286</v>
      </c>
      <c r="R14" s="16">
        <f>AVERAGE(Q11:Q14)</f>
        <v>0.197315885486662</v>
      </c>
      <c r="S14" s="17"/>
      <c r="T14" s="15">
        <f>SUM(J11:K14)/4</f>
        <v>-20.75</v>
      </c>
      <c r="U14" s="25"/>
      <c r="V14" s="15">
        <f>-(L14+M14)+V13</f>
        <v>-2</v>
      </c>
      <c r="W14" s="17"/>
      <c r="X14" s="15">
        <f>F14-G14</f>
        <v>-596</v>
      </c>
      <c r="Y14" s="24"/>
      <c r="Z14" s="18">
        <v>4000</v>
      </c>
      <c r="AA14" s="24"/>
      <c r="AB14" s="15">
        <v>14.195</v>
      </c>
    </row>
    <row r="15" ht="20.05" customHeight="1">
      <c r="B15" s="13"/>
      <c r="C15" s="14">
        <v>387.1</v>
      </c>
      <c r="D15" s="15">
        <v>47.4</v>
      </c>
      <c r="E15" s="15">
        <v>28.7</v>
      </c>
      <c r="F15" s="15">
        <v>85</v>
      </c>
      <c r="G15" s="15">
        <v>673</v>
      </c>
      <c r="H15" s="15">
        <v>1917</v>
      </c>
      <c r="I15" s="15">
        <v>395.2</v>
      </c>
      <c r="J15" s="15">
        <v>139</v>
      </c>
      <c r="K15" s="15">
        <v>-124.3</v>
      </c>
      <c r="L15" s="15">
        <v>12</v>
      </c>
      <c r="M15" s="15">
        <v>0</v>
      </c>
      <c r="N15" s="15">
        <f>SUM(C12:C15)/4</f>
        <v>353.65</v>
      </c>
      <c r="O15" s="15"/>
      <c r="P15" s="16">
        <f>C15/C14-1</f>
        <v>0.121703853955375</v>
      </c>
      <c r="Q15" s="16">
        <f>(E15+D15)/C15</f>
        <v>0.19659002841643</v>
      </c>
      <c r="R15" s="16">
        <f>AVERAGE(Q12:Q15)</f>
        <v>0.2008742866109</v>
      </c>
      <c r="S15" s="17"/>
      <c r="T15" s="15">
        <f>SUM(J12:K15)/4</f>
        <v>-16</v>
      </c>
      <c r="U15" s="25"/>
      <c r="V15" s="15">
        <f>-(L15+M15)+V14</f>
        <v>-14</v>
      </c>
      <c r="W15" s="17"/>
      <c r="X15" s="15">
        <f>F15-G15</f>
        <v>-588</v>
      </c>
      <c r="Y15" s="24"/>
      <c r="Z15" s="18">
        <v>3000</v>
      </c>
      <c r="AA15" s="24"/>
      <c r="AB15" s="15">
        <v>13.882</v>
      </c>
    </row>
    <row r="16" ht="20.05" customHeight="1">
      <c r="B16" s="21">
        <v>2020</v>
      </c>
      <c r="C16" s="14">
        <v>232.2</v>
      </c>
      <c r="D16" s="15">
        <v>49.1</v>
      </c>
      <c r="E16" s="15">
        <v>-54.3</v>
      </c>
      <c r="F16" s="15">
        <v>286</v>
      </c>
      <c r="G16" s="15">
        <v>1776</v>
      </c>
      <c r="H16" s="15">
        <v>2965</v>
      </c>
      <c r="I16" s="15">
        <v>306.3</v>
      </c>
      <c r="J16" s="15">
        <v>-12.1</v>
      </c>
      <c r="K16" s="15">
        <v>-32</v>
      </c>
      <c r="L16" s="15">
        <v>245</v>
      </c>
      <c r="M16" s="15">
        <v>0</v>
      </c>
      <c r="N16" s="15">
        <f>SUM(C13:C16)/4</f>
        <v>338.625</v>
      </c>
      <c r="O16" s="17"/>
      <c r="P16" s="16">
        <f>C16/C15-1</f>
        <v>-0.400154998708344</v>
      </c>
      <c r="Q16" s="16">
        <f>(E16+D16)/C16</f>
        <v>-0.0223944875107666</v>
      </c>
      <c r="R16" s="16">
        <f>AVERAGE(Q13:Q16)</f>
        <v>0.155419352724998</v>
      </c>
      <c r="S16" s="17"/>
      <c r="T16" s="15">
        <f>SUM(J13:K16)/4</f>
        <v>-10.35</v>
      </c>
      <c r="U16" s="25"/>
      <c r="V16" s="15">
        <f>-(L16+M16)+V15</f>
        <v>-259</v>
      </c>
      <c r="W16" s="17"/>
      <c r="X16" s="15">
        <f>F16-G16</f>
        <v>-1490</v>
      </c>
      <c r="Y16" s="24"/>
      <c r="Z16" s="18">
        <v>3250</v>
      </c>
      <c r="AA16" s="24"/>
      <c r="AB16" s="15">
        <v>16.31</v>
      </c>
    </row>
    <row r="17" ht="20.05" customHeight="1">
      <c r="B17" s="13"/>
      <c r="C17" s="14">
        <v>1.6</v>
      </c>
      <c r="D17" s="15">
        <v>56.6</v>
      </c>
      <c r="E17" s="15">
        <v>-131.2</v>
      </c>
      <c r="F17" s="15">
        <v>190</v>
      </c>
      <c r="G17" s="15">
        <v>1708</v>
      </c>
      <c r="H17" s="15">
        <v>2766</v>
      </c>
      <c r="I17" s="15">
        <v>20.8</v>
      </c>
      <c r="J17" s="15">
        <v>-80.3</v>
      </c>
      <c r="K17" s="15">
        <v>-14.9</v>
      </c>
      <c r="L17" s="15">
        <v>0</v>
      </c>
      <c r="M17" s="15">
        <v>0</v>
      </c>
      <c r="N17" s="15">
        <f>SUM(C14:C17)/4</f>
        <v>241.5</v>
      </c>
      <c r="O17" s="17"/>
      <c r="P17" s="16">
        <f>C17/C16-1</f>
        <v>-0.9931093884582261</v>
      </c>
      <c r="Q17" s="16">
        <f>(E17+D17)/C17</f>
        <v>-46.625</v>
      </c>
      <c r="R17" s="16">
        <f>AVERAGE(Q14:Q17)</f>
        <v>-11.5640195731914</v>
      </c>
      <c r="S17" s="17"/>
      <c r="T17" s="25">
        <f>SUM(J14:K17)/4</f>
        <v>-34.15</v>
      </c>
      <c r="U17" s="25"/>
      <c r="V17" s="15">
        <f>-(L17+M17)+V16</f>
        <v>-259</v>
      </c>
      <c r="W17" s="17"/>
      <c r="X17" s="15">
        <f>F17-G17</f>
        <v>-1518</v>
      </c>
      <c r="Y17" s="24"/>
      <c r="Z17" s="18">
        <v>3300</v>
      </c>
      <c r="AA17" s="24"/>
      <c r="AB17" s="15">
        <v>14.255</v>
      </c>
    </row>
    <row r="18" ht="20.05" customHeight="1">
      <c r="B18" s="13"/>
      <c r="C18" s="14">
        <v>0.7</v>
      </c>
      <c r="D18" s="15">
        <v>-3.2</v>
      </c>
      <c r="E18" s="15">
        <v>-117.5</v>
      </c>
      <c r="F18" s="15">
        <v>115</v>
      </c>
      <c r="G18" s="15">
        <v>1695</v>
      </c>
      <c r="H18" s="15">
        <v>2636</v>
      </c>
      <c r="I18" s="15">
        <v>12.3</v>
      </c>
      <c r="J18" s="15">
        <v>-51.1</v>
      </c>
      <c r="K18" s="15">
        <v>-24.6</v>
      </c>
      <c r="L18" s="15">
        <v>0</v>
      </c>
      <c r="M18" s="15">
        <v>0</v>
      </c>
      <c r="N18" s="15">
        <f>SUM(C15:C18)/4</f>
        <v>155.4</v>
      </c>
      <c r="O18" s="17"/>
      <c r="P18" s="16">
        <f>C18/C17-1</f>
        <v>-0.5625</v>
      </c>
      <c r="Q18" s="16">
        <f>(E18+D18)/C18</f>
        <v>-172.428571428571</v>
      </c>
      <c r="R18" s="16">
        <f>AVERAGE(Q15:Q18)</f>
        <v>-54.7198439719163</v>
      </c>
      <c r="S18" s="17"/>
      <c r="T18" s="25">
        <f>SUM(J15:K18)/4</f>
        <v>-50.075</v>
      </c>
      <c r="U18" s="25"/>
      <c r="V18" s="15">
        <f>-(L18+M18)+V17</f>
        <v>-259</v>
      </c>
      <c r="W18" s="17"/>
      <c r="X18" s="15">
        <f>F18-G18</f>
        <v>-1580</v>
      </c>
      <c r="Y18" s="24"/>
      <c r="Z18" s="18">
        <v>3120</v>
      </c>
      <c r="AA18" s="24"/>
      <c r="AB18" s="15">
        <v>14.79</v>
      </c>
    </row>
    <row r="19" ht="20.05" customHeight="1">
      <c r="B19" s="13"/>
      <c r="C19" s="14">
        <v>21.3</v>
      </c>
      <c r="D19" s="15">
        <v>151.1</v>
      </c>
      <c r="E19" s="15">
        <v>-142.8</v>
      </c>
      <c r="F19" s="15">
        <v>143</v>
      </c>
      <c r="G19" s="15">
        <v>1871</v>
      </c>
      <c r="H19" s="15">
        <v>2403</v>
      </c>
      <c r="I19" s="15">
        <v>43.6</v>
      </c>
      <c r="J19" s="15">
        <v>-5.5</v>
      </c>
      <c r="K19" s="15">
        <v>-45.5</v>
      </c>
      <c r="L19" s="15">
        <v>-8</v>
      </c>
      <c r="M19" s="15">
        <v>0</v>
      </c>
      <c r="N19" s="15">
        <f>SUM(C16:C19)/4</f>
        <v>63.95</v>
      </c>
      <c r="O19" s="17"/>
      <c r="P19" s="16">
        <f>C19/C18-1</f>
        <v>29.4285714285714</v>
      </c>
      <c r="Q19" s="16">
        <f>(E19+D19)/C19</f>
        <v>0.389671361502347</v>
      </c>
      <c r="R19" s="16">
        <f>AVERAGE(Q16:Q19)</f>
        <v>-54.6715736386449</v>
      </c>
      <c r="S19" s="17"/>
      <c r="T19" s="25">
        <f>SUM(J16:K19)/4</f>
        <v>-66.5</v>
      </c>
      <c r="U19" s="25"/>
      <c r="V19" s="15">
        <f>-(L19+M19)+V18</f>
        <v>-251</v>
      </c>
      <c r="W19" s="17"/>
      <c r="X19" s="15">
        <f>F19-G19</f>
        <v>-1728</v>
      </c>
      <c r="Y19" s="24"/>
      <c r="Z19" s="18">
        <v>2990</v>
      </c>
      <c r="AA19" s="24"/>
      <c r="AB19" s="15">
        <v>14.1</v>
      </c>
    </row>
    <row r="20" ht="20.05" customHeight="1">
      <c r="B20" s="21">
        <v>2021</v>
      </c>
      <c r="C20" s="14">
        <v>27.3</v>
      </c>
      <c r="D20" s="15">
        <v>58.4</v>
      </c>
      <c r="E20" s="15">
        <v>-83.3</v>
      </c>
      <c r="F20" s="15">
        <v>78</v>
      </c>
      <c r="G20" s="15">
        <v>1713</v>
      </c>
      <c r="H20" s="15">
        <v>2426</v>
      </c>
      <c r="I20" s="15">
        <v>22.4</v>
      </c>
      <c r="J20" s="15">
        <v>-41.6</v>
      </c>
      <c r="K20" s="15">
        <v>-5.4</v>
      </c>
      <c r="L20" s="15">
        <v>78.5</v>
      </c>
      <c r="M20" s="15">
        <v>0</v>
      </c>
      <c r="N20" s="15">
        <f>SUM(C17:C20)/4</f>
        <v>12.725</v>
      </c>
      <c r="O20" s="15"/>
      <c r="P20" s="16">
        <f>C20/C19-1</f>
        <v>0.28169014084507</v>
      </c>
      <c r="Q20" s="16">
        <f>(E20+D20)/C20</f>
        <v>-0.912087912087912</v>
      </c>
      <c r="R20" s="16">
        <f>AVERAGE(Q17:Q20)</f>
        <v>-54.8939969947891</v>
      </c>
      <c r="S20" s="17"/>
      <c r="T20" s="25">
        <f>SUM(J17:K20)/4</f>
        <v>-67.22499999999999</v>
      </c>
      <c r="U20" s="25"/>
      <c r="V20" s="15">
        <f>-(L20+M20)+V19</f>
        <v>-329.5</v>
      </c>
      <c r="W20" s="17"/>
      <c r="X20" s="15">
        <f>F20-G20</f>
        <v>-1635</v>
      </c>
      <c r="Y20" s="15"/>
      <c r="Z20" s="18">
        <v>4350</v>
      </c>
      <c r="AA20" s="17"/>
      <c r="AB20" s="15">
        <v>14.606</v>
      </c>
    </row>
    <row r="21" ht="20.05" customHeight="1">
      <c r="B21" s="13"/>
      <c r="C21" s="14">
        <v>70.90000000000001</v>
      </c>
      <c r="D21" s="15">
        <v>56.4</v>
      </c>
      <c r="E21" s="15">
        <v>-84.7</v>
      </c>
      <c r="F21" s="15">
        <v>83</v>
      </c>
      <c r="G21" s="15">
        <v>1758</v>
      </c>
      <c r="H21" s="15">
        <v>2386</v>
      </c>
      <c r="I21" s="15">
        <v>80.40000000000001</v>
      </c>
      <c r="J21" s="15">
        <v>-33.5</v>
      </c>
      <c r="K21" s="15">
        <v>4</v>
      </c>
      <c r="L21" s="15">
        <v>24.6</v>
      </c>
      <c r="M21" s="15">
        <v>0</v>
      </c>
      <c r="N21" s="15">
        <f>SUM(C18:C21)/4</f>
        <v>30.05</v>
      </c>
      <c r="O21" s="15"/>
      <c r="P21" s="16">
        <f>C21/C20-1</f>
        <v>1.5970695970696</v>
      </c>
      <c r="Q21" s="16">
        <f>(E21+D21)/C21</f>
        <v>-0.399153737658674</v>
      </c>
      <c r="R21" s="16">
        <f>AVERAGE(Q18:Q21)</f>
        <v>-43.3375354292038</v>
      </c>
      <c r="S21" s="17"/>
      <c r="T21" s="25">
        <f>SUM(J18:K21)/4</f>
        <v>-50.8</v>
      </c>
      <c r="U21" s="25"/>
      <c r="V21" s="15">
        <f>-(L21+M21)+V20</f>
        <v>-354.1</v>
      </c>
      <c r="W21" s="17"/>
      <c r="X21" s="15">
        <f>F21-G21</f>
        <v>-1675</v>
      </c>
      <c r="Y21" s="15"/>
      <c r="Z21" s="18">
        <v>2840</v>
      </c>
      <c r="AA21" s="17"/>
      <c r="AB21" s="15">
        <v>14.45</v>
      </c>
    </row>
    <row r="22" ht="20.05" customHeight="1">
      <c r="B22" s="13"/>
      <c r="C22" s="14">
        <v>6.4</v>
      </c>
      <c r="D22" s="15">
        <v>48.7</v>
      </c>
      <c r="E22" s="15">
        <v>-65.8</v>
      </c>
      <c r="F22" s="15">
        <v>30</v>
      </c>
      <c r="G22" s="15">
        <v>1736</v>
      </c>
      <c r="H22" s="15">
        <v>2299</v>
      </c>
      <c r="I22" s="15">
        <v>8</v>
      </c>
      <c r="J22" s="15">
        <v>-52.2</v>
      </c>
      <c r="K22" s="15">
        <v>-0.4</v>
      </c>
      <c r="L22" s="15">
        <v>0</v>
      </c>
      <c r="M22" s="15">
        <v>0</v>
      </c>
      <c r="N22" s="15">
        <f>SUM(C19:C22)/4</f>
        <v>31.475</v>
      </c>
      <c r="O22" s="15"/>
      <c r="P22" s="16">
        <f>C22/C21-1</f>
        <v>-0.909732016925247</v>
      </c>
      <c r="Q22" s="16">
        <f>(E22+D22)/C22</f>
        <v>-2.671875</v>
      </c>
      <c r="R22" s="16">
        <f>AVERAGE(Q19:Q22)</f>
        <v>-0.89836132206106</v>
      </c>
      <c r="S22" s="17"/>
      <c r="T22" s="25">
        <f>SUM(J19:K22)/4</f>
        <v>-45.025</v>
      </c>
      <c r="U22" s="25"/>
      <c r="V22" s="15">
        <f>-(L22+M22)+V21</f>
        <v>-354.1</v>
      </c>
      <c r="W22" s="17"/>
      <c r="X22" s="15">
        <f>F22-G22</f>
        <v>-1706</v>
      </c>
      <c r="Y22" s="15"/>
      <c r="Z22" s="18">
        <v>3420</v>
      </c>
      <c r="AA22" s="17"/>
      <c r="AB22" s="15">
        <v>14.328</v>
      </c>
    </row>
    <row r="23" ht="20.05" customHeight="1">
      <c r="B23" s="13"/>
      <c r="C23" s="14">
        <v>180.3</v>
      </c>
      <c r="D23" s="15">
        <v>48.8</v>
      </c>
      <c r="E23" s="15">
        <v>-31.3</v>
      </c>
      <c r="F23" s="15">
        <v>143</v>
      </c>
      <c r="G23" s="15">
        <v>1871</v>
      </c>
      <c r="H23" s="15">
        <v>2403</v>
      </c>
      <c r="I23" s="15">
        <v>193.2</v>
      </c>
      <c r="J23" s="15">
        <v>27.3</v>
      </c>
      <c r="K23" s="15">
        <v>-12.2</v>
      </c>
      <c r="L23" s="15">
        <v>95.90000000000001</v>
      </c>
      <c r="M23" s="15">
        <v>0</v>
      </c>
      <c r="N23" s="15">
        <f>SUM(C20:C23)/4</f>
        <v>71.22499999999999</v>
      </c>
      <c r="O23" s="15"/>
      <c r="P23" s="16">
        <f>C23/C22-1</f>
        <v>27.171875</v>
      </c>
      <c r="Q23" s="16">
        <f>(E23+D23)/C23</f>
        <v>0.09706045479755961</v>
      </c>
      <c r="R23" s="16">
        <f>AVERAGE(Q20:Q23)</f>
        <v>-0.971514048737257</v>
      </c>
      <c r="S23" s="17"/>
      <c r="T23" s="25">
        <f>SUM(J20:K23)/4</f>
        <v>-28.5</v>
      </c>
      <c r="U23" s="25"/>
      <c r="V23" s="15">
        <f>-(L23+M23)+V22</f>
        <v>-450</v>
      </c>
      <c r="W23" s="17"/>
      <c r="X23" s="15">
        <f>F23-G23</f>
        <v>-1728</v>
      </c>
      <c r="Y23" s="15"/>
      <c r="Z23" s="15">
        <v>3370</v>
      </c>
      <c r="AA23" s="17"/>
      <c r="AB23" s="15">
        <v>14.275</v>
      </c>
    </row>
    <row r="24" ht="20.05" customHeight="1">
      <c r="B24" s="21">
        <v>2022</v>
      </c>
      <c r="C24" s="14">
        <v>27.3</v>
      </c>
      <c r="D24" s="15">
        <v>46.9</v>
      </c>
      <c r="E24" s="15">
        <v>-50.5</v>
      </c>
      <c r="F24" s="15">
        <v>119</v>
      </c>
      <c r="G24" s="15">
        <v>1860</v>
      </c>
      <c r="H24" s="15">
        <v>2341</v>
      </c>
      <c r="I24" s="15">
        <v>142.7</v>
      </c>
      <c r="J24" s="15">
        <v>-19.2</v>
      </c>
      <c r="K24" s="15">
        <v>-4.5</v>
      </c>
      <c r="L24" s="15">
        <v>0</v>
      </c>
      <c r="M24" s="15">
        <v>0</v>
      </c>
      <c r="N24" s="15">
        <f>SUM(C21:C24)/4</f>
        <v>71.22499999999999</v>
      </c>
      <c r="O24" s="15"/>
      <c r="P24" s="16">
        <f>C24/C23-1</f>
        <v>-0.848585690515807</v>
      </c>
      <c r="Q24" s="16">
        <f>(E24+D24)/C24</f>
        <v>-0.131868131868132</v>
      </c>
      <c r="R24" s="16">
        <f>AVERAGE(Q21:Q24)</f>
        <v>-0.776459103682312</v>
      </c>
      <c r="S24" s="35"/>
      <c r="T24" s="25">
        <f>SUM(J21:K24)/4</f>
        <v>-22.675</v>
      </c>
      <c r="U24" s="17"/>
      <c r="V24" s="15">
        <f>-(L24+M24)+V23</f>
        <v>-450</v>
      </c>
      <c r="W24" s="15"/>
      <c r="X24" s="15">
        <f>F24-G24</f>
        <v>-1741</v>
      </c>
      <c r="Y24" s="17"/>
      <c r="Z24" s="15">
        <v>2740</v>
      </c>
      <c r="AA24" s="15"/>
      <c r="AB24" s="15">
        <v>14.327</v>
      </c>
    </row>
    <row r="25" ht="20.05" customHeight="1">
      <c r="B25" s="13"/>
      <c r="C25" s="14">
        <v>355.4</v>
      </c>
      <c r="D25" s="15">
        <v>44.1</v>
      </c>
      <c r="E25" s="15">
        <v>31.3</v>
      </c>
      <c r="F25" s="15">
        <v>205</v>
      </c>
      <c r="G25" s="15">
        <v>1899</v>
      </c>
      <c r="H25" s="15">
        <v>2412</v>
      </c>
      <c r="I25" s="15">
        <v>348.6</v>
      </c>
      <c r="J25" s="15">
        <v>93.5</v>
      </c>
      <c r="K25" s="15">
        <v>-7.7</v>
      </c>
      <c r="L25" s="15">
        <v>0</v>
      </c>
      <c r="M25" s="15">
        <v>0</v>
      </c>
      <c r="N25" s="15">
        <f>SUM(C22:C25)/4</f>
        <v>142.35</v>
      </c>
      <c r="O25" s="15"/>
      <c r="P25" s="16">
        <f>C25/C24-1</f>
        <v>12.018315018315</v>
      </c>
      <c r="Q25" s="16">
        <f>(E25+D25)/C25</f>
        <v>0.212155317951604</v>
      </c>
      <c r="R25" s="16">
        <f>AVERAGE(Q22:Q25)</f>
        <v>-0.623631839779742</v>
      </c>
      <c r="S25" s="35"/>
      <c r="T25" s="25">
        <f>SUM(J22:K25)/4</f>
        <v>6.15</v>
      </c>
      <c r="U25" s="15">
        <v>2.05181484227865</v>
      </c>
      <c r="V25" s="15">
        <f>-(L25+M25)+V24</f>
        <v>-450</v>
      </c>
      <c r="W25" s="15"/>
      <c r="X25" s="15">
        <f>F25-G25</f>
        <v>-1694</v>
      </c>
      <c r="Y25" s="15">
        <v>-1732.792740630890</v>
      </c>
      <c r="Z25" s="15">
        <v>2500</v>
      </c>
      <c r="AA25" s="15"/>
      <c r="AB25" s="15">
        <v>14.66</v>
      </c>
    </row>
    <row r="26" ht="20.05" customHeight="1">
      <c r="B26" s="13"/>
      <c r="C26" s="14">
        <v>304.8</v>
      </c>
      <c r="D26" s="15">
        <v>47.7</v>
      </c>
      <c r="E26" s="15">
        <v>4.4</v>
      </c>
      <c r="F26" s="15">
        <v>266</v>
      </c>
      <c r="G26" s="15">
        <v>1929</v>
      </c>
      <c r="H26" s="15">
        <v>2446</v>
      </c>
      <c r="I26" s="15">
        <v>286.1</v>
      </c>
      <c r="J26" s="15">
        <v>71.3</v>
      </c>
      <c r="K26" s="15">
        <v>-10.3</v>
      </c>
      <c r="L26" s="15">
        <v>0</v>
      </c>
      <c r="M26" s="15">
        <v>0</v>
      </c>
      <c r="N26" s="15">
        <f>SUM(C23:C26)/4</f>
        <v>216.95</v>
      </c>
      <c r="O26" s="15">
        <v>213.602</v>
      </c>
      <c r="P26" s="16">
        <f>C26/C25-1</f>
        <v>-0.142374788970174</v>
      </c>
      <c r="Q26" s="16">
        <f>(E26+D26)/C26</f>
        <v>0.170931758530184</v>
      </c>
      <c r="R26" s="16">
        <f>AVERAGE(Q23:Q26)</f>
        <v>0.0870698498528039</v>
      </c>
      <c r="S26" s="35">
        <f>S27</f>
        <v>0.191543538240894</v>
      </c>
      <c r="T26" s="25">
        <f>SUM(J23:K26)/4</f>
        <v>34.55</v>
      </c>
      <c r="U26" s="15">
        <v>77.88872352</v>
      </c>
      <c r="V26" s="15">
        <f>-(L26+M26)+V25</f>
        <v>-450</v>
      </c>
      <c r="W26" s="15">
        <f>W27</f>
        <v>-229.049492501453</v>
      </c>
      <c r="X26" s="15">
        <f>F26-G26</f>
        <v>-1663</v>
      </c>
      <c r="Y26" s="15">
        <v>-1382.44510592</v>
      </c>
      <c r="Z26" s="15">
        <v>2220</v>
      </c>
      <c r="AA26" s="15">
        <v>3208.462394491310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327.53716179</v>
      </c>
      <c r="P27" s="17"/>
      <c r="Q27" s="17"/>
      <c r="R27" s="17"/>
      <c r="S27" s="35">
        <f>AE53</f>
        <v>0.191543538240894</v>
      </c>
      <c r="T27" s="25"/>
      <c r="U27" s="15">
        <f>SUM(AE55:AH55)/4</f>
        <v>55.2376268746368</v>
      </c>
      <c r="V27" s="17"/>
      <c r="W27" s="15">
        <f>-SUM(AE76:AH76)+V26</f>
        <v>-229.049492501453</v>
      </c>
      <c r="X27" s="26"/>
      <c r="Y27" s="15">
        <f>AH75</f>
        <v>-1442.049492501450</v>
      </c>
      <c r="Z27" s="15">
        <v>3190</v>
      </c>
      <c r="AA27" s="15">
        <v>2308.151365572990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216.95</v>
      </c>
      <c r="O28" s="15">
        <f>SUM(O26)</f>
        <v>213.602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2781.042015315760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245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9.54980738470725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27.171875</v>
      </c>
      <c r="AF50" s="35">
        <f>P24</f>
        <v>-0.848585690515807</v>
      </c>
      <c r="AG50" s="35">
        <f>P25</f>
        <v>12.018315018315</v>
      </c>
      <c r="AH50" s="35">
        <f>P26</f>
        <v>-0.142374788970174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-0.03</v>
      </c>
      <c r="AG51" s="35">
        <v>0.05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304.8</v>
      </c>
      <c r="AE52" s="23">
        <f>C26*(1+AE51)</f>
        <v>326.136</v>
      </c>
      <c r="AF52" s="23">
        <f>AE52*(1+AF51)</f>
        <v>316.35192</v>
      </c>
      <c r="AG52" s="23">
        <f>AF52*(1+AG51)</f>
        <v>332.169516</v>
      </c>
      <c r="AH52" s="23">
        <f>AG52*(1+AH51)</f>
        <v>335.49121116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AVERAGE(Q25:Q26)</f>
        <v>0.191543538240894</v>
      </c>
      <c r="AF53" s="35">
        <f>AE53</f>
        <v>0.191543538240894</v>
      </c>
      <c r="AG53" s="35">
        <f>AF53</f>
        <v>0.191543538240894</v>
      </c>
      <c r="AH53" s="35">
        <f>AG53</f>
        <v>0.191543538240894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-7.5</v>
      </c>
      <c r="AF54" s="15">
        <f>AE54</f>
        <v>-7.5</v>
      </c>
      <c r="AG54" s="15">
        <f>AF54</f>
        <v>-7.5</v>
      </c>
      <c r="AH54" s="15">
        <f>AG54</f>
        <v>-7.5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54.9692433877322</v>
      </c>
      <c r="AF55" s="15">
        <f>(AF52*AF53)+AF54</f>
        <v>53.0951660861002</v>
      </c>
      <c r="AG55" s="15">
        <f>(AG52*AG53)+AG54</f>
        <v>56.1249243904053</v>
      </c>
      <c r="AH55" s="15">
        <f>(AH52*AH53)+AH54</f>
        <v>56.7611736343093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-96.45</v>
      </c>
      <c r="AF56" s="15">
        <f>-AE71/20</f>
        <v>-91.6275</v>
      </c>
      <c r="AG56" s="15">
        <f>-AF71/20</f>
        <v>-87.046125</v>
      </c>
      <c r="AH56" s="15">
        <f>-AG71/20</f>
        <v>-82.69381875000001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-41.4807566122678</v>
      </c>
      <c r="AF59" s="15">
        <f>AF55+AF56+AF58</f>
        <v>-38.5323339138998</v>
      </c>
      <c r="AG59" s="15">
        <f>AG55+AG56+AG58</f>
        <v>-30.9212006095947</v>
      </c>
      <c r="AH59" s="15">
        <f>AH55+AH56+AH58</f>
        <v>-25.9326451156907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41.4807566122678</v>
      </c>
      <c r="AF60" s="15">
        <f>-MIN(AE72,AF59)</f>
        <v>38.5323339138998</v>
      </c>
      <c r="AG60" s="15">
        <f>-MIN(AF72,AG59)</f>
        <v>30.9212006095947</v>
      </c>
      <c r="AH60" s="15">
        <f>-MIN(AG72,AH59)</f>
        <v>25.9326451156907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266</v>
      </c>
      <c r="AF61" s="15">
        <f>AE63</f>
        <v>266</v>
      </c>
      <c r="AG61" s="15">
        <f>AF63</f>
        <v>266</v>
      </c>
      <c r="AH61" s="15">
        <f>AG63</f>
        <v>266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266</v>
      </c>
      <c r="AF63" s="15">
        <f>AF61+AF62</f>
        <v>266</v>
      </c>
      <c r="AG63" s="15">
        <f>AG61+AG62</f>
        <v>266</v>
      </c>
      <c r="AH63" s="15">
        <f>AH61+AH62</f>
        <v>266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-46.2333333333333</v>
      </c>
      <c r="AF65" s="15">
        <f>AE65</f>
        <v>-46.2333333333333</v>
      </c>
      <c r="AG65" s="15">
        <f>AF65</f>
        <v>-46.2333333333333</v>
      </c>
      <c r="AH65" s="15">
        <f>AG65</f>
        <v>-46.2333333333333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16.2359100543989</v>
      </c>
      <c r="AF66" s="15">
        <f>(AF52*AF53)+AF65</f>
        <v>14.3618327527669</v>
      </c>
      <c r="AG66" s="15">
        <f>(AG52*AG53)+AG65</f>
        <v>17.391591057072</v>
      </c>
      <c r="AH66" s="15">
        <f>(AH52*AH53)+AH65</f>
        <v>18.027840300976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2187.5</v>
      </c>
      <c r="AF68" s="15">
        <f>AE68-AF54</f>
        <v>2195</v>
      </c>
      <c r="AG68" s="15">
        <f>AF68-AG54</f>
        <v>2202.5</v>
      </c>
      <c r="AH68" s="15">
        <f>AG68-AH54</f>
        <v>2210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46.2333333333333</v>
      </c>
      <c r="AF69" s="15">
        <f>AE69-AF65</f>
        <v>92.4666666666666</v>
      </c>
      <c r="AG69" s="15">
        <f>AF69-AG65</f>
        <v>138.7</v>
      </c>
      <c r="AH69" s="15">
        <f>AG69-AH65</f>
        <v>184.933333333333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2141.266666666670</v>
      </c>
      <c r="AF70" s="15">
        <f>AF68-AF69</f>
        <v>2102.533333333330</v>
      </c>
      <c r="AG70" s="15">
        <f>AG68-AG69</f>
        <v>2063.8</v>
      </c>
      <c r="AH70" s="15">
        <f>AH68-AH69</f>
        <v>2025.066666666670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1832.55</v>
      </c>
      <c r="AF71" s="15">
        <f>AE71+AF56</f>
        <v>1740.9225</v>
      </c>
      <c r="AG71" s="15">
        <f>AF71+AG56</f>
        <v>1653.876375</v>
      </c>
      <c r="AH71" s="15">
        <f>AG71+AH56</f>
        <v>1571.18255625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41.4807566122678</v>
      </c>
      <c r="AF72" s="15">
        <f>AE72+AF60</f>
        <v>80.0130905261676</v>
      </c>
      <c r="AG72" s="15">
        <f>AF72+AG60</f>
        <v>110.934291135762</v>
      </c>
      <c r="AH72" s="15">
        <f>AG72+AH60</f>
        <v>136.866936251453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533.235910054399</v>
      </c>
      <c r="AF73" s="15">
        <f>AE73+AF66+AF58</f>
        <v>547.597742807166</v>
      </c>
      <c r="AG73" s="15">
        <f>AF73+AG66+AG58</f>
        <v>564.989333864238</v>
      </c>
      <c r="AH73" s="15">
        <f>AG73+AH66+AH58</f>
        <v>583.017174165214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-3.2e-12</v>
      </c>
      <c r="AF74" s="15">
        <f>AF71+AF72+AF73-AF63-AF70</f>
        <v>3.6e-12</v>
      </c>
      <c r="AG74" s="15">
        <f>AG71+AG72+AG73-AG63-AG70</f>
        <v>0</v>
      </c>
      <c r="AH74" s="15">
        <f>AH71+AH72+AH73-AH63-AH70</f>
        <v>-3e-12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-1608.030756612270</v>
      </c>
      <c r="AF75" s="15">
        <f>AF63-AF71-AF72</f>
        <v>-1554.935590526170</v>
      </c>
      <c r="AG75" s="15">
        <f>AG63-AG71-AG72</f>
        <v>-1498.810666135760</v>
      </c>
      <c r="AH75" s="15">
        <f>AH63-AH71-AH72</f>
        <v>-1442.049492501450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-54.9692433877322</v>
      </c>
      <c r="AF76" s="15">
        <f>AF56+AF58+AF60</f>
        <v>-53.0951660861002</v>
      </c>
      <c r="AG76" s="15">
        <f>AG56+AG58+AG60</f>
        <v>-56.1249243904053</v>
      </c>
      <c r="AH76" s="15">
        <f>AH56+AH58+AH60</f>
        <v>-56.7611736343093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497</v>
      </c>
      <c r="AD78" s="14"/>
      <c r="AE78" s="15"/>
      <c r="AF78" s="15"/>
      <c r="AG78" s="15"/>
      <c r="AH78" s="15">
        <v>3190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497</v>
      </c>
      <c r="AD79" s="14"/>
      <c r="AE79" s="15"/>
      <c r="AF79" s="15"/>
      <c r="AG79" s="15"/>
      <c r="AH79" s="15">
        <v>2787859106560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2787.85910656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0.873937024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1.21683892796368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220.950507498547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9.16525012589069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12.6175727683193</v>
      </c>
      <c r="AH86" s="15">
        <v>11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2430.455582484020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2781.042015315760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-0.128199995198821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46.625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-0.0154321272182531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497</v>
      </c>
      <c r="AF94" t="s" s="44">
        <v>60</v>
      </c>
      <c r="AG94" s="15">
        <f>AH78</f>
        <v>3190</v>
      </c>
      <c r="AH94" t="s" s="44">
        <v>61</v>
      </c>
      <c r="AI94" s="15">
        <f>AH88</f>
        <v>2781.042015315760</v>
      </c>
      <c r="AJ94" t="s" s="44">
        <f>IF(AK94&gt;0,"+","")</f>
      </c>
      <c r="AK94" s="16">
        <f>AI94/AG94-1</f>
        <v>-0.128199995198821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46.625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0.0495720890897273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-0.0343991558878788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-0.596515080725156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-0.142374788970174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-0.909732016925247</v>
      </c>
      <c r="AF103" s="16">
        <f>P23</f>
        <v>27.171875</v>
      </c>
      <c r="AG103" s="16">
        <f>P24</f>
        <v>-0.848585690515807</v>
      </c>
      <c r="AH103" s="16">
        <f>P25</f>
        <v>12.018315018315</v>
      </c>
      <c r="AI103" s="16">
        <f>P26</f>
        <v>-0.142374788970174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6.4</v>
      </c>
      <c r="AF104" t="s" s="44">
        <v>72</v>
      </c>
      <c r="AG104" s="15">
        <f>C23</f>
        <v>180.3</v>
      </c>
      <c r="AH104" t="s" s="44">
        <v>72</v>
      </c>
      <c r="AI104" s="15">
        <f>C24</f>
        <v>27.3</v>
      </c>
      <c r="AJ104" t="s" s="44">
        <v>72</v>
      </c>
      <c r="AK104" s="15">
        <f>C25</f>
        <v>355.4</v>
      </c>
      <c r="AL104" t="s" s="44">
        <v>72</v>
      </c>
      <c r="AM104" s="15">
        <f>C26</f>
        <v>304.8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-0.142374788970174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304.8</v>
      </c>
      <c r="AM105" t="s" s="44">
        <v>372</v>
      </c>
      <c r="AN105" t="s" s="44">
        <v>373</v>
      </c>
      <c r="AO105" s="16">
        <f>AH91</f>
        <v>-0.0154321272182531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9.54980738470725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335.49121116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-2.671875</v>
      </c>
      <c r="AF110" s="16">
        <f>(D23+E23)/C23</f>
        <v>0.09706045479755961</v>
      </c>
      <c r="AG110" s="16">
        <f>((E24+D24)/C24)</f>
        <v>-0.131868131868132</v>
      </c>
      <c r="AH110" s="16">
        <f>(D25+E25)/C25</f>
        <v>0.212155317951604</v>
      </c>
      <c r="AI110" s="16">
        <f>(D26+E26)/C26</f>
        <v>0.170931758530184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-65.8</v>
      </c>
      <c r="AF111" t="s" s="44">
        <v>72</v>
      </c>
      <c r="AG111" s="15">
        <f>E23</f>
        <v>-31.3</v>
      </c>
      <c r="AH111" t="s" s="44">
        <v>72</v>
      </c>
      <c r="AI111" s="15">
        <f>E24</f>
        <v>-50.5</v>
      </c>
      <c r="AJ111" t="s" s="44">
        <v>72</v>
      </c>
      <c r="AK111" s="15">
        <f>E25</f>
        <v>31.3</v>
      </c>
      <c r="AL111" t="s" s="44">
        <v>72</v>
      </c>
      <c r="AM111" s="15">
        <f>E26</f>
        <v>4.4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0.212155317951604</v>
      </c>
      <c r="AG112" t="s" s="44">
        <v>76</v>
      </c>
      <c r="AH112" s="16">
        <f>AI110</f>
        <v>0.170931758530184</v>
      </c>
      <c r="AI112" t="s" s="44">
        <v>90</v>
      </c>
      <c r="AJ112" s="15">
        <f>AK111</f>
        <v>31.3</v>
      </c>
      <c r="AK112" t="s" s="44">
        <v>76</v>
      </c>
      <c r="AL112" s="15">
        <f>AM111</f>
        <v>4.4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0.0870698498528039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0.191543538240894</v>
      </c>
      <c r="AG114" t="s" s="44">
        <v>94</v>
      </c>
      <c r="AH114" s="15">
        <f>AH66</f>
        <v>18.027840300976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-52.2</v>
      </c>
      <c r="AF117" t="s" s="44">
        <v>72</v>
      </c>
      <c r="AG117" s="15">
        <f>J23</f>
        <v>27.3</v>
      </c>
      <c r="AH117" t="s" s="44">
        <v>72</v>
      </c>
      <c r="AI117" s="15">
        <f>J24</f>
        <v>-19.2</v>
      </c>
      <c r="AJ117" t="s" s="44">
        <v>72</v>
      </c>
      <c r="AK117" s="15">
        <f>J25</f>
        <v>93.5</v>
      </c>
      <c r="AL117" t="s" s="44">
        <v>72</v>
      </c>
      <c r="AM117" s="15">
        <f>J26</f>
        <v>71.3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-0.4</v>
      </c>
      <c r="AF118" t="s" s="44">
        <v>72</v>
      </c>
      <c r="AG118" s="15">
        <f>K23</f>
        <v>-12.2</v>
      </c>
      <c r="AH118" t="s" s="44">
        <v>72</v>
      </c>
      <c r="AI118" s="15">
        <f>K24</f>
        <v>-4.5</v>
      </c>
      <c r="AJ118" t="s" s="44">
        <v>72</v>
      </c>
      <c r="AK118" s="15">
        <f>K25</f>
        <v>-7.7</v>
      </c>
      <c r="AL118" t="s" s="44">
        <v>72</v>
      </c>
      <c r="AM118" s="15">
        <f>K26</f>
        <v>-10.3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85.8</v>
      </c>
      <c r="AG119" t="s" s="44">
        <v>76</v>
      </c>
      <c r="AH119" s="15">
        <f>AM117+AM118</f>
        <v>61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-10.3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34.55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-7.5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55.2376268746368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30</v>
      </c>
      <c r="AF124" t="s" s="44">
        <v>72</v>
      </c>
      <c r="AG124" s="15">
        <f>F23</f>
        <v>143</v>
      </c>
      <c r="AH124" t="s" s="44">
        <v>72</v>
      </c>
      <c r="AI124" s="15">
        <f>F24</f>
        <v>119</v>
      </c>
      <c r="AJ124" t="s" s="44">
        <v>72</v>
      </c>
      <c r="AK124" s="15">
        <f>F25</f>
        <v>205</v>
      </c>
      <c r="AL124" t="s" s="44">
        <v>72</v>
      </c>
      <c r="AM124" s="15">
        <f>F26</f>
        <v>266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1736</v>
      </c>
      <c r="AF125" t="s" s="44">
        <v>72</v>
      </c>
      <c r="AG125" s="15">
        <f>G23</f>
        <v>1871</v>
      </c>
      <c r="AH125" t="s" s="44">
        <v>72</v>
      </c>
      <c r="AI125" s="15">
        <f>G24</f>
        <v>1860</v>
      </c>
      <c r="AJ125" t="s" s="44">
        <v>72</v>
      </c>
      <c r="AK125" s="15">
        <f>G25</f>
        <v>1899</v>
      </c>
      <c r="AL125" t="s" s="44">
        <v>72</v>
      </c>
      <c r="AM125" s="15">
        <f>G26</f>
        <v>1929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205</v>
      </c>
      <c r="AH126" t="s" s="44">
        <v>76</v>
      </c>
      <c r="AI126" s="15">
        <f>AM124</f>
        <v>266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1899</v>
      </c>
      <c r="AH127" t="s" s="44">
        <v>76</v>
      </c>
      <c r="AI127" s="15">
        <f>AM125</f>
        <v>1929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-1694</v>
      </c>
      <c r="AO127" t="s" s="44">
        <v>76</v>
      </c>
      <c r="AP127" s="15">
        <f>AI126-AI127</f>
        <v>-1663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-220.950507498547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-1442.049492501450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-95.90000000000001</v>
      </c>
      <c r="AH131" t="s" s="44">
        <v>72</v>
      </c>
      <c r="AI131" s="15">
        <f>-L24</f>
        <v>0</v>
      </c>
      <c r="AJ131" t="s" s="44">
        <v>72</v>
      </c>
      <c r="AK131" s="15">
        <f>-L25</f>
        <v>0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497</v>
      </c>
      <c r="AF133" t="s" s="44">
        <f>IF(AG133&gt;0,"paid","(raised)")</f>
        <v>121</v>
      </c>
      <c r="AG133" s="15">
        <f>SUM(AM131:AM132)</f>
        <v>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220.950507498547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2787.85910656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1.21683892796368</v>
      </c>
      <c r="AK134" t="s" s="44">
        <v>130</v>
      </c>
      <c r="AL134" t="s" s="44">
        <v>131</v>
      </c>
      <c r="AM134" t="s" s="44">
        <v>132</v>
      </c>
      <c r="AN134" s="15">
        <f>AH85</f>
        <v>9.16525012589069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220.950507498547</v>
      </c>
      <c r="AG135" t="s" s="44">
        <f>AG134</f>
        <v>372</v>
      </c>
      <c r="AH135" t="s" s="44">
        <v>136</v>
      </c>
      <c r="AI135" s="15">
        <f>AF134/AF135</f>
        <v>12.6175727683193</v>
      </c>
      <c r="AJ135" t="s" s="44">
        <v>130</v>
      </c>
      <c r="AK135" t="s" s="44">
        <v>137</v>
      </c>
      <c r="AL135" t="s" s="44">
        <v>138</v>
      </c>
      <c r="AM135" s="15">
        <f>AH86</f>
        <v>11</v>
      </c>
      <c r="AN135" t="s" s="44">
        <v>139</v>
      </c>
      <c r="AO135" t="s" s="44">
        <v>140</v>
      </c>
      <c r="AP135" t="s" s="44">
        <v>141</v>
      </c>
      <c r="AQ135" s="16">
        <f>AK94</f>
        <v>-0.128199995198821</v>
      </c>
      <c r="AR135" t="s" s="44">
        <f>IF(AQ135&gt;0,"higher","lower")</f>
        <v>104</v>
      </c>
      <c r="AS135" t="s" s="44">
        <v>142</v>
      </c>
      <c r="AT135" s="15">
        <f>AI94</f>
        <v>2781.042015315760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6.4</v>
      </c>
      <c r="AE137" s="15">
        <f>AG104</f>
        <v>180.3</v>
      </c>
      <c r="AF137" s="15">
        <f>AI104</f>
        <v>27.3</v>
      </c>
      <c r="AG137" s="15">
        <f>AK104</f>
        <v>355.4</v>
      </c>
      <c r="AH137" s="15">
        <f>AM104</f>
        <v>304.8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-52.6</v>
      </c>
      <c r="AE138" s="15">
        <f>SUM(AG117:AG118)</f>
        <v>15.1</v>
      </c>
      <c r="AF138" s="15">
        <f>SUM(AI117:AI118)</f>
        <v>-23.7</v>
      </c>
      <c r="AG138" s="15">
        <f>SUM(AK117:AK118)</f>
        <v>85.8</v>
      </c>
      <c r="AH138" s="15">
        <f>SUM(AM117:AM118)</f>
        <v>61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0</v>
      </c>
      <c r="AE139" s="15">
        <f>SUM(AG131:AG132)</f>
        <v>-95.90000000000001</v>
      </c>
      <c r="AF139" s="15">
        <f>SUM(AI131:AI132)</f>
        <v>0</v>
      </c>
      <c r="AG139" s="15">
        <f>SUM(AK131:AK132)</f>
        <v>0</v>
      </c>
      <c r="AH139" s="15">
        <f>SUM(AM131:AM132)</f>
        <v>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-1706</v>
      </c>
      <c r="AE140" s="15">
        <f>(AG124-AG125)</f>
        <v>-1728</v>
      </c>
      <c r="AF140" s="15">
        <f>(AI124-AI125)</f>
        <v>-1741</v>
      </c>
      <c r="AG140" s="15">
        <f>(AK124-AK125)</f>
        <v>-1694</v>
      </c>
      <c r="AH140" s="15">
        <f>(AM124-AM125)</f>
        <v>-1663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2781.042015315760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W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26" customWidth="1"/>
    <col min="2" max="29" width="10.4844" style="126" customWidth="1"/>
    <col min="30" max="30" width="18.9766" style="130" customWidth="1"/>
    <col min="31" max="49" width="9" style="130" customWidth="1"/>
    <col min="50" max="16384" width="16.3516" style="130" customWidth="1"/>
  </cols>
  <sheetData>
    <row r="1" ht="11.65" customHeight="1"/>
    <row r="2" ht="27.65" customHeight="1">
      <c r="B2" t="s" s="2">
        <v>498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307</v>
      </c>
      <c r="AA3" t="s" s="3">
        <v>19</v>
      </c>
      <c r="AB3" t="s" s="3">
        <v>20</v>
      </c>
      <c r="AC3" t="s" s="3">
        <v>499</v>
      </c>
    </row>
    <row r="4" ht="20.25" customHeight="1">
      <c r="B4" s="6">
        <v>2017</v>
      </c>
      <c r="C4" s="87">
        <v>24437</v>
      </c>
      <c r="D4" s="88">
        <v>5856</v>
      </c>
      <c r="E4" s="88">
        <v>4277</v>
      </c>
      <c r="F4" s="8">
        <v>177905</v>
      </c>
      <c r="G4" s="8">
        <v>882482</v>
      </c>
      <c r="H4" s="8">
        <v>1034307</v>
      </c>
      <c r="I4" s="8">
        <v>32448</v>
      </c>
      <c r="J4" s="8">
        <v>-930</v>
      </c>
      <c r="K4" s="8">
        <v>-3379</v>
      </c>
      <c r="L4" s="8">
        <v>1728.75</v>
      </c>
      <c r="M4" s="8">
        <v>-1553.25</v>
      </c>
      <c r="N4" s="59"/>
      <c r="O4" s="8"/>
      <c r="P4" s="9"/>
      <c r="Q4" s="9"/>
      <c r="R4" s="9"/>
      <c r="S4" s="9"/>
      <c r="T4" s="9"/>
      <c r="U4" s="9"/>
      <c r="V4" s="8">
        <f>-(L4+M4)</f>
        <v>-175.5</v>
      </c>
      <c r="W4" s="9"/>
      <c r="X4" s="8">
        <f>F4-G4</f>
        <v>-704577</v>
      </c>
      <c r="Y4" s="9"/>
      <c r="Z4" s="8"/>
      <c r="AA4" s="11"/>
      <c r="AB4" s="12">
        <v>13.3</v>
      </c>
      <c r="AC4" s="127">
        <f>H4/G4</f>
        <v>1.17204316915246</v>
      </c>
    </row>
    <row r="5" ht="20.05" customHeight="1">
      <c r="B5" s="13"/>
      <c r="C5" s="38">
        <v>24864</v>
      </c>
      <c r="D5" s="23">
        <v>4392</v>
      </c>
      <c r="E5" s="23">
        <v>5580</v>
      </c>
      <c r="F5" s="15">
        <v>190077</v>
      </c>
      <c r="G5" s="15">
        <v>909966</v>
      </c>
      <c r="H5" s="15">
        <v>1067411</v>
      </c>
      <c r="I5" s="15">
        <v>35715</v>
      </c>
      <c r="J5" s="15">
        <v>-6989</v>
      </c>
      <c r="K5" s="15">
        <v>4830</v>
      </c>
      <c r="L5" s="15">
        <v>1728.75</v>
      </c>
      <c r="M5" s="15">
        <v>-1553.25</v>
      </c>
      <c r="N5" s="26"/>
      <c r="O5" s="15"/>
      <c r="P5" s="16"/>
      <c r="Q5" s="17"/>
      <c r="R5" s="17"/>
      <c r="S5" s="17"/>
      <c r="T5" s="17"/>
      <c r="U5" s="17"/>
      <c r="V5" s="15">
        <f>-(L5+M5)+V4</f>
        <v>-351</v>
      </c>
      <c r="W5" s="17"/>
      <c r="X5" s="15">
        <f>F5-G5</f>
        <v>-719889</v>
      </c>
      <c r="Y5" s="17"/>
      <c r="Z5" s="15"/>
      <c r="AA5" s="19"/>
      <c r="AB5" s="20">
        <v>13.327</v>
      </c>
      <c r="AC5" s="128">
        <f>H5/G5</f>
        <v>1.17302294811015</v>
      </c>
    </row>
    <row r="6" ht="20.05" customHeight="1">
      <c r="B6" s="13"/>
      <c r="C6" s="38">
        <v>25921</v>
      </c>
      <c r="D6" s="23">
        <v>3222</v>
      </c>
      <c r="E6" s="23">
        <v>5771</v>
      </c>
      <c r="F6" s="15">
        <v>187426</v>
      </c>
      <c r="G6" s="15">
        <v>914812</v>
      </c>
      <c r="H6" s="15">
        <v>1078703</v>
      </c>
      <c r="I6" s="15">
        <v>40645</v>
      </c>
      <c r="J6" s="15">
        <v>11662</v>
      </c>
      <c r="K6" s="15">
        <v>-5258</v>
      </c>
      <c r="L6" s="15">
        <v>1728.75</v>
      </c>
      <c r="M6" s="15">
        <v>-1553.25</v>
      </c>
      <c r="N6" s="26"/>
      <c r="O6" s="15"/>
      <c r="P6" s="16"/>
      <c r="Q6" s="17"/>
      <c r="R6" s="17"/>
      <c r="S6" s="17"/>
      <c r="T6" s="17"/>
      <c r="U6" s="17"/>
      <c r="V6" s="15">
        <f>-(L6+M6)+V5</f>
        <v>-526.5</v>
      </c>
      <c r="W6" s="17"/>
      <c r="X6" s="15">
        <f>F6-G6</f>
        <v>-727386</v>
      </c>
      <c r="Y6" s="17"/>
      <c r="Z6" s="15"/>
      <c r="AA6" s="19"/>
      <c r="AB6" s="20">
        <v>13.305</v>
      </c>
      <c r="AC6" s="128">
        <f>H6/G6</f>
        <v>1.1791526565021</v>
      </c>
    </row>
    <row r="7" ht="20.05" customHeight="1">
      <c r="B7" s="13"/>
      <c r="C7" s="38">
        <v>24893</v>
      </c>
      <c r="D7" s="23">
        <v>4140</v>
      </c>
      <c r="E7" s="23">
        <v>5815</v>
      </c>
      <c r="F7" s="15">
        <v>184628</v>
      </c>
      <c r="G7" s="15">
        <v>954695</v>
      </c>
      <c r="H7" s="15">
        <v>1124701</v>
      </c>
      <c r="I7" s="15">
        <v>38839</v>
      </c>
      <c r="J7" s="15">
        <v>1238</v>
      </c>
      <c r="K7" s="15">
        <v>-1469</v>
      </c>
      <c r="L7" s="15">
        <v>1728.75</v>
      </c>
      <c r="M7" s="15">
        <v>-1553.25</v>
      </c>
      <c r="N7" s="26"/>
      <c r="O7" s="15"/>
      <c r="P7" s="16"/>
      <c r="Q7" s="17"/>
      <c r="R7" s="17"/>
      <c r="S7" s="17"/>
      <c r="T7" s="17"/>
      <c r="U7" s="17"/>
      <c r="V7" s="15">
        <f>-(L7+M7)+V6</f>
        <v>-702</v>
      </c>
      <c r="W7" s="17"/>
      <c r="X7" s="15">
        <f>F7-G7</f>
        <v>-770067</v>
      </c>
      <c r="Y7" s="17"/>
      <c r="Z7" s="15"/>
      <c r="AA7" s="19"/>
      <c r="AB7" s="20">
        <v>13.557</v>
      </c>
      <c r="AC7" s="128">
        <f>H7/G7</f>
        <v>1.17807362560818</v>
      </c>
    </row>
    <row r="8" ht="20.05" customHeight="1">
      <c r="B8" s="21">
        <v>2018</v>
      </c>
      <c r="C8" s="38">
        <v>24656</v>
      </c>
      <c r="D8" s="23">
        <v>4293</v>
      </c>
      <c r="E8" s="23">
        <v>6076</v>
      </c>
      <c r="F8" s="15">
        <v>173857</v>
      </c>
      <c r="G8" s="15">
        <v>932959</v>
      </c>
      <c r="H8" s="15">
        <v>1098158</v>
      </c>
      <c r="I8" s="15">
        <v>43694</v>
      </c>
      <c r="J8" s="15">
        <v>-10929</v>
      </c>
      <c r="K8" s="15">
        <v>-4917</v>
      </c>
      <c r="L8" s="15">
        <v>6609.75</v>
      </c>
      <c r="M8" s="15">
        <v>-2322</v>
      </c>
      <c r="N8" s="15">
        <f>SUM(C5:C8)/4</f>
        <v>25083.5</v>
      </c>
      <c r="O8" s="15"/>
      <c r="P8" s="16"/>
      <c r="Q8" s="16"/>
      <c r="R8" s="16"/>
      <c r="S8" s="17"/>
      <c r="T8" s="15">
        <f>SUM(J5:K8)/4</f>
        <v>-2958</v>
      </c>
      <c r="U8" s="17"/>
      <c r="V8" s="15">
        <f>-(L8+M8)+V7</f>
        <v>-4989.75</v>
      </c>
      <c r="W8" s="17"/>
      <c r="X8" s="15">
        <f>F8-G8</f>
        <v>-759102</v>
      </c>
      <c r="Y8" s="24"/>
      <c r="Z8" s="15">
        <v>7675</v>
      </c>
      <c r="AA8" s="22"/>
      <c r="AB8" s="20">
        <v>13.761</v>
      </c>
      <c r="AC8" s="128">
        <f>H8/G8</f>
        <v>1.17706994626774</v>
      </c>
    </row>
    <row r="9" ht="20.05" customHeight="1">
      <c r="B9" s="13"/>
      <c r="C9" s="38">
        <v>26412</v>
      </c>
      <c r="D9" s="23">
        <v>4398</v>
      </c>
      <c r="E9" s="23">
        <v>6503</v>
      </c>
      <c r="F9" s="15">
        <v>175697</v>
      </c>
      <c r="G9" s="15">
        <v>985506</v>
      </c>
      <c r="H9" s="15">
        <v>1155548</v>
      </c>
      <c r="I9" s="15">
        <v>36598</v>
      </c>
      <c r="J9" s="15">
        <v>-16454</v>
      </c>
      <c r="K9" s="15">
        <v>173</v>
      </c>
      <c r="L9" s="15">
        <v>6609.75</v>
      </c>
      <c r="M9" s="15">
        <v>-2322</v>
      </c>
      <c r="N9" s="15">
        <f>SUM(C6:C9)/4</f>
        <v>25470.5</v>
      </c>
      <c r="O9" s="15"/>
      <c r="P9" s="16"/>
      <c r="Q9" s="16">
        <f>(E9+D9)/C9</f>
        <v>0.412729062547327</v>
      </c>
      <c r="R9" s="16"/>
      <c r="S9" s="17"/>
      <c r="T9" s="15">
        <f>SUM(J6:K9)/4</f>
        <v>-6488.5</v>
      </c>
      <c r="U9" s="17"/>
      <c r="V9" s="15">
        <f>-(L9+M9)+V8</f>
        <v>-9277.5</v>
      </c>
      <c r="W9" s="17"/>
      <c r="X9" s="15">
        <f>F9-G9</f>
        <v>-809809</v>
      </c>
      <c r="Y9" s="24"/>
      <c r="Z9" s="15">
        <v>6850</v>
      </c>
      <c r="AA9" s="22"/>
      <c r="AB9" s="20">
        <v>14</v>
      </c>
      <c r="AC9" s="128">
        <f>H9/G9</f>
        <v>1.172542835863</v>
      </c>
    </row>
    <row r="10" ht="20.05" customHeight="1">
      <c r="B10" s="13"/>
      <c r="C10" s="38">
        <v>26575</v>
      </c>
      <c r="D10" s="23">
        <v>3771</v>
      </c>
      <c r="E10" s="23">
        <v>6121</v>
      </c>
      <c r="F10" s="15">
        <v>173802</v>
      </c>
      <c r="G10" s="15">
        <v>997368</v>
      </c>
      <c r="H10" s="15">
        <v>1173645</v>
      </c>
      <c r="I10" s="15">
        <v>35813</v>
      </c>
      <c r="J10" s="15">
        <v>20923</v>
      </c>
      <c r="K10" s="15">
        <v>-3593</v>
      </c>
      <c r="L10" s="15">
        <v>6609.75</v>
      </c>
      <c r="M10" s="15">
        <v>-2322</v>
      </c>
      <c r="N10" s="15">
        <f>SUM(C7:C10)/4</f>
        <v>25634</v>
      </c>
      <c r="O10" s="15"/>
      <c r="P10" s="16">
        <f>C10/C9-1</f>
        <v>0.00617143722550356</v>
      </c>
      <c r="Q10" s="16">
        <f>(E10+D10)/C10</f>
        <v>0.372229539040452</v>
      </c>
      <c r="R10" s="16"/>
      <c r="S10" s="17"/>
      <c r="T10" s="15">
        <f>SUM(J7:K10)/4</f>
        <v>-3757</v>
      </c>
      <c r="U10" s="17"/>
      <c r="V10" s="15">
        <f>-(L10+M10)+V9</f>
        <v>-13565.25</v>
      </c>
      <c r="W10" s="17"/>
      <c r="X10" s="15">
        <f>F10-G10</f>
        <v>-823566</v>
      </c>
      <c r="Y10" s="24"/>
      <c r="Z10" s="15">
        <v>6725</v>
      </c>
      <c r="AA10" s="22"/>
      <c r="AB10" s="20">
        <v>14.902</v>
      </c>
      <c r="AC10" s="128">
        <f>H10/G10</f>
        <v>1.17674218543206</v>
      </c>
    </row>
    <row r="11" ht="20.05" customHeight="1">
      <c r="B11" s="13"/>
      <c r="C11" s="38">
        <v>31021.5</v>
      </c>
      <c r="D11" s="23">
        <v>3812</v>
      </c>
      <c r="E11" s="23">
        <v>7152</v>
      </c>
      <c r="F11" s="15">
        <v>148776</v>
      </c>
      <c r="G11" s="15">
        <v>1017292</v>
      </c>
      <c r="H11" s="15">
        <v>1202252</v>
      </c>
      <c r="I11" s="15">
        <v>44008</v>
      </c>
      <c r="J11" s="15">
        <v>-25502</v>
      </c>
      <c r="K11" s="15">
        <v>-12704</v>
      </c>
      <c r="L11" s="15">
        <v>6609.75</v>
      </c>
      <c r="M11" s="15">
        <v>-2322</v>
      </c>
      <c r="N11" s="15">
        <f>SUM(C8:C11)/4</f>
        <v>27166.125</v>
      </c>
      <c r="O11" s="15"/>
      <c r="P11" s="16">
        <f>C11/C10-1</f>
        <v>0.167318908748824</v>
      </c>
      <c r="Q11" s="16">
        <f>(E11+D11)/C11</f>
        <v>0.353432296955337</v>
      </c>
      <c r="R11" s="16"/>
      <c r="S11" s="17"/>
      <c r="T11" s="15">
        <f>SUM(J8:K11)/4</f>
        <v>-13250.75</v>
      </c>
      <c r="U11" s="17"/>
      <c r="V11" s="15">
        <f>-(L11+M11)+V10</f>
        <v>-17853</v>
      </c>
      <c r="W11" s="17"/>
      <c r="X11" s="15">
        <f>F11-G11</f>
        <v>-868516</v>
      </c>
      <c r="Y11" s="24"/>
      <c r="Z11" s="15">
        <v>7375</v>
      </c>
      <c r="AA11" s="22"/>
      <c r="AB11" s="20">
        <v>14.38</v>
      </c>
      <c r="AC11" s="128">
        <f>H11/G11</f>
        <v>1.1818160370867</v>
      </c>
    </row>
    <row r="12" ht="20.05" customHeight="1">
      <c r="B12" s="21">
        <v>2019</v>
      </c>
      <c r="C12" s="38">
        <v>28109</v>
      </c>
      <c r="D12" s="23">
        <v>3223</v>
      </c>
      <c r="E12" s="23">
        <v>7461</v>
      </c>
      <c r="F12" s="15">
        <v>162237</v>
      </c>
      <c r="G12" s="15">
        <v>1012307</v>
      </c>
      <c r="H12" s="15">
        <v>1205972</v>
      </c>
      <c r="I12" s="15">
        <v>60254</v>
      </c>
      <c r="J12" s="15">
        <v>21810</v>
      </c>
      <c r="K12" s="15">
        <v>-6636</v>
      </c>
      <c r="L12" s="15">
        <v>1096</v>
      </c>
      <c r="M12" s="15">
        <v>-2814.25</v>
      </c>
      <c r="N12" s="15">
        <f>SUM(C9:C12)/4</f>
        <v>28029.375</v>
      </c>
      <c r="O12" s="23"/>
      <c r="P12" s="16">
        <f>C12/C11-1</f>
        <v>-0.0938864980739165</v>
      </c>
      <c r="Q12" s="16">
        <f>(E12+D12)/C12</f>
        <v>0.380091785549112</v>
      </c>
      <c r="R12" s="16">
        <f>AVERAGE(Q9:Q12)</f>
        <v>0.379620671023057</v>
      </c>
      <c r="S12" s="17"/>
      <c r="T12" s="15">
        <f>SUM(J9:K12)/4</f>
        <v>-5495.75</v>
      </c>
      <c r="U12" s="17"/>
      <c r="V12" s="15">
        <f>-(L12+M12)+V11</f>
        <v>-16134.75</v>
      </c>
      <c r="W12" s="17"/>
      <c r="X12" s="15">
        <f>F12-G12</f>
        <v>-850070</v>
      </c>
      <c r="Y12" s="24"/>
      <c r="Z12" s="15">
        <v>7450</v>
      </c>
      <c r="AA12" s="22"/>
      <c r="AB12" s="20">
        <v>14.24</v>
      </c>
      <c r="AC12" s="128">
        <f>H12/G12</f>
        <v>1.19131054116982</v>
      </c>
    </row>
    <row r="13" ht="20.05" customHeight="1">
      <c r="B13" s="13"/>
      <c r="C13" s="38">
        <v>28582</v>
      </c>
      <c r="D13" s="23">
        <v>3973</v>
      </c>
      <c r="E13" s="23">
        <v>6527</v>
      </c>
      <c r="F13" s="15">
        <v>153374</v>
      </c>
      <c r="G13" s="15">
        <v>1045939</v>
      </c>
      <c r="H13" s="15">
        <v>1235628</v>
      </c>
      <c r="I13" s="15">
        <v>48222</v>
      </c>
      <c r="J13" s="15">
        <v>-20042</v>
      </c>
      <c r="K13" s="15">
        <v>1791</v>
      </c>
      <c r="L13" s="15">
        <v>1096</v>
      </c>
      <c r="M13" s="15">
        <v>-2814.25</v>
      </c>
      <c r="N13" s="15">
        <f>SUM(C10:C13)/4</f>
        <v>28571.875</v>
      </c>
      <c r="O13" s="23"/>
      <c r="P13" s="16">
        <f>C13/C12-1</f>
        <v>0.0168273506706037</v>
      </c>
      <c r="Q13" s="16">
        <f>(E13+D13)/C13</f>
        <v>0.367364075292142</v>
      </c>
      <c r="R13" s="16">
        <f>AVERAGE(Q10:Q13)</f>
        <v>0.368279424209261</v>
      </c>
      <c r="S13" s="17"/>
      <c r="T13" s="15">
        <f>SUM(J10:K13)/4</f>
        <v>-5988.25</v>
      </c>
      <c r="U13" s="17"/>
      <c r="V13" s="15">
        <f>-(L13+M13)+V12</f>
        <v>-14416.5</v>
      </c>
      <c r="W13" s="17"/>
      <c r="X13" s="15">
        <f>F13-G13</f>
        <v>-892565</v>
      </c>
      <c r="Y13" s="24"/>
      <c r="Z13" s="15">
        <v>8025</v>
      </c>
      <c r="AA13" s="24"/>
      <c r="AB13" s="15">
        <v>14.127</v>
      </c>
      <c r="AC13" s="129">
        <f>H13/G13</f>
        <v>1.18135761263324</v>
      </c>
    </row>
    <row r="14" ht="20.05" customHeight="1">
      <c r="B14" s="13"/>
      <c r="C14" s="38">
        <v>30079</v>
      </c>
      <c r="D14" s="23">
        <v>4542</v>
      </c>
      <c r="E14" s="23">
        <v>6950</v>
      </c>
      <c r="F14" s="15">
        <v>187601</v>
      </c>
      <c r="G14" s="15">
        <v>1074842</v>
      </c>
      <c r="H14" s="15">
        <v>1275670</v>
      </c>
      <c r="I14" s="15">
        <v>60073</v>
      </c>
      <c r="J14" s="15">
        <v>53537</v>
      </c>
      <c r="K14" s="15">
        <v>-3836</v>
      </c>
      <c r="L14" s="15">
        <v>1096</v>
      </c>
      <c r="M14" s="15">
        <v>-2814.25</v>
      </c>
      <c r="N14" s="15">
        <f>SUM(C11:C14)/4</f>
        <v>29447.875</v>
      </c>
      <c r="O14" s="23"/>
      <c r="P14" s="16">
        <f>C14/C13-1</f>
        <v>0.0523756210202225</v>
      </c>
      <c r="Q14" s="16">
        <f>(E14+D14)/C14</f>
        <v>0.382060573822268</v>
      </c>
      <c r="R14" s="16">
        <f>AVERAGE(Q11:Q14)</f>
        <v>0.370737182904715</v>
      </c>
      <c r="S14" s="17"/>
      <c r="T14" s="15">
        <f>SUM(J11:K14)/4</f>
        <v>2104.5</v>
      </c>
      <c r="U14" s="17"/>
      <c r="V14" s="15">
        <f>-(L14+M14)+V13</f>
        <v>-12698.25</v>
      </c>
      <c r="W14" s="17"/>
      <c r="X14" s="15">
        <f>F14-G14</f>
        <v>-887241</v>
      </c>
      <c r="Y14" s="24"/>
      <c r="Z14" s="15">
        <v>6975</v>
      </c>
      <c r="AA14" s="24"/>
      <c r="AB14" s="15">
        <v>14.195</v>
      </c>
      <c r="AC14" s="129">
        <f>H14/G14</f>
        <v>1.18684420593911</v>
      </c>
    </row>
    <row r="15" ht="20.05" customHeight="1">
      <c r="B15" s="13"/>
      <c r="C15" s="38">
        <v>31245</v>
      </c>
      <c r="D15" s="23">
        <v>2132</v>
      </c>
      <c r="E15" s="23">
        <v>7518</v>
      </c>
      <c r="F15" s="15">
        <v>149620</v>
      </c>
      <c r="G15" s="15">
        <v>1109212</v>
      </c>
      <c r="H15" s="15">
        <v>1318246</v>
      </c>
      <c r="I15" s="15">
        <v>69490</v>
      </c>
      <c r="J15" s="15">
        <v>-31337</v>
      </c>
      <c r="K15" s="15">
        <v>-7571</v>
      </c>
      <c r="L15" s="15">
        <v>1096</v>
      </c>
      <c r="M15" s="15">
        <v>-2814.25</v>
      </c>
      <c r="N15" s="15">
        <f>SUM(C12:C15)/4</f>
        <v>29503.75</v>
      </c>
      <c r="O15" s="15"/>
      <c r="P15" s="16">
        <f>C15/C14-1</f>
        <v>0.0387645865886499</v>
      </c>
      <c r="Q15" s="16">
        <f>(E15+D15)/C15</f>
        <v>0.308849415906545</v>
      </c>
      <c r="R15" s="16">
        <f>AVERAGE(Q12:Q15)</f>
        <v>0.359591462642517</v>
      </c>
      <c r="S15" s="17"/>
      <c r="T15" s="15">
        <f>SUM(J12:K15)/4</f>
        <v>1929</v>
      </c>
      <c r="U15" s="17"/>
      <c r="V15" s="15">
        <f>-(L15+M15)+V14</f>
        <v>-10980</v>
      </c>
      <c r="W15" s="17"/>
      <c r="X15" s="15">
        <f>F15-G15</f>
        <v>-959592</v>
      </c>
      <c r="Y15" s="24"/>
      <c r="Z15" s="15">
        <v>7675</v>
      </c>
      <c r="AA15" s="24"/>
      <c r="AB15" s="15">
        <v>13.882</v>
      </c>
      <c r="AC15" s="129">
        <f>H15/G15</f>
        <v>1.18845270336058</v>
      </c>
    </row>
    <row r="16" ht="20.05" customHeight="1">
      <c r="B16" s="21">
        <v>2020</v>
      </c>
      <c r="C16" s="14">
        <v>33793.2</v>
      </c>
      <c r="D16" s="23">
        <v>4051.1</v>
      </c>
      <c r="E16" s="23">
        <v>8074.4</v>
      </c>
      <c r="F16" s="15">
        <v>166216</v>
      </c>
      <c r="G16" s="15">
        <v>1142597</v>
      </c>
      <c r="H16" s="15">
        <v>1320038</v>
      </c>
      <c r="I16" s="15">
        <v>124993</v>
      </c>
      <c r="J16" s="15">
        <v>33602</v>
      </c>
      <c r="K16" s="15">
        <v>-2899</v>
      </c>
      <c r="L16" s="15">
        <v>2935</v>
      </c>
      <c r="M16" s="15">
        <v>0</v>
      </c>
      <c r="N16" s="15">
        <f>SUM(C13:C16)/4</f>
        <v>30924.8</v>
      </c>
      <c r="O16" s="15"/>
      <c r="P16" s="16">
        <f>C16/C15-1</f>
        <v>0.08155544887181949</v>
      </c>
      <c r="Q16" s="16">
        <f>(E16+D16)/C16</f>
        <v>0.358814791141413</v>
      </c>
      <c r="R16" s="16">
        <f>AVERAGE(Q13:Q16)</f>
        <v>0.354272214040592</v>
      </c>
      <c r="S16" s="17"/>
      <c r="T16" s="15">
        <f>SUM(J13:K16)/4</f>
        <v>5811.25</v>
      </c>
      <c r="U16" s="17"/>
      <c r="V16" s="15">
        <f>-(L16+M16)+V15</f>
        <v>-13915</v>
      </c>
      <c r="W16" s="17"/>
      <c r="X16" s="15">
        <f>F16-G16</f>
        <v>-976381</v>
      </c>
      <c r="Y16" s="24"/>
      <c r="Z16" s="15">
        <v>4680</v>
      </c>
      <c r="AA16" s="24"/>
      <c r="AB16" s="15">
        <v>16.31</v>
      </c>
      <c r="AC16" s="129">
        <f>H16/G16</f>
        <v>1.15529622430306</v>
      </c>
    </row>
    <row r="17" ht="20.05" customHeight="1">
      <c r="B17" s="13"/>
      <c r="C17" s="38">
        <v>29799</v>
      </c>
      <c r="D17" s="23">
        <v>7109.9</v>
      </c>
      <c r="E17" s="23">
        <v>2478.07</v>
      </c>
      <c r="F17" s="15">
        <v>224362.74</v>
      </c>
      <c r="G17" s="15">
        <v>1176122</v>
      </c>
      <c r="H17" s="15">
        <v>1359441</v>
      </c>
      <c r="I17" s="15">
        <v>47529.3</v>
      </c>
      <c r="J17" s="15">
        <v>62730.6</v>
      </c>
      <c r="K17" s="15">
        <v>-14407.67</v>
      </c>
      <c r="L17" s="15">
        <v>12054</v>
      </c>
      <c r="M17" s="15">
        <v>-16640</v>
      </c>
      <c r="N17" s="15">
        <f>SUM(C14:C17)/4</f>
        <v>31229.05</v>
      </c>
      <c r="O17" s="15"/>
      <c r="P17" s="16">
        <f>C17/C16-1</f>
        <v>-0.118195376584638</v>
      </c>
      <c r="Q17" s="16">
        <f>(E17+D17)/C17</f>
        <v>0.321754756871036</v>
      </c>
      <c r="R17" s="16">
        <f>AVERAGE(Q14:Q17)</f>
        <v>0.342869884435316</v>
      </c>
      <c r="S17" s="17"/>
      <c r="T17" s="15">
        <f>SUM(J14:K17)/4</f>
        <v>22454.7325</v>
      </c>
      <c r="U17" s="17"/>
      <c r="V17" s="15">
        <f>-(L17+M17)+V16</f>
        <v>-9329</v>
      </c>
      <c r="W17" s="17"/>
      <c r="X17" s="15">
        <f>F17-G17</f>
        <v>-951759.26</v>
      </c>
      <c r="Y17" s="24"/>
      <c r="Z17" s="15">
        <v>4950</v>
      </c>
      <c r="AA17" s="24"/>
      <c r="AB17" s="15">
        <v>14.255</v>
      </c>
      <c r="AC17" s="129">
        <f>H17/G17</f>
        <v>1.15586733349091</v>
      </c>
    </row>
    <row r="18" ht="20.05" customHeight="1">
      <c r="B18" s="13"/>
      <c r="C18" s="38">
        <v>27096.92</v>
      </c>
      <c r="D18" s="23">
        <v>5860</v>
      </c>
      <c r="E18" s="23">
        <v>3880.93</v>
      </c>
      <c r="F18" s="15">
        <v>210017.9</v>
      </c>
      <c r="G18" s="15">
        <v>1217319</v>
      </c>
      <c r="H18" s="15">
        <v>1406655</v>
      </c>
      <c r="I18" s="15">
        <v>49866.7</v>
      </c>
      <c r="J18" s="15">
        <v>-3593.7</v>
      </c>
      <c r="K18" s="15">
        <v>-4994.33</v>
      </c>
      <c r="L18" s="15">
        <v>-4104</v>
      </c>
      <c r="M18" s="15">
        <v>1</v>
      </c>
      <c r="N18" s="15">
        <f>SUM(C15:C18)/4</f>
        <v>30483.53</v>
      </c>
      <c r="O18" s="15">
        <v>29808</v>
      </c>
      <c r="P18" s="16">
        <f>C18/C17-1</f>
        <v>-0.09067686835128699</v>
      </c>
      <c r="Q18" s="16">
        <f>(E18+D18)/C18</f>
        <v>0.359484768010534</v>
      </c>
      <c r="R18" s="16">
        <f>AVERAGE(Q15:Q18)</f>
        <v>0.337225932982382</v>
      </c>
      <c r="S18" s="17"/>
      <c r="T18" s="15">
        <f>SUM(J15:K18)/4</f>
        <v>7882.475</v>
      </c>
      <c r="U18" s="17"/>
      <c r="V18" s="15">
        <f>-(L18+M18)+V17</f>
        <v>-5226</v>
      </c>
      <c r="W18" s="17"/>
      <c r="X18" s="15">
        <f>F18-G18</f>
        <v>-1007301.1</v>
      </c>
      <c r="Y18" s="24"/>
      <c r="Z18" s="15">
        <v>4960</v>
      </c>
      <c r="AA18" s="24"/>
      <c r="AB18" s="15">
        <v>14.79</v>
      </c>
      <c r="AC18" s="129">
        <f>H18/G18</f>
        <v>1.15553523768215</v>
      </c>
    </row>
    <row r="19" ht="20.05" customHeight="1">
      <c r="B19" s="13"/>
      <c r="C19" s="38">
        <v>29933.4</v>
      </c>
      <c r="D19" s="23">
        <v>7503.6</v>
      </c>
      <c r="E19" s="23">
        <v>3212.2</v>
      </c>
      <c r="F19" s="15">
        <v>201899</v>
      </c>
      <c r="G19" s="15">
        <v>1235539</v>
      </c>
      <c r="H19" s="15">
        <v>1429334</v>
      </c>
      <c r="I19" s="15">
        <v>109755.5</v>
      </c>
      <c r="J19" s="15">
        <v>9321.9</v>
      </c>
      <c r="K19" s="15">
        <v>-11012.4</v>
      </c>
      <c r="L19" s="15">
        <v>-6144</v>
      </c>
      <c r="M19" s="15">
        <v>-78</v>
      </c>
      <c r="N19" s="15">
        <f>SUM(C16:C19)/4</f>
        <v>30155.63</v>
      </c>
      <c r="O19" s="15">
        <v>29813</v>
      </c>
      <c r="P19" s="16">
        <f>C19/C18-1</f>
        <v>0.104679055774605</v>
      </c>
      <c r="Q19" s="16">
        <f>(E19+D19)/C19</f>
        <v>0.357988066841722</v>
      </c>
      <c r="R19" s="16">
        <f>AVERAGE(Q16:Q19)</f>
        <v>0.349510595716176</v>
      </c>
      <c r="S19" s="17"/>
      <c r="T19" s="15">
        <f>SUM(J16:K19)/4</f>
        <v>17186.85</v>
      </c>
      <c r="U19" s="17"/>
      <c r="V19" s="15">
        <f>-(L19+M19)+V18</f>
        <v>996</v>
      </c>
      <c r="W19" s="17"/>
      <c r="X19" s="15">
        <f>F19-G19</f>
        <v>-1033640</v>
      </c>
      <c r="Y19" s="24"/>
      <c r="Z19" s="15">
        <v>6325</v>
      </c>
      <c r="AA19" s="24"/>
      <c r="AB19" s="15">
        <v>14.1</v>
      </c>
      <c r="AC19" s="129">
        <f>H19/G19</f>
        <v>1.15685057290786</v>
      </c>
    </row>
    <row r="20" ht="20.05" customHeight="1">
      <c r="B20" s="21">
        <v>2021</v>
      </c>
      <c r="C20" s="38">
        <v>33789.5</v>
      </c>
      <c r="D20" s="23">
        <v>5794.3</v>
      </c>
      <c r="E20" s="15">
        <v>6519.2</v>
      </c>
      <c r="F20" s="15">
        <v>225574.3</v>
      </c>
      <c r="G20" s="15">
        <v>1386544</v>
      </c>
      <c r="H20" s="15">
        <v>1584067</v>
      </c>
      <c r="I20" s="15">
        <v>91548.399999999994</v>
      </c>
      <c r="J20" s="15">
        <v>75482.899999999994</v>
      </c>
      <c r="K20" s="15">
        <v>-50970.1</v>
      </c>
      <c r="L20" s="15">
        <v>-728</v>
      </c>
      <c r="M20" s="15">
        <v>0</v>
      </c>
      <c r="N20" s="15">
        <f>SUM(C17:C20)/4</f>
        <v>30154.705</v>
      </c>
      <c r="O20" s="15">
        <v>29768.25</v>
      </c>
      <c r="P20" s="16">
        <f>C20/C19-1</f>
        <v>0.128822652956229</v>
      </c>
      <c r="Q20" s="16">
        <f>(E20+D20)/C20</f>
        <v>0.36441794048447</v>
      </c>
      <c r="R20" s="16">
        <f>AVERAGE(Q17:Q20)</f>
        <v>0.350911383051941</v>
      </c>
      <c r="S20" s="17"/>
      <c r="T20" s="15">
        <f>SUM(J17:K20)/4</f>
        <v>15639.3</v>
      </c>
      <c r="U20" s="17"/>
      <c r="V20" s="15">
        <f>-(L20+M20)+V19</f>
        <v>1724</v>
      </c>
      <c r="W20" s="17"/>
      <c r="X20" s="15">
        <f>F20-G20</f>
        <v>-1160969.7</v>
      </c>
      <c r="Y20" s="15"/>
      <c r="Z20" s="15">
        <v>6150</v>
      </c>
      <c r="AA20" s="17"/>
      <c r="AB20" s="15">
        <v>14.606</v>
      </c>
      <c r="AC20" s="129">
        <f>H20/G20</f>
        <v>1.1424570731257</v>
      </c>
    </row>
    <row r="21" ht="20.05" customHeight="1">
      <c r="B21" s="13"/>
      <c r="C21" s="38">
        <v>34192.1</v>
      </c>
      <c r="D21" s="23">
        <v>6279.6</v>
      </c>
      <c r="E21" s="15">
        <v>7166</v>
      </c>
      <c r="F21" s="15">
        <v>191103.5</v>
      </c>
      <c r="G21" s="15">
        <v>1375396</v>
      </c>
      <c r="H21" s="15">
        <v>1580527</v>
      </c>
      <c r="I21" s="15">
        <v>76154.600000000006</v>
      </c>
      <c r="J21" s="15">
        <v>-31077.4</v>
      </c>
      <c r="K21" s="15">
        <v>-9101.299999999999</v>
      </c>
      <c r="L21" s="15">
        <v>6555</v>
      </c>
      <c r="M21" s="15">
        <v>-10028</v>
      </c>
      <c r="N21" s="15">
        <f>SUM(C18:C21)/4</f>
        <v>31252.98</v>
      </c>
      <c r="O21" s="15">
        <v>30747.2001401734</v>
      </c>
      <c r="P21" s="16">
        <f>C21/C20-1</f>
        <v>0.0119149439914766</v>
      </c>
      <c r="Q21" s="16">
        <f>(E21+D21)/C21</f>
        <v>0.393237034285698</v>
      </c>
      <c r="R21" s="16">
        <f>AVERAGE(Q18:Q21)</f>
        <v>0.368781952405606</v>
      </c>
      <c r="S21" s="17"/>
      <c r="T21" s="15">
        <f>SUM(J18:K21)/4</f>
        <v>-6486.1075</v>
      </c>
      <c r="U21" s="17"/>
      <c r="V21" s="15">
        <f>-(L21+M21)+V20</f>
        <v>5197</v>
      </c>
      <c r="W21" s="17"/>
      <c r="X21" s="15">
        <f>F21-G21</f>
        <v>-1184292.5</v>
      </c>
      <c r="Y21" s="15"/>
      <c r="Z21" s="15">
        <v>5900</v>
      </c>
      <c r="AA21" s="17"/>
      <c r="AB21" s="15">
        <v>14.45</v>
      </c>
      <c r="AC21" s="129">
        <f>H21/G21</f>
        <v>1.14914322856835</v>
      </c>
    </row>
    <row r="22" ht="20.05" customHeight="1">
      <c r="B22" s="13"/>
      <c r="C22" s="38">
        <v>34824.4</v>
      </c>
      <c r="D22" s="23">
        <v>5835.2</v>
      </c>
      <c r="E22" s="15">
        <v>7368.3</v>
      </c>
      <c r="F22" s="15">
        <v>194342.1</v>
      </c>
      <c r="G22" s="15">
        <v>1425125</v>
      </c>
      <c r="H22" s="15">
        <v>1637950</v>
      </c>
      <c r="I22" s="15">
        <v>74234</v>
      </c>
      <c r="J22" s="15">
        <v>67957.5</v>
      </c>
      <c r="K22" s="15">
        <v>-62533.5</v>
      </c>
      <c r="L22" s="15">
        <v>-4288</v>
      </c>
      <c r="M22" s="15">
        <v>-244</v>
      </c>
      <c r="N22" s="15">
        <f>SUM(C19:C22)/4</f>
        <v>33184.85</v>
      </c>
      <c r="O22" s="15">
        <v>32068.7053901734</v>
      </c>
      <c r="P22" s="16">
        <f>C22/C21-1</f>
        <v>0.0184925757704265</v>
      </c>
      <c r="Q22" s="16">
        <f>(E22+D22)/C22</f>
        <v>0.379145082183756</v>
      </c>
      <c r="R22" s="16">
        <f>AVERAGE(Q19:Q22)</f>
        <v>0.373697030948912</v>
      </c>
      <c r="S22" s="17"/>
      <c r="T22" s="15">
        <f>SUM(J19:K22)/4</f>
        <v>-2983.1</v>
      </c>
      <c r="U22" s="17"/>
      <c r="V22" s="15">
        <f>-(L22+M22)+V21</f>
        <v>9729</v>
      </c>
      <c r="W22" s="17"/>
      <c r="X22" s="15">
        <f>F22-G22</f>
        <v>-1230782.9</v>
      </c>
      <c r="Y22" s="15"/>
      <c r="Z22" s="15">
        <v>6100</v>
      </c>
      <c r="AA22" s="17"/>
      <c r="AB22" s="15">
        <v>14.328</v>
      </c>
      <c r="AC22" s="129">
        <f>H22/G22</f>
        <v>1.14933777738795</v>
      </c>
    </row>
    <row r="23" ht="20.05" customHeight="1">
      <c r="B23" s="13"/>
      <c r="C23" s="38">
        <v>38829</v>
      </c>
      <c r="D23" s="23">
        <v>5283.6</v>
      </c>
      <c r="E23" s="15">
        <v>9497.6</v>
      </c>
      <c r="F23" s="15">
        <v>195879</v>
      </c>
      <c r="G23" s="15">
        <v>1503500</v>
      </c>
      <c r="H23" s="15">
        <v>1725611</v>
      </c>
      <c r="I23" s="15">
        <v>113575.9</v>
      </c>
      <c r="J23" s="15">
        <v>17529.5</v>
      </c>
      <c r="K23" s="15">
        <v>-9872.1</v>
      </c>
      <c r="L23" s="15">
        <v>1238</v>
      </c>
      <c r="M23" s="15">
        <v>0</v>
      </c>
      <c r="N23" s="15">
        <f>SUM(C20:C23)/4</f>
        <v>35408.75</v>
      </c>
      <c r="O23" s="15">
        <v>33667.2993901734</v>
      </c>
      <c r="P23" s="16">
        <f>C23/C22-1</f>
        <v>0.114994084607344</v>
      </c>
      <c r="Q23" s="16">
        <f>(E23+D23)/C23</f>
        <v>0.380674238327024</v>
      </c>
      <c r="R23" s="16">
        <f>AVERAGE(Q20:Q23)</f>
        <v>0.379368573820237</v>
      </c>
      <c r="S23" s="17"/>
      <c r="T23" s="15">
        <f>SUM(J20:K23)/4</f>
        <v>-646.125</v>
      </c>
      <c r="U23" s="17"/>
      <c r="V23" s="15">
        <f>-(L23+M23)+V22</f>
        <v>8491</v>
      </c>
      <c r="W23" s="17"/>
      <c r="X23" s="15">
        <f>F23-G23</f>
        <v>-1307621</v>
      </c>
      <c r="Y23" s="15"/>
      <c r="Z23" s="15">
        <v>7025</v>
      </c>
      <c r="AA23" s="17"/>
      <c r="AB23" s="15">
        <v>14.275</v>
      </c>
      <c r="AC23" s="129">
        <f>H23/G23</f>
        <v>1.14772929830396</v>
      </c>
    </row>
    <row r="24" ht="20.05" customHeight="1">
      <c r="B24" s="21">
        <v>2022</v>
      </c>
      <c r="C24" s="14">
        <v>37610.1</v>
      </c>
      <c r="D24" s="23">
        <v>5058.6</v>
      </c>
      <c r="E24" s="15">
        <v>10894.1</v>
      </c>
      <c r="F24" s="15">
        <v>160688.3</v>
      </c>
      <c r="G24" s="15">
        <v>1520715</v>
      </c>
      <c r="H24" s="15">
        <v>1734075</v>
      </c>
      <c r="I24" s="15">
        <v>142062.4</v>
      </c>
      <c r="J24" s="15">
        <v>-7315.3</v>
      </c>
      <c r="K24" s="15">
        <v>-29823.3</v>
      </c>
      <c r="L24" s="15">
        <v>18764.8</v>
      </c>
      <c r="M24" s="15">
        <v>-16816.9</v>
      </c>
      <c r="N24" s="15">
        <f>SUM(C21:C24)/4</f>
        <v>36363.9</v>
      </c>
      <c r="O24" s="15">
        <v>36063.1218901734</v>
      </c>
      <c r="P24" s="16">
        <f>C24/C23-1</f>
        <v>-0.0313914857451905</v>
      </c>
      <c r="Q24" s="16">
        <f>(E24+D24)/C24</f>
        <v>0.424159999574582</v>
      </c>
      <c r="R24" s="16">
        <f>AVERAGE(Q21:Q24)</f>
        <v>0.394304088592765</v>
      </c>
      <c r="S24" s="35"/>
      <c r="T24" s="15">
        <f>SUM(J21:K24)/4</f>
        <v>-16058.975</v>
      </c>
      <c r="U24" s="15"/>
      <c r="V24" s="15">
        <f>-(L24+M24)+V23</f>
        <v>6543.1</v>
      </c>
      <c r="W24" s="15"/>
      <c r="X24" s="15">
        <f>F24-G24</f>
        <v>-1360026.7</v>
      </c>
      <c r="Y24" s="15"/>
      <c r="Z24" s="15">
        <v>7900</v>
      </c>
      <c r="AA24" s="15"/>
      <c r="AB24" s="15">
        <v>14.327</v>
      </c>
      <c r="AC24" s="129">
        <f>H24/G24</f>
        <v>1.14030242353104</v>
      </c>
    </row>
    <row r="25" ht="20.05" customHeight="1">
      <c r="B25" s="13"/>
      <c r="C25" s="14">
        <v>38313.9</v>
      </c>
      <c r="D25" s="23">
        <v>4648.4</v>
      </c>
      <c r="E25" s="15">
        <v>11149.9</v>
      </c>
      <c r="F25" s="15">
        <v>153943</v>
      </c>
      <c r="G25" s="15">
        <v>1564887</v>
      </c>
      <c r="H25" s="15">
        <v>1785707</v>
      </c>
      <c r="I25" s="15">
        <v>99737.600000000006</v>
      </c>
      <c r="J25" s="15">
        <v>8549.299999999999</v>
      </c>
      <c r="K25" s="15">
        <v>-11583.7</v>
      </c>
      <c r="L25" s="15">
        <v>-3861.8</v>
      </c>
      <c r="M25" s="15">
        <v>150.9</v>
      </c>
      <c r="N25" s="15">
        <f>SUM(C22:C25)/4</f>
        <v>37394.35</v>
      </c>
      <c r="O25" s="15">
        <v>37082.74725</v>
      </c>
      <c r="P25" s="16">
        <f>C25/C24-1</f>
        <v>0.0187130584603604</v>
      </c>
      <c r="Q25" s="16">
        <f>(E25+D25)/C25</f>
        <v>0.412338602961327</v>
      </c>
      <c r="R25" s="16">
        <f>AVERAGE(Q22:Q25)</f>
        <v>0.399079480761672</v>
      </c>
      <c r="S25" s="35"/>
      <c r="T25" s="15">
        <f>SUM(J22:K25)/4</f>
        <v>-6772.9</v>
      </c>
      <c r="U25" s="15">
        <v>12166.3701275089</v>
      </c>
      <c r="V25" s="15">
        <f>-(L25+M25)+V24</f>
        <v>10254</v>
      </c>
      <c r="W25" s="15"/>
      <c r="X25" s="15">
        <f>F25-G25</f>
        <v>-1410944</v>
      </c>
      <c r="Y25" s="15"/>
      <c r="Z25" s="15">
        <v>7925</v>
      </c>
      <c r="AA25" s="23">
        <v>10565.7020090226</v>
      </c>
      <c r="AB25" s="15">
        <v>14.66</v>
      </c>
      <c r="AC25" s="129">
        <f>H25/G25</f>
        <v>1.14110923025113</v>
      </c>
    </row>
    <row r="26" ht="20.05" customHeight="1">
      <c r="B26" s="13"/>
      <c r="C26" s="14">
        <v>40066.8</v>
      </c>
      <c r="D26" s="23">
        <v>5459.1</v>
      </c>
      <c r="E26" s="15">
        <v>11420.9</v>
      </c>
      <c r="F26" s="15">
        <v>178873</v>
      </c>
      <c r="G26" s="15">
        <v>1607949</v>
      </c>
      <c r="H26" s="15">
        <v>1839336</v>
      </c>
      <c r="I26" s="15">
        <v>107070.6</v>
      </c>
      <c r="J26" s="15">
        <v>6449.1</v>
      </c>
      <c r="K26" s="15">
        <v>4283.9</v>
      </c>
      <c r="L26" s="15">
        <v>13546.9</v>
      </c>
      <c r="M26" s="15">
        <v>-150.9</v>
      </c>
      <c r="N26" s="15">
        <f>SUM(C23:C26)/4</f>
        <v>38704.95</v>
      </c>
      <c r="O26" s="15">
        <v>38441.5622729933</v>
      </c>
      <c r="P26" s="16">
        <f>C26/C25-1</f>
        <v>0.0457510198648532</v>
      </c>
      <c r="Q26" s="16">
        <f>(E26+D26)/C26</f>
        <v>0.421296434953627</v>
      </c>
      <c r="R26" s="16">
        <f>AVERAGE(Q23:Q26)</f>
        <v>0.40961731895414</v>
      </c>
      <c r="S26" s="35">
        <f>S27</f>
        <v>0.40961731895414</v>
      </c>
      <c r="T26" s="15">
        <f>SUM(J23:K26)/4</f>
        <v>-5445.65</v>
      </c>
      <c r="U26" s="15">
        <v>12384.7235117418</v>
      </c>
      <c r="V26" s="15">
        <f>-(L26+M26)+V25</f>
        <v>-3142</v>
      </c>
      <c r="W26" s="15">
        <f>W27</f>
        <v>52351.7208089615</v>
      </c>
      <c r="X26" s="15">
        <f>F26-G26</f>
        <v>-1429076</v>
      </c>
      <c r="Y26" s="15"/>
      <c r="Z26" s="15">
        <v>9250</v>
      </c>
      <c r="AA26" s="23">
        <v>10565.7020090226</v>
      </c>
      <c r="AB26" s="15">
        <v>15.705</v>
      </c>
      <c r="AC26" s="129">
        <f>H26/G26</f>
        <v>1.14390195211415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AVERAGE(AF52:AI52)</f>
        <v>42640.848894858</v>
      </c>
      <c r="P27" s="17"/>
      <c r="Q27" s="17"/>
      <c r="R27" s="17"/>
      <c r="S27" s="35">
        <f>AF53</f>
        <v>0.40961731895414</v>
      </c>
      <c r="T27" s="17"/>
      <c r="U27" s="15">
        <f>SUM(AF55:AI55)/4</f>
        <v>13873.4302022404</v>
      </c>
      <c r="V27" s="17"/>
      <c r="W27" s="15">
        <f>-SUM(AF76:AI76)+V26</f>
        <v>52351.7208089615</v>
      </c>
      <c r="X27" s="17"/>
      <c r="Y27" s="15">
        <f>AI75</f>
        <v>-1373582.27919104</v>
      </c>
      <c r="Z27" s="15">
        <v>9175</v>
      </c>
      <c r="AA27" s="23">
        <v>10615.4699971881</v>
      </c>
      <c r="AB27" s="17"/>
      <c r="AC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SUM(N18:N26)</f>
        <v>303103.645</v>
      </c>
      <c r="O28" s="15">
        <f>SUM(O18:O26)</f>
        <v>297459.886333687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AI88</f>
        <v>11891.5034260021</v>
      </c>
      <c r="AB28" s="15"/>
      <c r="AC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  <c r="AC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  <c r="AC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  <c r="AC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  <c r="AC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  <c r="AC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  <c r="AC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  <c r="AC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  <c r="AC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  <c r="AC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  <c r="AC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  <c r="AC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  <c r="AC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  <c r="AC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  <c r="AC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  <c r="AC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  <c r="AC44" s="15"/>
    </row>
    <row r="46" ht="27.65" customHeight="1">
      <c r="AD46" t="s" s="2">
        <v>307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ht="20.25" customHeight="1">
      <c r="AD47" t="s" s="28">
        <v>366</v>
      </c>
      <c r="AE47" t="s" s="29">
        <v>23</v>
      </c>
      <c r="AF47" t="s" s="29">
        <v>24</v>
      </c>
      <c r="AG47" t="s" s="29">
        <v>25</v>
      </c>
      <c r="AH47" t="s" s="29">
        <v>26</v>
      </c>
      <c r="AI47" t="s" s="29">
        <v>23</v>
      </c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ht="20.25" customHeight="1">
      <c r="AD48" t="s" s="31">
        <v>15</v>
      </c>
      <c r="AE48" s="32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</row>
    <row r="49" ht="20.05" customHeight="1">
      <c r="AD49" t="s" s="33">
        <v>27</v>
      </c>
      <c r="AE49" s="34"/>
      <c r="AF49" s="16">
        <f>AVERAGE(P23:P26)</f>
        <v>0.0370166692968418</v>
      </c>
      <c r="AG49" s="35"/>
      <c r="AH49" s="35"/>
      <c r="AI49" s="35">
        <f>AVERAGE(AF51:AI51)</f>
        <v>0.0225</v>
      </c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ht="20.05" customHeight="1">
      <c r="AD50" s="36"/>
      <c r="AE50" s="37"/>
      <c r="AF50" s="35">
        <f>P23</f>
        <v>0.114994084607344</v>
      </c>
      <c r="AG50" s="35">
        <f>P24</f>
        <v>-0.0313914857451905</v>
      </c>
      <c r="AH50" s="35">
        <f>P25</f>
        <v>0.0187130584603604</v>
      </c>
      <c r="AI50" s="35">
        <f>P26</f>
        <v>0.0457510198648532</v>
      </c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ht="20.05" customHeight="1">
      <c r="AD51" t="s" s="33">
        <v>13</v>
      </c>
      <c r="AE51" s="37"/>
      <c r="AF51" s="35">
        <v>0.07000000000000001</v>
      </c>
      <c r="AG51" s="35">
        <v>-0.03</v>
      </c>
      <c r="AH51" s="35">
        <v>0.02</v>
      </c>
      <c r="AI51" s="35">
        <v>0.03</v>
      </c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ht="20.05" customHeight="1">
      <c r="AD52" t="s" s="33">
        <v>28</v>
      </c>
      <c r="AE52" s="38">
        <f>C26</f>
        <v>40066.8</v>
      </c>
      <c r="AF52" s="23">
        <f>C26*(1+AF51)</f>
        <v>42871.476</v>
      </c>
      <c r="AG52" s="23">
        <f>AF52*(1+AG51)</f>
        <v>41585.33172</v>
      </c>
      <c r="AH52" s="23">
        <f>AG52*(1+AH51)</f>
        <v>42417.0383544</v>
      </c>
      <c r="AI52" s="23">
        <f>AH52*(1+AI51)</f>
        <v>43689.549505032</v>
      </c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ht="20.05" customHeight="1">
      <c r="AD53" t="s" s="33">
        <v>14</v>
      </c>
      <c r="AE53" s="37"/>
      <c r="AF53" s="35">
        <f>AVERAGE(R26)</f>
        <v>0.40961731895414</v>
      </c>
      <c r="AG53" s="35">
        <f>AF53</f>
        <v>0.40961731895414</v>
      </c>
      <c r="AH53" s="35">
        <f>AG53</f>
        <v>0.40961731895414</v>
      </c>
      <c r="AI53" s="35">
        <f>AH53</f>
        <v>0.40961731895414</v>
      </c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ht="20.05" customHeight="1">
      <c r="AD54" t="s" s="33">
        <v>29</v>
      </c>
      <c r="AE54" s="14"/>
      <c r="AF54" s="15">
        <f>AVERAGE(K10)</f>
        <v>-3593</v>
      </c>
      <c r="AG54" s="15">
        <f>AF54</f>
        <v>-3593</v>
      </c>
      <c r="AH54" s="15">
        <f>AG54</f>
        <v>-3593</v>
      </c>
      <c r="AI54" s="15">
        <f>AH54</f>
        <v>-3593</v>
      </c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20.05" customHeight="1">
      <c r="AD55" t="s" s="33">
        <v>30</v>
      </c>
      <c r="AE55" s="14"/>
      <c r="AF55" s="15">
        <f>(AF52*AF53)+AF54</f>
        <v>13967.8990587268</v>
      </c>
      <c r="AG55" s="15">
        <f>(AG52*AG53)+AG54</f>
        <v>13441.072086965</v>
      </c>
      <c r="AH55" s="15">
        <f>(AH52*AH53)+AH54</f>
        <v>13781.7535287043</v>
      </c>
      <c r="AI55" s="15">
        <f>(AI52*AI53)+AI54</f>
        <v>14302.9961345654</v>
      </c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20.05" customHeight="1">
      <c r="AD56" t="s" s="33">
        <v>31</v>
      </c>
      <c r="AE56" s="14"/>
      <c r="AF56" s="15">
        <f>-G26/20</f>
        <v>-80397.45</v>
      </c>
      <c r="AG56" s="15">
        <f>-AF71/20</f>
        <v>-76377.5775</v>
      </c>
      <c r="AH56" s="15">
        <f>-AG71/20</f>
        <v>-72558.698625</v>
      </c>
      <c r="AI56" s="15">
        <f>-AH71/20</f>
        <v>-68930.763693750006</v>
      </c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20.05" customHeight="1">
      <c r="AD57" t="s" s="33">
        <v>32</v>
      </c>
      <c r="AE57" s="39"/>
      <c r="AF57" s="40">
        <v>0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20.05" customHeight="1">
      <c r="AD58" t="s" s="33">
        <v>33</v>
      </c>
      <c r="AE58" s="14"/>
      <c r="AF58" s="15">
        <f>IF(AF66&gt;0,AF66*$AF$57,0)</f>
        <v>0</v>
      </c>
      <c r="AG58" s="15">
        <f>IF(AG66&gt;0,AG66*$AF$57,0)</f>
        <v>0</v>
      </c>
      <c r="AH58" s="15">
        <f>IF(AH66&gt;0,AH66*$AF$57,0)</f>
        <v>0</v>
      </c>
      <c r="AI58" s="15">
        <f>IF(AI66&gt;0,AI66*$AF$57,0)</f>
        <v>0</v>
      </c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20.05" customHeight="1">
      <c r="AD59" t="s" s="33">
        <v>34</v>
      </c>
      <c r="AE59" s="14"/>
      <c r="AF59" s="15">
        <f>AF55+AF56+AF58</f>
        <v>-66429.550941273206</v>
      </c>
      <c r="AG59" s="15">
        <f>AG55+AG56+AG58</f>
        <v>-62936.505413035</v>
      </c>
      <c r="AH59" s="15">
        <f>AH55+AH56+AH58</f>
        <v>-58776.9450962957</v>
      </c>
      <c r="AI59" s="15">
        <f>AI55+AI56+AI58</f>
        <v>-54627.7675591846</v>
      </c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20.05" customHeight="1">
      <c r="AD60" t="s" s="33">
        <v>35</v>
      </c>
      <c r="AE60" s="14"/>
      <c r="AF60" s="15">
        <f>-MIN(0,AF59)</f>
        <v>66429.550941273206</v>
      </c>
      <c r="AG60" s="15">
        <f>-MIN(AF72,AG59)</f>
        <v>62936.505413035</v>
      </c>
      <c r="AH60" s="15">
        <f>-MIN(AG72,AH59)</f>
        <v>58776.9450962957</v>
      </c>
      <c r="AI60" s="15">
        <f>-MIN(AH72,AI59)</f>
        <v>54627.7675591846</v>
      </c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20.05" customHeight="1">
      <c r="AD61" t="s" s="33">
        <v>36</v>
      </c>
      <c r="AE61" s="14"/>
      <c r="AF61" s="15">
        <f>F26</f>
        <v>178873</v>
      </c>
      <c r="AG61" s="15">
        <f>AF63</f>
        <v>178873</v>
      </c>
      <c r="AH61" s="15">
        <f>AG63</f>
        <v>178873</v>
      </c>
      <c r="AI61" s="15">
        <f>AH63</f>
        <v>178873</v>
      </c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20.05" customHeight="1">
      <c r="AD62" t="s" s="33">
        <v>37</v>
      </c>
      <c r="AE62" s="14"/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>
        <f>AI55+AI56+AI58+AI60</f>
        <v>0</v>
      </c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20.05" customHeight="1">
      <c r="AD63" t="s" s="33">
        <v>38</v>
      </c>
      <c r="AE63" s="14"/>
      <c r="AF63" s="15">
        <f>AF61+AF62</f>
        <v>178873</v>
      </c>
      <c r="AG63" s="15">
        <f>AG61+AG62</f>
        <v>178873</v>
      </c>
      <c r="AH63" s="15">
        <f>AH61+AH62</f>
        <v>178873</v>
      </c>
      <c r="AI63" s="15">
        <f>AI61+AI62</f>
        <v>178873</v>
      </c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20.05" customHeight="1">
      <c r="AD64" t="s" s="41">
        <v>4</v>
      </c>
      <c r="AE64" s="14"/>
      <c r="AF64" s="15"/>
      <c r="AG64" s="15"/>
      <c r="AH64" s="15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ht="20.05" customHeight="1">
      <c r="AD65" t="s" s="33">
        <v>3</v>
      </c>
      <c r="AE65" s="14"/>
      <c r="AF65" s="15">
        <f>-AVERAGE(D24:D26)</f>
        <v>-5055.366666666670</v>
      </c>
      <c r="AG65" s="15">
        <f>AF65</f>
        <v>-5055.366666666670</v>
      </c>
      <c r="AH65" s="15">
        <f>AG65</f>
        <v>-5055.366666666670</v>
      </c>
      <c r="AI65" s="15">
        <f>AH65</f>
        <v>-5055.366666666670</v>
      </c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20.05" customHeight="1">
      <c r="AD66" t="s" s="33">
        <v>4</v>
      </c>
      <c r="AE66" s="14"/>
      <c r="AF66" s="15">
        <f>(AF52*AF53)+AF65</f>
        <v>12505.5323920601</v>
      </c>
      <c r="AG66" s="15">
        <f>(AG52*AG53)+AG65</f>
        <v>11978.7054202983</v>
      </c>
      <c r="AH66" s="15">
        <f>(AH52*AH53)+AH65</f>
        <v>12319.3868620376</v>
      </c>
      <c r="AI66" s="15">
        <f>(AI52*AI53)+AI65</f>
        <v>12840.6294678987</v>
      </c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ht="20.05" customHeight="1">
      <c r="AD67" t="s" s="41">
        <v>39</v>
      </c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20.05" customHeight="1">
      <c r="AD68" t="s" s="33">
        <v>40</v>
      </c>
      <c r="AE68" s="14"/>
      <c r="AF68" s="15">
        <f>H26-F26-AF54</f>
        <v>1664056</v>
      </c>
      <c r="AG68" s="15">
        <f>AF68-AG54</f>
        <v>1667649</v>
      </c>
      <c r="AH68" s="15">
        <f>AG68-AH54</f>
        <v>1671242</v>
      </c>
      <c r="AI68" s="15">
        <f>AH68-AI54</f>
        <v>1674835</v>
      </c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20.05" customHeight="1">
      <c r="AD69" t="s" s="33">
        <v>41</v>
      </c>
      <c r="AE69" s="14"/>
      <c r="AF69" s="15">
        <f>0-AF65</f>
        <v>5055.366666666670</v>
      </c>
      <c r="AG69" s="15">
        <f>AF69-AG65</f>
        <v>10110.7333333333</v>
      </c>
      <c r="AH69" s="15">
        <f>AG69-AH65</f>
        <v>15166.1</v>
      </c>
      <c r="AI69" s="15">
        <f>AH69-AI65</f>
        <v>20221.4666666667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20.05" customHeight="1">
      <c r="AD70" t="s" s="33">
        <v>42</v>
      </c>
      <c r="AE70" s="14"/>
      <c r="AF70" s="15">
        <f>AF68-AF69</f>
        <v>1659000.63333333</v>
      </c>
      <c r="AG70" s="15">
        <f>AG68-AG69</f>
        <v>1657538.26666667</v>
      </c>
      <c r="AH70" s="15">
        <f>AH68-AH69</f>
        <v>1656075.9</v>
      </c>
      <c r="AI70" s="15">
        <f>AI68-AI69</f>
        <v>1654613.53333333</v>
      </c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20.05" customHeight="1">
      <c r="AD71" t="s" s="33">
        <v>6</v>
      </c>
      <c r="AE71" s="14"/>
      <c r="AF71" s="15">
        <f>G26+AF56</f>
        <v>1527551.55</v>
      </c>
      <c r="AG71" s="15">
        <f>AF71+AG56</f>
        <v>1451173.9725</v>
      </c>
      <c r="AH71" s="15">
        <f>AG71+AH56</f>
        <v>1378615.273875</v>
      </c>
      <c r="AI71" s="15">
        <f>AH71+AI56</f>
        <v>1309684.51018125</v>
      </c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20.05" customHeight="1">
      <c r="AD72" t="s" s="33">
        <v>35</v>
      </c>
      <c r="AE72" s="14"/>
      <c r="AF72" s="15">
        <f>AF60</f>
        <v>66429.550941273206</v>
      </c>
      <c r="AG72" s="15">
        <f>AF72+AG60</f>
        <v>129366.056354308</v>
      </c>
      <c r="AH72" s="15">
        <f>AG72+AH60</f>
        <v>188143.001450604</v>
      </c>
      <c r="AI72" s="15">
        <f>AH72+AI60</f>
        <v>242770.769009789</v>
      </c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20.05" customHeight="1">
      <c r="AD73" t="s" s="33">
        <v>11</v>
      </c>
      <c r="AE73" s="14"/>
      <c r="AF73" s="15">
        <f>(H26-G26)+AF66+AF58</f>
        <v>243892.53239206</v>
      </c>
      <c r="AG73" s="15">
        <f>AF73+AG66+AG58</f>
        <v>255871.237812358</v>
      </c>
      <c r="AH73" s="15">
        <f>AG73+AH66+AH58</f>
        <v>268190.624674396</v>
      </c>
      <c r="AI73" s="15">
        <f>AH73+AI66+AI58</f>
        <v>281031.254142295</v>
      </c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20.05" customHeight="1">
      <c r="AD74" t="s" s="33">
        <v>43</v>
      </c>
      <c r="AE74" s="14"/>
      <c r="AF74" s="15">
        <f>AF71+AF72+AF73-AF63-AF70</f>
        <v>3.2e-09</v>
      </c>
      <c r="AG74" s="15">
        <f>AG71+AG72+AG73-AG63-AG70</f>
        <v>-4e-09</v>
      </c>
      <c r="AH74" s="15">
        <f>AH71+AH72+AH73-AH63-AH70</f>
        <v>0</v>
      </c>
      <c r="AI74" s="15">
        <f>AI71+AI72+AI73-AI63-AI70</f>
        <v>4e-09</v>
      </c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20.05" customHeight="1">
      <c r="AD75" t="s" s="33">
        <v>18</v>
      </c>
      <c r="AE75" s="14"/>
      <c r="AF75" s="15">
        <f>AF63-AF71-AF72</f>
        <v>-1415108.10094127</v>
      </c>
      <c r="AG75" s="15">
        <f>AG63-AG71-AG72</f>
        <v>-1401667.02885431</v>
      </c>
      <c r="AH75" s="15">
        <f>AH63-AH71-AH72</f>
        <v>-1387885.2753256</v>
      </c>
      <c r="AI75" s="15">
        <f>AI63-AI71-AI72</f>
        <v>-1373582.27919104</v>
      </c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20.05" customHeight="1">
      <c r="AD76" t="s" s="33">
        <v>44</v>
      </c>
      <c r="AE76" s="14"/>
      <c r="AF76" s="15">
        <f>AF56+AF58+AF60</f>
        <v>-13967.8990587268</v>
      </c>
      <c r="AG76" s="15">
        <f>AG56+AG58+AG60</f>
        <v>-13441.072086965</v>
      </c>
      <c r="AH76" s="15">
        <f>AH56+AH58+AH60</f>
        <v>-13781.7535287043</v>
      </c>
      <c r="AI76" s="15">
        <f>AI56+AI58+AI60</f>
        <v>-14302.9961345654</v>
      </c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20.05" customHeight="1">
      <c r="AD77" t="s" s="33">
        <v>45</v>
      </c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20.05" customHeight="1">
      <c r="AD78" t="s" s="33">
        <f>Z$3</f>
        <v>500</v>
      </c>
      <c r="AE78" s="14"/>
      <c r="AF78" s="15"/>
      <c r="AG78" s="15"/>
      <c r="AH78" s="15"/>
      <c r="AI78" s="15">
        <v>9175</v>
      </c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20.05" customHeight="1">
      <c r="AD79" t="s" s="33">
        <f>$AD78</f>
        <v>500</v>
      </c>
      <c r="AE79" s="14"/>
      <c r="AF79" s="15"/>
      <c r="AG79" s="15"/>
      <c r="AH79" s="15"/>
      <c r="AI79" s="15">
        <v>428166961049600</v>
      </c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20.05" customHeight="1">
      <c r="AD80" t="s" s="33">
        <v>46</v>
      </c>
      <c r="AE80" s="14"/>
      <c r="AF80" s="15"/>
      <c r="AG80" s="15"/>
      <c r="AH80" s="15"/>
      <c r="AI80" s="15">
        <f>AI79/1000000000</f>
        <v>428166.9610496</v>
      </c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20.05" customHeight="1">
      <c r="AD81" t="s" s="33">
        <v>47</v>
      </c>
      <c r="AE81" s="14"/>
      <c r="AF81" s="15"/>
      <c r="AG81" s="15"/>
      <c r="AH81" s="15"/>
      <c r="AI81" s="15">
        <f>AI80/AI78</f>
        <v>46.666698752</v>
      </c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20.05" customHeight="1">
      <c r="AD82" t="s" s="33">
        <v>48</v>
      </c>
      <c r="AE82" s="14"/>
      <c r="AF82" s="15"/>
      <c r="AG82" s="15"/>
      <c r="AH82" s="15"/>
      <c r="AI82" s="43">
        <f>AI80/(AI63+AI70)</f>
        <v>0.233526100827793</v>
      </c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</row>
    <row r="83" ht="20.05" customHeight="1">
      <c r="AD83" t="s" s="33">
        <v>49</v>
      </c>
      <c r="AE83" s="14"/>
      <c r="AF83" s="15"/>
      <c r="AG83" s="15"/>
      <c r="AH83" s="15"/>
      <c r="AI83" s="16">
        <f>-(AF58+AG58+AH58+AI58)/AI80</f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ht="20.05" customHeight="1">
      <c r="AD84" t="s" s="33">
        <v>50</v>
      </c>
      <c r="AE84" s="14"/>
      <c r="AF84" s="15"/>
      <c r="AG84" s="15"/>
      <c r="AH84" s="15"/>
      <c r="AI84" s="15">
        <f>SUM(AF55:AI55)</f>
        <v>55493.7208089615</v>
      </c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20.05" customHeight="1">
      <c r="AD85" t="s" s="33">
        <v>51</v>
      </c>
      <c r="AE85" s="14"/>
      <c r="AF85" s="15"/>
      <c r="AG85" s="15"/>
      <c r="AH85" s="15"/>
      <c r="AI85" s="15">
        <f>AI70/AI84</f>
        <v>29.8162298222781</v>
      </c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20.05" customHeight="1">
      <c r="AD86" t="s" s="33">
        <v>52</v>
      </c>
      <c r="AE86" s="14"/>
      <c r="AF86" s="15"/>
      <c r="AG86" s="15"/>
      <c r="AH86" s="15">
        <f>AI80/AI84</f>
        <v>7.71559295012088</v>
      </c>
      <c r="AI86" s="15">
        <v>10</v>
      </c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20.05" customHeight="1">
      <c r="AD87" t="s" s="33">
        <v>53</v>
      </c>
      <c r="AE87" s="14"/>
      <c r="AF87" s="15"/>
      <c r="AG87" s="15"/>
      <c r="AH87" s="15"/>
      <c r="AI87" s="15">
        <f>AI84*AI86</f>
        <v>554937.208089615</v>
      </c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20.05" customHeight="1">
      <c r="AD88" t="s" s="33">
        <v>54</v>
      </c>
      <c r="AE88" s="14"/>
      <c r="AF88" s="15"/>
      <c r="AG88" s="15"/>
      <c r="AH88" s="15"/>
      <c r="AI88" s="15">
        <f>(AI87/AI81)</f>
        <v>11891.5034260021</v>
      </c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20.05" customHeight="1">
      <c r="AD89" t="s" s="33">
        <v>55</v>
      </c>
      <c r="AE89" s="38"/>
      <c r="AF89" s="23"/>
      <c r="AG89" s="23"/>
      <c r="AH89" s="23"/>
      <c r="AI89" s="16">
        <f>AI88/AI78-1</f>
        <v>0.296076667684153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ht="20.05" customHeight="1">
      <c r="AD90" t="s" s="33">
        <v>56</v>
      </c>
      <c r="AE90" s="38"/>
      <c r="AF90" s="23"/>
      <c r="AG90" s="23"/>
      <c r="AH90" s="23"/>
      <c r="AI90" s="16">
        <f>C26/C22-1</f>
        <v>0.150538128438681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ht="20.05" customHeight="1">
      <c r="AD91" t="s" s="33">
        <v>57</v>
      </c>
      <c r="AE91" s="38"/>
      <c r="AF91" s="23"/>
      <c r="AG91" s="23"/>
      <c r="AH91" s="23"/>
      <c r="AI91" s="16">
        <f>O28/N28-1</f>
        <v>-0.018619897053079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ht="20.05" customHeight="1">
      <c r="AD92" s="36"/>
      <c r="AE92" s="38"/>
      <c r="AF92" s="23"/>
      <c r="AG92" s="23"/>
      <c r="AH92" s="23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ht="20.05" customHeight="1">
      <c r="AD93" s="36"/>
      <c r="AE93" s="38"/>
      <c r="AF93" s="23"/>
      <c r="AG93" s="23"/>
      <c r="AH93" s="23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ht="20.05" customHeight="1">
      <c r="AD94" s="36"/>
      <c r="AE94" s="45"/>
      <c r="AF94" t="s" s="44">
        <f>$AD78</f>
        <v>500</v>
      </c>
      <c r="AG94" t="s" s="44">
        <v>60</v>
      </c>
      <c r="AH94" s="15">
        <f>AI78</f>
        <v>9175</v>
      </c>
      <c r="AI94" t="s" s="44">
        <v>61</v>
      </c>
      <c r="AJ94" s="15">
        <f>AI88</f>
        <v>11891.5034260021</v>
      </c>
      <c r="AK94" t="s" s="44">
        <f>IF(AL94&gt;0,"+","")</f>
        <v>361</v>
      </c>
      <c r="AL94" s="16">
        <f>AJ94/AH94-1</f>
        <v>0.296076667684153</v>
      </c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ht="20.05" customHeight="1">
      <c r="AD95" s="36"/>
      <c r="AE95" s="46"/>
      <c r="AF95" s="47">
        <f>TODAY()</f>
        <v>44942</v>
      </c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ht="32.05" customHeight="1">
      <c r="AD96" s="36"/>
      <c r="AE96" s="34"/>
      <c r="AF96" t="s" s="44">
        <v>62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ht="32.05" customHeight="1">
      <c r="AD97" s="36"/>
      <c r="AE97" s="34"/>
      <c r="AF97" t="s" s="44">
        <v>63</v>
      </c>
      <c r="AG97" t="s" s="44">
        <v>64</v>
      </c>
      <c r="AH97" t="s" s="44">
        <f>IF(AI97&gt;0,"+","")</f>
        <v>361</v>
      </c>
      <c r="AI97" s="16">
        <f>AJ104/AF104-1</f>
        <v>0.150538128438681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ht="32.05" customHeight="1">
      <c r="AD98" s="36"/>
      <c r="AE98" s="34"/>
      <c r="AF98" t="s" s="44">
        <v>63</v>
      </c>
      <c r="AG98" t="s" s="44">
        <v>65</v>
      </c>
      <c r="AH98" t="s" s="44">
        <f>IF(AI98&gt;0,"+","")</f>
      </c>
      <c r="AI98" s="16">
        <f>SUM(AG117:AJ118)/AG134</f>
        <v>-0.0508740794633069</v>
      </c>
      <c r="AJ98" t="s" s="44">
        <v>66</v>
      </c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ht="32.05" customHeight="1">
      <c r="AD99" s="36"/>
      <c r="AE99" s="34"/>
      <c r="AF99" t="s" s="44">
        <v>63</v>
      </c>
      <c r="AG99" t="s" s="44">
        <v>17</v>
      </c>
      <c r="AH99" t="s" s="44">
        <f>IF(AI99&gt;0,"+","")</f>
      </c>
      <c r="AI99" s="16">
        <f>SUM(AG131:AJ132)/AG134</f>
        <v>-0.0300607033491054</v>
      </c>
      <c r="AJ99" t="s" s="44">
        <f>AJ98</f>
        <v>66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ht="32.05" customHeight="1">
      <c r="AD100" s="36"/>
      <c r="AE100" s="34"/>
      <c r="AF100" t="s" s="44">
        <v>68</v>
      </c>
      <c r="AG100" t="s" s="44">
        <v>369</v>
      </c>
      <c r="AH100" s="16">
        <f>AQ127/AG134</f>
        <v>-3.33766060906893</v>
      </c>
      <c r="AI100" t="s" s="44">
        <f>AJ99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ht="20.05" customHeight="1">
      <c r="AD101" s="36"/>
      <c r="AE101" s="34"/>
      <c r="AF101" t="s" s="44">
        <v>28</v>
      </c>
      <c r="AG101" t="s" s="44">
        <f>AG105</f>
        <v>362</v>
      </c>
      <c r="AH101" s="16">
        <f>AH105</f>
        <v>0.0457510198648532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ht="32.05" customHeight="1">
      <c r="AD102" s="36"/>
      <c r="AE102" s="34"/>
      <c r="AF102" t="s" s="44">
        <v>70</v>
      </c>
      <c r="AG102" t="s" s="44">
        <v>371</v>
      </c>
      <c r="AH102" t="s" s="44">
        <f>AN105</f>
        <v>372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ht="20.05" customHeight="1">
      <c r="AD103" s="36"/>
      <c r="AE103" s="71"/>
      <c r="AF103" s="16">
        <f>P22</f>
        <v>0.0184925757704265</v>
      </c>
      <c r="AG103" s="16">
        <f>P23</f>
        <v>0.114994084607344</v>
      </c>
      <c r="AH103" s="16">
        <f>P24</f>
        <v>-0.0313914857451905</v>
      </c>
      <c r="AI103" s="16">
        <f>P25</f>
        <v>0.0187130584603604</v>
      </c>
      <c r="AJ103" s="16">
        <f>P26</f>
        <v>0.0457510198648532</v>
      </c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ht="20.05" customHeight="1">
      <c r="AD104" s="36"/>
      <c r="AE104" s="34"/>
      <c r="AF104" s="23">
        <f>C22</f>
        <v>34824.4</v>
      </c>
      <c r="AG104" s="23">
        <f>C23</f>
        <v>38829</v>
      </c>
      <c r="AH104" s="15">
        <f>C24</f>
        <v>37610.1</v>
      </c>
      <c r="AI104" s="15">
        <f>C25</f>
        <v>38313.9</v>
      </c>
      <c r="AJ104" s="15">
        <f>C26</f>
        <v>40066.8</v>
      </c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ht="44.05" customHeight="1">
      <c r="AD105" s="36"/>
      <c r="AE105" s="34"/>
      <c r="AF105" t="s" s="44">
        <v>2</v>
      </c>
      <c r="AG105" t="s" s="44">
        <f>IF(AH105&lt;0,"declined","grew")</f>
        <v>362</v>
      </c>
      <c r="AH105" s="16">
        <f>AJ104/AI104-1</f>
        <v>0.0457510198648532</v>
      </c>
      <c r="AI105" t="s" s="44">
        <v>73</v>
      </c>
      <c r="AJ105" t="s" s="44">
        <v>74</v>
      </c>
      <c r="AK105" t="s" s="44">
        <v>75</v>
      </c>
      <c r="AL105" t="s" s="44">
        <v>76</v>
      </c>
      <c r="AM105" s="15">
        <f>AJ104</f>
        <v>40066.8</v>
      </c>
      <c r="AN105" t="s" s="44">
        <v>372</v>
      </c>
      <c r="AO105" t="s" s="44">
        <v>378</v>
      </c>
      <c r="AP105" s="16">
        <f>AI91</f>
        <v>-0.018619897053079</v>
      </c>
      <c r="AQ105" t="s" s="44">
        <v>78</v>
      </c>
      <c r="AR105" s="17"/>
      <c r="AS105" s="17"/>
      <c r="AT105" s="17"/>
      <c r="AU105" s="17"/>
      <c r="AV105" s="17"/>
      <c r="AW105" s="17"/>
    </row>
    <row r="106" ht="56.05" customHeight="1">
      <c r="AD106" s="36"/>
      <c r="AE106" s="34"/>
      <c r="AF106" t="s" s="44">
        <v>79</v>
      </c>
      <c r="AG106" s="16">
        <f>AVERAGE(AG103:AJ103)</f>
        <v>0.0370166692968418</v>
      </c>
      <c r="AH106" t="s" s="44">
        <v>80</v>
      </c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ht="56.05" customHeight="1">
      <c r="AD107" s="36"/>
      <c r="AE107" s="34"/>
      <c r="AF107" t="s" s="44">
        <v>81</v>
      </c>
      <c r="AG107" s="35">
        <f>AI49</f>
        <v>0.0225</v>
      </c>
      <c r="AH107" t="s" s="44">
        <v>82</v>
      </c>
      <c r="AI107" t="s" s="44">
        <v>83</v>
      </c>
      <c r="AJ107" s="23">
        <f>AI52</f>
        <v>43689.549505032</v>
      </c>
      <c r="AK107" t="s" s="44">
        <f>AN105</f>
        <v>372</v>
      </c>
      <c r="AL107" t="s" s="44">
        <v>84</v>
      </c>
      <c r="AM107" t="s" s="44">
        <f>AJ105</f>
        <v>74</v>
      </c>
      <c r="AN107" t="s" s="44">
        <f>AK105</f>
        <v>75</v>
      </c>
      <c r="AO107" t="s" s="44">
        <v>85</v>
      </c>
      <c r="AP107" s="17"/>
      <c r="AQ107" s="17"/>
      <c r="AR107" s="17"/>
      <c r="AS107" s="17"/>
      <c r="AT107" s="17"/>
      <c r="AU107" s="17"/>
      <c r="AV107" s="17"/>
      <c r="AW107" s="17"/>
    </row>
    <row r="108" ht="20.05" customHeight="1">
      <c r="AD108" s="36"/>
      <c r="AE108" s="34"/>
      <c r="AF108" t="s" s="44">
        <v>14</v>
      </c>
      <c r="AG108" t="s" s="44">
        <f>IF(AI112&lt;AG112,"down","up")</f>
        <v>108</v>
      </c>
      <c r="AH108" t="s" s="44">
        <v>86</v>
      </c>
      <c r="AI108" t="s" s="44">
        <f>IF(AM112&gt;AK112,"up","down")</f>
        <v>108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ht="44.05" customHeight="1">
      <c r="AD109" s="36"/>
      <c r="AE109" s="34"/>
      <c r="AF109" t="s" s="44">
        <f>AF102</f>
        <v>70</v>
      </c>
      <c r="AG109" t="s" s="44">
        <v>88</v>
      </c>
      <c r="AH109" t="s" s="44">
        <f>AN105</f>
        <v>372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ht="20.05" customHeight="1">
      <c r="AD110" s="36"/>
      <c r="AE110" s="71"/>
      <c r="AF110" s="16">
        <f>(D22+E22)/C22</f>
        <v>0.379145082183756</v>
      </c>
      <c r="AG110" s="16">
        <f>(D23+E23)/C23</f>
        <v>0.380674238327024</v>
      </c>
      <c r="AH110" s="16">
        <f>((E24+D24)/C24)</f>
        <v>0.424159999574582</v>
      </c>
      <c r="AI110" s="16">
        <f>(D25+E25)/C25</f>
        <v>0.412338602961327</v>
      </c>
      <c r="AJ110" s="16">
        <f>(D26+E26)/C26</f>
        <v>0.421296434953627</v>
      </c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ht="20.05" customHeight="1">
      <c r="AD111" s="36"/>
      <c r="AE111" s="34"/>
      <c r="AF111" s="15">
        <f>E22</f>
        <v>7368.3</v>
      </c>
      <c r="AG111" s="15">
        <f>E23</f>
        <v>9497.6</v>
      </c>
      <c r="AH111" s="15">
        <f>E24</f>
        <v>10894.1</v>
      </c>
      <c r="AI111" s="15">
        <f>E25</f>
        <v>11149.9</v>
      </c>
      <c r="AJ111" s="15">
        <f>E26</f>
        <v>11420.9</v>
      </c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ht="44.05" customHeight="1">
      <c r="AD112" s="36"/>
      <c r="AE112" s="34"/>
      <c r="AF112" t="s" s="44">
        <v>89</v>
      </c>
      <c r="AG112" s="16">
        <f>AI110</f>
        <v>0.412338602961327</v>
      </c>
      <c r="AH112" t="s" s="44">
        <v>76</v>
      </c>
      <c r="AI112" s="16">
        <f>AJ110</f>
        <v>0.421296434953627</v>
      </c>
      <c r="AJ112" t="s" s="44">
        <v>90</v>
      </c>
      <c r="AK112" s="15">
        <f>AI111</f>
        <v>11149.9</v>
      </c>
      <c r="AL112" t="s" s="44">
        <v>76</v>
      </c>
      <c r="AM112" s="15">
        <f>AJ111</f>
        <v>11420.9</v>
      </c>
      <c r="AN112" t="s" s="44">
        <f>AK107</f>
        <v>372</v>
      </c>
      <c r="AO112" t="s" s="44">
        <v>73</v>
      </c>
      <c r="AP112" t="s" s="44">
        <f>AM107</f>
        <v>74</v>
      </c>
      <c r="AQ112" t="s" s="44">
        <v>91</v>
      </c>
      <c r="AR112" s="17"/>
      <c r="AS112" s="17"/>
      <c r="AT112" s="17"/>
      <c r="AU112" s="17"/>
      <c r="AV112" s="17"/>
      <c r="AW112" s="17"/>
    </row>
    <row r="113" ht="68.05" customHeight="1">
      <c r="AD113" s="36"/>
      <c r="AE113" s="34"/>
      <c r="AF113" t="s" s="44">
        <v>92</v>
      </c>
      <c r="AG113" s="16">
        <f>AVERAGE(AG110:AJ110)</f>
        <v>0.40961731895414</v>
      </c>
      <c r="AH113" t="s" s="44">
        <v>78</v>
      </c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ht="44.05" customHeight="1">
      <c r="AD114" s="36"/>
      <c r="AE114" s="34"/>
      <c r="AF114" t="s" s="44">
        <v>93</v>
      </c>
      <c r="AG114" s="35">
        <f>AF53</f>
        <v>0.40961731895414</v>
      </c>
      <c r="AH114" t="s" s="44">
        <v>94</v>
      </c>
      <c r="AI114" s="15">
        <f>AI66</f>
        <v>12840.6294678987</v>
      </c>
      <c r="AJ114" t="s" s="44">
        <f>AN112</f>
        <v>372</v>
      </c>
      <c r="AK114" t="s" s="44">
        <v>95</v>
      </c>
      <c r="AL114" t="s" s="44">
        <f>AP112</f>
        <v>74</v>
      </c>
      <c r="AM114" t="s" s="44">
        <f>AK105</f>
        <v>75</v>
      </c>
      <c r="AN114" t="s" s="44">
        <f>AO107</f>
        <v>85</v>
      </c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ht="20.05" customHeight="1">
      <c r="AD115" s="36"/>
      <c r="AE115" s="34"/>
      <c r="AF115" t="s" s="44">
        <v>15</v>
      </c>
      <c r="AG115" t="s" s="44">
        <f>IF(AI119&lt;AG119,"lower","higher")</f>
        <v>363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ht="56.05" customHeight="1">
      <c r="AD116" s="36"/>
      <c r="AE116" s="34"/>
      <c r="AF116" t="s" s="44">
        <f>AF109</f>
        <v>70</v>
      </c>
      <c r="AG116" t="s" s="44">
        <v>96</v>
      </c>
      <c r="AH116" t="s" s="44">
        <f>AN105</f>
        <v>372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ht="20.05" customHeight="1">
      <c r="AD117" s="36"/>
      <c r="AE117" s="34"/>
      <c r="AF117" s="15">
        <f>J22</f>
        <v>67957.5</v>
      </c>
      <c r="AG117" s="15">
        <f>J23</f>
        <v>17529.5</v>
      </c>
      <c r="AH117" s="15">
        <f>J24</f>
        <v>-7315.3</v>
      </c>
      <c r="AI117" s="15">
        <f>J25</f>
        <v>8549.299999999999</v>
      </c>
      <c r="AJ117" s="15">
        <f>J26</f>
        <v>6449.1</v>
      </c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ht="20.05" customHeight="1">
      <c r="AD118" s="36"/>
      <c r="AE118" s="34"/>
      <c r="AF118" s="15">
        <f>K22</f>
        <v>-62533.5</v>
      </c>
      <c r="AG118" s="15">
        <f>K23</f>
        <v>-9872.1</v>
      </c>
      <c r="AH118" s="15">
        <f>K24</f>
        <v>-29823.3</v>
      </c>
      <c r="AI118" s="15">
        <f>K25</f>
        <v>-11583.7</v>
      </c>
      <c r="AJ118" s="15">
        <f>K26</f>
        <v>4283.9</v>
      </c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ht="44.05" customHeight="1">
      <c r="AD119" s="36"/>
      <c r="AE119" s="34"/>
      <c r="AF119" t="s" s="44">
        <v>97</v>
      </c>
      <c r="AG119" s="15">
        <f>AI117+AI118</f>
        <v>-3034.4</v>
      </c>
      <c r="AH119" t="s" s="44">
        <v>76</v>
      </c>
      <c r="AI119" s="15">
        <f>AJ117+AJ118</f>
        <v>10733</v>
      </c>
      <c r="AJ119" t="s" s="44">
        <f>AJ114</f>
        <v>372</v>
      </c>
      <c r="AK119" t="s" s="44">
        <v>84</v>
      </c>
      <c r="AL119" t="s" s="44">
        <f>AL114</f>
        <v>74</v>
      </c>
      <c r="AM119" t="s" s="44">
        <v>98</v>
      </c>
      <c r="AN119" s="15">
        <f>AJ118</f>
        <v>4283.9</v>
      </c>
      <c r="AO119" t="s" s="44">
        <f>AN105</f>
        <v>372</v>
      </c>
      <c r="AP119" t="s" s="44">
        <v>99</v>
      </c>
      <c r="AQ119" s="17"/>
      <c r="AR119" s="17"/>
      <c r="AS119" s="17"/>
      <c r="AT119" s="17"/>
      <c r="AU119" s="17"/>
      <c r="AV119" s="17"/>
      <c r="AW119" s="17"/>
    </row>
    <row r="120" ht="56.05" customHeight="1">
      <c r="AD120" s="36"/>
      <c r="AE120" s="34"/>
      <c r="AF120" t="s" s="44">
        <v>100</v>
      </c>
      <c r="AG120" s="15">
        <f>SUM(AG117:AJ118)/4</f>
        <v>-5445.65</v>
      </c>
      <c r="AH120" t="s" s="44">
        <f>AN105</f>
        <v>372</v>
      </c>
      <c r="AI120" t="s" s="44">
        <v>78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ht="44.05" customHeight="1">
      <c r="AD121" s="36"/>
      <c r="AE121" s="34"/>
      <c r="AF121" t="s" s="44">
        <v>101</v>
      </c>
      <c r="AG121" s="15">
        <f>AF54</f>
        <v>-3593</v>
      </c>
      <c r="AH121" t="s" s="44">
        <f>AH120</f>
        <v>372</v>
      </c>
      <c r="AI121" t="s" s="44">
        <v>102</v>
      </c>
      <c r="AJ121" t="s" s="44">
        <v>103</v>
      </c>
      <c r="AK121" t="s" s="44">
        <f>IF(AJ107&gt;AM105,"higher","lower")</f>
        <v>363</v>
      </c>
      <c r="AL121" t="s" s="44">
        <v>105</v>
      </c>
      <c r="AM121" s="15">
        <f>SUM(AF55:AI55)/4</f>
        <v>13873.4302022404</v>
      </c>
      <c r="AN121" t="s" s="44">
        <f>AH121</f>
        <v>372</v>
      </c>
      <c r="AO121" t="s" s="44">
        <v>106</v>
      </c>
      <c r="AP121" t="s" s="44">
        <v>107</v>
      </c>
      <c r="AQ121" s="17"/>
      <c r="AR121" s="17"/>
      <c r="AS121" s="17"/>
      <c r="AT121" s="17"/>
      <c r="AU121" s="17"/>
      <c r="AV121" s="17"/>
      <c r="AW121" s="17"/>
    </row>
    <row r="122" ht="20.05" customHeight="1">
      <c r="AD122" s="36"/>
      <c r="AE122" s="34"/>
      <c r="AF122" t="s" s="44">
        <v>18</v>
      </c>
      <c r="AG122" t="s" s="44">
        <f>AN127</f>
        <v>87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ht="32.05" customHeight="1">
      <c r="AD123" s="36"/>
      <c r="AE123" s="34"/>
      <c r="AF123" t="s" s="44">
        <f>AF102</f>
        <v>70</v>
      </c>
      <c r="AG123" t="s" s="44">
        <v>109</v>
      </c>
      <c r="AH123" t="s" s="44">
        <f>AN105</f>
        <v>372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ht="20.05" customHeight="1">
      <c r="AD124" s="36"/>
      <c r="AE124" s="34"/>
      <c r="AF124" s="15">
        <f>F22</f>
        <v>194342.1</v>
      </c>
      <c r="AG124" s="15">
        <f>F23</f>
        <v>195879</v>
      </c>
      <c r="AH124" s="15">
        <f>F24</f>
        <v>160688.3</v>
      </c>
      <c r="AI124" s="15">
        <f>F25</f>
        <v>153943</v>
      </c>
      <c r="AJ124" s="15">
        <f>F26</f>
        <v>178873</v>
      </c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ht="20.05" customHeight="1">
      <c r="AD125" s="36"/>
      <c r="AE125" s="34"/>
      <c r="AF125" s="15">
        <f>G22</f>
        <v>1425125</v>
      </c>
      <c r="AG125" s="15">
        <f>G23</f>
        <v>1503500</v>
      </c>
      <c r="AH125" s="15">
        <f>G24</f>
        <v>1520715</v>
      </c>
      <c r="AI125" s="15">
        <f>G25</f>
        <v>1564887</v>
      </c>
      <c r="AJ125" s="15">
        <f>G26</f>
        <v>1607949</v>
      </c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ht="32.05" customHeight="1">
      <c r="AD126" s="36"/>
      <c r="AE126" s="34"/>
      <c r="AF126" t="s" s="44">
        <v>110</v>
      </c>
      <c r="AG126" t="s" s="44">
        <f>IF(AJ126&lt;AH126,"declined","increased")</f>
        <v>111</v>
      </c>
      <c r="AH126" s="15">
        <f>AI124</f>
        <v>153943</v>
      </c>
      <c r="AI126" t="s" s="44">
        <v>76</v>
      </c>
      <c r="AJ126" s="15">
        <f>AJ124</f>
        <v>178873</v>
      </c>
      <c r="AK126" t="s" s="44">
        <f>AN121</f>
        <v>372</v>
      </c>
      <c r="AL126" t="s" s="44">
        <v>84</v>
      </c>
      <c r="AM126" t="s" s="44">
        <f>AJ105</f>
        <v>74</v>
      </c>
      <c r="AN126" t="s" s="44">
        <f>AQ112</f>
        <v>91</v>
      </c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ht="32.05" customHeight="1">
      <c r="AD127" s="36"/>
      <c r="AE127" s="34"/>
      <c r="AF127" t="s" s="44">
        <v>112</v>
      </c>
      <c r="AG127" t="s" s="44">
        <f>IF(AJ127&lt;AH127,"declined","increased")</f>
        <v>111</v>
      </c>
      <c r="AH127" s="15">
        <f>AI125</f>
        <v>1564887</v>
      </c>
      <c r="AI127" t="s" s="44">
        <v>76</v>
      </c>
      <c r="AJ127" s="15">
        <f>AJ125</f>
        <v>1607949</v>
      </c>
      <c r="AK127" t="s" s="44">
        <f>AK126</f>
        <v>372</v>
      </c>
      <c r="AL127" t="s" s="44">
        <v>113</v>
      </c>
      <c r="AM127" t="s" s="44">
        <v>114</v>
      </c>
      <c r="AN127" t="s" s="44">
        <f>IF(AQ127&lt;AO127,"down","up")</f>
        <v>87</v>
      </c>
      <c r="AO127" s="15">
        <f>AH126-AH127</f>
        <v>-1410944</v>
      </c>
      <c r="AP127" t="s" s="44">
        <v>76</v>
      </c>
      <c r="AQ127" s="15">
        <f>AJ126-AJ127</f>
        <v>-1429076</v>
      </c>
      <c r="AR127" t="s" s="44">
        <f>AK127</f>
        <v>372</v>
      </c>
      <c r="AS127" t="s" s="44">
        <v>115</v>
      </c>
      <c r="AT127" s="17"/>
      <c r="AU127" s="17"/>
      <c r="AV127" s="17"/>
      <c r="AW127" s="17"/>
    </row>
    <row r="128" ht="56.05" customHeight="1">
      <c r="AD128" s="36"/>
      <c r="AE128" s="34"/>
      <c r="AF128" t="s" s="44">
        <v>116</v>
      </c>
      <c r="AG128" s="15">
        <f>SUM(AF58:AI58)</f>
        <v>0</v>
      </c>
      <c r="AH128" t="s" s="44">
        <f>AK127</f>
        <v>372</v>
      </c>
      <c r="AI128" t="s" s="44">
        <v>117</v>
      </c>
      <c r="AJ128" t="s" s="44">
        <f>IF(AK128&gt;0,"+","")</f>
      </c>
      <c r="AK128" s="15">
        <f>AF56+AG56+AH56+AI56+AF60+AG60+AH60+AI60</f>
        <v>-55493.7208089615</v>
      </c>
      <c r="AL128" t="s" s="44">
        <f>AR127</f>
        <v>372</v>
      </c>
      <c r="AM128" t="s" s="44">
        <v>118</v>
      </c>
      <c r="AN128" t="s" s="44">
        <v>119</v>
      </c>
      <c r="AO128" s="15">
        <f>AI75</f>
        <v>-1373582.27919104</v>
      </c>
      <c r="AP128" t="s" s="44">
        <f>AK127</f>
        <v>372</v>
      </c>
      <c r="AQ128" t="s" s="44">
        <v>120</v>
      </c>
      <c r="AR128" s="17"/>
      <c r="AS128" s="17"/>
      <c r="AT128" s="17"/>
      <c r="AU128" s="17"/>
      <c r="AV128" s="17"/>
      <c r="AW128" s="17"/>
    </row>
    <row r="129" ht="20.05" customHeight="1">
      <c r="AD129" s="36"/>
      <c r="AE129" s="34"/>
      <c r="AF129" t="s" s="44">
        <v>17</v>
      </c>
      <c r="AG129" t="s" s="44">
        <f>AG133</f>
        <v>121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ht="56.05" customHeight="1">
      <c r="AD130" s="36"/>
      <c r="AE130" s="34"/>
      <c r="AF130" t="s" s="44">
        <f>AF102</f>
        <v>70</v>
      </c>
      <c r="AG130" t="s" s="44">
        <v>379</v>
      </c>
      <c r="AH130" t="s" s="44">
        <f>AN105</f>
        <v>372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ht="20.05" customHeight="1">
      <c r="AD131" s="36"/>
      <c r="AE131" s="34"/>
      <c r="AF131" s="15">
        <f>-L22</f>
        <v>4288</v>
      </c>
      <c r="AG131" s="15">
        <f>-L23</f>
        <v>-1238</v>
      </c>
      <c r="AH131" s="15">
        <f>-L24</f>
        <v>-18764.8</v>
      </c>
      <c r="AI131" s="15">
        <f>-L25</f>
        <v>3861.8</v>
      </c>
      <c r="AJ131" s="15">
        <f>-L26</f>
        <v>-13546.9</v>
      </c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ht="20.05" customHeight="1">
      <c r="AD132" s="36"/>
      <c r="AE132" s="34"/>
      <c r="AF132" s="15">
        <f>-M22</f>
        <v>244</v>
      </c>
      <c r="AG132" s="15">
        <f>-M23</f>
        <v>0</v>
      </c>
      <c r="AH132" s="15">
        <f>-M24</f>
        <v>16816.9</v>
      </c>
      <c r="AI132" s="15">
        <f>-M25</f>
        <v>-150.9</v>
      </c>
      <c r="AJ132" s="15">
        <f>-M26</f>
        <v>150.9</v>
      </c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ht="44.05" customHeight="1">
      <c r="AD133" s="36"/>
      <c r="AE133" s="34"/>
      <c r="AF133" t="s" s="44">
        <f>AF94</f>
        <v>500</v>
      </c>
      <c r="AG133" t="s" s="44">
        <f>IF(AH133&gt;0,"paid","(raised)")</f>
        <v>121</v>
      </c>
      <c r="AH133" s="15">
        <f>SUM(AJ131:AJ132)</f>
        <v>-13396</v>
      </c>
      <c r="AI133" t="s" s="44">
        <f>AN105</f>
        <v>372</v>
      </c>
      <c r="AJ133" t="s" s="44">
        <f>AI105</f>
        <v>73</v>
      </c>
      <c r="AK133" t="s" s="44">
        <f>AJ105</f>
        <v>74</v>
      </c>
      <c r="AL133" t="s" s="44">
        <f>AK105</f>
        <v>75</v>
      </c>
      <c r="AM133" s="15">
        <f>AJ131</f>
        <v>-13546.9</v>
      </c>
      <c r="AN133" t="s" s="44">
        <f>AN105</f>
        <v>372</v>
      </c>
      <c r="AO133" t="s" s="44">
        <v>123</v>
      </c>
      <c r="AP133" s="15">
        <f>AJ132</f>
        <v>150.9</v>
      </c>
      <c r="AQ133" t="s" s="44">
        <f>AN105</f>
        <v>372</v>
      </c>
      <c r="AR133" t="s" s="44">
        <v>124</v>
      </c>
      <c r="AS133" t="s" s="44">
        <v>125</v>
      </c>
      <c r="AT133" t="s" s="44">
        <f>IF(AU133&gt;0,"pay","raise")</f>
        <v>364</v>
      </c>
      <c r="AU133" s="15">
        <f>-SUM(AF76:AI76)</f>
        <v>55493.7208089615</v>
      </c>
      <c r="AV133" t="s" s="44">
        <f>AN105</f>
        <v>372</v>
      </c>
      <c r="AW133" t="s" s="44">
        <v>126</v>
      </c>
    </row>
    <row r="134" ht="56.05" customHeight="1">
      <c r="AD134" s="36"/>
      <c r="AE134" s="34"/>
      <c r="AF134" t="s" s="44">
        <v>375</v>
      </c>
      <c r="AG134" s="15">
        <f>AI80</f>
        <v>428166.9610496</v>
      </c>
      <c r="AH134" t="s" s="44">
        <f>AN105</f>
        <v>372</v>
      </c>
      <c r="AI134" t="s" s="44">
        <v>128</v>
      </c>
      <c r="AJ134" t="s" s="44">
        <v>129</v>
      </c>
      <c r="AK134" s="43">
        <f>AI82</f>
        <v>0.233526100827793</v>
      </c>
      <c r="AL134" t="s" s="44">
        <v>130</v>
      </c>
      <c r="AM134" t="s" s="44">
        <v>131</v>
      </c>
      <c r="AN134" t="s" s="44">
        <v>132</v>
      </c>
      <c r="AO134" s="15">
        <f>AI85</f>
        <v>29.8162298222781</v>
      </c>
      <c r="AP134" t="s" s="44">
        <v>133</v>
      </c>
      <c r="AQ134" s="16">
        <f>-AG128/AG134</f>
        <v>0</v>
      </c>
      <c r="AR134" t="s" s="44">
        <v>134</v>
      </c>
      <c r="AS134" s="17"/>
      <c r="AT134" s="17"/>
      <c r="AU134" s="17"/>
      <c r="AV134" s="17"/>
      <c r="AW134" s="17"/>
    </row>
    <row r="135" ht="56.05" customHeight="1">
      <c r="AD135" s="36"/>
      <c r="AE135" s="34"/>
      <c r="AF135" t="s" s="44">
        <v>135</v>
      </c>
      <c r="AG135" s="15">
        <f>AI84</f>
        <v>55493.7208089615</v>
      </c>
      <c r="AH135" t="s" s="44">
        <f>AH134</f>
        <v>372</v>
      </c>
      <c r="AI135" t="s" s="44">
        <v>136</v>
      </c>
      <c r="AJ135" s="15">
        <f>AG134/AG135</f>
        <v>7.71559295012088</v>
      </c>
      <c r="AK135" t="s" s="44">
        <v>130</v>
      </c>
      <c r="AL135" t="s" s="44">
        <v>137</v>
      </c>
      <c r="AM135" t="s" s="44">
        <v>138</v>
      </c>
      <c r="AN135" s="15">
        <f>AI86</f>
        <v>10</v>
      </c>
      <c r="AO135" t="s" s="44">
        <v>139</v>
      </c>
      <c r="AP135" t="s" s="44">
        <v>140</v>
      </c>
      <c r="AQ135" t="s" s="44">
        <v>141</v>
      </c>
      <c r="AR135" s="16">
        <f>AL94</f>
        <v>0.296076667684153</v>
      </c>
      <c r="AS135" t="s" s="44">
        <f>IF(AR135&gt;0,"higher","lower")</f>
        <v>363</v>
      </c>
      <c r="AT135" t="s" s="44">
        <v>142</v>
      </c>
      <c r="AU135" s="15">
        <f>AJ94</f>
        <v>11891.5034260021</v>
      </c>
      <c r="AV135" t="s" s="44">
        <v>143</v>
      </c>
      <c r="AW135" s="17"/>
    </row>
    <row r="136" ht="20.05" customHeight="1">
      <c r="AD136" s="36"/>
      <c r="AE136" s="34"/>
      <c r="AF136" s="17"/>
      <c r="AG136" s="17"/>
      <c r="AH136" s="17"/>
      <c r="AI136" s="17"/>
      <c r="AJ136" s="15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ht="20.05" customHeight="1">
      <c r="AD137" t="s" s="33">
        <v>28</v>
      </c>
      <c r="AE137" s="38">
        <f>AF104</f>
        <v>34824.4</v>
      </c>
      <c r="AF137" s="23">
        <f>AG104</f>
        <v>38829</v>
      </c>
      <c r="AG137" s="15">
        <f>AH104</f>
        <v>37610.1</v>
      </c>
      <c r="AH137" s="15">
        <f>AI104</f>
        <v>38313.9</v>
      </c>
      <c r="AI137" s="15">
        <f>AJ104</f>
        <v>40066.8</v>
      </c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ht="20.05" customHeight="1">
      <c r="AD138" t="s" s="33">
        <v>144</v>
      </c>
      <c r="AE138" s="14">
        <f>SUM(AF117:AF118)</f>
        <v>5424</v>
      </c>
      <c r="AF138" s="15">
        <f>SUM(AG117:AG118)</f>
        <v>7657.4</v>
      </c>
      <c r="AG138" s="15">
        <f>SUM(AH117:AH118)</f>
        <v>-37138.6</v>
      </c>
      <c r="AH138" s="15">
        <f>SUM(AI117:AI118)</f>
        <v>-3034.4</v>
      </c>
      <c r="AI138" s="15">
        <f>SUM(AJ117:AJ118)</f>
        <v>10733</v>
      </c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ht="20.05" customHeight="1">
      <c r="AD139" t="s" s="33">
        <v>145</v>
      </c>
      <c r="AE139" s="14">
        <f>SUM(AF131:AF132)</f>
        <v>4532</v>
      </c>
      <c r="AF139" s="15">
        <f>SUM(AG131:AG132)</f>
        <v>-1238</v>
      </c>
      <c r="AG139" s="15">
        <f>SUM(AH131:AH132)</f>
        <v>-1947.9</v>
      </c>
      <c r="AH139" s="15">
        <f>SUM(AI131:AI132)</f>
        <v>3710.9</v>
      </c>
      <c r="AI139" s="15">
        <f>SUM(AJ131:AJ132)</f>
        <v>-13396</v>
      </c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ht="20.05" customHeight="1">
      <c r="AD140" t="s" s="33">
        <v>146</v>
      </c>
      <c r="AE140" s="14">
        <f>(AF124-AF125)</f>
        <v>-1230782.9</v>
      </c>
      <c r="AF140" s="15">
        <f>(AG124-AG125)</f>
        <v>-1307621</v>
      </c>
      <c r="AG140" s="15">
        <f>(AH124-AH125)</f>
        <v>-1360026.7</v>
      </c>
      <c r="AH140" s="15">
        <f>(AI124-AI125)</f>
        <v>-1410944</v>
      </c>
      <c r="AI140" s="15">
        <f>(AJ124-AJ125)</f>
        <v>-1429076</v>
      </c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ht="20.05" customHeight="1">
      <c r="AD141" s="36"/>
      <c r="AE141" s="34"/>
      <c r="AF141" s="17"/>
      <c r="AG141" s="17"/>
      <c r="AH141" s="17"/>
      <c r="AI141" s="15">
        <f>AU135</f>
        <v>11891.5034260021</v>
      </c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ht="20.05" customHeight="1">
      <c r="AD142" s="36"/>
      <c r="AE142" s="34"/>
      <c r="AF142" s="17"/>
      <c r="AG142" s="17"/>
      <c r="AH142" s="17"/>
      <c r="AI142" s="17"/>
      <c r="AJ142" s="15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ht="20.05" customHeight="1">
      <c r="AD143" s="36"/>
      <c r="AE143" s="34"/>
      <c r="AF143" s="17"/>
      <c r="AG143" s="17"/>
      <c r="AH143" s="17"/>
      <c r="AI143" s="17"/>
      <c r="AJ143" s="15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ht="20.05" customHeight="1">
      <c r="AD144" s="36"/>
      <c r="AE144" s="34"/>
      <c r="AF144" s="17"/>
      <c r="AG144" s="17"/>
      <c r="AH144" s="17"/>
      <c r="AI144" s="17"/>
      <c r="AJ144" s="15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ht="20.05" customHeight="1">
      <c r="AD145" s="36"/>
      <c r="AE145" s="34"/>
      <c r="AF145" s="17"/>
      <c r="AG145" s="17"/>
      <c r="AH145" s="17"/>
      <c r="AI145" s="17"/>
      <c r="AJ145" s="15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ht="20.05" customHeight="1">
      <c r="AD146" s="36"/>
      <c r="AE146" s="34"/>
      <c r="AF146" s="17"/>
      <c r="AG146" s="17"/>
      <c r="AH146" s="17"/>
      <c r="AI146" s="17"/>
      <c r="AJ146" s="15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ht="20.05" customHeight="1">
      <c r="AD147" s="36"/>
      <c r="AE147" s="34"/>
      <c r="AF147" s="17"/>
      <c r="AG147" s="17"/>
      <c r="AH147" s="17"/>
      <c r="AI147" s="17"/>
      <c r="AJ147" s="15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ht="20.05" customHeight="1">
      <c r="AD148" s="36"/>
      <c r="AE148" s="34"/>
      <c r="AF148" s="17"/>
      <c r="AG148" s="17"/>
      <c r="AH148" s="17"/>
      <c r="AI148" s="17"/>
      <c r="AJ148" s="15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</sheetData>
  <mergeCells count="2">
    <mergeCell ref="B2:AC2"/>
    <mergeCell ref="AD46:AW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31" customWidth="1"/>
    <col min="2" max="28" width="10.4844" style="131" customWidth="1"/>
    <col min="29" max="29" width="18.9766" style="132" customWidth="1"/>
    <col min="30" max="48" width="9" style="132" customWidth="1"/>
    <col min="49" max="16384" width="16.3516" style="132" customWidth="1"/>
  </cols>
  <sheetData>
    <row r="1" ht="11.65" customHeight="1"/>
    <row r="2" ht="27.65" customHeight="1">
      <c r="B2" t="s" s="2">
        <v>501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167</v>
      </c>
      <c r="AA3" t="s" s="3">
        <v>19</v>
      </c>
      <c r="AB3" t="s" s="3">
        <v>20</v>
      </c>
    </row>
    <row r="4" ht="20.25" customHeight="1">
      <c r="B4" s="6">
        <v>2017</v>
      </c>
      <c r="C4" s="7">
        <v>2489.2</v>
      </c>
      <c r="D4" s="59">
        <v>377.8</v>
      </c>
      <c r="E4" s="59">
        <v>210.4</v>
      </c>
      <c r="F4" s="59">
        <v>982</v>
      </c>
      <c r="G4" s="59">
        <v>10787</v>
      </c>
      <c r="H4" s="59">
        <v>24700</v>
      </c>
      <c r="I4" s="59">
        <v>2491.5</v>
      </c>
      <c r="J4" s="59">
        <v>730.9</v>
      </c>
      <c r="K4" s="59">
        <v>-398.5</v>
      </c>
      <c r="L4" s="59">
        <v>-24.2</v>
      </c>
      <c r="M4" s="59">
        <v>17.83075</v>
      </c>
      <c r="N4" s="59"/>
      <c r="O4" s="59"/>
      <c r="P4" s="9"/>
      <c r="Q4" s="9"/>
      <c r="R4" s="9"/>
      <c r="S4" s="9"/>
      <c r="T4" s="9"/>
      <c r="U4" s="9"/>
      <c r="V4" s="59">
        <f>-(L4+M4)</f>
        <v>6.36925</v>
      </c>
      <c r="W4" s="9"/>
      <c r="X4" s="59">
        <f>F4-G4</f>
        <v>-9805</v>
      </c>
      <c r="Y4" s="9"/>
      <c r="Z4" s="59"/>
      <c r="AA4" s="11"/>
      <c r="AB4" s="12">
        <v>13.3</v>
      </c>
    </row>
    <row r="5" ht="20.05" customHeight="1">
      <c r="B5" s="13"/>
      <c r="C5" s="14">
        <v>3005.4</v>
      </c>
      <c r="D5" s="26">
        <v>411.9</v>
      </c>
      <c r="E5" s="26">
        <v>396.8</v>
      </c>
      <c r="F5" s="26">
        <v>753</v>
      </c>
      <c r="G5" s="26">
        <v>13345</v>
      </c>
      <c r="H5" s="26">
        <v>26874</v>
      </c>
      <c r="I5" s="26">
        <v>2914.6</v>
      </c>
      <c r="J5" s="26">
        <v>213.7</v>
      </c>
      <c r="K5" s="26">
        <v>-1029</v>
      </c>
      <c r="L5" s="26">
        <v>-15.2</v>
      </c>
      <c r="M5" s="26">
        <v>205.39925</v>
      </c>
      <c r="N5" s="26"/>
      <c r="O5" s="26"/>
      <c r="P5" s="16"/>
      <c r="Q5" s="17"/>
      <c r="R5" s="17"/>
      <c r="S5" s="17"/>
      <c r="T5" s="17"/>
      <c r="U5" s="17"/>
      <c r="V5" s="26">
        <f>-(L5+M5)+V4</f>
        <v>-183.83</v>
      </c>
      <c r="W5" s="17"/>
      <c r="X5" s="26">
        <f>F5-G5</f>
        <v>-12592</v>
      </c>
      <c r="Y5" s="17"/>
      <c r="Z5" s="26"/>
      <c r="AA5" s="19"/>
      <c r="AB5" s="20">
        <v>13.327</v>
      </c>
    </row>
    <row r="6" ht="20.05" customHeight="1">
      <c r="B6" s="13"/>
      <c r="C6" s="14">
        <v>2695</v>
      </c>
      <c r="D6" s="26">
        <v>380.1</v>
      </c>
      <c r="E6" s="26">
        <v>307.9</v>
      </c>
      <c r="F6" s="26">
        <v>841</v>
      </c>
      <c r="G6" s="26">
        <v>13562</v>
      </c>
      <c r="H6" s="26">
        <v>27466</v>
      </c>
      <c r="I6" s="26">
        <v>2643.8</v>
      </c>
      <c r="J6" s="26">
        <v>673.9</v>
      </c>
      <c r="K6" s="26">
        <v>-359.5</v>
      </c>
      <c r="L6" s="26">
        <v>0</v>
      </c>
      <c r="M6" s="26">
        <v>-422.09225</v>
      </c>
      <c r="N6" s="26"/>
      <c r="O6" s="26"/>
      <c r="P6" s="16"/>
      <c r="Q6" s="17"/>
      <c r="R6" s="17"/>
      <c r="S6" s="17"/>
      <c r="T6" s="17"/>
      <c r="U6" s="17"/>
      <c r="V6" s="26">
        <f>-(L6+M6)+V5</f>
        <v>238.26225</v>
      </c>
      <c r="W6" s="17"/>
      <c r="X6" s="26">
        <f>F6-G6</f>
        <v>-12721</v>
      </c>
      <c r="Y6" s="17"/>
      <c r="Z6" s="26"/>
      <c r="AA6" s="19"/>
      <c r="AB6" s="20">
        <v>13.305</v>
      </c>
    </row>
    <row r="7" ht="20.05" customHeight="1">
      <c r="B7" s="13"/>
      <c r="C7" s="14">
        <v>2639.8</v>
      </c>
      <c r="D7" s="26">
        <v>274.4</v>
      </c>
      <c r="E7" s="26">
        <v>139</v>
      </c>
      <c r="F7" s="26">
        <v>767</v>
      </c>
      <c r="G7" s="26">
        <v>13569</v>
      </c>
      <c r="H7" s="26">
        <v>27695</v>
      </c>
      <c r="I7" s="26">
        <v>2776.4</v>
      </c>
      <c r="J7" s="26">
        <v>2678.7</v>
      </c>
      <c r="K7" s="26">
        <v>-2700.3</v>
      </c>
      <c r="L7" s="26">
        <v>-35.8</v>
      </c>
      <c r="M7" s="26">
        <v>-238.90175</v>
      </c>
      <c r="N7" s="26"/>
      <c r="O7" s="26"/>
      <c r="P7" s="16"/>
      <c r="Q7" s="17"/>
      <c r="R7" s="17"/>
      <c r="S7" s="17"/>
      <c r="T7" s="17"/>
      <c r="U7" s="17"/>
      <c r="V7" s="26">
        <f>-(L7+M7)+V6</f>
        <v>512.9640000000001</v>
      </c>
      <c r="W7" s="17"/>
      <c r="X7" s="26">
        <f>F7-G7</f>
        <v>-12802</v>
      </c>
      <c r="Y7" s="17"/>
      <c r="Z7" s="26"/>
      <c r="AA7" s="19"/>
      <c r="AB7" s="20">
        <v>13.557</v>
      </c>
    </row>
    <row r="8" ht="20.05" customHeight="1">
      <c r="B8" s="21">
        <v>2018</v>
      </c>
      <c r="C8" s="14">
        <v>2573.4</v>
      </c>
      <c r="D8" s="26">
        <v>369.1</v>
      </c>
      <c r="E8" s="26">
        <v>181.3</v>
      </c>
      <c r="F8" s="26">
        <v>1280</v>
      </c>
      <c r="G8" s="26">
        <v>14231</v>
      </c>
      <c r="H8" s="26">
        <v>28572</v>
      </c>
      <c r="I8" s="26">
        <v>2483</v>
      </c>
      <c r="J8" s="26">
        <v>568.8</v>
      </c>
      <c r="K8" s="26">
        <v>-600.2</v>
      </c>
      <c r="L8" s="26">
        <v>-55.9</v>
      </c>
      <c r="M8" s="26">
        <v>205.39925</v>
      </c>
      <c r="N8" s="26">
        <f>SUM(C5:C8)/4</f>
        <v>2728.4</v>
      </c>
      <c r="O8" s="26"/>
      <c r="P8" s="16"/>
      <c r="Q8" s="16"/>
      <c r="R8" s="16"/>
      <c r="S8" s="17"/>
      <c r="T8" s="26">
        <f>SUM(J5:K8)/4</f>
        <v>-138.475</v>
      </c>
      <c r="U8" s="17"/>
      <c r="V8" s="26">
        <f>-(L8+M8)+V7</f>
        <v>363.46475</v>
      </c>
      <c r="W8" s="17"/>
      <c r="X8" s="26">
        <f>F8-G8</f>
        <v>-12951</v>
      </c>
      <c r="Y8" s="24"/>
      <c r="Z8" s="26">
        <v>535</v>
      </c>
      <c r="AA8" s="22"/>
      <c r="AB8" s="20">
        <v>13.761</v>
      </c>
    </row>
    <row r="9" ht="20.05" customHeight="1">
      <c r="B9" s="13"/>
      <c r="C9" s="14">
        <v>3105.6</v>
      </c>
      <c r="D9" s="26">
        <v>383.2</v>
      </c>
      <c r="E9" s="26">
        <v>328.8</v>
      </c>
      <c r="F9" s="26">
        <v>1420</v>
      </c>
      <c r="G9" s="26">
        <v>14249</v>
      </c>
      <c r="H9" s="26">
        <v>28743</v>
      </c>
      <c r="I9" s="26">
        <v>3004.2</v>
      </c>
      <c r="J9" s="26">
        <v>365.3</v>
      </c>
      <c r="K9" s="26">
        <v>-880</v>
      </c>
      <c r="L9" s="26">
        <v>-7.8</v>
      </c>
      <c r="M9" s="26">
        <v>-422.09225</v>
      </c>
      <c r="N9" s="26">
        <f>SUM(C6:C9)/4</f>
        <v>2753.45</v>
      </c>
      <c r="O9" s="26"/>
      <c r="P9" s="16"/>
      <c r="Q9" s="16">
        <f>(E9+D9)/C9</f>
        <v>0.229263266357548</v>
      </c>
      <c r="R9" s="16"/>
      <c r="S9" s="17"/>
      <c r="T9" s="26">
        <f>SUM(J6:K9)/4</f>
        <v>-63.325</v>
      </c>
      <c r="U9" s="17"/>
      <c r="V9" s="26">
        <f>-(L9+M9)+V8</f>
        <v>793.357</v>
      </c>
      <c r="W9" s="17"/>
      <c r="X9" s="26">
        <f>F9-G9</f>
        <v>-12829</v>
      </c>
      <c r="Y9" s="24"/>
      <c r="Z9" s="26">
        <v>555</v>
      </c>
      <c r="AA9" s="22"/>
      <c r="AB9" s="20">
        <v>14</v>
      </c>
    </row>
    <row r="10" ht="20.05" customHeight="1">
      <c r="B10" s="13"/>
      <c r="C10" s="14">
        <v>3007</v>
      </c>
      <c r="D10" s="26">
        <v>376.3</v>
      </c>
      <c r="E10" s="26">
        <v>316.1</v>
      </c>
      <c r="F10" s="26">
        <v>1294</v>
      </c>
      <c r="G10" s="26">
        <v>14836</v>
      </c>
      <c r="H10" s="26">
        <v>28943</v>
      </c>
      <c r="I10" s="26">
        <v>3021.9</v>
      </c>
      <c r="J10" s="26">
        <v>810.3</v>
      </c>
      <c r="K10" s="26">
        <v>-881.7</v>
      </c>
      <c r="L10" s="26">
        <v>5.9</v>
      </c>
      <c r="M10" s="26">
        <v>-238.90175</v>
      </c>
      <c r="N10" s="26">
        <f>SUM(C7:C10)/4</f>
        <v>2831.45</v>
      </c>
      <c r="O10" s="26"/>
      <c r="P10" s="16">
        <f>C10/C9-1</f>
        <v>-0.0317490984028851</v>
      </c>
      <c r="Q10" s="16">
        <f>(E10+D10)/C10</f>
        <v>0.230262720319255</v>
      </c>
      <c r="R10" s="16"/>
      <c r="S10" s="17"/>
      <c r="T10" s="26">
        <f>SUM(J7:K10)/4</f>
        <v>-159.775</v>
      </c>
      <c r="U10" s="17"/>
      <c r="V10" s="26">
        <f>-(L10+M10)+V9</f>
        <v>1026.35875</v>
      </c>
      <c r="W10" s="17"/>
      <c r="X10" s="26">
        <f>F10-G10</f>
        <v>-13542</v>
      </c>
      <c r="Y10" s="24"/>
      <c r="Z10" s="26">
        <v>404</v>
      </c>
      <c r="AA10" s="22"/>
      <c r="AB10" s="20">
        <v>14.902</v>
      </c>
    </row>
    <row r="11" ht="20.05" customHeight="1">
      <c r="B11" s="13"/>
      <c r="C11" s="14">
        <v>3009.2</v>
      </c>
      <c r="D11" s="26">
        <v>370.2</v>
      </c>
      <c r="E11" s="26">
        <v>525.3</v>
      </c>
      <c r="F11" s="26">
        <v>713</v>
      </c>
      <c r="G11" s="26">
        <v>14666</v>
      </c>
      <c r="H11" s="26">
        <v>28968</v>
      </c>
      <c r="I11" s="26">
        <v>3332.7</v>
      </c>
      <c r="J11" s="26">
        <v>2355.6</v>
      </c>
      <c r="K11" s="26">
        <v>-1731.1</v>
      </c>
      <c r="L11" s="26">
        <v>-10.2</v>
      </c>
      <c r="M11" s="26">
        <v>-238.90175</v>
      </c>
      <c r="N11" s="26">
        <f>SUM(C8:C11)/4</f>
        <v>2923.8</v>
      </c>
      <c r="O11" s="26"/>
      <c r="P11" s="16">
        <f>C11/C10-1</f>
        <v>0.000731626205520452</v>
      </c>
      <c r="Q11" s="16">
        <f>(E11+D11)/C11</f>
        <v>0.297587398644158</v>
      </c>
      <c r="R11" s="16"/>
      <c r="S11" s="17"/>
      <c r="T11" s="26">
        <f>SUM(J8:K11)/4</f>
        <v>1.75</v>
      </c>
      <c r="U11" s="17"/>
      <c r="V11" s="26">
        <f>-(L11+M11)+V10</f>
        <v>1275.4605</v>
      </c>
      <c r="W11" s="17"/>
      <c r="X11" s="26">
        <f>F11-G11</f>
        <v>-13953</v>
      </c>
      <c r="Y11" s="24"/>
      <c r="Z11" s="26">
        <v>242</v>
      </c>
      <c r="AA11" s="22"/>
      <c r="AB11" s="20">
        <v>14.38</v>
      </c>
    </row>
    <row r="12" ht="20.05" customHeight="1">
      <c r="B12" s="21">
        <v>2019</v>
      </c>
      <c r="C12" s="14">
        <v>2907.3</v>
      </c>
      <c r="D12" s="26">
        <v>384.6</v>
      </c>
      <c r="E12" s="26">
        <v>489.7</v>
      </c>
      <c r="F12" s="26">
        <v>752</v>
      </c>
      <c r="G12" s="26">
        <v>14237</v>
      </c>
      <c r="H12" s="26">
        <v>29099</v>
      </c>
      <c r="I12" s="26">
        <v>2828.2</v>
      </c>
      <c r="J12" s="26">
        <v>990</v>
      </c>
      <c r="K12" s="26">
        <v>-735.5</v>
      </c>
      <c r="L12" s="26">
        <v>-73.90000000000001</v>
      </c>
      <c r="M12" s="26">
        <v>-422.09225</v>
      </c>
      <c r="N12" s="26">
        <f>SUM(C9:C12)/4</f>
        <v>3007.275</v>
      </c>
      <c r="O12" s="23"/>
      <c r="P12" s="16">
        <f>C12/C11-1</f>
        <v>-0.0338628206832381</v>
      </c>
      <c r="Q12" s="16">
        <f>(E12+D12)/C12</f>
        <v>0.300725759295566</v>
      </c>
      <c r="R12" s="16">
        <f>AVERAGE(Q9:Q12)</f>
        <v>0.264459786154132</v>
      </c>
      <c r="S12" s="17"/>
      <c r="T12" s="26">
        <f>SUM(J9:K12)/4</f>
        <v>73.22499999999999</v>
      </c>
      <c r="U12" s="17"/>
      <c r="V12" s="26">
        <f>-(L12+M12)+V11</f>
        <v>1771.45275</v>
      </c>
      <c r="W12" s="17"/>
      <c r="X12" s="26">
        <f>F12-G12</f>
        <v>-13485</v>
      </c>
      <c r="Y12" s="24"/>
      <c r="Z12" s="26">
        <v>348</v>
      </c>
      <c r="AA12" s="22"/>
      <c r="AB12" s="20">
        <v>14.24</v>
      </c>
    </row>
    <row r="13" ht="20.05" customHeight="1">
      <c r="B13" s="13"/>
      <c r="C13" s="14">
        <v>3453.9</v>
      </c>
      <c r="D13" s="26">
        <v>403.2</v>
      </c>
      <c r="E13" s="26">
        <v>566.4</v>
      </c>
      <c r="F13" s="26">
        <v>838</v>
      </c>
      <c r="G13" s="26">
        <v>13907</v>
      </c>
      <c r="H13" s="26">
        <v>29598</v>
      </c>
      <c r="I13" s="26">
        <v>3444.2</v>
      </c>
      <c r="J13" s="26">
        <v>470.7</v>
      </c>
      <c r="K13" s="26">
        <v>-600.4</v>
      </c>
      <c r="L13" s="26">
        <v>-0.2</v>
      </c>
      <c r="M13" s="26">
        <v>-238.90175</v>
      </c>
      <c r="N13" s="26">
        <f>SUM(C10:C13)/4</f>
        <v>3094.35</v>
      </c>
      <c r="O13" s="23"/>
      <c r="P13" s="16">
        <f>C13/C12-1</f>
        <v>0.18800949334434</v>
      </c>
      <c r="Q13" s="16">
        <f>(E13+D13)/C13</f>
        <v>0.280726135672718</v>
      </c>
      <c r="R13" s="16">
        <f>AVERAGE(Q10:Q13)</f>
        <v>0.277325503482924</v>
      </c>
      <c r="S13" s="17"/>
      <c r="T13" s="26">
        <f>SUM(J10:K13)/4</f>
        <v>169.475</v>
      </c>
      <c r="U13" s="17"/>
      <c r="V13" s="26">
        <f>-(L13+M13)+V12</f>
        <v>2010.5545</v>
      </c>
      <c r="W13" s="17"/>
      <c r="X13" s="26">
        <f>F13-G13</f>
        <v>-13069</v>
      </c>
      <c r="Y13" s="24"/>
      <c r="Z13" s="26">
        <v>374</v>
      </c>
      <c r="AA13" s="24"/>
      <c r="AB13" s="15">
        <v>14.127</v>
      </c>
    </row>
    <row r="14" ht="20.05" customHeight="1">
      <c r="B14" s="13"/>
      <c r="C14" s="14">
        <v>3310.6</v>
      </c>
      <c r="D14" s="26">
        <v>385.9</v>
      </c>
      <c r="E14" s="26">
        <v>551.8</v>
      </c>
      <c r="F14" s="26">
        <v>1044</v>
      </c>
      <c r="G14" s="26">
        <v>13501</v>
      </c>
      <c r="H14" s="26">
        <v>30571</v>
      </c>
      <c r="I14" s="26">
        <v>3431.9</v>
      </c>
      <c r="J14" s="26">
        <v>634.8</v>
      </c>
      <c r="K14" s="26">
        <v>-670.9</v>
      </c>
      <c r="L14" s="26">
        <v>0.1</v>
      </c>
      <c r="M14" s="26">
        <v>-238.90175</v>
      </c>
      <c r="N14" s="26">
        <f>SUM(C11:C14)/4</f>
        <v>3170.25</v>
      </c>
      <c r="O14" s="23"/>
      <c r="P14" s="16">
        <f>C14/C13-1</f>
        <v>-0.0414893309013</v>
      </c>
      <c r="Q14" s="16">
        <f>(E14+D14)/C14</f>
        <v>0.28324170845164</v>
      </c>
      <c r="R14" s="16">
        <f>AVERAGE(Q11:Q14)</f>
        <v>0.290570250516021</v>
      </c>
      <c r="S14" s="17"/>
      <c r="T14" s="26">
        <f>SUM(J11:K14)/4</f>
        <v>178.3</v>
      </c>
      <c r="U14" s="17"/>
      <c r="V14" s="26">
        <f>-(L14+M14)+V13</f>
        <v>2249.35625</v>
      </c>
      <c r="W14" s="17"/>
      <c r="X14" s="26">
        <f>F14-G14</f>
        <v>-12457</v>
      </c>
      <c r="Y14" s="24"/>
      <c r="Z14" s="26">
        <v>340</v>
      </c>
      <c r="AA14" s="24"/>
      <c r="AB14" s="15">
        <v>14.195</v>
      </c>
    </row>
    <row r="15" ht="20.05" customHeight="1">
      <c r="B15" s="13"/>
      <c r="C15" s="14">
        <v>3264.7</v>
      </c>
      <c r="D15" s="26">
        <v>423.4</v>
      </c>
      <c r="E15" s="26">
        <v>709.5</v>
      </c>
      <c r="F15" s="26">
        <v>826</v>
      </c>
      <c r="G15" s="26">
        <v>12783</v>
      </c>
      <c r="H15" s="26">
        <v>30155</v>
      </c>
      <c r="I15" s="26">
        <v>3167.9</v>
      </c>
      <c r="J15" s="26">
        <v>1803.7</v>
      </c>
      <c r="K15" s="26">
        <v>-1585.9</v>
      </c>
      <c r="L15" s="26">
        <v>-14.1</v>
      </c>
      <c r="M15" s="26">
        <v>-238.90175</v>
      </c>
      <c r="N15" s="26">
        <f>SUM(C12:C15)/4</f>
        <v>3234.125</v>
      </c>
      <c r="O15" s="26"/>
      <c r="P15" s="16">
        <f>C15/C14-1</f>
        <v>-0.0138645562737872</v>
      </c>
      <c r="Q15" s="16">
        <f>(E15+D15)/C15</f>
        <v>0.347015039666738</v>
      </c>
      <c r="R15" s="16">
        <f>AVERAGE(Q12:Q15)</f>
        <v>0.302927160771666</v>
      </c>
      <c r="S15" s="17"/>
      <c r="T15" s="26">
        <f>SUM(J12:K15)/4</f>
        <v>76.625</v>
      </c>
      <c r="U15" s="17"/>
      <c r="V15" s="26">
        <f>-(L15+M15)+V14</f>
        <v>2502.358</v>
      </c>
      <c r="W15" s="17"/>
      <c r="X15" s="26">
        <f>F15-G15</f>
        <v>-11957</v>
      </c>
      <c r="Y15" s="24"/>
      <c r="Z15" s="26">
        <v>348</v>
      </c>
      <c r="AA15" s="24"/>
      <c r="AB15" s="15">
        <v>13.882</v>
      </c>
    </row>
    <row r="16" ht="20.05" customHeight="1">
      <c r="B16" s="21">
        <v>2020</v>
      </c>
      <c r="C16" s="14">
        <v>2911.3</v>
      </c>
      <c r="D16" s="26">
        <v>382.2</v>
      </c>
      <c r="E16" s="26">
        <v>251.9</v>
      </c>
      <c r="F16" s="26">
        <v>779</v>
      </c>
      <c r="G16" s="26">
        <v>13399</v>
      </c>
      <c r="H16" s="26">
        <v>30561</v>
      </c>
      <c r="I16" s="26">
        <v>2709.4</v>
      </c>
      <c r="J16" s="26">
        <v>692.2</v>
      </c>
      <c r="K16" s="26">
        <v>-508</v>
      </c>
      <c r="L16" s="26">
        <v>-75.5</v>
      </c>
      <c r="M16" s="26">
        <v>-238.90175</v>
      </c>
      <c r="N16" s="26">
        <f>SUM(C13:C16)/4</f>
        <v>3235.125</v>
      </c>
      <c r="O16" s="26"/>
      <c r="P16" s="16">
        <f>C16/C15-1</f>
        <v>-0.10824884369161</v>
      </c>
      <c r="Q16" s="16">
        <f>(E16+D16)/C16</f>
        <v>0.217806478205613</v>
      </c>
      <c r="R16" s="16">
        <f>AVERAGE(Q13:Q16)</f>
        <v>0.282197340499177</v>
      </c>
      <c r="S16" s="17"/>
      <c r="T16" s="26">
        <f>SUM(J13:K16)/4</f>
        <v>59.05</v>
      </c>
      <c r="U16" s="17"/>
      <c r="V16" s="26">
        <f>-(L16+M16)+V15</f>
        <v>2816.75975</v>
      </c>
      <c r="W16" s="17"/>
      <c r="X16" s="26">
        <f>F16-G16</f>
        <v>-12620</v>
      </c>
      <c r="Y16" s="24"/>
      <c r="Z16" s="26">
        <v>191</v>
      </c>
      <c r="AA16" s="24"/>
      <c r="AB16" s="15">
        <v>16.31</v>
      </c>
    </row>
    <row r="17" ht="20.05" customHeight="1">
      <c r="B17" s="13"/>
      <c r="C17" s="14">
        <v>2951.1</v>
      </c>
      <c r="D17" s="26">
        <v>420.6</v>
      </c>
      <c r="E17" s="26">
        <v>765.4</v>
      </c>
      <c r="F17" s="26">
        <v>832</v>
      </c>
      <c r="G17" s="26">
        <v>11588</v>
      </c>
      <c r="H17" s="26">
        <v>30901</v>
      </c>
      <c r="I17" s="26">
        <v>3003.2</v>
      </c>
      <c r="J17" s="26">
        <v>887.9</v>
      </c>
      <c r="K17" s="26">
        <v>-470.5</v>
      </c>
      <c r="L17" s="26">
        <v>36.4</v>
      </c>
      <c r="M17" s="26">
        <v>-238.90175</v>
      </c>
      <c r="N17" s="26">
        <f>SUM(C14:C17)/4</f>
        <v>3109.425</v>
      </c>
      <c r="O17" s="26"/>
      <c r="P17" s="16">
        <f>C17/C16-1</f>
        <v>0.013670868684093</v>
      </c>
      <c r="Q17" s="16">
        <f>(E17+D17)/C17</f>
        <v>0.401884043238115</v>
      </c>
      <c r="R17" s="16">
        <f>AVERAGE(Q14:Q17)</f>
        <v>0.312486817390527</v>
      </c>
      <c r="S17" s="17"/>
      <c r="T17" s="26">
        <f>SUM(J14:K17)/4</f>
        <v>195.825</v>
      </c>
      <c r="U17" s="17"/>
      <c r="V17" s="26">
        <f>-(L17+M17)+V16</f>
        <v>3019.2615</v>
      </c>
      <c r="W17" s="17"/>
      <c r="X17" s="26">
        <f>F17-G17</f>
        <v>-10756</v>
      </c>
      <c r="Y17" s="24"/>
      <c r="Z17" s="26">
        <v>185</v>
      </c>
      <c r="AA17" s="24"/>
      <c r="AB17" s="15">
        <v>14.255</v>
      </c>
    </row>
    <row r="18" ht="20.05" customHeight="1">
      <c r="B18" s="13"/>
      <c r="C18" s="14">
        <v>3105</v>
      </c>
      <c r="D18" s="26">
        <v>366.2</v>
      </c>
      <c r="E18" s="26">
        <v>403.4</v>
      </c>
      <c r="F18" s="26">
        <v>943</v>
      </c>
      <c r="G18" s="26">
        <v>11599</v>
      </c>
      <c r="H18" s="26">
        <v>31478</v>
      </c>
      <c r="I18" s="26">
        <v>3234.7</v>
      </c>
      <c r="J18" s="26">
        <v>317.2</v>
      </c>
      <c r="K18" s="26">
        <v>-1138.3</v>
      </c>
      <c r="L18" s="26">
        <v>-33.2</v>
      </c>
      <c r="M18" s="26">
        <v>-238.90175</v>
      </c>
      <c r="N18" s="26">
        <f>SUM(C15:C18)/4</f>
        <v>3058.025</v>
      </c>
      <c r="O18" s="26"/>
      <c r="P18" s="16">
        <f>C18/C17-1</f>
        <v>0.0521500457456542</v>
      </c>
      <c r="Q18" s="16">
        <f>(E18+D18)/C18</f>
        <v>0.247858293075684</v>
      </c>
      <c r="R18" s="16">
        <f>AVERAGE(Q15:Q18)</f>
        <v>0.303640963546538</v>
      </c>
      <c r="S18" s="17"/>
      <c r="T18" s="26">
        <f>SUM(J15:K18)/4</f>
        <v>-0.425</v>
      </c>
      <c r="U18" s="17"/>
      <c r="V18" s="26">
        <f>-(L18+M18)+V17</f>
        <v>3291.36325</v>
      </c>
      <c r="W18" s="17"/>
      <c r="X18" s="26">
        <f>F18-G18</f>
        <v>-10656</v>
      </c>
      <c r="Y18" s="24"/>
      <c r="Z18" s="26">
        <v>224</v>
      </c>
      <c r="AA18" s="24"/>
      <c r="AB18" s="15">
        <v>14.79</v>
      </c>
    </row>
    <row r="19" ht="20.05" customHeight="1">
      <c r="B19" s="13"/>
      <c r="C19" s="14">
        <v>3096.7</v>
      </c>
      <c r="D19" s="26">
        <v>350.6</v>
      </c>
      <c r="E19" s="26">
        <v>380.3</v>
      </c>
      <c r="F19" s="26">
        <v>905</v>
      </c>
      <c r="G19" s="26">
        <v>11477</v>
      </c>
      <c r="H19" s="26">
        <v>32262</v>
      </c>
      <c r="I19" s="26">
        <v>2938</v>
      </c>
      <c r="J19" s="26">
        <v>1300.1</v>
      </c>
      <c r="K19" s="26">
        <v>-967.4</v>
      </c>
      <c r="L19" s="26">
        <v>-21.2</v>
      </c>
      <c r="M19" s="26">
        <v>-238.90175</v>
      </c>
      <c r="N19" s="26">
        <f>SUM(C16:C19)/4</f>
        <v>3016.025</v>
      </c>
      <c r="O19" s="26"/>
      <c r="P19" s="16">
        <f>C19/C18-1</f>
        <v>-0.00267310789049919</v>
      </c>
      <c r="Q19" s="16">
        <f>(E19+D19)/C19</f>
        <v>0.236025446442988</v>
      </c>
      <c r="R19" s="16">
        <f>AVERAGE(Q16:Q19)</f>
        <v>0.2758935652406</v>
      </c>
      <c r="S19" s="17"/>
      <c r="T19" s="26">
        <f>SUM(J16:K19)/4</f>
        <v>28.3</v>
      </c>
      <c r="U19" s="17"/>
      <c r="V19" s="26">
        <f>-(L19+M19)+V18</f>
        <v>3551.465</v>
      </c>
      <c r="W19" s="17"/>
      <c r="X19" s="26">
        <f>F19-G19</f>
        <v>-10572</v>
      </c>
      <c r="Y19" s="24"/>
      <c r="Z19" s="26">
        <v>290</v>
      </c>
      <c r="AA19" s="24"/>
      <c r="AB19" s="15">
        <v>14.1</v>
      </c>
    </row>
    <row r="20" ht="20.05" customHeight="1">
      <c r="B20" s="21">
        <v>2021</v>
      </c>
      <c r="C20" s="14">
        <v>3277.7</v>
      </c>
      <c r="D20" s="26">
        <v>396.9</v>
      </c>
      <c r="E20" s="26">
        <v>396.7</v>
      </c>
      <c r="F20" s="26">
        <v>920</v>
      </c>
      <c r="G20" s="26">
        <v>11124</v>
      </c>
      <c r="H20" s="26">
        <v>32884</v>
      </c>
      <c r="I20" s="26">
        <v>3410.2</v>
      </c>
      <c r="J20" s="26">
        <v>1105</v>
      </c>
      <c r="K20" s="26">
        <v>-355.9</v>
      </c>
      <c r="L20" s="26">
        <v>-42</v>
      </c>
      <c r="M20" s="26">
        <v>-733.8150000000001</v>
      </c>
      <c r="N20" s="26">
        <f>SUM(C17:C20)/4</f>
        <v>3107.625</v>
      </c>
      <c r="O20" s="26"/>
      <c r="P20" s="16">
        <f>C20/C19-1</f>
        <v>0.0584493170148868</v>
      </c>
      <c r="Q20" s="16">
        <f>(E20+D20)/C20</f>
        <v>0.242120999481344</v>
      </c>
      <c r="R20" s="16">
        <f>AVERAGE(Q17:Q20)</f>
        <v>0.281972195559533</v>
      </c>
      <c r="S20" s="17"/>
      <c r="T20" s="26">
        <f>SUM(J17:K20)/4</f>
        <v>169.525</v>
      </c>
      <c r="U20" s="17"/>
      <c r="V20" s="26">
        <f>-(L20+M20)+V19</f>
        <v>4327.28</v>
      </c>
      <c r="W20" s="17"/>
      <c r="X20" s="26">
        <f>F20-G20</f>
        <v>-10204</v>
      </c>
      <c r="Y20" s="26"/>
      <c r="Z20" s="26">
        <v>254</v>
      </c>
      <c r="AA20" s="17"/>
      <c r="AB20" s="15">
        <v>14.606</v>
      </c>
    </row>
    <row r="21" ht="20.05" customHeight="1">
      <c r="B21" s="13"/>
      <c r="C21" s="14">
        <v>3956.3</v>
      </c>
      <c r="D21" s="26">
        <v>402.5</v>
      </c>
      <c r="E21" s="26">
        <v>815.1</v>
      </c>
      <c r="F21" s="26">
        <v>1093</v>
      </c>
      <c r="G21" s="26">
        <v>10872</v>
      </c>
      <c r="H21" s="26">
        <v>33725</v>
      </c>
      <c r="I21" s="26">
        <v>3624.8</v>
      </c>
      <c r="J21" s="26">
        <v>758.7</v>
      </c>
      <c r="K21" s="26">
        <v>-523.9</v>
      </c>
      <c r="L21" s="26">
        <v>-6.3</v>
      </c>
      <c r="M21" s="26">
        <v>-61.875</v>
      </c>
      <c r="N21" s="26">
        <f>SUM(C18:C21)/4</f>
        <v>3358.925</v>
      </c>
      <c r="O21" s="26"/>
      <c r="P21" s="16">
        <f>C21/C20-1</f>
        <v>0.207035421179486</v>
      </c>
      <c r="Q21" s="16">
        <f>(E21+D21)/C21</f>
        <v>0.307762303162045</v>
      </c>
      <c r="R21" s="16">
        <f>AVERAGE(Q18:Q21)</f>
        <v>0.258441760540515</v>
      </c>
      <c r="S21" s="17"/>
      <c r="T21" s="26">
        <f>SUM(J18:K21)/4</f>
        <v>123.875</v>
      </c>
      <c r="U21" s="17"/>
      <c r="V21" s="26">
        <f>-(L21+M21)+V20</f>
        <v>4395.455</v>
      </c>
      <c r="W21" s="17"/>
      <c r="X21" s="26">
        <f>F21-G21</f>
        <v>-9779</v>
      </c>
      <c r="Y21" s="26"/>
      <c r="Z21" s="26">
        <v>276</v>
      </c>
      <c r="AA21" s="17"/>
      <c r="AB21" s="15">
        <v>14.45</v>
      </c>
    </row>
    <row r="22" ht="20.05" customHeight="1">
      <c r="B22" s="13"/>
      <c r="C22" s="14">
        <v>3244.7</v>
      </c>
      <c r="D22" s="26">
        <v>389</v>
      </c>
      <c r="E22" s="26">
        <v>696.5</v>
      </c>
      <c r="F22" s="26">
        <v>1670</v>
      </c>
      <c r="G22" s="26">
        <v>10968</v>
      </c>
      <c r="H22" s="26">
        <v>34838</v>
      </c>
      <c r="I22" s="26">
        <v>3435.1</v>
      </c>
      <c r="J22" s="26">
        <v>1572.2</v>
      </c>
      <c r="K22" s="26">
        <v>-986.8</v>
      </c>
      <c r="L22" s="26">
        <v>21.9</v>
      </c>
      <c r="M22" s="26">
        <v>55.864</v>
      </c>
      <c r="N22" s="26">
        <f>SUM(C19:C22)/4</f>
        <v>3393.85</v>
      </c>
      <c r="O22" s="26"/>
      <c r="P22" s="16">
        <f>C22/C21-1</f>
        <v>-0.179865025402523</v>
      </c>
      <c r="Q22" s="16">
        <f>(E22+D22)/C22</f>
        <v>0.334545566616328</v>
      </c>
      <c r="R22" s="16">
        <f>AVERAGE(Q19:Q22)</f>
        <v>0.280113578925676</v>
      </c>
      <c r="S22" s="17"/>
      <c r="T22" s="26">
        <f>SUM(J19:K22)/4</f>
        <v>475.5</v>
      </c>
      <c r="U22" s="17"/>
      <c r="V22" s="26">
        <f>-(L22+M22)+V21</f>
        <v>4317.691</v>
      </c>
      <c r="W22" s="17"/>
      <c r="X22" s="26">
        <f>F22-G22</f>
        <v>-9298</v>
      </c>
      <c r="Y22" s="26"/>
      <c r="Z22" s="26">
        <v>264</v>
      </c>
      <c r="AA22" s="17"/>
      <c r="AB22" s="15">
        <v>14.328</v>
      </c>
    </row>
    <row r="23" ht="20.05" customHeight="1">
      <c r="B23" s="13"/>
      <c r="C23" s="14">
        <v>3497.9</v>
      </c>
      <c r="D23" s="26">
        <v>435</v>
      </c>
      <c r="E23" s="26">
        <v>542.8</v>
      </c>
      <c r="F23" s="26">
        <v>1365</v>
      </c>
      <c r="G23" s="26">
        <v>10230</v>
      </c>
      <c r="H23" s="26">
        <v>34796</v>
      </c>
      <c r="I23" s="26">
        <v>3516.4</v>
      </c>
      <c r="J23" s="26">
        <v>560</v>
      </c>
      <c r="K23" s="26">
        <v>-434.5</v>
      </c>
      <c r="L23" s="26">
        <v>-6.2</v>
      </c>
      <c r="M23" s="26">
        <v>-428.262</v>
      </c>
      <c r="N23" s="26">
        <f>SUM(C20:C23)/4</f>
        <v>3494.15</v>
      </c>
      <c r="O23" s="26">
        <v>3570.0445</v>
      </c>
      <c r="P23" s="16">
        <f>C23/C22-1</f>
        <v>0.07803494930193849</v>
      </c>
      <c r="Q23" s="16">
        <f>(E23+D23)/C23</f>
        <v>0.279539152062666</v>
      </c>
      <c r="R23" s="16">
        <f>AVERAGE(Q20:Q23)</f>
        <v>0.290992005330596</v>
      </c>
      <c r="S23" s="17"/>
      <c r="T23" s="26">
        <f>SUM(J20:K23)/4</f>
        <v>423.7</v>
      </c>
      <c r="U23" s="17"/>
      <c r="V23" s="26">
        <f>-(L23+M23)+V22</f>
        <v>4752.153</v>
      </c>
      <c r="W23" s="17"/>
      <c r="X23" s="26">
        <f>F23-G23</f>
        <v>-8865</v>
      </c>
      <c r="Y23" s="26"/>
      <c r="Z23" s="26">
        <v>260</v>
      </c>
      <c r="AA23" s="17"/>
      <c r="AB23" s="15">
        <v>14.275</v>
      </c>
    </row>
    <row r="24" ht="20.05" customHeight="1">
      <c r="B24" s="21">
        <v>2022</v>
      </c>
      <c r="C24" s="14">
        <v>3400.3</v>
      </c>
      <c r="D24" s="26">
        <v>445.3</v>
      </c>
      <c r="E24" s="26">
        <v>633.6</v>
      </c>
      <c r="F24" s="26">
        <v>1494</v>
      </c>
      <c r="G24" s="26">
        <v>9735</v>
      </c>
      <c r="H24" s="26">
        <v>34741</v>
      </c>
      <c r="I24" s="26">
        <v>3496.6</v>
      </c>
      <c r="J24" s="26">
        <v>923.1</v>
      </c>
      <c r="K24" s="26">
        <v>-572.2</v>
      </c>
      <c r="L24" s="26">
        <v>-5.8</v>
      </c>
      <c r="M24" s="26">
        <v>-222.2</v>
      </c>
      <c r="N24" s="26">
        <f>SUM(C21:C24)/4</f>
        <v>3524.8</v>
      </c>
      <c r="O24" s="26">
        <v>3494.043333333330</v>
      </c>
      <c r="P24" s="16">
        <f>C24/C23-1</f>
        <v>-0.0279024557591698</v>
      </c>
      <c r="Q24" s="16">
        <f>(E24+D24)/C24</f>
        <v>0.317295532747111</v>
      </c>
      <c r="R24" s="16">
        <f>AVERAGE(Q21:Q24)</f>
        <v>0.309785638647038</v>
      </c>
      <c r="S24" s="35"/>
      <c r="T24" s="26">
        <f>SUM(J21:K24)/4</f>
        <v>324.15</v>
      </c>
      <c r="U24" s="26">
        <v>394.048150584225</v>
      </c>
      <c r="V24" s="26">
        <f>-(L24+M24)+V23</f>
        <v>4980.153</v>
      </c>
      <c r="W24" s="26"/>
      <c r="X24" s="26">
        <f>F24-G24</f>
        <v>-8241</v>
      </c>
      <c r="Y24" s="26">
        <v>-8474.505178364170</v>
      </c>
      <c r="Z24" s="26">
        <v>260</v>
      </c>
      <c r="AA24" s="26">
        <v>471.154060024846</v>
      </c>
      <c r="AB24" s="15">
        <v>14.327</v>
      </c>
    </row>
    <row r="25" ht="20.05" customHeight="1">
      <c r="B25" s="13"/>
      <c r="C25" s="14">
        <v>3527.7</v>
      </c>
      <c r="D25" s="26">
        <v>394.7</v>
      </c>
      <c r="E25" s="26">
        <v>623.4</v>
      </c>
      <c r="F25" s="26">
        <v>917</v>
      </c>
      <c r="G25" s="26">
        <v>9432</v>
      </c>
      <c r="H25" s="26">
        <v>35123</v>
      </c>
      <c r="I25" s="26">
        <v>3510.4</v>
      </c>
      <c r="J25" s="26">
        <v>816.9</v>
      </c>
      <c r="K25" s="26">
        <v>-408.8</v>
      </c>
      <c r="L25" s="26">
        <v>2.8</v>
      </c>
      <c r="M25" s="26">
        <v>-472.8</v>
      </c>
      <c r="N25" s="26">
        <f>SUM(C22:C25)/4</f>
        <v>3417.65</v>
      </c>
      <c r="O25" s="26">
        <v>3598.11875</v>
      </c>
      <c r="P25" s="16">
        <f>C25/C24-1</f>
        <v>0.0374672822986207</v>
      </c>
      <c r="Q25" s="16">
        <f>(E25+D25)/C25</f>
        <v>0.28860163846132</v>
      </c>
      <c r="R25" s="16">
        <f>AVERAGE(Q22:Q25)</f>
        <v>0.304995472471856</v>
      </c>
      <c r="S25" s="35"/>
      <c r="T25" s="26">
        <f>SUM(J22:K25)/4</f>
        <v>367.475</v>
      </c>
      <c r="U25" s="26">
        <v>632.691534592538</v>
      </c>
      <c r="V25" s="26">
        <f>-(L25+M25)+V24</f>
        <v>5450.153</v>
      </c>
      <c r="W25" s="26"/>
      <c r="X25" s="26">
        <f>F25-G25</f>
        <v>-8515</v>
      </c>
      <c r="Y25" s="26">
        <v>-6317.907089303880</v>
      </c>
      <c r="Z25" s="26">
        <v>292</v>
      </c>
      <c r="AA25" s="26">
        <v>499.494153860927</v>
      </c>
      <c r="AB25" s="15">
        <v>14.66</v>
      </c>
    </row>
    <row r="26" ht="20.05" customHeight="1">
      <c r="B26" s="13"/>
      <c r="C26" s="14">
        <v>2774.9</v>
      </c>
      <c r="D26" s="26">
        <v>422.8</v>
      </c>
      <c r="E26" s="26">
        <v>490.8</v>
      </c>
      <c r="F26" s="26">
        <v>1491</v>
      </c>
      <c r="G26" s="26">
        <v>8950</v>
      </c>
      <c r="H26" s="26">
        <v>35238</v>
      </c>
      <c r="I26" s="26">
        <v>2907.5</v>
      </c>
      <c r="J26" s="26">
        <v>1281.9</v>
      </c>
      <c r="K26" s="26">
        <v>-687.7</v>
      </c>
      <c r="L26" s="26">
        <v>-2</v>
      </c>
      <c r="M26" s="26">
        <v>-532.5</v>
      </c>
      <c r="N26" s="26">
        <f>SUM(C23:C26)/4</f>
        <v>3300.2</v>
      </c>
      <c r="O26" s="26">
        <v>3468.797</v>
      </c>
      <c r="P26" s="16">
        <f>C26/C25-1</f>
        <v>-0.21339683079627</v>
      </c>
      <c r="Q26" s="16">
        <f>(E26+D26)/C26</f>
        <v>0.329237089624851</v>
      </c>
      <c r="R26" s="16">
        <f>AVERAGE(Q23:Q26)</f>
        <v>0.303668353223987</v>
      </c>
      <c r="S26" s="35">
        <f>S27</f>
        <v>0.303668353223987</v>
      </c>
      <c r="T26" s="26">
        <f>SUM(J23:K26)/4</f>
        <v>369.675</v>
      </c>
      <c r="U26" s="26">
        <v>663.699093049790</v>
      </c>
      <c r="V26" s="26">
        <f>-(L26+M26)+V25</f>
        <v>5984.653</v>
      </c>
      <c r="W26" s="26">
        <f>W27</f>
        <v>7644.8220625</v>
      </c>
      <c r="X26" s="26">
        <f>F26-G26</f>
        <v>-7459</v>
      </c>
      <c r="Y26" s="26">
        <v>-6402.442902240670</v>
      </c>
      <c r="Z26" s="26">
        <v>306</v>
      </c>
      <c r="AA26" s="26">
        <v>811.740262890998</v>
      </c>
      <c r="AB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3205.38660891</v>
      </c>
      <c r="P27" s="17"/>
      <c r="Q27" s="17"/>
      <c r="R27" s="17"/>
      <c r="S27" s="35">
        <f>AE53</f>
        <v>0.303668353223987</v>
      </c>
      <c r="T27" s="17"/>
      <c r="U27" s="26">
        <f>SUM(AE55:AH55)/4</f>
        <v>417.141139640587</v>
      </c>
      <c r="V27" s="17"/>
      <c r="W27" s="26">
        <f>-SUM(AE76:AH76)+V26</f>
        <v>7644.8220625</v>
      </c>
      <c r="X27" s="17"/>
      <c r="Y27" s="26">
        <f>AH75</f>
        <v>-5790.435441437650</v>
      </c>
      <c r="Z27" s="26">
        <v>270</v>
      </c>
      <c r="AA27" s="26">
        <v>766.7225753045039</v>
      </c>
      <c r="AB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SUM(N23:N26)</f>
        <v>13736.8</v>
      </c>
      <c r="O28" s="26">
        <f>SUM(O23:O26)</f>
        <v>14131.0035833333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510.186389833079</v>
      </c>
      <c r="AB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14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14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14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14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14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14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14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14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14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14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14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14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14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167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-0.0314492637387202</v>
      </c>
      <c r="AF49" s="35"/>
      <c r="AG49" s="35"/>
      <c r="AH49" s="35">
        <f>AVERAGE(AE51:AH51)</f>
        <v>0.0475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0.07803494930193849</v>
      </c>
      <c r="AF50" s="35">
        <f>P24</f>
        <v>-0.0279024557591698</v>
      </c>
      <c r="AG50" s="35">
        <f>P25</f>
        <v>0.0374672822986207</v>
      </c>
      <c r="AH50" s="35">
        <f>P26</f>
        <v>-0.21339683079627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-0.03</v>
      </c>
      <c r="AG51" s="35">
        <v>0.04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2774.9</v>
      </c>
      <c r="AE52" s="23">
        <f>C26*(1+AE51)</f>
        <v>3191.135</v>
      </c>
      <c r="AF52" s="23">
        <f>AE52*(1+AF51)</f>
        <v>3095.40095</v>
      </c>
      <c r="AG52" s="23">
        <f>AF52*(1+AG51)</f>
        <v>3219.216988</v>
      </c>
      <c r="AH52" s="23">
        <f>AG52*(1+AH51)</f>
        <v>3315.79349764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0.303668353223987</v>
      </c>
      <c r="AF53" s="35">
        <f>AE53</f>
        <v>0.303668353223987</v>
      </c>
      <c r="AG53" s="35">
        <f>AF53</f>
        <v>0.303668353223987</v>
      </c>
      <c r="AH53" s="35">
        <f>AG53</f>
        <v>0.303668353223987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-556.233333333333</v>
      </c>
      <c r="AF54" s="15">
        <f>AE54</f>
        <v>-556.233333333333</v>
      </c>
      <c r="AG54" s="15">
        <f>AF54</f>
        <v>-556.233333333333</v>
      </c>
      <c r="AH54" s="15">
        <f>AG54</f>
        <v>-556.233333333333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412.813377032095</v>
      </c>
      <c r="AF55" s="15">
        <f>(AF52*AF53)+AF54</f>
        <v>383.741975721132</v>
      </c>
      <c r="AG55" s="15">
        <f>(AG52*AG53)+AG54</f>
        <v>421.340988083311</v>
      </c>
      <c r="AH55" s="15">
        <f>(AH52*AH53)+AH54</f>
        <v>450.668217725810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-447.5</v>
      </c>
      <c r="AF56" s="15">
        <f>-AE71/20</f>
        <v>-425.125</v>
      </c>
      <c r="AG56" s="15">
        <f>-AF71/20</f>
        <v>-403.86875</v>
      </c>
      <c r="AH56" s="15">
        <f>-AG71/20</f>
        <v>-383.6753125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-34.686622967905</v>
      </c>
      <c r="AF59" s="15">
        <f>AF55+AF56+AF58</f>
        <v>-41.383024278868</v>
      </c>
      <c r="AG59" s="15">
        <f>AG55+AG56+AG58</f>
        <v>17.472238083311</v>
      </c>
      <c r="AH59" s="15">
        <f>AH55+AH56+AH58</f>
        <v>66.99290522581001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34.686622967905</v>
      </c>
      <c r="AF60" s="15">
        <f>-MIN(AE72,AF59)</f>
        <v>41.383024278868</v>
      </c>
      <c r="AG60" s="15">
        <f>-MIN(AF72,AG59)</f>
        <v>-17.472238083311</v>
      </c>
      <c r="AH60" s="15">
        <f>-MIN(AG72,AH59)</f>
        <v>-58.597409163462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1491</v>
      </c>
      <c r="AF61" s="15">
        <f>AE63</f>
        <v>1491</v>
      </c>
      <c r="AG61" s="15">
        <f>AF63</f>
        <v>1491</v>
      </c>
      <c r="AH61" s="15">
        <f>AG63</f>
        <v>1491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8.395496062348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1491</v>
      </c>
      <c r="AF63" s="15">
        <f>AF61+AF62</f>
        <v>1491</v>
      </c>
      <c r="AG63" s="15">
        <f>AG61+AG62</f>
        <v>1491</v>
      </c>
      <c r="AH63" s="15">
        <f>AH61+AH62</f>
        <v>1499.395496062350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-420.933333333333</v>
      </c>
      <c r="AF65" s="15">
        <f>AE65</f>
        <v>-420.933333333333</v>
      </c>
      <c r="AG65" s="15">
        <f>AF65</f>
        <v>-420.933333333333</v>
      </c>
      <c r="AH65" s="15">
        <f>AG65</f>
        <v>-420.933333333333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548.1133770320949</v>
      </c>
      <c r="AF66" s="15">
        <f>(AF52*AF53)+AF65</f>
        <v>519.041975721132</v>
      </c>
      <c r="AG66" s="15">
        <f>(AG52*AG53)+AG65</f>
        <v>556.640988083311</v>
      </c>
      <c r="AH66" s="15">
        <f>(AH52*AH53)+AH65</f>
        <v>585.968217725810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34303.2333333333</v>
      </c>
      <c r="AF68" s="15">
        <f>AE68-AF54</f>
        <v>34859.4666666666</v>
      </c>
      <c r="AG68" s="15">
        <f>AF68-AG54</f>
        <v>35415.6999999999</v>
      </c>
      <c r="AH68" s="15">
        <f>AG68-AH54</f>
        <v>35971.9333333332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420.933333333333</v>
      </c>
      <c r="AF69" s="15">
        <f>AE69-AF65</f>
        <v>841.866666666666</v>
      </c>
      <c r="AG69" s="15">
        <f>AF69-AG65</f>
        <v>1262.8</v>
      </c>
      <c r="AH69" s="15">
        <f>AG69-AH65</f>
        <v>1683.733333333330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33882.3</v>
      </c>
      <c r="AF70" s="15">
        <f>AF68-AF69</f>
        <v>34017.5999999999</v>
      </c>
      <c r="AG70" s="15">
        <f>AG68-AG69</f>
        <v>34152.8999999999</v>
      </c>
      <c r="AH70" s="15">
        <f>AH68-AH69</f>
        <v>34288.1999999999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8502.5</v>
      </c>
      <c r="AF71" s="15">
        <f>AE71+AF56</f>
        <v>8077.375</v>
      </c>
      <c r="AG71" s="15">
        <f>AF71+AG56</f>
        <v>7673.50625</v>
      </c>
      <c r="AH71" s="15">
        <f>AG71+AH56</f>
        <v>7289.8309375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34.686622967905</v>
      </c>
      <c r="AF72" s="15">
        <f>AE72+AF60</f>
        <v>76.069647246773</v>
      </c>
      <c r="AG72" s="15">
        <f>AF72+AG60</f>
        <v>58.597409163462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26836.1133770321</v>
      </c>
      <c r="AF73" s="15">
        <f>AE73+AF66+AF58</f>
        <v>27355.1553527532</v>
      </c>
      <c r="AG73" s="15">
        <f>AF73+AG66+AG58</f>
        <v>27911.7963408365</v>
      </c>
      <c r="AH73" s="15">
        <f>AG73+AH66+AH58</f>
        <v>28497.7645585623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5e-12</v>
      </c>
      <c r="AF74" s="15">
        <f>AF71+AF72+AF73-AF63-AF70</f>
        <v>7.300000000000001e-11</v>
      </c>
      <c r="AG74" s="15">
        <f>AG71+AG72+AG73-AG63-AG70</f>
        <v>6.200000000000001e-11</v>
      </c>
      <c r="AH74" s="15">
        <f>AH71+AH72+AH73-AH63-AH70</f>
        <v>5e-11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-7046.186622967910</v>
      </c>
      <c r="AF75" s="15">
        <f>AF63-AF71-AF72</f>
        <v>-6662.444647246770</v>
      </c>
      <c r="AG75" s="15">
        <f>AG63-AG71-AG72</f>
        <v>-6241.103659163460</v>
      </c>
      <c r="AH75" s="15">
        <f>AH63-AH71-AH72</f>
        <v>-5790.435441437650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-412.813377032095</v>
      </c>
      <c r="AF76" s="15">
        <f>AF56+AF58+AF60</f>
        <v>-383.741975721132</v>
      </c>
      <c r="AG76" s="15">
        <f>AG56+AG58+AG60</f>
        <v>-421.340988083311</v>
      </c>
      <c r="AH76" s="15">
        <f>AH56+AH58+AH60</f>
        <v>-442.272721663462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502</v>
      </c>
      <c r="AD78" s="14"/>
      <c r="AE78" s="15"/>
      <c r="AF78" s="15"/>
      <c r="AG78" s="15"/>
      <c r="AH78" s="15">
        <v>270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502</v>
      </c>
      <c r="AD79" s="14"/>
      <c r="AE79" s="15"/>
      <c r="AF79" s="15"/>
      <c r="AG79" s="15"/>
      <c r="AH79" s="15">
        <v>4415174922240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4415.17492224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16.352499712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0.123371656045621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1668.564558562350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20.5495195400428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2.64609175568499</v>
      </c>
      <c r="AH86" s="15">
        <v>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8342.822792811750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510.186389833079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0.8895792216039961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-0.144789965173976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0.0286969005396672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502</v>
      </c>
      <c r="AF94" t="s" s="44">
        <v>60</v>
      </c>
      <c r="AG94" s="15">
        <f>AH78</f>
        <v>270</v>
      </c>
      <c r="AH94" t="s" s="44">
        <v>61</v>
      </c>
      <c r="AI94" s="15">
        <f>AH88</f>
        <v>510.186389833079</v>
      </c>
      <c r="AJ94" t="s" s="44">
        <f>IF(AK94&gt;0,"+","")</f>
        <v>361</v>
      </c>
      <c r="AK94" s="16">
        <f>AI94/AG94-1</f>
        <v>0.8895792216039961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AI104/AE104-1</f>
        <v>-0.144789965173976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0.334913118062782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0.377552878279686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-1.68940078963298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-0.21339683079627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-0.179865025402523</v>
      </c>
      <c r="AF103" s="16">
        <f>P23</f>
        <v>0.07803494930193849</v>
      </c>
      <c r="AG103" s="16">
        <f>P24</f>
        <v>-0.0279024557591698</v>
      </c>
      <c r="AH103" s="16">
        <f>P25</f>
        <v>0.0374672822986207</v>
      </c>
      <c r="AI103" s="16">
        <f>P26</f>
        <v>-0.21339683079627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3244.7</v>
      </c>
      <c r="AF104" s="15">
        <f>C23</f>
        <v>3497.9</v>
      </c>
      <c r="AG104" s="15">
        <f>C24</f>
        <v>3400.3</v>
      </c>
      <c r="AH104" s="15">
        <f>C25</f>
        <v>3527.7</v>
      </c>
      <c r="AI104" s="15">
        <f>C26</f>
        <v>2774.9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-0.21339683079627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2774.9</v>
      </c>
      <c r="AM105" t="s" s="44">
        <v>372</v>
      </c>
      <c r="AN105" t="s" s="44">
        <v>378</v>
      </c>
      <c r="AO105" s="16">
        <f>AH91</f>
        <v>0.0286969005396672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-0.0314492637387202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0.0475</v>
      </c>
      <c r="AG107" t="s" s="44">
        <v>82</v>
      </c>
      <c r="AH107" t="s" s="44">
        <v>83</v>
      </c>
      <c r="AI107" s="23">
        <f>AH52</f>
        <v>3315.79349764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0.334545566616328</v>
      </c>
      <c r="AF110" s="16">
        <f>(D23+E23)/C23</f>
        <v>0.279539152062666</v>
      </c>
      <c r="AG110" s="16">
        <f>((E24+D24)/C24)</f>
        <v>0.317295532747111</v>
      </c>
      <c r="AH110" s="16">
        <f>(D25+E25)/C25</f>
        <v>0.28860163846132</v>
      </c>
      <c r="AI110" s="16">
        <f>(D26+E26)/C26</f>
        <v>0.329237089624851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696.5</v>
      </c>
      <c r="AF111" s="15">
        <f>E23</f>
        <v>542.8</v>
      </c>
      <c r="AG111" s="15">
        <f>E24</f>
        <v>633.6</v>
      </c>
      <c r="AH111" s="15">
        <f>E25</f>
        <v>623.4</v>
      </c>
      <c r="AI111" s="15">
        <f>E26</f>
        <v>490.8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0.28860163846132</v>
      </c>
      <c r="AG112" t="s" s="44">
        <v>76</v>
      </c>
      <c r="AH112" s="16">
        <f>AI110</f>
        <v>0.329237089624851</v>
      </c>
      <c r="AI112" t="s" s="44">
        <v>90</v>
      </c>
      <c r="AJ112" s="15">
        <f>AH111</f>
        <v>623.4</v>
      </c>
      <c r="AK112" t="s" s="44">
        <v>76</v>
      </c>
      <c r="AL112" s="15">
        <f>AI111</f>
        <v>490.8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0.303668353223987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0.303668353223987</v>
      </c>
      <c r="AG114" t="s" s="44">
        <v>94</v>
      </c>
      <c r="AH114" s="15">
        <f>AH66</f>
        <v>585.968217725810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1572.2</v>
      </c>
      <c r="AF117" s="15">
        <f>J23</f>
        <v>560</v>
      </c>
      <c r="AG117" s="26">
        <f>J24</f>
        <v>923.1</v>
      </c>
      <c r="AH117" s="15">
        <f>J25</f>
        <v>816.9</v>
      </c>
      <c r="AI117" s="15">
        <f>J26</f>
        <v>1281.9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-986.8</v>
      </c>
      <c r="AF118" s="15">
        <f>K23</f>
        <v>-434.5</v>
      </c>
      <c r="AG118" s="15">
        <f>K24</f>
        <v>-572.2</v>
      </c>
      <c r="AH118" s="15">
        <f>K25</f>
        <v>-408.8</v>
      </c>
      <c r="AI118" s="15">
        <f>K26</f>
        <v>-687.7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408.1</v>
      </c>
      <c r="AG119" t="s" s="44">
        <v>76</v>
      </c>
      <c r="AH119" s="15">
        <f>AI117+AI118</f>
        <v>594.2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-687.7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26">
        <f>SUM(AF117:AI118)/4</f>
        <v>369.675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-556.233333333333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417.141139640587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1670</v>
      </c>
      <c r="AF124" s="15">
        <f>F23</f>
        <v>1365</v>
      </c>
      <c r="AG124" s="15">
        <f>F24</f>
        <v>1494</v>
      </c>
      <c r="AH124" s="15">
        <f>F25</f>
        <v>917</v>
      </c>
      <c r="AI124" s="15">
        <f>F26</f>
        <v>1491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10968</v>
      </c>
      <c r="AF125" s="15">
        <f>G23</f>
        <v>10230</v>
      </c>
      <c r="AG125" s="15">
        <f>G24</f>
        <v>9735</v>
      </c>
      <c r="AH125" s="15">
        <f>G25</f>
        <v>9432</v>
      </c>
      <c r="AI125" s="15">
        <f>G26</f>
        <v>8950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917</v>
      </c>
      <c r="AH126" t="s" s="44">
        <v>76</v>
      </c>
      <c r="AI126" s="15">
        <f>AI124</f>
        <v>1491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AH125</f>
        <v>9432</v>
      </c>
      <c r="AH127" t="s" s="44">
        <v>76</v>
      </c>
      <c r="AI127" s="15">
        <f>AI125</f>
        <v>8950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-8515</v>
      </c>
      <c r="AO127" t="s" s="44">
        <v>76</v>
      </c>
      <c r="AP127" s="15">
        <f>AI126-AI127</f>
        <v>-7459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-1660.1690625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-5790.435441437650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-21.9</v>
      </c>
      <c r="AF131" s="15">
        <f>-L23</f>
        <v>6.2</v>
      </c>
      <c r="AG131" s="15">
        <f>-L24</f>
        <v>5.8</v>
      </c>
      <c r="AH131" s="15">
        <f>-L25</f>
        <v>-2.8</v>
      </c>
      <c r="AI131" s="15">
        <f>-L26</f>
        <v>2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-55.864</v>
      </c>
      <c r="AF132" s="15">
        <f>-M23</f>
        <v>428.262</v>
      </c>
      <c r="AG132" s="15">
        <f>-M24</f>
        <v>222.2</v>
      </c>
      <c r="AH132" s="15">
        <f>-M25</f>
        <v>472.8</v>
      </c>
      <c r="AI132" s="15">
        <f>-M26</f>
        <v>532.5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502</v>
      </c>
      <c r="AF133" t="s" s="44">
        <f>IF(AG133&gt;0,"paid","(raised)")</f>
        <v>374</v>
      </c>
      <c r="AG133" s="15">
        <f>SUM(AI131:AI132)</f>
        <v>534.5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2</v>
      </c>
      <c r="AM133" t="s" s="44">
        <f>AM105</f>
        <v>372</v>
      </c>
      <c r="AN133" t="s" s="44">
        <v>123</v>
      </c>
      <c r="AO133" s="15">
        <f>AI132</f>
        <v>532.5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1660.1690625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4415.17492224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0.123371656045621</v>
      </c>
      <c r="AK134" t="s" s="44">
        <v>130</v>
      </c>
      <c r="AL134" t="s" s="44">
        <v>131</v>
      </c>
      <c r="AM134" t="s" s="44">
        <v>132</v>
      </c>
      <c r="AN134" s="15">
        <f>AH85</f>
        <v>20.5495195400428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1668.564558562350</v>
      </c>
      <c r="AG135" t="s" s="44">
        <f>AG134</f>
        <v>372</v>
      </c>
      <c r="AH135" t="s" s="44">
        <v>136</v>
      </c>
      <c r="AI135" s="15">
        <f>AF134/AF135</f>
        <v>2.64609175568499</v>
      </c>
      <c r="AJ135" t="s" s="44">
        <v>130</v>
      </c>
      <c r="AK135" t="s" s="44">
        <v>137</v>
      </c>
      <c r="AL135" t="s" s="44">
        <v>138</v>
      </c>
      <c r="AM135" s="15">
        <f>AH86</f>
        <v>5</v>
      </c>
      <c r="AN135" t="s" s="44">
        <v>139</v>
      </c>
      <c r="AO135" t="s" s="44">
        <v>140</v>
      </c>
      <c r="AP135" t="s" s="44">
        <v>141</v>
      </c>
      <c r="AQ135" s="16">
        <f>AK94</f>
        <v>0.8895792216039961</v>
      </c>
      <c r="AR135" t="s" s="44">
        <f>IF(AQ135&gt;0,"higher","lower")</f>
        <v>363</v>
      </c>
      <c r="AS135" t="s" s="44">
        <v>142</v>
      </c>
      <c r="AT135" s="15">
        <f>AI94</f>
        <v>510.186389833079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3244.7</v>
      </c>
      <c r="AE137" s="15">
        <f>AF104</f>
        <v>3497.9</v>
      </c>
      <c r="AF137" s="15">
        <f>AG104</f>
        <v>3400.3</v>
      </c>
      <c r="AG137" s="15">
        <f>AH104</f>
        <v>3527.7</v>
      </c>
      <c r="AH137" s="15">
        <f>AI104</f>
        <v>2774.9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585.4</v>
      </c>
      <c r="AE138" s="15">
        <f>SUM(AF117:AF118)</f>
        <v>125.5</v>
      </c>
      <c r="AF138" s="26">
        <f>SUM(AG117:AG118)</f>
        <v>350.9</v>
      </c>
      <c r="AG138" s="15">
        <f>SUM(AH117:AH118)</f>
        <v>408.1</v>
      </c>
      <c r="AH138" s="15">
        <f>SUM(AI117:AI118)</f>
        <v>594.2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-77.764</v>
      </c>
      <c r="AE139" s="15">
        <f>SUM(AF131:AF132)</f>
        <v>434.462</v>
      </c>
      <c r="AF139" s="15">
        <f>SUM(AG131:AG132)</f>
        <v>228</v>
      </c>
      <c r="AG139" s="15">
        <f>SUM(AH131:AH132)</f>
        <v>470</v>
      </c>
      <c r="AH139" s="15">
        <f>SUM(AI131:AI132)</f>
        <v>534.5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-9298</v>
      </c>
      <c r="AE140" s="15">
        <f>(AF124-AF125)</f>
        <v>-8865</v>
      </c>
      <c r="AF140" s="15">
        <f>(AG124-AG125)</f>
        <v>-8241</v>
      </c>
      <c r="AG140" s="15">
        <f>(AH124-AH125)</f>
        <v>-8515</v>
      </c>
      <c r="AH140" s="15">
        <f>(AI124-AI125)</f>
        <v>-7459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510.186389833079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Z2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3.04688" style="133" customWidth="1"/>
    <col min="2" max="26" width="10.4844" style="133" customWidth="1"/>
    <col min="27" max="16384" width="16.3516" style="133" customWidth="1"/>
  </cols>
  <sheetData>
    <row r="1" ht="6" customHeight="1"/>
    <row r="2" ht="27.65" customHeight="1">
      <c r="B2" t="s" s="2">
        <v>503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347</v>
      </c>
      <c r="Z3" t="s" s="3">
        <v>19</v>
      </c>
    </row>
    <row r="4" ht="20.25" customHeight="1">
      <c r="B4" s="6">
        <v>2018</v>
      </c>
      <c r="C4" s="7">
        <v>3690</v>
      </c>
      <c r="D4" s="8">
        <v>339</v>
      </c>
      <c r="E4" s="8">
        <v>480</v>
      </c>
      <c r="F4" s="8">
        <v>18039.75</v>
      </c>
      <c r="G4" s="8">
        <v>154538</v>
      </c>
      <c r="H4" s="8">
        <v>175775</v>
      </c>
      <c r="I4" s="8">
        <v>4205</v>
      </c>
      <c r="J4" s="8">
        <v>3614</v>
      </c>
      <c r="K4" s="8">
        <v>-4109</v>
      </c>
      <c r="L4" s="8">
        <v>2042</v>
      </c>
      <c r="M4" s="8">
        <v>17</v>
      </c>
      <c r="N4" s="9"/>
      <c r="O4" s="9"/>
      <c r="P4" s="55"/>
      <c r="Q4" s="55"/>
      <c r="R4" s="9"/>
      <c r="S4" s="9"/>
      <c r="T4" s="9"/>
      <c r="U4" s="9"/>
      <c r="V4" s="9"/>
      <c r="W4" s="8">
        <v>-136498.25</v>
      </c>
      <c r="X4" s="73"/>
      <c r="Y4" s="8">
        <v>257</v>
      </c>
      <c r="Z4" s="73"/>
    </row>
    <row r="5" ht="20.05" customHeight="1">
      <c r="B5" s="13"/>
      <c r="C5" s="14">
        <v>3811</v>
      </c>
      <c r="D5" s="15">
        <v>477.8</v>
      </c>
      <c r="E5" s="15">
        <v>490</v>
      </c>
      <c r="F5" s="15">
        <v>14244.5</v>
      </c>
      <c r="G5" s="15">
        <v>148492</v>
      </c>
      <c r="H5" s="15">
        <v>171736</v>
      </c>
      <c r="I5" s="15">
        <v>3955</v>
      </c>
      <c r="J5" s="15">
        <v>-9894</v>
      </c>
      <c r="K5" s="15">
        <v>5130</v>
      </c>
      <c r="L5" s="15">
        <v>97</v>
      </c>
      <c r="M5" s="15">
        <v>1622</v>
      </c>
      <c r="N5" s="17"/>
      <c r="O5" s="17"/>
      <c r="P5" s="16"/>
      <c r="Q5" s="16"/>
      <c r="R5" s="17"/>
      <c r="S5" s="17"/>
      <c r="T5" s="17"/>
      <c r="U5" s="17"/>
      <c r="V5" s="17"/>
      <c r="W5" s="15">
        <v>-134247.5</v>
      </c>
      <c r="X5" s="24"/>
      <c r="Y5" s="15">
        <v>214</v>
      </c>
      <c r="Z5" s="24"/>
    </row>
    <row r="6" ht="20.05" customHeight="1">
      <c r="B6" s="13"/>
      <c r="C6" s="14">
        <v>3783</v>
      </c>
      <c r="D6" s="15">
        <v>407.6</v>
      </c>
      <c r="E6" s="15">
        <v>575</v>
      </c>
      <c r="F6" s="15">
        <v>12572.25</v>
      </c>
      <c r="G6" s="15">
        <v>149453</v>
      </c>
      <c r="H6" s="15">
        <v>173289</v>
      </c>
      <c r="I6" s="15">
        <v>4182</v>
      </c>
      <c r="J6" s="15">
        <v>-5681</v>
      </c>
      <c r="K6" s="15">
        <v>1595</v>
      </c>
      <c r="L6" s="15">
        <v>2549</v>
      </c>
      <c r="M6" s="15">
        <v>11</v>
      </c>
      <c r="N6" s="17"/>
      <c r="O6" s="17"/>
      <c r="P6" s="16"/>
      <c r="Q6" s="16"/>
      <c r="R6" s="17"/>
      <c r="S6" s="17"/>
      <c r="T6" s="17"/>
      <c r="U6" s="17"/>
      <c r="V6" s="17"/>
      <c r="W6" s="15">
        <v>-136880.75</v>
      </c>
      <c r="X6" s="24"/>
      <c r="Y6" s="15">
        <v>210</v>
      </c>
      <c r="Z6" s="24"/>
    </row>
    <row r="7" ht="20.05" customHeight="1">
      <c r="B7" s="13"/>
      <c r="C7" s="14">
        <v>3886</v>
      </c>
      <c r="D7" s="15">
        <v>384.1</v>
      </c>
      <c r="E7" s="15">
        <v>717</v>
      </c>
      <c r="F7" s="15">
        <v>17672</v>
      </c>
      <c r="G7" s="15">
        <v>152442</v>
      </c>
      <c r="H7" s="15">
        <v>177533</v>
      </c>
      <c r="I7" s="15">
        <v>4738</v>
      </c>
      <c r="J7" s="15">
        <v>4595</v>
      </c>
      <c r="K7" s="15">
        <v>1219</v>
      </c>
      <c r="L7" s="15">
        <v>-794</v>
      </c>
      <c r="M7" s="15">
        <v>22</v>
      </c>
      <c r="N7" s="17"/>
      <c r="O7" s="17"/>
      <c r="P7" s="16"/>
      <c r="Q7" s="16"/>
      <c r="R7" s="17"/>
      <c r="S7" s="17"/>
      <c r="T7" s="17"/>
      <c r="U7" s="17"/>
      <c r="V7" s="17"/>
      <c r="W7" s="15">
        <v>-134770</v>
      </c>
      <c r="X7" s="24"/>
      <c r="Y7" s="15">
        <v>206</v>
      </c>
      <c r="Z7" s="24"/>
    </row>
    <row r="8" ht="20.05" customHeight="1">
      <c r="B8" s="21">
        <v>2019</v>
      </c>
      <c r="C8" s="14">
        <v>3934</v>
      </c>
      <c r="D8" s="15">
        <v>470.5</v>
      </c>
      <c r="E8" s="15">
        <v>429</v>
      </c>
      <c r="F8" s="15">
        <v>20359.5</v>
      </c>
      <c r="G8" s="15">
        <v>163375</v>
      </c>
      <c r="H8" s="15">
        <v>188431</v>
      </c>
      <c r="I8" s="15">
        <v>4465</v>
      </c>
      <c r="J8" s="15">
        <v>7994</v>
      </c>
      <c r="K8" s="15">
        <v>-5553</v>
      </c>
      <c r="L8" s="15">
        <v>-204</v>
      </c>
      <c r="M8" s="15">
        <v>14</v>
      </c>
      <c r="N8" s="15">
        <v>983.5</v>
      </c>
      <c r="O8" s="17"/>
      <c r="P8" s="16">
        <v>0.0123520329387545</v>
      </c>
      <c r="Q8" s="16">
        <v>-0.743674581549241</v>
      </c>
      <c r="R8" s="17"/>
      <c r="S8" s="15">
        <v>2063.75</v>
      </c>
      <c r="T8" s="17"/>
      <c r="U8" s="15">
        <v>190</v>
      </c>
      <c r="V8" s="17"/>
      <c r="W8" s="15">
        <v>-143015.5</v>
      </c>
      <c r="X8" s="24"/>
      <c r="Y8" s="15">
        <v>268</v>
      </c>
      <c r="Z8" s="24"/>
    </row>
    <row r="9" ht="20.05" customHeight="1">
      <c r="B9" s="13"/>
      <c r="C9" s="14">
        <v>4080</v>
      </c>
      <c r="D9" s="15">
        <v>645.5</v>
      </c>
      <c r="E9" s="15">
        <v>352</v>
      </c>
      <c r="F9" s="15">
        <v>26266</v>
      </c>
      <c r="G9" s="15">
        <v>158148</v>
      </c>
      <c r="H9" s="15">
        <v>183639</v>
      </c>
      <c r="I9" s="15">
        <v>4449</v>
      </c>
      <c r="J9" s="15">
        <v>-1176</v>
      </c>
      <c r="K9" s="15">
        <v>9590</v>
      </c>
      <c r="L9" s="15">
        <v>-1656</v>
      </c>
      <c r="M9" s="15">
        <v>-532</v>
      </c>
      <c r="N9" s="15">
        <v>2003.5</v>
      </c>
      <c r="O9" s="17"/>
      <c r="P9" s="16">
        <v>0.0371123538383325</v>
      </c>
      <c r="Q9" s="16">
        <v>-0.746177389530064</v>
      </c>
      <c r="R9" s="17"/>
      <c r="S9" s="15">
        <v>2713.75</v>
      </c>
      <c r="T9" s="17"/>
      <c r="U9" s="15">
        <v>2378</v>
      </c>
      <c r="V9" s="17"/>
      <c r="W9" s="15">
        <v>-131882</v>
      </c>
      <c r="X9" s="24"/>
      <c r="Y9" s="15">
        <v>244</v>
      </c>
      <c r="Z9" s="24"/>
    </row>
    <row r="10" ht="20.05" customHeight="1">
      <c r="B10" s="13"/>
      <c r="C10" s="14">
        <v>4083</v>
      </c>
      <c r="D10" s="15">
        <v>690.3</v>
      </c>
      <c r="E10" s="15">
        <v>377</v>
      </c>
      <c r="F10" s="15">
        <v>17456.5</v>
      </c>
      <c r="G10" s="15">
        <v>151985</v>
      </c>
      <c r="H10" s="15">
        <v>177851</v>
      </c>
      <c r="I10" s="15">
        <v>4594</v>
      </c>
      <c r="J10" s="15">
        <v>-1751</v>
      </c>
      <c r="K10" s="15">
        <v>-8382</v>
      </c>
      <c r="L10" s="15">
        <v>1527</v>
      </c>
      <c r="M10" s="15">
        <v>24</v>
      </c>
      <c r="N10" s="15">
        <v>3024.25</v>
      </c>
      <c r="O10" s="17"/>
      <c r="P10" s="16">
        <v>0.000735294117647059</v>
      </c>
      <c r="Q10" s="16">
        <v>-0.745642244885191</v>
      </c>
      <c r="R10" s="17"/>
      <c r="S10" s="15">
        <v>180.5</v>
      </c>
      <c r="T10" s="17"/>
      <c r="U10" s="15">
        <v>827</v>
      </c>
      <c r="V10" s="17"/>
      <c r="W10" s="15">
        <v>-134528.5</v>
      </c>
      <c r="X10" s="24"/>
      <c r="Y10" s="15">
        <v>218</v>
      </c>
      <c r="Z10" s="24"/>
    </row>
    <row r="11" ht="20.05" customHeight="1">
      <c r="B11" s="13"/>
      <c r="C11" s="14">
        <v>3794</v>
      </c>
      <c r="D11" s="15">
        <v>261.5</v>
      </c>
      <c r="E11" s="15">
        <v>766</v>
      </c>
      <c r="F11" s="15">
        <v>18235</v>
      </c>
      <c r="G11" s="15">
        <v>142398</v>
      </c>
      <c r="H11" s="15">
        <v>169083</v>
      </c>
      <c r="I11" s="15">
        <v>4440</v>
      </c>
      <c r="J11" s="15">
        <v>1033</v>
      </c>
      <c r="K11" s="15">
        <v>1257</v>
      </c>
      <c r="L11" s="15">
        <v>-1508</v>
      </c>
      <c r="M11" s="15">
        <v>33</v>
      </c>
      <c r="N11" s="15">
        <v>3972.75</v>
      </c>
      <c r="O11" s="17"/>
      <c r="P11" s="16">
        <v>-0.0707812882684301</v>
      </c>
      <c r="Q11" s="16">
        <v>-0.748801208231074</v>
      </c>
      <c r="R11" s="17"/>
      <c r="S11" s="15">
        <v>753</v>
      </c>
      <c r="T11" s="17"/>
      <c r="U11" s="15">
        <v>2302</v>
      </c>
      <c r="V11" s="17"/>
      <c r="W11" s="15">
        <v>-124163</v>
      </c>
      <c r="X11" s="24"/>
      <c r="Y11" s="15">
        <v>206</v>
      </c>
      <c r="Z11" s="24"/>
    </row>
    <row r="12" ht="20.05" customHeight="1">
      <c r="B12" s="21">
        <v>2020</v>
      </c>
      <c r="C12" s="14">
        <v>3648</v>
      </c>
      <c r="D12" s="15">
        <v>398.1</v>
      </c>
      <c r="E12" s="15">
        <v>552</v>
      </c>
      <c r="F12" s="15">
        <v>7604.75</v>
      </c>
      <c r="G12" s="15">
        <v>155817</v>
      </c>
      <c r="H12" s="15">
        <v>181468</v>
      </c>
      <c r="I12" s="15">
        <v>3680</v>
      </c>
      <c r="J12" s="15">
        <v>-8072.75</v>
      </c>
      <c r="K12" s="15">
        <v>-3088</v>
      </c>
      <c r="L12" s="15">
        <v>628</v>
      </c>
      <c r="M12" s="15">
        <v>-34</v>
      </c>
      <c r="N12" s="15">
        <v>3901.25</v>
      </c>
      <c r="O12" s="15"/>
      <c r="P12" s="16">
        <v>-0.0384818133895625</v>
      </c>
      <c r="Q12" s="16">
        <v>-0.740954822172381</v>
      </c>
      <c r="R12" s="16"/>
      <c r="S12" s="15">
        <v>-2647.4375</v>
      </c>
      <c r="T12" s="15"/>
      <c r="U12" s="15">
        <v>1708</v>
      </c>
      <c r="V12" s="17"/>
      <c r="W12" s="15">
        <v>-148212.25</v>
      </c>
      <c r="X12" s="24"/>
      <c r="Y12" s="15">
        <v>138</v>
      </c>
      <c r="Z12" s="24"/>
    </row>
    <row r="13" ht="20.05" customHeight="1">
      <c r="B13" s="13"/>
      <c r="C13" s="14">
        <v>3399</v>
      </c>
      <c r="D13" s="15">
        <v>871.4</v>
      </c>
      <c r="E13" s="15">
        <v>276</v>
      </c>
      <c r="F13" s="15">
        <v>16640.5</v>
      </c>
      <c r="G13" s="15">
        <v>137872</v>
      </c>
      <c r="H13" s="15">
        <v>164122</v>
      </c>
      <c r="I13" s="15">
        <v>4277</v>
      </c>
      <c r="J13" s="15">
        <v>14006.25</v>
      </c>
      <c r="K13" s="15">
        <v>-972</v>
      </c>
      <c r="L13" s="15">
        <v>-3261</v>
      </c>
      <c r="M13" s="15">
        <v>-414</v>
      </c>
      <c r="N13" s="15">
        <v>3731</v>
      </c>
      <c r="O13" s="15"/>
      <c r="P13" s="16">
        <v>-0.0682565789473684</v>
      </c>
      <c r="Q13" s="16">
        <v>-0.719090056285178</v>
      </c>
      <c r="R13" s="16"/>
      <c r="S13" s="15">
        <v>-1492.375</v>
      </c>
      <c r="T13" s="15"/>
      <c r="U13" s="15">
        <v>5383</v>
      </c>
      <c r="V13" s="17"/>
      <c r="W13" s="15">
        <v>-121231.5</v>
      </c>
      <c r="X13" s="24"/>
      <c r="Y13" s="15">
        <v>161</v>
      </c>
      <c r="Z13" s="24"/>
    </row>
    <row r="14" ht="20.05" customHeight="1">
      <c r="B14" s="13"/>
      <c r="C14" s="14">
        <v>3107</v>
      </c>
      <c r="D14" s="15">
        <v>554</v>
      </c>
      <c r="E14" s="15">
        <v>289</v>
      </c>
      <c r="F14" s="15">
        <v>20088.25</v>
      </c>
      <c r="G14" s="15">
        <v>150691</v>
      </c>
      <c r="H14" s="15">
        <v>177331</v>
      </c>
      <c r="I14" s="15">
        <v>3496</v>
      </c>
      <c r="J14" s="15">
        <v>21562.25</v>
      </c>
      <c r="K14" s="15">
        <v>-17316</v>
      </c>
      <c r="L14" s="15">
        <v>-1204</v>
      </c>
      <c r="M14" s="15">
        <v>0</v>
      </c>
      <c r="N14" s="15">
        <v>3487</v>
      </c>
      <c r="O14" s="15"/>
      <c r="P14" s="16">
        <v>-0.08590761988820241</v>
      </c>
      <c r="Q14" s="16">
        <v>-0.715514769142529</v>
      </c>
      <c r="R14" s="16"/>
      <c r="S14" s="15">
        <v>2102.4375</v>
      </c>
      <c r="T14" s="15"/>
      <c r="U14" s="15">
        <v>6587</v>
      </c>
      <c r="V14" s="17"/>
      <c r="W14" s="15">
        <v>-130602.75</v>
      </c>
      <c r="X14" s="24"/>
      <c r="Y14" s="15">
        <v>204</v>
      </c>
      <c r="Z14" s="24"/>
    </row>
    <row r="15" ht="20.05" customHeight="1">
      <c r="B15" s="13"/>
      <c r="C15" s="14">
        <v>3023</v>
      </c>
      <c r="D15" s="15">
        <v>747.8</v>
      </c>
      <c r="E15" s="15">
        <v>167</v>
      </c>
      <c r="F15" s="15">
        <v>24626</v>
      </c>
      <c r="G15" s="15">
        <v>146001</v>
      </c>
      <c r="H15" s="15">
        <v>173224</v>
      </c>
      <c r="I15" s="15">
        <v>3402</v>
      </c>
      <c r="J15" s="15">
        <v>2799.25</v>
      </c>
      <c r="K15" s="15">
        <v>4320</v>
      </c>
      <c r="L15" s="15">
        <v>-2496</v>
      </c>
      <c r="M15" s="15">
        <v>-5</v>
      </c>
      <c r="N15" s="15">
        <v>3294.25</v>
      </c>
      <c r="O15" s="15"/>
      <c r="P15" s="16">
        <v>-0.0270357257804957</v>
      </c>
      <c r="Q15" s="16">
        <v>-0.707422023222281</v>
      </c>
      <c r="R15" s="16"/>
      <c r="S15" s="15">
        <v>3309.75</v>
      </c>
      <c r="T15" s="15"/>
      <c r="U15" s="15">
        <v>9088</v>
      </c>
      <c r="V15" s="17"/>
      <c r="W15" s="15">
        <v>-121375</v>
      </c>
      <c r="X15" s="24"/>
      <c r="Y15" s="15">
        <v>346</v>
      </c>
      <c r="Z15" s="24"/>
    </row>
    <row r="16" ht="20.05" customHeight="1">
      <c r="B16" s="21">
        <v>2021</v>
      </c>
      <c r="C16" s="14">
        <v>2977</v>
      </c>
      <c r="D16" s="15">
        <v>402.3</v>
      </c>
      <c r="E16" s="15">
        <v>388</v>
      </c>
      <c r="F16" s="15">
        <v>17328</v>
      </c>
      <c r="G16" s="15">
        <v>146556</v>
      </c>
      <c r="H16" s="15">
        <v>173708</v>
      </c>
      <c r="I16" s="15">
        <v>3340</v>
      </c>
      <c r="J16" s="15">
        <v>5555.75</v>
      </c>
      <c r="K16" s="15">
        <v>-10072</v>
      </c>
      <c r="L16" s="15">
        <v>-2757</v>
      </c>
      <c r="M16" s="15">
        <v>8</v>
      </c>
      <c r="N16" s="15">
        <v>3126.5</v>
      </c>
      <c r="O16" s="15"/>
      <c r="P16" s="16">
        <v>-0.0152166721799537</v>
      </c>
      <c r="Q16" s="16">
        <v>-0.704501839117224</v>
      </c>
      <c r="R16" s="16"/>
      <c r="S16" s="15">
        <v>4970.875</v>
      </c>
      <c r="T16" s="15"/>
      <c r="U16" s="15">
        <v>11837</v>
      </c>
      <c r="V16" s="17"/>
      <c r="W16" s="15">
        <v>-129228</v>
      </c>
      <c r="X16" s="15"/>
      <c r="Y16" s="15">
        <v>362</v>
      </c>
      <c r="Z16" s="15"/>
    </row>
    <row r="17" ht="20.05" customHeight="1">
      <c r="B17" s="13"/>
      <c r="C17" s="14">
        <v>2733</v>
      </c>
      <c r="D17" s="15">
        <v>640.3</v>
      </c>
      <c r="E17" s="15">
        <v>138</v>
      </c>
      <c r="F17" s="15">
        <v>24609</v>
      </c>
      <c r="G17" s="15">
        <v>134216</v>
      </c>
      <c r="H17" s="15">
        <v>161609</v>
      </c>
      <c r="I17" s="15">
        <v>3150</v>
      </c>
      <c r="J17" s="15">
        <v>-10299.25</v>
      </c>
      <c r="K17" s="15">
        <v>16760</v>
      </c>
      <c r="L17" s="15">
        <v>1456</v>
      </c>
      <c r="M17" s="15">
        <v>-245</v>
      </c>
      <c r="N17" s="15">
        <v>2960</v>
      </c>
      <c r="O17" s="15"/>
      <c r="P17" s="16">
        <v>-0.0819617064158549</v>
      </c>
      <c r="Q17" s="16">
        <v>-0.719054054054054</v>
      </c>
      <c r="R17" s="16"/>
      <c r="S17" s="15">
        <v>3327.5</v>
      </c>
      <c r="T17" s="15"/>
      <c r="U17" s="15">
        <v>10626</v>
      </c>
      <c r="V17" s="17"/>
      <c r="W17" s="15">
        <v>-109607</v>
      </c>
      <c r="X17" s="15"/>
      <c r="Y17" s="15">
        <v>338</v>
      </c>
      <c r="Z17" s="15"/>
    </row>
    <row r="18" ht="20.05" customHeight="1">
      <c r="B18" s="13"/>
      <c r="C18" s="14">
        <v>2754</v>
      </c>
      <c r="D18" s="15">
        <v>393.6</v>
      </c>
      <c r="E18" s="15">
        <v>560</v>
      </c>
      <c r="F18" s="15">
        <v>19029</v>
      </c>
      <c r="G18" s="15">
        <v>125983</v>
      </c>
      <c r="H18" s="15">
        <v>153975</v>
      </c>
      <c r="I18" s="15">
        <v>3329</v>
      </c>
      <c r="J18" s="15">
        <v>-5384.25</v>
      </c>
      <c r="K18" s="15">
        <v>1314</v>
      </c>
      <c r="L18" s="15">
        <v>-1484</v>
      </c>
      <c r="M18" s="15">
        <v>8</v>
      </c>
      <c r="N18" s="15">
        <v>2871.75</v>
      </c>
      <c r="O18" s="15"/>
      <c r="P18" s="16">
        <v>0.00768386388583974</v>
      </c>
      <c r="Q18" s="16">
        <v>-0.700792199878123</v>
      </c>
      <c r="R18" s="16"/>
      <c r="S18" s="15">
        <v>1248.375</v>
      </c>
      <c r="T18" s="15"/>
      <c r="U18" s="15">
        <v>12102</v>
      </c>
      <c r="V18" s="17"/>
      <c r="W18" s="15">
        <v>-106954</v>
      </c>
      <c r="X18" s="15"/>
      <c r="Y18" s="15">
        <v>334</v>
      </c>
      <c r="Z18" s="15"/>
    </row>
    <row r="19" ht="20.05" customHeight="1">
      <c r="B19" s="13"/>
      <c r="C19" s="14">
        <v>2637</v>
      </c>
      <c r="D19" s="15">
        <v>604.9</v>
      </c>
      <c r="E19" s="15">
        <v>594</v>
      </c>
      <c r="F19" s="15">
        <v>24255</v>
      </c>
      <c r="G19" s="15">
        <v>140033</v>
      </c>
      <c r="H19" s="15">
        <v>168759</v>
      </c>
      <c r="I19" s="15">
        <v>3004</v>
      </c>
      <c r="J19" s="15">
        <v>10170.75</v>
      </c>
      <c r="K19" s="15">
        <v>-6216</v>
      </c>
      <c r="L19" s="15">
        <v>1062</v>
      </c>
      <c r="M19" s="15">
        <v>14</v>
      </c>
      <c r="N19" s="15">
        <v>2775.25</v>
      </c>
      <c r="O19" s="15"/>
      <c r="P19" s="16">
        <v>-0.042483660130719</v>
      </c>
      <c r="Q19" s="16">
        <v>-0.664795964327538</v>
      </c>
      <c r="R19" s="16">
        <v>-0.66221184000693</v>
      </c>
      <c r="S19" s="15">
        <v>457.25</v>
      </c>
      <c r="T19" s="15"/>
      <c r="U19" s="15">
        <v>11026</v>
      </c>
      <c r="V19" s="17"/>
      <c r="W19" s="15">
        <v>-115778</v>
      </c>
      <c r="X19" s="15"/>
      <c r="Y19" s="15">
        <v>332</v>
      </c>
      <c r="Z19" s="15"/>
    </row>
    <row r="20" ht="20.05" customHeight="1">
      <c r="B20" s="21">
        <v>2022</v>
      </c>
      <c r="C20" s="14">
        <v>2574.1</v>
      </c>
      <c r="D20" s="15">
        <v>335.4</v>
      </c>
      <c r="E20" s="15">
        <v>395.9</v>
      </c>
      <c r="F20" s="15">
        <v>14007.7</v>
      </c>
      <c r="G20" s="15">
        <v>131290</v>
      </c>
      <c r="H20" s="15">
        <v>159746</v>
      </c>
      <c r="I20" s="15">
        <v>2490.9</v>
      </c>
      <c r="J20" s="15">
        <v>-3555.6</v>
      </c>
      <c r="K20" s="15">
        <v>-5526.3</v>
      </c>
      <c r="L20" s="15">
        <v>-1206.6</v>
      </c>
      <c r="M20" s="15">
        <v>7.7</v>
      </c>
      <c r="N20" s="15">
        <v>2674.525</v>
      </c>
      <c r="O20" s="15"/>
      <c r="P20" s="16">
        <v>-0.0238528631020099</v>
      </c>
      <c r="Q20" s="16">
        <v>-0.65768687897851</v>
      </c>
      <c r="R20" s="16">
        <v>-0.657554163932233</v>
      </c>
      <c r="S20" s="15">
        <v>-684.1625</v>
      </c>
      <c r="T20" s="15"/>
      <c r="U20" s="15">
        <v>12224.9</v>
      </c>
      <c r="V20" s="15"/>
      <c r="W20" s="15">
        <v>-117282.3</v>
      </c>
      <c r="X20" s="15"/>
      <c r="Y20" s="15">
        <v>304</v>
      </c>
      <c r="Z20" s="15"/>
    </row>
    <row r="21" ht="20.05" customHeight="1">
      <c r="B21" s="13"/>
      <c r="C21" s="14">
        <v>3266.8</v>
      </c>
      <c r="D21" s="15">
        <v>447.6</v>
      </c>
      <c r="E21" s="15">
        <v>292.5</v>
      </c>
      <c r="F21" s="15">
        <v>19621</v>
      </c>
      <c r="G21" s="15">
        <v>138824</v>
      </c>
      <c r="H21" s="15">
        <v>167328</v>
      </c>
      <c r="I21" s="15">
        <v>2690.7</v>
      </c>
      <c r="J21" s="15">
        <v>-1086.7</v>
      </c>
      <c r="K21" s="15">
        <v>4397.2</v>
      </c>
      <c r="L21" s="15">
        <v>2609.2</v>
      </c>
      <c r="M21" s="15">
        <v>-494.8</v>
      </c>
      <c r="N21" s="15">
        <v>2807.975</v>
      </c>
      <c r="O21" s="15">
        <v>2830.3358877551</v>
      </c>
      <c r="P21" s="16">
        <v>0.269103764422517</v>
      </c>
      <c r="Q21" s="16">
        <v>-0.677356457945673</v>
      </c>
      <c r="R21" s="16">
        <v>-0.672110827449764</v>
      </c>
      <c r="S21" s="15">
        <v>-1471.725</v>
      </c>
      <c r="T21" s="15"/>
      <c r="U21" s="15">
        <v>10110.5</v>
      </c>
      <c r="V21" s="15"/>
      <c r="W21" s="15">
        <v>-119203</v>
      </c>
      <c r="X21" s="15"/>
      <c r="Y21" s="15">
        <v>270</v>
      </c>
      <c r="Z21" s="15">
        <v>270</v>
      </c>
    </row>
    <row r="22" ht="20.05" customHeight="1">
      <c r="B22" s="13"/>
      <c r="C22" s="14">
        <v>2042.3</v>
      </c>
      <c r="D22" s="15">
        <v>387.1</v>
      </c>
      <c r="E22" s="15">
        <v>414.4</v>
      </c>
      <c r="F22" s="15">
        <v>14779</v>
      </c>
      <c r="G22" s="15">
        <v>136051</v>
      </c>
      <c r="H22" s="15">
        <v>164862</v>
      </c>
      <c r="I22" s="15">
        <v>2558.4</v>
      </c>
      <c r="J22" s="15">
        <v>-7632.3</v>
      </c>
      <c r="K22" s="15">
        <v>3520.5</v>
      </c>
      <c r="L22" s="15">
        <v>-853.7</v>
      </c>
      <c r="M22" s="15">
        <v>13.4</v>
      </c>
      <c r="N22" s="15">
        <v>2630.05</v>
      </c>
      <c r="O22" s="15">
        <v>3133.304343573980</v>
      </c>
      <c r="P22" s="16">
        <v>-0.374831639524917</v>
      </c>
      <c r="Q22" s="16">
        <v>-0.66998726259957</v>
      </c>
      <c r="R22" s="16">
        <v>-0.657554163932233</v>
      </c>
      <c r="S22" s="15">
        <v>-1482.1125</v>
      </c>
      <c r="T22" s="15">
        <v>280</v>
      </c>
      <c r="U22" s="15">
        <v>10950.8</v>
      </c>
      <c r="V22" s="15">
        <v>10950.8</v>
      </c>
      <c r="W22" s="15">
        <v>-121272</v>
      </c>
      <c r="X22" s="15">
        <v>-121272</v>
      </c>
      <c r="Y22" s="15">
        <v>256</v>
      </c>
      <c r="Z22" s="15">
        <v>254</v>
      </c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7"/>
      <c r="O23" s="23">
        <v>2703.788205625</v>
      </c>
      <c r="P23" s="17"/>
      <c r="Q23" s="17"/>
      <c r="R23" s="35">
        <v>-0.66998726259957</v>
      </c>
      <c r="S23" s="17"/>
      <c r="T23" s="15">
        <v>390.164547089303</v>
      </c>
      <c r="U23" s="17"/>
      <c r="V23" s="15">
        <v>11407.013208489</v>
      </c>
      <c r="W23" s="17"/>
      <c r="X23" s="15">
        <v>-120113.142782648</v>
      </c>
      <c r="Y23" s="15">
        <v>244</v>
      </c>
      <c r="Z23" s="15">
        <v>244</v>
      </c>
    </row>
    <row r="24" ht="20.05" customHeight="1">
      <c r="B24" s="21">
        <v>2023</v>
      </c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>
        <v>5438.025</v>
      </c>
      <c r="O24" s="15">
        <v>5963.640231329080</v>
      </c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>
        <v>204.769948814127</v>
      </c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  <row r="26" ht="20.05" customHeight="1">
      <c r="B26" s="13"/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5"/>
      <c r="Y26" s="15"/>
      <c r="Z26" s="15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5"/>
      <c r="Y27" s="15"/>
      <c r="Z27" s="15"/>
    </row>
    <row r="28" ht="20.05" customHeight="1">
      <c r="B28" s="13"/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</sheetData>
  <mergeCells count="1">
    <mergeCell ref="B2:Z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34" customWidth="1"/>
    <col min="2" max="27" width="10.4844" style="134" customWidth="1"/>
    <col min="28" max="28" width="18.9766" style="135" customWidth="1"/>
    <col min="29" max="47" width="9" style="135" customWidth="1"/>
    <col min="48" max="16384" width="16.3516" style="135" customWidth="1"/>
  </cols>
  <sheetData>
    <row r="1" ht="11.65" customHeight="1"/>
    <row r="2" ht="27.65" customHeight="1">
      <c r="B2" t="s" s="2">
        <v>504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505</v>
      </c>
      <c r="AA3" t="s" s="3">
        <v>19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8"/>
      <c r="AA4" s="9"/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15"/>
      <c r="AA5" s="17"/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5"/>
      <c r="AA6" s="17"/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5"/>
      <c r="AA7" s="17"/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7"/>
      <c r="P8" s="16"/>
      <c r="Q8" s="16"/>
      <c r="R8" s="16"/>
      <c r="S8" s="17"/>
      <c r="T8" s="15">
        <f>SUM(J5:K8)/4</f>
        <v>0</v>
      </c>
      <c r="U8" s="17"/>
      <c r="V8" s="15">
        <f>-(L8+M8)+V7</f>
        <v>0</v>
      </c>
      <c r="W8" s="17"/>
      <c r="X8" s="15">
        <f>F8-G8</f>
        <v>0</v>
      </c>
      <c r="Y8" s="24"/>
      <c r="Z8" s="15"/>
      <c r="AA8" s="24"/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7"/>
      <c r="P9" s="16"/>
      <c r="Q9" s="16"/>
      <c r="R9" s="16"/>
      <c r="S9" s="17"/>
      <c r="T9" s="15">
        <f>SUM(J6:K9)/4</f>
        <v>0</v>
      </c>
      <c r="U9" s="17"/>
      <c r="V9" s="15">
        <f>-(L9+M9)+V8</f>
        <v>0</v>
      </c>
      <c r="W9" s="17"/>
      <c r="X9" s="15">
        <f>F9-G9</f>
        <v>0</v>
      </c>
      <c r="Y9" s="24"/>
      <c r="Z9" s="15"/>
      <c r="AA9" s="24"/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7"/>
      <c r="P10" s="16"/>
      <c r="Q10" s="16"/>
      <c r="R10" s="16"/>
      <c r="S10" s="17"/>
      <c r="T10" s="15">
        <f>SUM(J7:K10)/4</f>
        <v>0</v>
      </c>
      <c r="U10" s="17"/>
      <c r="V10" s="15">
        <f>-(L10+M10)+V9</f>
        <v>0</v>
      </c>
      <c r="W10" s="17"/>
      <c r="X10" s="15">
        <f>F10-G10</f>
        <v>0</v>
      </c>
      <c r="Y10" s="24"/>
      <c r="Z10" s="15"/>
      <c r="AA10" s="24"/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7"/>
      <c r="P11" s="16"/>
      <c r="Q11" s="16"/>
      <c r="R11" s="16"/>
      <c r="S11" s="17"/>
      <c r="T11" s="15">
        <f>SUM(J8:K11)/4</f>
        <v>0</v>
      </c>
      <c r="U11" s="17"/>
      <c r="V11" s="15">
        <f>-(L11+M11)+V10</f>
        <v>0</v>
      </c>
      <c r="W11" s="17"/>
      <c r="X11" s="15">
        <f>F11-G11</f>
        <v>0</v>
      </c>
      <c r="Y11" s="24"/>
      <c r="Z11" s="15"/>
      <c r="AA11" s="24"/>
    </row>
    <row r="12" ht="20.05" customHeight="1">
      <c r="B12" s="21">
        <v>2019</v>
      </c>
      <c r="C12" s="14">
        <f>C13</f>
        <v>3359.25</v>
      </c>
      <c r="D12" s="15">
        <f>D13</f>
        <v>331.5</v>
      </c>
      <c r="E12" s="15">
        <f>E13</f>
        <v>375</v>
      </c>
      <c r="F12" s="15"/>
      <c r="G12" s="15"/>
      <c r="H12" s="15"/>
      <c r="I12" s="15">
        <f>I13</f>
        <v>3331.25</v>
      </c>
      <c r="J12" s="15">
        <f>J13</f>
        <v>-580.5</v>
      </c>
      <c r="K12" s="15">
        <f>K13</f>
        <v>621.25</v>
      </c>
      <c r="L12" s="15">
        <f>L13</f>
        <v>557.5</v>
      </c>
      <c r="M12" s="15">
        <f>M13</f>
        <v>0</v>
      </c>
      <c r="N12" s="15"/>
      <c r="O12" s="17"/>
      <c r="P12" s="16"/>
      <c r="Q12" s="16"/>
      <c r="R12" s="16"/>
      <c r="S12" s="17"/>
      <c r="T12" s="15">
        <f>SUM(J9:K12)/4</f>
        <v>10.1875</v>
      </c>
      <c r="U12" s="17"/>
      <c r="V12" s="15">
        <f>-(L12+M12)+V11</f>
        <v>-557.5</v>
      </c>
      <c r="W12" s="17"/>
      <c r="X12" s="15">
        <f>F12-G12</f>
        <v>0</v>
      </c>
      <c r="Y12" s="24"/>
      <c r="Z12" s="15">
        <v>822</v>
      </c>
      <c r="AA12" s="24"/>
    </row>
    <row r="13" ht="20.05" customHeight="1">
      <c r="B13" s="13"/>
      <c r="C13" s="14">
        <f>C14</f>
        <v>3359.25</v>
      </c>
      <c r="D13" s="15">
        <f>D14</f>
        <v>331.5</v>
      </c>
      <c r="E13" s="15">
        <f>E14</f>
        <v>375</v>
      </c>
      <c r="F13" s="15"/>
      <c r="G13" s="15"/>
      <c r="H13" s="15"/>
      <c r="I13" s="15">
        <f>I14</f>
        <v>3331.25</v>
      </c>
      <c r="J13" s="15">
        <f>J14</f>
        <v>-580.5</v>
      </c>
      <c r="K13" s="15">
        <f>K14</f>
        <v>621.25</v>
      </c>
      <c r="L13" s="15">
        <f>L14</f>
        <v>557.5</v>
      </c>
      <c r="M13" s="15">
        <f>M14</f>
        <v>0</v>
      </c>
      <c r="N13" s="15">
        <f>AVERAGE(C10:C13)</f>
        <v>3359.25</v>
      </c>
      <c r="O13" s="17"/>
      <c r="P13" s="16"/>
      <c r="Q13" s="16"/>
      <c r="R13" s="16"/>
      <c r="S13" s="17"/>
      <c r="T13" s="15">
        <f>SUM(J10:K13)/4</f>
        <v>20.375</v>
      </c>
      <c r="U13" s="17"/>
      <c r="V13" s="15">
        <f>-(L13+M13)+V12</f>
        <v>-1115</v>
      </c>
      <c r="W13" s="17"/>
      <c r="X13" s="15">
        <f>F13-G13</f>
        <v>0</v>
      </c>
      <c r="Y13" s="24"/>
      <c r="Z13" s="15">
        <v>826</v>
      </c>
      <c r="AA13" s="24"/>
    </row>
    <row r="14" ht="20.05" customHeight="1">
      <c r="B14" s="13"/>
      <c r="C14" s="14">
        <f>C15</f>
        <v>3359.25</v>
      </c>
      <c r="D14" s="15">
        <f>D15</f>
        <v>331.5</v>
      </c>
      <c r="E14" s="15">
        <f>E15</f>
        <v>375</v>
      </c>
      <c r="F14" s="15"/>
      <c r="G14" s="15"/>
      <c r="H14" s="15"/>
      <c r="I14" s="15">
        <f>I15</f>
        <v>3331.25</v>
      </c>
      <c r="J14" s="15">
        <f>J15</f>
        <v>-580.5</v>
      </c>
      <c r="K14" s="15">
        <f>K15</f>
        <v>621.25</v>
      </c>
      <c r="L14" s="15">
        <f>L15</f>
        <v>557.5</v>
      </c>
      <c r="M14" s="15">
        <f>M15</f>
        <v>0</v>
      </c>
      <c r="N14" s="15">
        <f>AVERAGE(C11:C14)</f>
        <v>3359.25</v>
      </c>
      <c r="O14" s="17"/>
      <c r="P14" s="16"/>
      <c r="Q14" s="16"/>
      <c r="R14" s="16"/>
      <c r="S14" s="17"/>
      <c r="T14" s="15">
        <f>SUM(J11:K14)/4</f>
        <v>30.5625</v>
      </c>
      <c r="U14" s="17"/>
      <c r="V14" s="15">
        <f>-(L14+M14)+V13</f>
        <v>-1672.5</v>
      </c>
      <c r="W14" s="17"/>
      <c r="X14" s="15">
        <f>F14-G14</f>
        <v>0</v>
      </c>
      <c r="Y14" s="24"/>
      <c r="Z14" s="15">
        <v>1167</v>
      </c>
      <c r="AA14" s="24"/>
    </row>
    <row r="15" ht="20.05" customHeight="1">
      <c r="B15" s="13"/>
      <c r="C15" s="14">
        <v>3359.25</v>
      </c>
      <c r="D15" s="15">
        <v>331.5</v>
      </c>
      <c r="E15" s="15">
        <v>375</v>
      </c>
      <c r="F15" s="15"/>
      <c r="G15" s="15"/>
      <c r="H15" s="15"/>
      <c r="I15" s="15">
        <v>3331.25</v>
      </c>
      <c r="J15" s="15">
        <v>-580.5</v>
      </c>
      <c r="K15" s="15">
        <v>621.25</v>
      </c>
      <c r="L15" s="15">
        <v>557.5</v>
      </c>
      <c r="M15" s="15">
        <v>0</v>
      </c>
      <c r="N15" s="15">
        <f>AVERAGE(C12:C15)</f>
        <v>3359.25</v>
      </c>
      <c r="O15" s="17"/>
      <c r="P15" s="16"/>
      <c r="Q15" s="16"/>
      <c r="R15" s="16"/>
      <c r="S15" s="17"/>
      <c r="T15" s="15">
        <f>SUM(J12:K15)/4</f>
        <v>40.75</v>
      </c>
      <c r="U15" s="17"/>
      <c r="V15" s="15">
        <f>-(L15+M15)+V14</f>
        <v>-2230</v>
      </c>
      <c r="W15" s="17"/>
      <c r="X15" s="15">
        <f>F15-G15</f>
        <v>0</v>
      </c>
      <c r="Y15" s="24"/>
      <c r="Z15" s="15">
        <v>1027</v>
      </c>
      <c r="AA15" s="24"/>
    </row>
    <row r="16" ht="20.05" customHeight="1">
      <c r="B16" s="21">
        <v>2020</v>
      </c>
      <c r="C16" s="14">
        <f>C17</f>
        <v>3446.5</v>
      </c>
      <c r="D16" s="15">
        <f>D17</f>
        <v>599.75</v>
      </c>
      <c r="E16" s="15">
        <f>E17</f>
        <v>180.5</v>
      </c>
      <c r="F16" s="15"/>
      <c r="G16" s="15"/>
      <c r="H16" s="15"/>
      <c r="I16" s="15">
        <f>I17</f>
        <v>3090.5</v>
      </c>
      <c r="J16" s="15">
        <f>J17</f>
        <v>237.5</v>
      </c>
      <c r="K16" s="15">
        <f>K17</f>
        <v>2093.5</v>
      </c>
      <c r="L16" s="15">
        <f>L17</f>
        <v>-1602</v>
      </c>
      <c r="M16" s="15">
        <f>M17</f>
        <v>3</v>
      </c>
      <c r="N16" s="15">
        <f>AVERAGE(C13:C16)</f>
        <v>3381.0625</v>
      </c>
      <c r="O16" s="15"/>
      <c r="P16" s="16"/>
      <c r="Q16" s="16"/>
      <c r="R16" s="16"/>
      <c r="S16" s="17"/>
      <c r="T16" s="15">
        <f>SUM(J13:K16)/4</f>
        <v>613.3125</v>
      </c>
      <c r="U16" s="17"/>
      <c r="V16" s="15">
        <f>-(L16+M16)+V15</f>
        <v>-631</v>
      </c>
      <c r="W16" s="17"/>
      <c r="X16" s="15">
        <f>F16-G16</f>
        <v>0</v>
      </c>
      <c r="Y16" s="24"/>
      <c r="Z16" s="15">
        <v>1079</v>
      </c>
      <c r="AA16" s="24"/>
    </row>
    <row r="17" ht="20.05" customHeight="1">
      <c r="B17" s="13"/>
      <c r="C17" s="14">
        <f>C18</f>
        <v>3446.5</v>
      </c>
      <c r="D17" s="15">
        <f>D18</f>
        <v>599.75</v>
      </c>
      <c r="E17" s="15">
        <f>E18</f>
        <v>180.5</v>
      </c>
      <c r="F17" s="15"/>
      <c r="G17" s="15"/>
      <c r="H17" s="15"/>
      <c r="I17" s="15">
        <f>I18</f>
        <v>3090.5</v>
      </c>
      <c r="J17" s="15">
        <f>J18</f>
        <v>237.5</v>
      </c>
      <c r="K17" s="15">
        <f>K18</f>
        <v>2093.5</v>
      </c>
      <c r="L17" s="15">
        <f>L18</f>
        <v>-1602</v>
      </c>
      <c r="M17" s="15">
        <f>M18</f>
        <v>3</v>
      </c>
      <c r="N17" s="15">
        <f>AVERAGE(C14:C17)</f>
        <v>3402.875</v>
      </c>
      <c r="O17" s="15"/>
      <c r="P17" s="16"/>
      <c r="Q17" s="16"/>
      <c r="R17" s="16"/>
      <c r="S17" s="17"/>
      <c r="T17" s="15">
        <f>SUM(J14:K17)/4</f>
        <v>1185.875</v>
      </c>
      <c r="U17" s="17"/>
      <c r="V17" s="15">
        <f>-(L17+M17)+V16</f>
        <v>968</v>
      </c>
      <c r="W17" s="17"/>
      <c r="X17" s="15">
        <f>F17-G17</f>
        <v>0</v>
      </c>
      <c r="Y17" s="24"/>
      <c r="Z17" s="15">
        <v>1110</v>
      </c>
      <c r="AA17" s="24"/>
    </row>
    <row r="18" ht="20.05" customHeight="1">
      <c r="B18" s="13"/>
      <c r="C18" s="14">
        <f>C19</f>
        <v>3446.5</v>
      </c>
      <c r="D18" s="15">
        <f>D19</f>
        <v>599.75</v>
      </c>
      <c r="E18" s="15">
        <f>E19</f>
        <v>180.5</v>
      </c>
      <c r="F18" s="15"/>
      <c r="G18" s="15"/>
      <c r="H18" s="15"/>
      <c r="I18" s="15">
        <f>I19</f>
        <v>3090.5</v>
      </c>
      <c r="J18" s="15">
        <f>J19</f>
        <v>237.5</v>
      </c>
      <c r="K18" s="15">
        <f>K19</f>
        <v>2093.5</v>
      </c>
      <c r="L18" s="15">
        <f>L19</f>
        <v>-1602</v>
      </c>
      <c r="M18" s="15">
        <f>M19</f>
        <v>3</v>
      </c>
      <c r="N18" s="15">
        <f>AVERAGE(C15:C18)</f>
        <v>3424.6875</v>
      </c>
      <c r="O18" s="15"/>
      <c r="P18" s="16"/>
      <c r="Q18" s="16"/>
      <c r="R18" s="16"/>
      <c r="S18" s="17"/>
      <c r="T18" s="15">
        <f>SUM(J15:K18)/4</f>
        <v>1758.4375</v>
      </c>
      <c r="U18" s="17"/>
      <c r="V18" s="15">
        <f>-(L18+M18)+V17</f>
        <v>2567</v>
      </c>
      <c r="W18" s="17"/>
      <c r="X18" s="15">
        <f>F18-G18</f>
        <v>0</v>
      </c>
      <c r="Y18" s="24"/>
      <c r="Z18" s="15">
        <v>1792</v>
      </c>
      <c r="AA18" s="24"/>
    </row>
    <row r="19" ht="20.05" customHeight="1">
      <c r="B19" s="13"/>
      <c r="C19" s="14">
        <v>3446.5</v>
      </c>
      <c r="D19" s="15">
        <v>599.75</v>
      </c>
      <c r="E19" s="15">
        <v>180.5</v>
      </c>
      <c r="F19" s="15"/>
      <c r="G19" s="15"/>
      <c r="H19" s="15"/>
      <c r="I19" s="15">
        <v>3090.5</v>
      </c>
      <c r="J19" s="15">
        <v>237.5</v>
      </c>
      <c r="K19" s="15">
        <v>2093.5</v>
      </c>
      <c r="L19" s="15">
        <v>-1602</v>
      </c>
      <c r="M19" s="15">
        <v>3</v>
      </c>
      <c r="N19" s="15">
        <f>AVERAGE(C16:C19)</f>
        <v>3446.5</v>
      </c>
      <c r="O19" s="15"/>
      <c r="P19" s="16"/>
      <c r="Q19" s="16"/>
      <c r="R19" s="16"/>
      <c r="S19" s="17"/>
      <c r="T19" s="15">
        <f>SUM(J16:K19)/4</f>
        <v>2331</v>
      </c>
      <c r="U19" s="17"/>
      <c r="V19" s="15">
        <f>-(L19+M19)+V18</f>
        <v>4166</v>
      </c>
      <c r="W19" s="17"/>
      <c r="X19" s="15">
        <f>F19-G19</f>
        <v>0</v>
      </c>
      <c r="Y19" s="24"/>
      <c r="Z19" s="15">
        <v>2054</v>
      </c>
      <c r="AA19" s="24"/>
    </row>
    <row r="20" ht="20.05" customHeight="1">
      <c r="B20" s="21">
        <v>2021</v>
      </c>
      <c r="C20" s="14">
        <v>3341</v>
      </c>
      <c r="D20" s="15">
        <v>540</v>
      </c>
      <c r="E20" s="15">
        <v>494</v>
      </c>
      <c r="F20" s="15">
        <v>21167</v>
      </c>
      <c r="G20" s="15">
        <v>168056</v>
      </c>
      <c r="H20" s="15">
        <v>203469</v>
      </c>
      <c r="I20" s="15">
        <v>3273</v>
      </c>
      <c r="J20" s="15">
        <v>1233</v>
      </c>
      <c r="K20" s="15">
        <v>-6163</v>
      </c>
      <c r="L20" s="15">
        <v>-20</v>
      </c>
      <c r="M20" s="15">
        <v>0</v>
      </c>
      <c r="N20" s="15">
        <f>AVERAGE(C17:C20)</f>
        <v>3420.125</v>
      </c>
      <c r="O20" s="15"/>
      <c r="P20" s="16"/>
      <c r="Q20" s="16">
        <f>((D20+E20)/C20)</f>
        <v>0.309488177192457</v>
      </c>
      <c r="R20" s="16">
        <f>AVERAGE(Q17:Q20)</f>
        <v>0.309488177192457</v>
      </c>
      <c r="S20" s="17"/>
      <c r="T20" s="15">
        <f>SUM(J17:K20)/4</f>
        <v>515.75</v>
      </c>
      <c r="U20" s="17"/>
      <c r="V20" s="15">
        <f>-(L20+M20)+V19</f>
        <v>4186</v>
      </c>
      <c r="W20" s="17"/>
      <c r="X20" s="15">
        <f>F20-G20</f>
        <v>-146889</v>
      </c>
      <c r="Y20" s="15"/>
      <c r="Z20" s="15">
        <v>1897</v>
      </c>
      <c r="AA20" s="17"/>
    </row>
    <row r="21" ht="20.05" customHeight="1">
      <c r="B21" s="13"/>
      <c r="C21" s="14">
        <v>3497</v>
      </c>
      <c r="D21" s="15">
        <v>1145</v>
      </c>
      <c r="E21" s="15">
        <v>145</v>
      </c>
      <c r="F21" s="15">
        <v>36265</v>
      </c>
      <c r="G21" s="15">
        <v>177314</v>
      </c>
      <c r="H21" s="15">
        <v>212968</v>
      </c>
      <c r="I21" s="15">
        <v>2910</v>
      </c>
      <c r="J21" s="15">
        <v>21000</v>
      </c>
      <c r="K21" s="15">
        <v>-5920</v>
      </c>
      <c r="L21" s="15">
        <v>20</v>
      </c>
      <c r="M21" s="15">
        <v>0</v>
      </c>
      <c r="N21" s="15">
        <f>AVERAGE(C18:C21)</f>
        <v>3432.75</v>
      </c>
      <c r="O21" s="15"/>
      <c r="P21" s="16">
        <f>C21/C20-1</f>
        <v>0.0466926070038911</v>
      </c>
      <c r="Q21" s="16">
        <f>((D21+E21)/C21)</f>
        <v>0.36888761795825</v>
      </c>
      <c r="R21" s="16">
        <f>AVERAGE(Q18:Q21)</f>
        <v>0.339187897575354</v>
      </c>
      <c r="S21" s="17"/>
      <c r="T21" s="15">
        <f>SUM(J18:K21)/4</f>
        <v>3703</v>
      </c>
      <c r="U21" s="17"/>
      <c r="V21" s="15">
        <f>-(L21+M21)+V20</f>
        <v>4166</v>
      </c>
      <c r="W21" s="17"/>
      <c r="X21" s="15">
        <f>F21-G21</f>
        <v>-141049</v>
      </c>
      <c r="Y21" s="15"/>
      <c r="Z21" s="15">
        <v>1935</v>
      </c>
      <c r="AA21" s="17"/>
    </row>
    <row r="22" ht="20.05" customHeight="1">
      <c r="B22" s="13"/>
      <c r="C22" s="14">
        <v>3332</v>
      </c>
      <c r="D22" s="15">
        <v>975</v>
      </c>
      <c r="E22" s="15">
        <v>192</v>
      </c>
      <c r="F22" s="15">
        <v>37938</v>
      </c>
      <c r="G22" s="15">
        <v>182821</v>
      </c>
      <c r="H22" s="15">
        <v>218867</v>
      </c>
      <c r="I22" s="15">
        <v>3167</v>
      </c>
      <c r="J22" s="15">
        <v>5308</v>
      </c>
      <c r="K22" s="15">
        <v>-3664</v>
      </c>
      <c r="L22" s="15">
        <v>136</v>
      </c>
      <c r="M22" s="15">
        <v>0</v>
      </c>
      <c r="N22" s="15">
        <f>AVERAGE(C19:C22)</f>
        <v>3404.125</v>
      </c>
      <c r="O22" s="23"/>
      <c r="P22" s="16">
        <f>C22/C21-1</f>
        <v>-0.0471832999714041</v>
      </c>
      <c r="Q22" s="16">
        <f>((D22+E22)/C22)</f>
        <v>0.350240096038415</v>
      </c>
      <c r="R22" s="16">
        <f>AVERAGE(Q19:Q22)</f>
        <v>0.342871963729707</v>
      </c>
      <c r="S22" s="17"/>
      <c r="T22" s="15">
        <f>SUM(J19:K22)/4</f>
        <v>3531.25</v>
      </c>
      <c r="U22" s="17"/>
      <c r="V22" s="15">
        <f>-(L22+M22)+V21</f>
        <v>4030</v>
      </c>
      <c r="W22" s="17"/>
      <c r="X22" s="15">
        <f>F22-G22</f>
        <v>-144883</v>
      </c>
      <c r="Y22" s="15"/>
      <c r="Z22" s="15">
        <v>1730</v>
      </c>
      <c r="AA22" s="17"/>
    </row>
    <row r="23" ht="20.05" customHeight="1">
      <c r="B23" s="13"/>
      <c r="C23" s="14">
        <v>3355</v>
      </c>
      <c r="D23" s="15">
        <v>1035</v>
      </c>
      <c r="E23" s="15">
        <v>400</v>
      </c>
      <c r="F23" s="15">
        <v>43860</v>
      </c>
      <c r="G23" s="15">
        <v>197765</v>
      </c>
      <c r="H23" s="15">
        <v>234379</v>
      </c>
      <c r="I23" s="15">
        <v>3269</v>
      </c>
      <c r="J23" s="15">
        <v>7185</v>
      </c>
      <c r="K23" s="15">
        <v>-388</v>
      </c>
      <c r="L23" s="15">
        <v>-941</v>
      </c>
      <c r="M23" s="15">
        <v>135</v>
      </c>
      <c r="N23" s="15">
        <f>AVERAGE(C20:C23)</f>
        <v>3381.25</v>
      </c>
      <c r="O23" s="23"/>
      <c r="P23" s="16">
        <f>C23/C22-1</f>
        <v>0.00690276110444178</v>
      </c>
      <c r="Q23" s="16">
        <f>((D23+E23)/C23)</f>
        <v>0.427719821162444</v>
      </c>
      <c r="R23" s="16">
        <f>AVERAGE(Q20:Q23)</f>
        <v>0.364083928087892</v>
      </c>
      <c r="S23" s="17"/>
      <c r="T23" s="15">
        <f>SUM(J20:K23)/4</f>
        <v>4647.75</v>
      </c>
      <c r="U23" s="17"/>
      <c r="V23" s="15">
        <f>-(L23+M23)+V22</f>
        <v>4836</v>
      </c>
      <c r="W23" s="17"/>
      <c r="X23" s="15">
        <f>F23-G23</f>
        <v>-153905</v>
      </c>
      <c r="Y23" s="15"/>
      <c r="Z23" s="15">
        <v>1440</v>
      </c>
      <c r="AA23" s="17"/>
    </row>
    <row r="24" ht="20.05" customHeight="1">
      <c r="B24" s="21">
        <v>2022</v>
      </c>
      <c r="C24" s="14">
        <v>3413</v>
      </c>
      <c r="D24" s="15">
        <v>331</v>
      </c>
      <c r="E24" s="15">
        <v>750</v>
      </c>
      <c r="F24" s="15">
        <v>44401</v>
      </c>
      <c r="G24" s="15">
        <v>203709</v>
      </c>
      <c r="H24" s="15">
        <v>240873</v>
      </c>
      <c r="I24" s="15">
        <v>3213</v>
      </c>
      <c r="J24" s="15">
        <v>4329</v>
      </c>
      <c r="K24" s="15">
        <v>-3955</v>
      </c>
      <c r="L24" s="15">
        <v>-2</v>
      </c>
      <c r="M24" s="15">
        <v>0</v>
      </c>
      <c r="N24" s="15">
        <f>AVERAGE(C21:C24)</f>
        <v>3399.25</v>
      </c>
      <c r="O24" s="23"/>
      <c r="P24" s="16">
        <f>C24/C23-1</f>
        <v>0.0172876304023845</v>
      </c>
      <c r="Q24" s="16">
        <f>((D24+E24)/C24)</f>
        <v>0.316730149428655</v>
      </c>
      <c r="R24" s="16">
        <f>AVERAGE(Q21:Q24)</f>
        <v>0.365894421146941</v>
      </c>
      <c r="S24" s="35"/>
      <c r="T24" s="15">
        <f>SUM(J21:K24)/4</f>
        <v>5973.75</v>
      </c>
      <c r="U24" s="15"/>
      <c r="V24" s="15">
        <f>-(L24+M24)+V23</f>
        <v>4838</v>
      </c>
      <c r="W24" s="15"/>
      <c r="X24" s="15">
        <f>F24-G24</f>
        <v>-159308</v>
      </c>
      <c r="Y24" s="15"/>
      <c r="Z24" s="15">
        <v>1230</v>
      </c>
      <c r="AA24" s="17"/>
    </row>
    <row r="25" ht="20.05" customHeight="1">
      <c r="B25" s="13"/>
      <c r="C25" s="14">
        <v>3446</v>
      </c>
      <c r="D25" s="15">
        <v>461</v>
      </c>
      <c r="E25" s="15">
        <v>679</v>
      </c>
      <c r="F25" s="15">
        <v>35420</v>
      </c>
      <c r="G25" s="15">
        <v>192600</v>
      </c>
      <c r="H25" s="15">
        <v>229793</v>
      </c>
      <c r="I25" s="15">
        <v>3087</v>
      </c>
      <c r="J25" s="15">
        <v>-10487</v>
      </c>
      <c r="K25" s="15">
        <v>1770</v>
      </c>
      <c r="L25" s="15">
        <v>1</v>
      </c>
      <c r="M25" s="15">
        <v>-308</v>
      </c>
      <c r="N25" s="15">
        <f>AVERAGE(C22:C25)</f>
        <v>3386.5</v>
      </c>
      <c r="O25" s="23"/>
      <c r="P25" s="16">
        <f>C25/C24-1</f>
        <v>0.00966891297978318</v>
      </c>
      <c r="Q25" s="16">
        <f>((D25+E25)/C25)</f>
        <v>0.330818340104469</v>
      </c>
      <c r="R25" s="16">
        <f>AVERAGE(Q22:Q25)</f>
        <v>0.356377101683496</v>
      </c>
      <c r="S25" s="35"/>
      <c r="T25" s="15">
        <f>SUM(J22:K25)/4</f>
        <v>24.5</v>
      </c>
      <c r="U25" s="15"/>
      <c r="V25" s="15">
        <f>-(L25+M25)+V24</f>
        <v>5145</v>
      </c>
      <c r="W25" s="15"/>
      <c r="X25" s="15">
        <f>F25-G25</f>
        <v>-157180</v>
      </c>
      <c r="Y25" s="15"/>
      <c r="Z25" s="15">
        <v>1195</v>
      </c>
      <c r="AA25" s="17"/>
    </row>
    <row r="26" ht="20.05" customHeight="1">
      <c r="B26" s="13"/>
      <c r="C26" s="14">
        <v>3611</v>
      </c>
      <c r="D26" s="15">
        <v>474</v>
      </c>
      <c r="E26" s="15">
        <v>814</v>
      </c>
      <c r="F26" s="15">
        <v>30390</v>
      </c>
      <c r="G26" s="15">
        <v>182825</v>
      </c>
      <c r="H26" s="15">
        <v>220454</v>
      </c>
      <c r="I26" s="15">
        <v>3183</v>
      </c>
      <c r="J26" s="15">
        <v>-3976</v>
      </c>
      <c r="K26" s="15">
        <v>-1575</v>
      </c>
      <c r="L26" s="15">
        <v>1</v>
      </c>
      <c r="M26" s="15">
        <v>0</v>
      </c>
      <c r="N26" s="15">
        <f>AVERAGE(C23:C26)</f>
        <v>3456.25</v>
      </c>
      <c r="O26" s="23">
        <f>O27</f>
        <v>3592.5830243325</v>
      </c>
      <c r="P26" s="16">
        <f>C26/C25-1</f>
        <v>0.0478816018572258</v>
      </c>
      <c r="Q26" s="16">
        <f>((D26+E26)/C26)</f>
        <v>0.356687898089172</v>
      </c>
      <c r="R26" s="16">
        <f>AVERAGE(Q23:Q26)</f>
        <v>0.357989052196185</v>
      </c>
      <c r="S26" s="35">
        <f>S27</f>
        <v>0.357989052196185</v>
      </c>
      <c r="T26" s="15">
        <f>SUM(J23:K26)/4</f>
        <v>-1774.25</v>
      </c>
      <c r="U26" s="15">
        <f>U27</f>
        <v>898.105391816896</v>
      </c>
      <c r="V26" s="15">
        <f>-(L26+M26)+V25</f>
        <v>5144</v>
      </c>
      <c r="W26" s="15">
        <f>W27</f>
        <v>6254.045501411560</v>
      </c>
      <c r="X26" s="15">
        <f>F26-G26</f>
        <v>-152435</v>
      </c>
      <c r="Y26" s="15">
        <f>X26</f>
        <v>-152435</v>
      </c>
      <c r="Z26" s="15">
        <v>1165</v>
      </c>
      <c r="AA26" s="23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AVERAGE(AD37:AG37)</f>
        <v>3592.5830243325</v>
      </c>
      <c r="P27" s="17"/>
      <c r="Q27" s="17"/>
      <c r="R27" s="17"/>
      <c r="S27" s="35">
        <f>AD38</f>
        <v>0.357989052196185</v>
      </c>
      <c r="T27" s="17"/>
      <c r="U27" s="15">
        <f>SUM(AD40:AG40)/4</f>
        <v>898.105391816896</v>
      </c>
      <c r="V27" s="17"/>
      <c r="W27" s="15">
        <f>-SUM(AD61:AG61)+V26</f>
        <v>6254.045501411560</v>
      </c>
      <c r="X27" s="17"/>
      <c r="Y27" s="15">
        <f>AG60</f>
        <v>-149879.504902913</v>
      </c>
      <c r="Z27" s="15">
        <v>1015</v>
      </c>
      <c r="AA27" s="23">
        <f>Z27</f>
        <v>1015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SUM(N26)</f>
        <v>3456.25</v>
      </c>
      <c r="O28" s="15">
        <f>SUM(O26)</f>
        <v>3592.5830243325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AG73</f>
        <v>992.894574462263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1" ht="27.65" customHeight="1">
      <c r="AB31" t="s" s="2">
        <v>505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</row>
    <row r="32" ht="20.25" customHeight="1">
      <c r="AB32" t="s" s="28">
        <v>366</v>
      </c>
      <c r="AC32" t="s" s="29">
        <v>23</v>
      </c>
      <c r="AD32" t="s" s="29">
        <v>24</v>
      </c>
      <c r="AE32" t="s" s="29">
        <v>25</v>
      </c>
      <c r="AF32" t="s" s="29">
        <v>26</v>
      </c>
      <c r="AG32" t="s" s="29">
        <v>23</v>
      </c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</row>
    <row r="33" ht="20.25" customHeight="1">
      <c r="AB33" t="s" s="31">
        <v>15</v>
      </c>
      <c r="AC33" s="32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</row>
    <row r="34" ht="20.05" customHeight="1">
      <c r="AB34" t="s" s="33">
        <v>27</v>
      </c>
      <c r="AC34" s="34"/>
      <c r="AD34" s="16">
        <f>AVERAGE(P23:P26)</f>
        <v>0.0204352265859588</v>
      </c>
      <c r="AE34" s="35"/>
      <c r="AF34" s="35"/>
      <c r="AG34" s="35">
        <f>AVERAGE(AD36:AG36)</f>
        <v>0.005</v>
      </c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</row>
    <row r="35" ht="20.05" customHeight="1">
      <c r="AB35" s="36"/>
      <c r="AC35" s="37"/>
      <c r="AD35" s="35">
        <f>P23</f>
        <v>0.00690276110444178</v>
      </c>
      <c r="AE35" s="35">
        <f>P24</f>
        <v>0.0172876304023845</v>
      </c>
      <c r="AF35" s="35">
        <f>P25</f>
        <v>0.00966891297978318</v>
      </c>
      <c r="AG35" s="35">
        <f>P26</f>
        <v>0.0478816018572258</v>
      </c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</row>
    <row r="36" ht="20.05" customHeight="1">
      <c r="AB36" t="s" s="33">
        <v>13</v>
      </c>
      <c r="AC36" s="37"/>
      <c r="AD36" s="35">
        <v>-0.01</v>
      </c>
      <c r="AE36" s="35">
        <v>-0.01</v>
      </c>
      <c r="AF36" s="35">
        <v>0.01</v>
      </c>
      <c r="AG36" s="35">
        <v>0.03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</row>
    <row r="37" ht="20.05" customHeight="1">
      <c r="AB37" t="s" s="33">
        <v>28</v>
      </c>
      <c r="AC37" s="38"/>
      <c r="AD37" s="23">
        <f>C26*(1+AD36)</f>
        <v>3574.89</v>
      </c>
      <c r="AE37" s="23">
        <f>AD37*(1+AE36)</f>
        <v>3539.1411</v>
      </c>
      <c r="AF37" s="23">
        <f>AE37*(1+AF36)</f>
        <v>3574.532511</v>
      </c>
      <c r="AG37" s="23">
        <f>AF37*(1+AG36)</f>
        <v>3681.76848633</v>
      </c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</row>
    <row r="38" ht="20.05" customHeight="1">
      <c r="AB38" t="s" s="33">
        <v>14</v>
      </c>
      <c r="AC38" s="37"/>
      <c r="AD38" s="35">
        <f>AVERAGE(R26)</f>
        <v>0.357989052196185</v>
      </c>
      <c r="AE38" s="35">
        <f>AD38</f>
        <v>0.357989052196185</v>
      </c>
      <c r="AF38" s="35">
        <f>AE38</f>
        <v>0.357989052196185</v>
      </c>
      <c r="AG38" s="35">
        <f>AF38</f>
        <v>0.357989052196185</v>
      </c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</row>
    <row r="39" ht="20.05" customHeight="1">
      <c r="AB39" t="s" s="33">
        <v>29</v>
      </c>
      <c r="AC39" s="14"/>
      <c r="AD39" s="15">
        <f>AVERAGE(K23)</f>
        <v>-388</v>
      </c>
      <c r="AE39" s="15">
        <f>AD39</f>
        <v>-388</v>
      </c>
      <c r="AF39" s="15">
        <f>AE39</f>
        <v>-388</v>
      </c>
      <c r="AG39" s="15">
        <f>AF39</f>
        <v>-388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</row>
    <row r="40" ht="20.05" customHeight="1">
      <c r="AB40" t="s" s="33">
        <v>30</v>
      </c>
      <c r="AC40" s="14"/>
      <c r="AD40" s="15">
        <f>(AD37*AD38)+AD39</f>
        <v>891.7714828056201</v>
      </c>
      <c r="AE40" s="15">
        <f>(AE37*AE38)+AE39</f>
        <v>878.973767977564</v>
      </c>
      <c r="AF40" s="15">
        <f>(AF37*AF38)+AF39</f>
        <v>891.643505657339</v>
      </c>
      <c r="AG40" s="15">
        <f>(AG37*AG38)+AG39</f>
        <v>930.0328108270591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ht="20.05" customHeight="1">
      <c r="AB41" t="s" s="33">
        <v>31</v>
      </c>
      <c r="AC41" s="14"/>
      <c r="AD41" s="15">
        <f>-G26/10000</f>
        <v>-18.2825</v>
      </c>
      <c r="AE41" s="15">
        <f>-AD56/10000</f>
        <v>-18.28067175</v>
      </c>
      <c r="AF41" s="15">
        <f>-AE56/10000</f>
        <v>-18.278843682825</v>
      </c>
      <c r="AG41" s="15">
        <f>-AF56/10000</f>
        <v>-18.2770157984567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ht="20.05" customHeight="1">
      <c r="AB42" t="s" s="33">
        <v>32</v>
      </c>
      <c r="AC42" s="39"/>
      <c r="AD42" s="40">
        <v>-0.3</v>
      </c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ht="20.05" customHeight="1">
      <c r="AB43" t="s" s="33">
        <v>33</v>
      </c>
      <c r="AC43" s="14"/>
      <c r="AD43" s="15">
        <f>IF(AD51&gt;0,AD51*$AD$42,0)</f>
        <v>-257.331444841686</v>
      </c>
      <c r="AE43" s="15">
        <f>IF(AE51&gt;0,AE51*$AD$42,0)</f>
        <v>-253.492130393269</v>
      </c>
      <c r="AF43" s="15">
        <f>IF(AF51&gt;0,AF51*$AD$42,0)</f>
        <v>-257.293051697202</v>
      </c>
      <c r="AG43" s="15">
        <f>IF(AG51&gt;0,AG51*$AD$42,0)</f>
        <v>-268.809843248118</v>
      </c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ht="20.05" customHeight="1">
      <c r="AB44" t="s" s="33">
        <v>34</v>
      </c>
      <c r="AC44" s="14"/>
      <c r="AD44" s="15">
        <f>AD40+AD41+AD43</f>
        <v>616.157537963934</v>
      </c>
      <c r="AE44" s="15">
        <f>AE40+AE41+AE43</f>
        <v>607.2009658342949</v>
      </c>
      <c r="AF44" s="15">
        <f>AF40+AF41+AF43</f>
        <v>616.0716102773119</v>
      </c>
      <c r="AG44" s="15">
        <f>AG40+AG41+AG43</f>
        <v>642.9459517804841</v>
      </c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</row>
    <row r="45" ht="20.05" customHeight="1">
      <c r="AB45" t="s" s="33">
        <v>35</v>
      </c>
      <c r="AC45" s="14"/>
      <c r="AD45" s="15">
        <f>-MIN(0,AD44)</f>
        <v>0</v>
      </c>
      <c r="AE45" s="15">
        <f>-MIN(AD57,AE44)</f>
        <v>0</v>
      </c>
      <c r="AF45" s="15">
        <f>-MIN(AE57,AF44)</f>
        <v>0</v>
      </c>
      <c r="AG45" s="15">
        <f>-MIN(AF57,AG44)</f>
        <v>0</v>
      </c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</row>
    <row r="46" ht="20.05" customHeight="1">
      <c r="AB46" t="s" s="33">
        <v>36</v>
      </c>
      <c r="AC46" s="14"/>
      <c r="AD46" s="15">
        <f>F26</f>
        <v>30390</v>
      </c>
      <c r="AE46" s="15">
        <f>AD48</f>
        <v>31006.1575379639</v>
      </c>
      <c r="AF46" s="15">
        <f>AE48</f>
        <v>31613.3585037982</v>
      </c>
      <c r="AG46" s="15">
        <f>AF48</f>
        <v>32229.4301140755</v>
      </c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ht="20.05" customHeight="1">
      <c r="AB47" t="s" s="33">
        <v>37</v>
      </c>
      <c r="AC47" s="14"/>
      <c r="AD47" s="15">
        <f>AD40+AD41+AD43+AD45</f>
        <v>616.157537963934</v>
      </c>
      <c r="AE47" s="15">
        <f>AE40+AE41+AE43+AE45</f>
        <v>607.2009658342949</v>
      </c>
      <c r="AF47" s="15">
        <f>AF40+AF41+AF43+AF45</f>
        <v>616.0716102773119</v>
      </c>
      <c r="AG47" s="15">
        <f>AG40+AG41+AG43+AG45</f>
        <v>642.9459517804841</v>
      </c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ht="20.05" customHeight="1">
      <c r="AB48" t="s" s="33">
        <v>38</v>
      </c>
      <c r="AC48" s="14"/>
      <c r="AD48" s="15">
        <f>AD46+AD47</f>
        <v>31006.1575379639</v>
      </c>
      <c r="AE48" s="15">
        <f>AE46+AE47</f>
        <v>31613.3585037982</v>
      </c>
      <c r="AF48" s="15">
        <f>AF46+AF47</f>
        <v>32229.4301140755</v>
      </c>
      <c r="AG48" s="15">
        <f>AG46+AG47</f>
        <v>32872.376065856</v>
      </c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</row>
    <row r="49" ht="20.05" customHeight="1">
      <c r="AB49" t="s" s="41">
        <v>4</v>
      </c>
      <c r="AC49" s="14"/>
      <c r="AD49" s="15"/>
      <c r="AE49" s="15"/>
      <c r="AF49" s="15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ht="20.05" customHeight="1">
      <c r="AB50" t="s" s="33">
        <v>3</v>
      </c>
      <c r="AC50" s="14"/>
      <c r="AD50" s="15">
        <f>-AVERAGE(D24:D26)</f>
        <v>-422</v>
      </c>
      <c r="AE50" s="15">
        <f>AD50</f>
        <v>-422</v>
      </c>
      <c r="AF50" s="15">
        <f>AE50</f>
        <v>-422</v>
      </c>
      <c r="AG50" s="15">
        <f>AF50</f>
        <v>-422</v>
      </c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ht="20.05" customHeight="1">
      <c r="AB51" t="s" s="33">
        <v>4</v>
      </c>
      <c r="AC51" s="14"/>
      <c r="AD51" s="15">
        <f>(AD37*AD38)+AD50</f>
        <v>857.7714828056201</v>
      </c>
      <c r="AE51" s="15">
        <f>(AE37*AE38)+AE50</f>
        <v>844.973767977564</v>
      </c>
      <c r="AF51" s="15">
        <f>(AF37*AF38)+AF50</f>
        <v>857.643505657339</v>
      </c>
      <c r="AG51" s="15">
        <f>(AG37*AG38)+AG50</f>
        <v>896.0328108270591</v>
      </c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</row>
    <row r="52" ht="20.05" customHeight="1">
      <c r="AB52" t="s" s="41">
        <v>39</v>
      </c>
      <c r="AC52" s="14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40</v>
      </c>
      <c r="AC53" s="14"/>
      <c r="AD53" s="15">
        <f>H26-F26-AD39</f>
        <v>190452</v>
      </c>
      <c r="AE53" s="15">
        <f>AD53-AE39</f>
        <v>190840</v>
      </c>
      <c r="AF53" s="15">
        <f>AE53-AF39</f>
        <v>191228</v>
      </c>
      <c r="AG53" s="15">
        <f>AF53-AG39</f>
        <v>191616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41</v>
      </c>
      <c r="AC54" s="14"/>
      <c r="AD54" s="15">
        <f>0-AD50</f>
        <v>422</v>
      </c>
      <c r="AE54" s="15">
        <f>AD54-AE50</f>
        <v>844</v>
      </c>
      <c r="AF54" s="15">
        <f>AE54-AF50</f>
        <v>1266</v>
      </c>
      <c r="AG54" s="15">
        <f>AF54-AG50</f>
        <v>1688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42</v>
      </c>
      <c r="AC55" s="14"/>
      <c r="AD55" s="15">
        <f>AD53-AD54</f>
        <v>190030</v>
      </c>
      <c r="AE55" s="15">
        <f>AE53-AE54</f>
        <v>189996</v>
      </c>
      <c r="AF55" s="15">
        <f>AF53-AF54</f>
        <v>189962</v>
      </c>
      <c r="AG55" s="15">
        <f>AG53-AG54</f>
        <v>189928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6</v>
      </c>
      <c r="AC56" s="14"/>
      <c r="AD56" s="15">
        <f>G26+AD41</f>
        <v>182806.7175</v>
      </c>
      <c r="AE56" s="15">
        <f>AD56+AE41</f>
        <v>182788.43682825</v>
      </c>
      <c r="AF56" s="15">
        <f>AE56+AF41</f>
        <v>182770.157984567</v>
      </c>
      <c r="AG56" s="15">
        <f>AF56+AG41</f>
        <v>182751.880968769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35</v>
      </c>
      <c r="AC57" s="14"/>
      <c r="AD57" s="15">
        <f>AD45</f>
        <v>0</v>
      </c>
      <c r="AE57" s="15">
        <f>AD57+AE45</f>
        <v>0</v>
      </c>
      <c r="AF57" s="15">
        <f>AE57+AF45</f>
        <v>0</v>
      </c>
      <c r="AG57" s="15">
        <f>AF57+AG45</f>
        <v>0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11</v>
      </c>
      <c r="AC58" s="14"/>
      <c r="AD58" s="15">
        <f>(H26-G26)+AD51+AD43</f>
        <v>38229.4400379639</v>
      </c>
      <c r="AE58" s="15">
        <f>AD58+AE51+AE43</f>
        <v>38820.9216755482</v>
      </c>
      <c r="AF58" s="15">
        <f>AE58+AF51+AF43</f>
        <v>39421.2721295083</v>
      </c>
      <c r="AG58" s="15">
        <f>AF58+AG51+AG43</f>
        <v>40048.4950970872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43</v>
      </c>
      <c r="AC59" s="14"/>
      <c r="AD59" s="15">
        <f>AD56+AD57+AD58-AD48-AD55</f>
        <v>0</v>
      </c>
      <c r="AE59" s="15">
        <f>AE56+AE57+AE58-AE48-AE55</f>
        <v>0</v>
      </c>
      <c r="AF59" s="15">
        <f>AF56+AF57+AF58-AF48-AF55</f>
        <v>-2e-10</v>
      </c>
      <c r="AG59" s="15">
        <f>AG56+AG57+AG58-AG48-AG55</f>
        <v>2e-10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18</v>
      </c>
      <c r="AC60" s="14"/>
      <c r="AD60" s="15">
        <f>AD48-AD56-AD57</f>
        <v>-151800.559962036</v>
      </c>
      <c r="AE60" s="15">
        <f>AE48-AE56-AE57</f>
        <v>-151175.078324452</v>
      </c>
      <c r="AF60" s="15">
        <f>AF48-AF56-AF57</f>
        <v>-150540.727870492</v>
      </c>
      <c r="AG60" s="15">
        <f>AG48-AG56-AG57</f>
        <v>-149879.504902913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44</v>
      </c>
      <c r="AC61" s="14"/>
      <c r="AD61" s="15">
        <f>AD41+AD43+AD45</f>
        <v>-275.613944841686</v>
      </c>
      <c r="AE61" s="15">
        <f>AE41+AE43+AE45</f>
        <v>-271.772802143269</v>
      </c>
      <c r="AF61" s="15">
        <f>AF41+AF43+AF45</f>
        <v>-275.571895380027</v>
      </c>
      <c r="AG61" s="15">
        <f>AG41+AG43+AG45</f>
        <v>-287.086859046575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45</v>
      </c>
      <c r="AC62" s="14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505</v>
      </c>
      <c r="AC63" s="14"/>
      <c r="AD63" s="15"/>
      <c r="AE63" s="15"/>
      <c r="AF63" s="15"/>
      <c r="AG63" s="15">
        <v>1015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f>$AB63</f>
        <v>506</v>
      </c>
      <c r="AC64" s="14"/>
      <c r="AD64" s="15"/>
      <c r="AE64" s="15"/>
      <c r="AF64" s="15"/>
      <c r="AG64" s="15">
        <v>36724018688000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33">
        <v>46</v>
      </c>
      <c r="AC65" s="14"/>
      <c r="AD65" s="15"/>
      <c r="AE65" s="15"/>
      <c r="AF65" s="15"/>
      <c r="AG65" s="15">
        <f>AG64/1000000000</f>
        <v>36724.018688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47</v>
      </c>
      <c r="AC66" s="14"/>
      <c r="AD66" s="15"/>
      <c r="AE66" s="15"/>
      <c r="AF66" s="15"/>
      <c r="AG66" s="15">
        <f>AG65/AG63</f>
        <v>36.1812992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48</v>
      </c>
      <c r="AC67" s="14"/>
      <c r="AD67" s="15"/>
      <c r="AE67" s="15"/>
      <c r="AF67" s="15"/>
      <c r="AG67" s="43">
        <f>AG65/(AG48+AG55)</f>
        <v>0.164829249108381</v>
      </c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</row>
    <row r="68" ht="20.05" customHeight="1">
      <c r="AB68" t="s" s="33">
        <v>49</v>
      </c>
      <c r="AC68" s="14"/>
      <c r="AD68" s="15"/>
      <c r="AE68" s="15"/>
      <c r="AF68" s="15"/>
      <c r="AG68" s="16">
        <f>-(AD43+AE43+AF43+AG43)/AG65</f>
        <v>0.0282356481459667</v>
      </c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</row>
    <row r="69" ht="20.05" customHeight="1">
      <c r="AB69" t="s" s="33">
        <v>50</v>
      </c>
      <c r="AC69" s="14"/>
      <c r="AD69" s="15"/>
      <c r="AE69" s="15"/>
      <c r="AF69" s="15"/>
      <c r="AG69" s="15">
        <f>SUM(AD40:AG40)</f>
        <v>3592.421567267580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51</v>
      </c>
      <c r="AC70" s="14"/>
      <c r="AD70" s="15"/>
      <c r="AE70" s="15"/>
      <c r="AF70" s="15"/>
      <c r="AG70" s="15">
        <f>(H26+F26)/AG69</f>
        <v>69.825880761203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52</v>
      </c>
      <c r="AC71" s="14"/>
      <c r="AD71" s="15"/>
      <c r="AE71" s="15"/>
      <c r="AF71" s="15">
        <f>AG65/AG69</f>
        <v>10.2226361801776</v>
      </c>
      <c r="AG71" s="15">
        <v>10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53</v>
      </c>
      <c r="AC72" s="14"/>
      <c r="AD72" s="15"/>
      <c r="AE72" s="15"/>
      <c r="AF72" s="15"/>
      <c r="AG72" s="15">
        <f>AG69*AG71</f>
        <v>35924.2156726758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54</v>
      </c>
      <c r="AC73" s="14"/>
      <c r="AD73" s="15"/>
      <c r="AE73" s="15"/>
      <c r="AF73" s="15"/>
      <c r="AG73" s="15">
        <f>(AG72/AG66)</f>
        <v>992.894574462263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55</v>
      </c>
      <c r="AC74" s="38"/>
      <c r="AD74" s="23"/>
      <c r="AE74" s="23"/>
      <c r="AF74" s="23"/>
      <c r="AG74" s="16">
        <f>AG73/AG63-1</f>
        <v>-0.0217787443721547</v>
      </c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</row>
    <row r="75" ht="20.05" customHeight="1">
      <c r="AB75" t="s" s="33">
        <v>56</v>
      </c>
      <c r="AC75" s="38"/>
      <c r="AD75" s="23"/>
      <c r="AE75" s="23"/>
      <c r="AF75" s="23"/>
      <c r="AG75" s="16">
        <f>C26/C22-1</f>
        <v>0.0837334933973589</v>
      </c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</row>
    <row r="76" ht="20.05" customHeight="1">
      <c r="AB76" t="s" s="33">
        <v>57</v>
      </c>
      <c r="AC76" s="38"/>
      <c r="AD76" s="23"/>
      <c r="AE76" s="23"/>
      <c r="AF76" s="23"/>
      <c r="AG76" s="16">
        <f>O28/N28-1</f>
        <v>0.0394453596622061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</row>
    <row r="77" ht="20.05" customHeight="1">
      <c r="AB77" s="36"/>
      <c r="AC77" s="38"/>
      <c r="AD77" s="23"/>
      <c r="AE77" s="23"/>
      <c r="AF77" s="23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</row>
    <row r="78" ht="20.05" customHeight="1">
      <c r="AB78" s="36"/>
      <c r="AC78" s="38"/>
      <c r="AD78" s="23"/>
      <c r="AE78" s="23"/>
      <c r="AF78" s="23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</row>
    <row r="79" ht="20.05" customHeight="1">
      <c r="AB79" s="36"/>
      <c r="AC79" s="45"/>
      <c r="AD79" t="s" s="44">
        <f>$AB63</f>
        <v>506</v>
      </c>
      <c r="AE79" t="s" s="44">
        <v>60</v>
      </c>
      <c r="AF79" s="15">
        <f>AG63</f>
        <v>1015</v>
      </c>
      <c r="AG79" t="s" s="44">
        <v>61</v>
      </c>
      <c r="AH79" s="15">
        <f>AG73</f>
        <v>992.894574462263</v>
      </c>
      <c r="AI79" t="s" s="44">
        <f>IF(AJ79&gt;0,"+","")</f>
      </c>
      <c r="AJ79" s="16">
        <f>AH79/AF79-1</f>
        <v>-0.0217787443721547</v>
      </c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ht="20.05" customHeight="1">
      <c r="AB80" s="36"/>
      <c r="AC80" s="46"/>
      <c r="AD80" s="47">
        <f>TODAY()</f>
        <v>44942</v>
      </c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ht="32.05" customHeight="1">
      <c r="AB81" s="36"/>
      <c r="AC81" s="34"/>
      <c r="AD81" t="s" s="44">
        <v>62</v>
      </c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ht="32.05" customHeight="1">
      <c r="AB82" s="36"/>
      <c r="AC82" s="34"/>
      <c r="AD82" t="s" s="44">
        <v>63</v>
      </c>
      <c r="AE82" t="s" s="44">
        <v>64</v>
      </c>
      <c r="AF82" t="s" s="44">
        <f>IF(AG82&gt;0,"+","")</f>
        <v>361</v>
      </c>
      <c r="AG82" s="16">
        <f>AH89/AD89-1</f>
        <v>0.0837334933973589</v>
      </c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ht="32.05" customHeight="1">
      <c r="AB83" s="36"/>
      <c r="AC83" s="34"/>
      <c r="AD83" t="s" s="44">
        <v>63</v>
      </c>
      <c r="AE83" t="s" s="44">
        <v>65</v>
      </c>
      <c r="AF83" t="s" s="44">
        <f>IF(AG83&gt;0,"+","")</f>
      </c>
      <c r="AG83" s="16">
        <f>SUM(AE102:AH103)/AE119</f>
        <v>-0.193252270681341</v>
      </c>
      <c r="AH83" t="s" s="44">
        <v>66</v>
      </c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ht="32.05" customHeight="1">
      <c r="AB84" s="36"/>
      <c r="AC84" s="34"/>
      <c r="AD84" t="s" s="44">
        <v>63</v>
      </c>
      <c r="AE84" t="s" s="44">
        <v>17</v>
      </c>
      <c r="AF84" t="s" s="44">
        <f>IF(AG84&gt;0,"+","")</f>
        <v>361</v>
      </c>
      <c r="AG84" s="16">
        <f>SUM(AE116:AH117)/AE119</f>
        <v>0.0303343707959721</v>
      </c>
      <c r="AH84" t="s" s="44">
        <f>AH83</f>
        <v>66</v>
      </c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ht="32.05" customHeight="1">
      <c r="AB85" s="36"/>
      <c r="AC85" s="34"/>
      <c r="AD85" t="s" s="44">
        <v>68</v>
      </c>
      <c r="AE85" t="s" s="44">
        <v>369</v>
      </c>
      <c r="AF85" s="16">
        <f>AO112/AE119</f>
        <v>-4.15082568427648</v>
      </c>
      <c r="AG85" t="s" s="44">
        <f>AH84</f>
        <v>66</v>
      </c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ht="20.05" customHeight="1">
      <c r="AB86" s="36"/>
      <c r="AC86" s="34"/>
      <c r="AD86" t="s" s="44">
        <v>28</v>
      </c>
      <c r="AE86" t="s" s="44">
        <f>AE90</f>
        <v>362</v>
      </c>
      <c r="AF86" s="16">
        <f>AF90</f>
        <v>0.0478816018572258</v>
      </c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ht="32.05" customHeight="1">
      <c r="AB87" s="36"/>
      <c r="AC87" s="34"/>
      <c r="AD87" t="s" s="44">
        <v>70</v>
      </c>
      <c r="AE87" t="s" s="44">
        <v>371</v>
      </c>
      <c r="AF87" t="s" s="44">
        <f>AL90</f>
        <v>372</v>
      </c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ht="20.05" customHeight="1">
      <c r="AB88" s="36"/>
      <c r="AC88" s="71"/>
      <c r="AD88" s="16">
        <f>P22</f>
        <v>-0.0471832999714041</v>
      </c>
      <c r="AE88" s="16">
        <f>P23</f>
        <v>0.00690276110444178</v>
      </c>
      <c r="AF88" s="16">
        <f>P24</f>
        <v>0.0172876304023845</v>
      </c>
      <c r="AG88" s="16">
        <f>P25</f>
        <v>0.00966891297978318</v>
      </c>
      <c r="AH88" s="16">
        <f>P26</f>
        <v>0.0478816018572258</v>
      </c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ht="20.05" customHeight="1">
      <c r="AB89" s="36"/>
      <c r="AC89" s="34"/>
      <c r="AD89" s="15">
        <f>C22</f>
        <v>3332</v>
      </c>
      <c r="AE89" s="15">
        <f>C23</f>
        <v>3355</v>
      </c>
      <c r="AF89" s="15">
        <f>C24</f>
        <v>3413</v>
      </c>
      <c r="AG89" s="15">
        <f>C25</f>
        <v>3446</v>
      </c>
      <c r="AH89" s="15">
        <f>C26</f>
        <v>3611</v>
      </c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ht="44.05" customHeight="1">
      <c r="AB90" s="36"/>
      <c r="AC90" s="34"/>
      <c r="AD90" t="s" s="44">
        <v>2</v>
      </c>
      <c r="AE90" t="s" s="44">
        <f>IF(AF90&lt;0,"declined","grew")</f>
        <v>362</v>
      </c>
      <c r="AF90" s="16">
        <f>AH89/AG89-1</f>
        <v>0.0478816018572258</v>
      </c>
      <c r="AG90" t="s" s="44">
        <v>73</v>
      </c>
      <c r="AH90" t="s" s="44">
        <v>74</v>
      </c>
      <c r="AI90" t="s" s="44">
        <v>75</v>
      </c>
      <c r="AJ90" t="s" s="44">
        <v>76</v>
      </c>
      <c r="AK90" s="15">
        <f>AH89</f>
        <v>3611</v>
      </c>
      <c r="AL90" t="s" s="44">
        <v>372</v>
      </c>
      <c r="AM90" t="s" s="44">
        <v>378</v>
      </c>
      <c r="AN90" s="16">
        <v>0.0297063450445726</v>
      </c>
      <c r="AO90" t="s" s="44">
        <v>78</v>
      </c>
      <c r="AP90" s="17"/>
      <c r="AQ90" s="17"/>
      <c r="AR90" s="17"/>
      <c r="AS90" s="17"/>
      <c r="AT90" s="17"/>
      <c r="AU90" s="17"/>
    </row>
    <row r="91" ht="56.05" customHeight="1">
      <c r="AB91" s="36"/>
      <c r="AC91" s="34"/>
      <c r="AD91" t="s" s="44">
        <v>79</v>
      </c>
      <c r="AE91" s="16">
        <f>AVERAGE(AE88:AH88)</f>
        <v>0.0204352265859588</v>
      </c>
      <c r="AF91" t="s" s="44">
        <v>80</v>
      </c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ht="56.05" customHeight="1">
      <c r="AB92" s="36"/>
      <c r="AC92" s="34"/>
      <c r="AD92" t="s" s="44">
        <v>81</v>
      </c>
      <c r="AE92" s="35">
        <f>AG34</f>
        <v>0.005</v>
      </c>
      <c r="AF92" t="s" s="44">
        <v>82</v>
      </c>
      <c r="AG92" t="s" s="44">
        <v>83</v>
      </c>
      <c r="AH92" s="23">
        <f>AG37</f>
        <v>3681.76848633</v>
      </c>
      <c r="AI92" t="s" s="44">
        <f>AL90</f>
        <v>372</v>
      </c>
      <c r="AJ92" t="s" s="44">
        <v>84</v>
      </c>
      <c r="AK92" t="s" s="44">
        <f>AH90</f>
        <v>74</v>
      </c>
      <c r="AL92" t="s" s="44">
        <f>AI90</f>
        <v>75</v>
      </c>
      <c r="AM92" t="s" s="44">
        <v>85</v>
      </c>
      <c r="AN92" s="17"/>
      <c r="AO92" s="17"/>
      <c r="AP92" s="17"/>
      <c r="AQ92" s="17"/>
      <c r="AR92" s="17"/>
      <c r="AS92" s="17"/>
      <c r="AT92" s="17"/>
      <c r="AU92" s="17"/>
    </row>
    <row r="93" ht="20.05" customHeight="1">
      <c r="AB93" s="36"/>
      <c r="AC93" s="34"/>
      <c r="AD93" t="s" s="44">
        <v>14</v>
      </c>
      <c r="AE93" t="s" s="44">
        <f>IF(AG97&lt;AE97,"down","up")</f>
        <v>108</v>
      </c>
      <c r="AF93" t="s" s="44">
        <v>86</v>
      </c>
      <c r="AG93" t="s" s="44">
        <f>IF(AK97&gt;AI97,"up","down")</f>
        <v>108</v>
      </c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44.05" customHeight="1">
      <c r="AB94" s="36"/>
      <c r="AC94" s="34"/>
      <c r="AD94" t="s" s="44">
        <f>AD87</f>
        <v>70</v>
      </c>
      <c r="AE94" t="s" s="44">
        <v>88</v>
      </c>
      <c r="AF94" t="s" s="44">
        <f>AL90</f>
        <v>372</v>
      </c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20.05" customHeight="1">
      <c r="AB95" s="36"/>
      <c r="AC95" s="71"/>
      <c r="AD95" s="16">
        <f>(D22+E22)/C22</f>
        <v>0.350240096038415</v>
      </c>
      <c r="AE95" s="16">
        <f>(D23+E23)/C23</f>
        <v>0.427719821162444</v>
      </c>
      <c r="AF95" s="16">
        <f>((E24+D24)/C24)</f>
        <v>0.316730149428655</v>
      </c>
      <c r="AG95" s="16">
        <f>(D25+E25)/C25</f>
        <v>0.330818340104469</v>
      </c>
      <c r="AH95" s="16">
        <f>(D26+E26)/C26</f>
        <v>0.356687898089172</v>
      </c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20.05" customHeight="1">
      <c r="AB96" s="36"/>
      <c r="AC96" s="34"/>
      <c r="AD96" s="15">
        <f>E22</f>
        <v>192</v>
      </c>
      <c r="AE96" s="15">
        <f>E23</f>
        <v>400</v>
      </c>
      <c r="AF96" s="15">
        <f>E24</f>
        <v>750</v>
      </c>
      <c r="AG96" s="15">
        <f>E25</f>
        <v>679</v>
      </c>
      <c r="AH96" s="15">
        <f>E26</f>
        <v>814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44.05" customHeight="1">
      <c r="AB97" s="36"/>
      <c r="AC97" s="34"/>
      <c r="AD97" t="s" s="44">
        <v>89</v>
      </c>
      <c r="AE97" s="16">
        <f>AG95</f>
        <v>0.330818340104469</v>
      </c>
      <c r="AF97" t="s" s="44">
        <v>76</v>
      </c>
      <c r="AG97" s="16">
        <f>AH95</f>
        <v>0.356687898089172</v>
      </c>
      <c r="AH97" t="s" s="44">
        <v>90</v>
      </c>
      <c r="AI97" s="15">
        <f>AG96</f>
        <v>679</v>
      </c>
      <c r="AJ97" t="s" s="44">
        <v>76</v>
      </c>
      <c r="AK97" s="15">
        <f>AH96</f>
        <v>814</v>
      </c>
      <c r="AL97" t="s" s="44">
        <f>AI92</f>
        <v>372</v>
      </c>
      <c r="AM97" t="s" s="44">
        <v>73</v>
      </c>
      <c r="AN97" t="s" s="44">
        <f>AK92</f>
        <v>74</v>
      </c>
      <c r="AO97" t="s" s="44">
        <v>91</v>
      </c>
      <c r="AP97" s="17"/>
      <c r="AQ97" s="17"/>
      <c r="AR97" s="17"/>
      <c r="AS97" s="17"/>
      <c r="AT97" s="17"/>
      <c r="AU97" s="17"/>
    </row>
    <row r="98" ht="68.05" customHeight="1">
      <c r="AB98" s="36"/>
      <c r="AC98" s="34"/>
      <c r="AD98" t="s" s="44">
        <v>92</v>
      </c>
      <c r="AE98" s="16">
        <f>AVERAGE(AE95:AH95)</f>
        <v>0.357989052196185</v>
      </c>
      <c r="AF98" t="s" s="44">
        <v>78</v>
      </c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44.05" customHeight="1">
      <c r="AB99" s="36"/>
      <c r="AC99" s="34"/>
      <c r="AD99" t="s" s="44">
        <v>93</v>
      </c>
      <c r="AE99" s="35">
        <f>AD38</f>
        <v>0.357989052196185</v>
      </c>
      <c r="AF99" t="s" s="44">
        <v>94</v>
      </c>
      <c r="AG99" s="15">
        <f>AG51</f>
        <v>896.0328108270591</v>
      </c>
      <c r="AH99" t="s" s="44">
        <f>AL97</f>
        <v>372</v>
      </c>
      <c r="AI99" t="s" s="44">
        <v>95</v>
      </c>
      <c r="AJ99" t="s" s="44">
        <f>AN97</f>
        <v>74</v>
      </c>
      <c r="AK99" t="s" s="44">
        <f>AI90</f>
        <v>75</v>
      </c>
      <c r="AL99" t="s" s="44">
        <f>AM92</f>
        <v>85</v>
      </c>
      <c r="AM99" s="17"/>
      <c r="AN99" s="17"/>
      <c r="AO99" s="17"/>
      <c r="AP99" s="17"/>
      <c r="AQ99" s="17"/>
      <c r="AR99" s="17"/>
      <c r="AS99" s="17"/>
      <c r="AT99" s="17"/>
      <c r="AU99" s="17"/>
    </row>
    <row r="100" ht="20.05" customHeight="1">
      <c r="AB100" s="36"/>
      <c r="AC100" s="34"/>
      <c r="AD100" t="s" s="44">
        <v>15</v>
      </c>
      <c r="AE100" t="s" s="44">
        <f>IF(AG104&lt;AE104,"lower","higher")</f>
        <v>363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56.05" customHeight="1">
      <c r="AB101" s="36"/>
      <c r="AC101" s="34"/>
      <c r="AD101" t="s" s="44">
        <f>AD94</f>
        <v>70</v>
      </c>
      <c r="AE101" t="s" s="44">
        <v>96</v>
      </c>
      <c r="AF101" t="s" s="44">
        <f>AL90</f>
        <v>372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s="15">
        <f>J22</f>
        <v>5308</v>
      </c>
      <c r="AE102" s="15">
        <f>J23</f>
        <v>7185</v>
      </c>
      <c r="AF102" s="15">
        <f>J24</f>
        <v>4329</v>
      </c>
      <c r="AG102" s="15">
        <f>J25</f>
        <v>-10487</v>
      </c>
      <c r="AH102" s="15">
        <f>J26</f>
        <v>-3976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34"/>
      <c r="AD103" s="15">
        <f>K22</f>
        <v>-3664</v>
      </c>
      <c r="AE103" s="15">
        <f>K23</f>
        <v>-388</v>
      </c>
      <c r="AF103" s="15">
        <f>K24</f>
        <v>-3955</v>
      </c>
      <c r="AG103" s="15">
        <f>K25</f>
        <v>1770</v>
      </c>
      <c r="AH103" s="15">
        <f>K26</f>
        <v>-1575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44.05" customHeight="1">
      <c r="AB104" s="36"/>
      <c r="AC104" s="34"/>
      <c r="AD104" t="s" s="44">
        <v>97</v>
      </c>
      <c r="AE104" s="15">
        <f>AG102+AG103</f>
        <v>-8717</v>
      </c>
      <c r="AF104" t="s" s="44">
        <v>76</v>
      </c>
      <c r="AG104" s="15">
        <f>AH102+AH103</f>
        <v>-5551</v>
      </c>
      <c r="AH104" t="s" s="44">
        <f>AH99</f>
        <v>372</v>
      </c>
      <c r="AI104" t="s" s="44">
        <v>84</v>
      </c>
      <c r="AJ104" t="s" s="44">
        <f>AJ99</f>
        <v>74</v>
      </c>
      <c r="AK104" t="s" s="44">
        <v>98</v>
      </c>
      <c r="AL104" s="15">
        <f>AH103</f>
        <v>-1575</v>
      </c>
      <c r="AM104" t="s" s="44">
        <f>AL90</f>
        <v>372</v>
      </c>
      <c r="AN104" t="s" s="44">
        <v>99</v>
      </c>
      <c r="AO104" s="17"/>
      <c r="AP104" s="17"/>
      <c r="AQ104" s="17"/>
      <c r="AR104" s="17"/>
      <c r="AS104" s="17"/>
      <c r="AT104" s="17"/>
      <c r="AU104" s="17"/>
    </row>
    <row r="105" ht="56.05" customHeight="1">
      <c r="AB105" s="36"/>
      <c r="AC105" s="34"/>
      <c r="AD105" t="s" s="44">
        <v>100</v>
      </c>
      <c r="AE105" s="15">
        <f>SUM(AE102:AH103)/4</f>
        <v>-1774.25</v>
      </c>
      <c r="AF105" t="s" s="44">
        <f>AL90</f>
        <v>372</v>
      </c>
      <c r="AG105" t="s" s="44">
        <v>78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44.05" customHeight="1">
      <c r="AB106" s="36"/>
      <c r="AC106" s="34"/>
      <c r="AD106" t="s" s="44">
        <v>101</v>
      </c>
      <c r="AE106" s="15">
        <f>AD39</f>
        <v>-388</v>
      </c>
      <c r="AF106" t="s" s="44">
        <f>AF105</f>
        <v>372</v>
      </c>
      <c r="AG106" t="s" s="44">
        <v>102</v>
      </c>
      <c r="AH106" t="s" s="44">
        <v>103</v>
      </c>
      <c r="AI106" t="s" s="44">
        <f>IF(AH92&gt;AK90,"higher","lower")</f>
        <v>363</v>
      </c>
      <c r="AJ106" t="s" s="44">
        <v>105</v>
      </c>
      <c r="AK106" s="15">
        <f>SUM(AD40:AG40)/4</f>
        <v>898.105391816896</v>
      </c>
      <c r="AL106" t="s" s="44">
        <f>AF106</f>
        <v>372</v>
      </c>
      <c r="AM106" t="s" s="44">
        <v>106</v>
      </c>
      <c r="AN106" t="s" s="44">
        <v>107</v>
      </c>
      <c r="AO106" s="17"/>
      <c r="AP106" s="17"/>
      <c r="AQ106" s="17"/>
      <c r="AR106" s="17"/>
      <c r="AS106" s="17"/>
      <c r="AT106" s="17"/>
      <c r="AU106" s="17"/>
    </row>
    <row r="107" ht="20.05" customHeight="1">
      <c r="AB107" s="36"/>
      <c r="AC107" s="34"/>
      <c r="AD107" t="s" s="44">
        <v>18</v>
      </c>
      <c r="AE107" t="s" s="44">
        <f>AL112</f>
        <v>108</v>
      </c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32.05" customHeight="1">
      <c r="AB108" s="36"/>
      <c r="AC108" s="34"/>
      <c r="AD108" t="s" s="44">
        <f>AD87</f>
        <v>70</v>
      </c>
      <c r="AE108" t="s" s="44">
        <v>109</v>
      </c>
      <c r="AF108" t="s" s="44">
        <f>AL90</f>
        <v>372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s="15">
        <f>F22</f>
        <v>37938</v>
      </c>
      <c r="AE109" s="15">
        <f>F23</f>
        <v>43860</v>
      </c>
      <c r="AF109" s="15">
        <f>F24</f>
        <v>44401</v>
      </c>
      <c r="AG109" s="15">
        <f>F25</f>
        <v>35420</v>
      </c>
      <c r="AH109" s="15">
        <f>F26</f>
        <v>30390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34"/>
      <c r="AD110" s="15">
        <f>G22</f>
        <v>182821</v>
      </c>
      <c r="AE110" s="15">
        <f>G23</f>
        <v>197765</v>
      </c>
      <c r="AF110" s="15">
        <f>G24</f>
        <v>203709</v>
      </c>
      <c r="AG110" s="15">
        <f>G25</f>
        <v>192600</v>
      </c>
      <c r="AH110" s="15">
        <f>G26</f>
        <v>182825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32.05" customHeight="1">
      <c r="AB111" s="36"/>
      <c r="AC111" s="34"/>
      <c r="AD111" t="s" s="44">
        <v>110</v>
      </c>
      <c r="AE111" t="s" s="44">
        <f>IF(AH111&lt;AF111,"declined","increased")</f>
        <v>370</v>
      </c>
      <c r="AF111" s="15">
        <f>AG109</f>
        <v>35420</v>
      </c>
      <c r="AG111" t="s" s="44">
        <v>76</v>
      </c>
      <c r="AH111" s="15">
        <f>AH109</f>
        <v>30390</v>
      </c>
      <c r="AI111" t="s" s="44">
        <f>AL106</f>
        <v>372</v>
      </c>
      <c r="AJ111" t="s" s="44">
        <v>84</v>
      </c>
      <c r="AK111" t="s" s="44">
        <f>AH90</f>
        <v>74</v>
      </c>
      <c r="AL111" t="s" s="44">
        <f>AO97</f>
        <v>91</v>
      </c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32.05" customHeight="1">
      <c r="AB112" s="36"/>
      <c r="AC112" s="34"/>
      <c r="AD112" t="s" s="44">
        <v>112</v>
      </c>
      <c r="AE112" t="s" s="44">
        <f>IF(AH112&lt;AF112,"declined","increased")</f>
        <v>370</v>
      </c>
      <c r="AF112" s="15">
        <f>AG110</f>
        <v>192600</v>
      </c>
      <c r="AG112" t="s" s="44">
        <v>76</v>
      </c>
      <c r="AH112" s="15">
        <f>AH110</f>
        <v>182825</v>
      </c>
      <c r="AI112" t="s" s="44">
        <f>AI111</f>
        <v>372</v>
      </c>
      <c r="AJ112" t="s" s="44">
        <v>113</v>
      </c>
      <c r="AK112" t="s" s="44">
        <v>114</v>
      </c>
      <c r="AL112" t="s" s="44">
        <f>IF(AO112&lt;AM112,"down","up")</f>
        <v>108</v>
      </c>
      <c r="AM112" s="15">
        <f>AF111-AF112</f>
        <v>-157180</v>
      </c>
      <c r="AN112" t="s" s="44">
        <v>76</v>
      </c>
      <c r="AO112" s="15">
        <f>AH111-AH112</f>
        <v>-152435</v>
      </c>
      <c r="AP112" t="s" s="44">
        <f>AI112</f>
        <v>372</v>
      </c>
      <c r="AQ112" t="s" s="44">
        <v>115</v>
      </c>
      <c r="AR112" s="17"/>
      <c r="AS112" s="17"/>
      <c r="AT112" s="17"/>
      <c r="AU112" s="17"/>
    </row>
    <row r="113" ht="56.05" customHeight="1">
      <c r="AB113" s="36"/>
      <c r="AC113" s="34"/>
      <c r="AD113" t="s" s="44">
        <v>116</v>
      </c>
      <c r="AE113" s="15">
        <f>SUM(AD43:AG43)</f>
        <v>-1036.926470180280</v>
      </c>
      <c r="AF113" t="s" s="44">
        <f>AI112</f>
        <v>372</v>
      </c>
      <c r="AG113" t="s" s="44">
        <v>117</v>
      </c>
      <c r="AH113" t="s" s="44">
        <f>IF(AI113&gt;0,"+","")</f>
      </c>
      <c r="AI113" s="15">
        <f>AD41+AE41+AF41+AG41+AD45+AE45+AF45+AG45</f>
        <v>-73.1190312312817</v>
      </c>
      <c r="AJ113" t="s" s="44">
        <f>AP112</f>
        <v>372</v>
      </c>
      <c r="AK113" t="s" s="44">
        <v>118</v>
      </c>
      <c r="AL113" t="s" s="44">
        <v>119</v>
      </c>
      <c r="AM113" s="15">
        <f>AG60</f>
        <v>-149879.504902913</v>
      </c>
      <c r="AN113" t="s" s="44">
        <f>AI112</f>
        <v>372</v>
      </c>
      <c r="AO113" t="s" s="44">
        <v>120</v>
      </c>
      <c r="AP113" s="17"/>
      <c r="AQ113" s="17"/>
      <c r="AR113" s="17"/>
      <c r="AS113" s="17"/>
      <c r="AT113" s="17"/>
      <c r="AU113" s="17"/>
    </row>
    <row r="114" ht="20.05" customHeight="1">
      <c r="AB114" s="36"/>
      <c r="AC114" s="34"/>
      <c r="AD114" t="s" s="44">
        <v>17</v>
      </c>
      <c r="AE114" t="s" s="44">
        <f>AE118</f>
        <v>121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56.05" customHeight="1">
      <c r="AB115" s="36"/>
      <c r="AC115" s="34"/>
      <c r="AD115" t="s" s="44">
        <f>AD87</f>
        <v>70</v>
      </c>
      <c r="AE115" t="s" s="44">
        <v>379</v>
      </c>
      <c r="AF115" t="s" s="44">
        <f>AL90</f>
        <v>372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s="15">
        <f>-L22</f>
        <v>-136</v>
      </c>
      <c r="AE116" s="15">
        <f>-L23</f>
        <v>941</v>
      </c>
      <c r="AF116" s="15">
        <f>-L24</f>
        <v>2</v>
      </c>
      <c r="AG116" s="15">
        <f>-L25</f>
        <v>-1</v>
      </c>
      <c r="AH116" s="15">
        <f>-L26</f>
        <v>-1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-M22</f>
        <v>0</v>
      </c>
      <c r="AE117" s="15">
        <f>-M23</f>
        <v>-135</v>
      </c>
      <c r="AF117" s="15">
        <f>-M24</f>
        <v>0</v>
      </c>
      <c r="AG117" s="15">
        <f>-M25</f>
        <v>308</v>
      </c>
      <c r="AH117" s="15">
        <f>-M26</f>
        <v>0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44.05" customHeight="1">
      <c r="AB118" s="36"/>
      <c r="AC118" s="34"/>
      <c r="AD118" t="s" s="44">
        <f>AD79</f>
        <v>506</v>
      </c>
      <c r="AE118" t="s" s="44">
        <f>IF(AF118&gt;0,"paid","(raised)")</f>
        <v>121</v>
      </c>
      <c r="AF118" s="15">
        <f>SUM(AH116:AH117)</f>
        <v>-1</v>
      </c>
      <c r="AG118" t="s" s="44">
        <f>AL90</f>
        <v>372</v>
      </c>
      <c r="AH118" t="s" s="44">
        <f>AG90</f>
        <v>73</v>
      </c>
      <c r="AI118" t="s" s="44">
        <f>AH90</f>
        <v>74</v>
      </c>
      <c r="AJ118" t="s" s="44">
        <f>AI90</f>
        <v>75</v>
      </c>
      <c r="AK118" s="15">
        <f>AH116</f>
        <v>-1</v>
      </c>
      <c r="AL118" t="s" s="44">
        <f>AL90</f>
        <v>372</v>
      </c>
      <c r="AM118" t="s" s="44">
        <v>123</v>
      </c>
      <c r="AN118" s="15">
        <f>AH117</f>
        <v>0</v>
      </c>
      <c r="AO118" t="s" s="44">
        <f>AL90</f>
        <v>372</v>
      </c>
      <c r="AP118" t="s" s="44">
        <v>389</v>
      </c>
      <c r="AQ118" t="s" s="44">
        <v>475</v>
      </c>
      <c r="AR118" t="s" s="44">
        <f>IF(AS118&gt;0,"pay","raise")</f>
        <v>364</v>
      </c>
      <c r="AS118" s="15">
        <f>-SUM(AD61:AG61)</f>
        <v>1110.045501411560</v>
      </c>
      <c r="AT118" t="s" s="44">
        <f>AL90</f>
        <v>372</v>
      </c>
      <c r="AU118" t="s" s="44">
        <v>126</v>
      </c>
    </row>
    <row r="119" ht="56.05" customHeight="1">
      <c r="AB119" s="36"/>
      <c r="AC119" s="34"/>
      <c r="AD119" t="s" s="44">
        <v>375</v>
      </c>
      <c r="AE119" s="15">
        <f>AG65</f>
        <v>36724.018688</v>
      </c>
      <c r="AF119" t="s" s="44">
        <f>AL90</f>
        <v>372</v>
      </c>
      <c r="AG119" t="s" s="44">
        <v>128</v>
      </c>
      <c r="AH119" t="s" s="44">
        <v>129</v>
      </c>
      <c r="AI119" s="43">
        <f>AG67</f>
        <v>0.164829249108381</v>
      </c>
      <c r="AJ119" t="s" s="44">
        <v>130</v>
      </c>
      <c r="AK119" t="s" s="44">
        <v>131</v>
      </c>
      <c r="AL119" t="s" s="44">
        <v>132</v>
      </c>
      <c r="AM119" s="15">
        <f>AG70</f>
        <v>69.825880761203</v>
      </c>
      <c r="AN119" t="s" s="44">
        <v>133</v>
      </c>
      <c r="AO119" s="16">
        <f>-AE113/AE119</f>
        <v>0.0282356481459669</v>
      </c>
      <c r="AP119" t="s" s="44">
        <v>134</v>
      </c>
      <c r="AQ119" s="17"/>
      <c r="AR119" s="17"/>
      <c r="AS119" s="17"/>
      <c r="AT119" s="17"/>
      <c r="AU119" s="17"/>
    </row>
    <row r="120" ht="56.05" customHeight="1">
      <c r="AB120" s="36"/>
      <c r="AC120" s="34"/>
      <c r="AD120" t="s" s="44">
        <v>135</v>
      </c>
      <c r="AE120" s="15">
        <f>AG69</f>
        <v>3592.421567267580</v>
      </c>
      <c r="AF120" t="s" s="44">
        <f>AF119</f>
        <v>372</v>
      </c>
      <c r="AG120" t="s" s="44">
        <v>136</v>
      </c>
      <c r="AH120" s="15">
        <f>AE119/AE120</f>
        <v>10.2226361801776</v>
      </c>
      <c r="AI120" t="s" s="44">
        <v>130</v>
      </c>
      <c r="AJ120" t="s" s="44">
        <v>137</v>
      </c>
      <c r="AK120" t="s" s="44">
        <v>138</v>
      </c>
      <c r="AL120" s="15">
        <f>AG71</f>
        <v>10</v>
      </c>
      <c r="AM120" t="s" s="44">
        <v>139</v>
      </c>
      <c r="AN120" t="s" s="44">
        <v>140</v>
      </c>
      <c r="AO120" t="s" s="44">
        <v>141</v>
      </c>
      <c r="AP120" s="16">
        <f>AJ79</f>
        <v>-0.0217787443721547</v>
      </c>
      <c r="AQ120" t="s" s="44">
        <f>IF(AP120&gt;0,"higher","lower")</f>
        <v>104</v>
      </c>
      <c r="AR120" t="s" s="44">
        <v>142</v>
      </c>
      <c r="AS120" s="15">
        <f>AH79</f>
        <v>992.894574462263</v>
      </c>
      <c r="AT120" t="s" s="44">
        <v>143</v>
      </c>
      <c r="AU120" s="17"/>
    </row>
    <row r="121" ht="20.05" customHeight="1">
      <c r="AB121" s="36"/>
      <c r="AC121" s="34"/>
      <c r="AD121" s="17"/>
      <c r="AE121" s="17"/>
      <c r="AF121" s="17"/>
      <c r="AG121" s="17"/>
      <c r="AH121" s="15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20.05" customHeight="1">
      <c r="AB122" t="s" s="33">
        <v>28</v>
      </c>
      <c r="AC122" s="14">
        <f>AD89</f>
        <v>3332</v>
      </c>
      <c r="AD122" s="15">
        <f>AE89</f>
        <v>3355</v>
      </c>
      <c r="AE122" s="15">
        <f>AF89</f>
        <v>3413</v>
      </c>
      <c r="AF122" s="15">
        <f>AG89</f>
        <v>3446</v>
      </c>
      <c r="AG122" s="15">
        <f>AH89</f>
        <v>3611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20.05" customHeight="1">
      <c r="AB123" t="s" s="33">
        <v>15</v>
      </c>
      <c r="AC123" s="14">
        <f>SUM(AD102:AD103)</f>
        <v>1644</v>
      </c>
      <c r="AD123" s="15">
        <f>SUM(AE102:AE103)</f>
        <v>6797</v>
      </c>
      <c r="AE123" s="15">
        <f>SUM(AF102:AF103)</f>
        <v>374</v>
      </c>
      <c r="AF123" s="15">
        <f>SUM(AG102:AG103)</f>
        <v>-8717</v>
      </c>
      <c r="AG123" s="15">
        <f>SUM(AH102:AH103)</f>
        <v>-5551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t="s" s="33">
        <v>145</v>
      </c>
      <c r="AC124" s="14">
        <f>SUM(AD116:AD117)</f>
        <v>-136</v>
      </c>
      <c r="AD124" s="15">
        <f>SUM(AE116:AE117)</f>
        <v>806</v>
      </c>
      <c r="AE124" s="15">
        <f>SUM(AF116:AF117)</f>
        <v>2</v>
      </c>
      <c r="AF124" s="15">
        <f>SUM(AG116:AG117)</f>
        <v>307</v>
      </c>
      <c r="AG124" s="15">
        <f>SUM(AH116:AH117)</f>
        <v>-1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14">
        <f>(AD109-AD110)</f>
        <v>-144883</v>
      </c>
      <c r="AD125" s="15">
        <f>(AE109-AE110)</f>
        <v>-153905</v>
      </c>
      <c r="AE125" s="15">
        <f>(AF109-AF110)</f>
        <v>-159308</v>
      </c>
      <c r="AF125" s="15">
        <f>(AG109-AG110)</f>
        <v>-157180</v>
      </c>
      <c r="AG125" s="15">
        <f>(AH109-AH110)</f>
        <v>-152435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20.05" customHeight="1">
      <c r="AB126" s="36"/>
      <c r="AC126" s="34"/>
      <c r="AD126" s="17"/>
      <c r="AE126" s="17"/>
      <c r="AF126" s="17"/>
      <c r="AG126" s="15">
        <f>AS120</f>
        <v>992.894574462263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20.05" customHeight="1">
      <c r="AB127" s="36"/>
      <c r="AC127" s="34"/>
      <c r="AD127" s="17"/>
      <c r="AE127" s="17"/>
      <c r="AF127" s="17"/>
      <c r="AG127" s="17"/>
      <c r="AH127" s="15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20.05" customHeight="1">
      <c r="AB128" s="36"/>
      <c r="AC128" s="34"/>
      <c r="AD128" s="17"/>
      <c r="AE128" s="17"/>
      <c r="AF128" s="17"/>
      <c r="AG128" s="17"/>
      <c r="AH128" s="15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s="17"/>
      <c r="AE129" s="17"/>
      <c r="AF129" s="17"/>
      <c r="AG129" s="17"/>
      <c r="AH129" s="15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s="17"/>
      <c r="AE130" s="17"/>
      <c r="AF130" s="17"/>
      <c r="AG130" s="17"/>
      <c r="AH130" s="15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7"/>
      <c r="AE131" s="17"/>
      <c r="AF131" s="17"/>
      <c r="AG131" s="17"/>
      <c r="AH131" s="15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7"/>
      <c r="AE132" s="17"/>
      <c r="AF132" s="17"/>
      <c r="AG132" s="17"/>
      <c r="AH132" s="15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20.05" customHeight="1">
      <c r="AB133" s="36"/>
      <c r="AC133" s="34"/>
      <c r="AD133" s="17"/>
      <c r="AE133" s="17"/>
      <c r="AF133" s="17"/>
      <c r="AG133" s="17"/>
      <c r="AH133" s="15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</sheetData>
  <mergeCells count="2">
    <mergeCell ref="B2:AA2"/>
    <mergeCell ref="AB31:AU3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36" customWidth="1"/>
    <col min="2" max="28" width="10.4844" style="136" customWidth="1"/>
    <col min="29" max="29" width="18.9766" style="137" customWidth="1"/>
    <col min="30" max="48" width="9" style="137" customWidth="1"/>
    <col min="49" max="16384" width="16.3516" style="137" customWidth="1"/>
  </cols>
  <sheetData>
    <row r="1" ht="11.65" customHeight="1"/>
    <row r="2" ht="27.65" customHeight="1">
      <c r="B2" t="s" s="2">
        <v>507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308</v>
      </c>
      <c r="AA3" t="s" s="3">
        <v>19</v>
      </c>
      <c r="AB3" t="s" s="3">
        <v>20</v>
      </c>
    </row>
    <row r="4" ht="20.25" customHeight="1">
      <c r="B4" s="6">
        <v>2017</v>
      </c>
      <c r="C4" s="32"/>
      <c r="D4" s="9"/>
      <c r="E4" s="9"/>
      <c r="F4" s="9"/>
      <c r="G4" s="9"/>
      <c r="H4" s="9"/>
      <c r="I4" s="9"/>
      <c r="J4" s="9"/>
      <c r="K4" s="9"/>
      <c r="L4" s="9"/>
      <c r="M4" s="9"/>
      <c r="N4" s="59"/>
      <c r="O4" s="8"/>
      <c r="P4" s="9"/>
      <c r="Q4" s="9"/>
      <c r="R4" s="9"/>
      <c r="S4" s="9"/>
      <c r="T4" s="9"/>
      <c r="U4" s="9"/>
      <c r="V4" s="59">
        <f>-(L4+M4)</f>
        <v>0</v>
      </c>
      <c r="W4" s="9"/>
      <c r="X4" s="59">
        <f>F4-G4</f>
        <v>0</v>
      </c>
      <c r="Y4" s="9"/>
      <c r="Z4" s="8"/>
      <c r="AA4" s="11"/>
      <c r="AB4" s="12">
        <v>13.3</v>
      </c>
    </row>
    <row r="5" ht="20.05" customHeight="1">
      <c r="B5" s="13"/>
      <c r="C5" s="34"/>
      <c r="D5" s="17"/>
      <c r="E5" s="17"/>
      <c r="F5" s="17"/>
      <c r="G5" s="17"/>
      <c r="H5" s="17"/>
      <c r="I5" s="17"/>
      <c r="J5" s="17"/>
      <c r="K5" s="17"/>
      <c r="L5" s="17"/>
      <c r="M5" s="17"/>
      <c r="N5" s="26"/>
      <c r="O5" s="15"/>
      <c r="P5" s="16"/>
      <c r="Q5" s="17"/>
      <c r="R5" s="17"/>
      <c r="S5" s="17"/>
      <c r="T5" s="17"/>
      <c r="U5" s="17"/>
      <c r="V5" s="26">
        <f>-(L5+M5)+V4</f>
        <v>0</v>
      </c>
      <c r="W5" s="17"/>
      <c r="X5" s="26">
        <f>F5-G5</f>
        <v>0</v>
      </c>
      <c r="Y5" s="17"/>
      <c r="Z5" s="15"/>
      <c r="AA5" s="19"/>
      <c r="AB5" s="20">
        <v>13.327</v>
      </c>
    </row>
    <row r="6" ht="20.05" customHeight="1">
      <c r="B6" s="13"/>
      <c r="C6" s="34"/>
      <c r="D6" s="17"/>
      <c r="E6" s="17"/>
      <c r="F6" s="17"/>
      <c r="G6" s="17"/>
      <c r="H6" s="17"/>
      <c r="I6" s="17"/>
      <c r="J6" s="17"/>
      <c r="K6" s="17"/>
      <c r="L6" s="17"/>
      <c r="M6" s="17"/>
      <c r="N6" s="26"/>
      <c r="O6" s="15"/>
      <c r="P6" s="16"/>
      <c r="Q6" s="17"/>
      <c r="R6" s="17"/>
      <c r="S6" s="17"/>
      <c r="T6" s="17"/>
      <c r="U6" s="17"/>
      <c r="V6" s="26">
        <f>-(L6+M6)+V5</f>
        <v>0</v>
      </c>
      <c r="W6" s="17"/>
      <c r="X6" s="26">
        <f>F6-G6</f>
        <v>0</v>
      </c>
      <c r="Y6" s="17"/>
      <c r="Z6" s="15"/>
      <c r="AA6" s="19"/>
      <c r="AB6" s="20">
        <v>13.305</v>
      </c>
    </row>
    <row r="7" ht="20.05" customHeight="1">
      <c r="B7" s="13"/>
      <c r="C7" s="34"/>
      <c r="D7" s="17"/>
      <c r="E7" s="17"/>
      <c r="F7" s="17"/>
      <c r="G7" s="17"/>
      <c r="H7" s="17"/>
      <c r="I7" s="17"/>
      <c r="J7" s="17"/>
      <c r="K7" s="17"/>
      <c r="L7" s="17"/>
      <c r="M7" s="17"/>
      <c r="N7" s="26"/>
      <c r="O7" s="15"/>
      <c r="P7" s="16"/>
      <c r="Q7" s="17"/>
      <c r="R7" s="17"/>
      <c r="S7" s="17"/>
      <c r="T7" s="17"/>
      <c r="U7" s="17"/>
      <c r="V7" s="26">
        <f>-(L7+M7)+V6</f>
        <v>0</v>
      </c>
      <c r="W7" s="17"/>
      <c r="X7" s="26">
        <f>F7-G7</f>
        <v>0</v>
      </c>
      <c r="Y7" s="17"/>
      <c r="Z7" s="15"/>
      <c r="AA7" s="19"/>
      <c r="AB7" s="20">
        <v>13.557</v>
      </c>
    </row>
    <row r="8" ht="20.05" customHeight="1">
      <c r="B8" s="21">
        <v>2018</v>
      </c>
      <c r="C8" s="67">
        <v>0</v>
      </c>
      <c r="D8" s="26">
        <v>0</v>
      </c>
      <c r="E8" s="26">
        <v>0</v>
      </c>
      <c r="F8" s="17"/>
      <c r="G8" s="17"/>
      <c r="H8" s="17"/>
      <c r="I8" s="26">
        <v>0</v>
      </c>
      <c r="J8" s="15">
        <v>0</v>
      </c>
      <c r="K8" s="15">
        <v>0</v>
      </c>
      <c r="L8" s="15">
        <v>0</v>
      </c>
      <c r="M8" s="15">
        <v>0</v>
      </c>
      <c r="N8" s="15">
        <f>SUM(C5:C8)/4</f>
        <v>0</v>
      </c>
      <c r="O8" s="15"/>
      <c r="P8" s="16"/>
      <c r="Q8" s="16"/>
      <c r="R8" s="16"/>
      <c r="S8" s="17"/>
      <c r="T8" s="26">
        <f>SUM(J5:K8)/4</f>
        <v>0</v>
      </c>
      <c r="U8" s="17"/>
      <c r="V8" s="26">
        <f>-(L8+M8)+V7</f>
        <v>0</v>
      </c>
      <c r="W8" s="17"/>
      <c r="X8" s="26">
        <f>F8-G8</f>
        <v>0</v>
      </c>
      <c r="Y8" s="24"/>
      <c r="Z8" s="15"/>
      <c r="AA8" s="22"/>
      <c r="AB8" s="20">
        <v>13.761</v>
      </c>
    </row>
    <row r="9" ht="20.05" customHeight="1">
      <c r="B9" s="13"/>
      <c r="C9" s="67">
        <v>51.7</v>
      </c>
      <c r="D9" s="15">
        <v>4.7</v>
      </c>
      <c r="E9" s="15">
        <v>6.9</v>
      </c>
      <c r="F9" s="17"/>
      <c r="G9" s="17"/>
      <c r="H9" s="17"/>
      <c r="I9" s="15">
        <v>42.9</v>
      </c>
      <c r="J9" s="15">
        <v>-22.2</v>
      </c>
      <c r="K9" s="15">
        <v>-41.1</v>
      </c>
      <c r="L9" s="15">
        <v>0</v>
      </c>
      <c r="M9" s="15">
        <v>0</v>
      </c>
      <c r="N9" s="15">
        <f>SUM(C6:C9)/4</f>
        <v>12.925</v>
      </c>
      <c r="O9" s="15"/>
      <c r="P9" s="16"/>
      <c r="Q9" s="16">
        <f>(E9+D9)/C9</f>
        <v>0.224371373307544</v>
      </c>
      <c r="R9" s="16"/>
      <c r="S9" s="17"/>
      <c r="T9" s="15">
        <f>SUM(J6:K9)/4</f>
        <v>-15.825</v>
      </c>
      <c r="U9" s="17"/>
      <c r="V9" s="26">
        <f>-(L9+M9)+V8</f>
        <v>0</v>
      </c>
      <c r="W9" s="17"/>
      <c r="X9" s="26">
        <f>F9-G9</f>
        <v>0</v>
      </c>
      <c r="Y9" s="24"/>
      <c r="Z9" s="15"/>
      <c r="AA9" s="22"/>
      <c r="AB9" s="20">
        <v>14</v>
      </c>
    </row>
    <row r="10" ht="20.05" customHeight="1">
      <c r="B10" s="13"/>
      <c r="C10" s="67">
        <v>36.2</v>
      </c>
      <c r="D10" s="15">
        <v>3.3</v>
      </c>
      <c r="E10" s="15">
        <v>7.3</v>
      </c>
      <c r="F10" s="17"/>
      <c r="G10" s="17"/>
      <c r="H10" s="17"/>
      <c r="I10" s="15">
        <v>33.1</v>
      </c>
      <c r="J10" s="15">
        <v>-18.2</v>
      </c>
      <c r="K10" s="15">
        <v>11.1</v>
      </c>
      <c r="L10" s="15">
        <v>0</v>
      </c>
      <c r="M10" s="15">
        <v>0</v>
      </c>
      <c r="N10" s="15">
        <f>SUM(C7:C10)/4</f>
        <v>21.975</v>
      </c>
      <c r="O10" s="15"/>
      <c r="P10" s="16">
        <f>C10/C9-1</f>
        <v>-0.299806576402321</v>
      </c>
      <c r="Q10" s="16">
        <f>(E10+D10)/C10</f>
        <v>0.292817679558011</v>
      </c>
      <c r="R10" s="16"/>
      <c r="S10" s="17"/>
      <c r="T10" s="15">
        <f>SUM(J7:K10)/4</f>
        <v>-17.6</v>
      </c>
      <c r="U10" s="17"/>
      <c r="V10" s="26">
        <f>-(L10+M10)+V9</f>
        <v>0</v>
      </c>
      <c r="W10" s="17"/>
      <c r="X10" s="26">
        <f>F10-G10</f>
        <v>0</v>
      </c>
      <c r="Y10" s="24"/>
      <c r="Z10" s="15"/>
      <c r="AA10" s="22"/>
      <c r="AB10" s="20">
        <v>14.902</v>
      </c>
    </row>
    <row r="11" ht="20.05" customHeight="1">
      <c r="B11" s="13"/>
      <c r="C11" s="67">
        <v>27.1</v>
      </c>
      <c r="D11" s="15">
        <v>3</v>
      </c>
      <c r="E11" s="15">
        <v>-9.199999999999999</v>
      </c>
      <c r="F11" s="17"/>
      <c r="G11" s="17"/>
      <c r="H11" s="17"/>
      <c r="I11" s="15">
        <v>28</v>
      </c>
      <c r="J11" s="15">
        <v>19.5</v>
      </c>
      <c r="K11" s="15">
        <v>-10</v>
      </c>
      <c r="L11" s="15">
        <v>0</v>
      </c>
      <c r="M11" s="15">
        <v>0</v>
      </c>
      <c r="N11" s="15">
        <f>SUM(C8:C11)/4</f>
        <v>28.75</v>
      </c>
      <c r="O11" s="15"/>
      <c r="P11" s="16">
        <f>C11/C10-1</f>
        <v>-0.251381215469613</v>
      </c>
      <c r="Q11" s="16">
        <f>(E11+D11)/C11</f>
        <v>-0.228782287822878</v>
      </c>
      <c r="R11" s="16"/>
      <c r="S11" s="17"/>
      <c r="T11" s="15">
        <f>SUM(J8:K11)/4</f>
        <v>-15.225</v>
      </c>
      <c r="U11" s="17"/>
      <c r="V11" s="26">
        <f>-(L11+M11)+V10</f>
        <v>0</v>
      </c>
      <c r="W11" s="17"/>
      <c r="X11" s="26">
        <f>F11-G11</f>
        <v>0</v>
      </c>
      <c r="Y11" s="24"/>
      <c r="Z11" s="15"/>
      <c r="AA11" s="22"/>
      <c r="AB11" s="20">
        <v>14.38</v>
      </c>
    </row>
    <row r="12" ht="20.05" customHeight="1">
      <c r="B12" s="21">
        <v>2019</v>
      </c>
      <c r="C12" s="67">
        <v>27.8</v>
      </c>
      <c r="D12" s="15">
        <v>0</v>
      </c>
      <c r="E12" s="15">
        <v>2.5</v>
      </c>
      <c r="F12" s="26">
        <v>0</v>
      </c>
      <c r="G12" s="26">
        <v>0</v>
      </c>
      <c r="H12" s="26">
        <v>0</v>
      </c>
      <c r="I12" s="15">
        <v>-12.5</v>
      </c>
      <c r="J12" s="15">
        <v>-40.4</v>
      </c>
      <c r="K12" s="15">
        <v>-14</v>
      </c>
      <c r="L12" s="15">
        <v>0</v>
      </c>
      <c r="M12" s="15">
        <v>0</v>
      </c>
      <c r="N12" s="15">
        <f>SUM(C9:C12)/4</f>
        <v>35.7</v>
      </c>
      <c r="O12" s="23"/>
      <c r="P12" s="16">
        <f>C12/C11-1</f>
        <v>0.025830258302583</v>
      </c>
      <c r="Q12" s="16">
        <f>(E12+D12)/C12</f>
        <v>0.0899280575539568</v>
      </c>
      <c r="R12" s="16">
        <f>AVERAGE(Q9:Q12)</f>
        <v>0.09458370564915849</v>
      </c>
      <c r="S12" s="17"/>
      <c r="T12" s="15">
        <f>SUM(J9:K12)/4</f>
        <v>-28.825</v>
      </c>
      <c r="U12" s="17"/>
      <c r="V12" s="26">
        <f>-(L12+M12)+V11</f>
        <v>0</v>
      </c>
      <c r="W12" s="17"/>
      <c r="X12" s="26">
        <f>F12-G12</f>
        <v>0</v>
      </c>
      <c r="Y12" s="24"/>
      <c r="Z12" s="26"/>
      <c r="AA12" s="22"/>
      <c r="AB12" s="20">
        <v>14.24</v>
      </c>
    </row>
    <row r="13" ht="20.05" customHeight="1">
      <c r="B13" s="13"/>
      <c r="C13" s="67">
        <v>48.8</v>
      </c>
      <c r="D13" s="15">
        <v>7.8</v>
      </c>
      <c r="E13" s="15">
        <v>4.7</v>
      </c>
      <c r="F13" s="26">
        <v>306.3</v>
      </c>
      <c r="G13" s="26">
        <v>37</v>
      </c>
      <c r="H13" s="26">
        <v>500.5</v>
      </c>
      <c r="I13" s="15">
        <v>85.09999999999999</v>
      </c>
      <c r="J13" s="15">
        <v>15.8</v>
      </c>
      <c r="K13" s="15">
        <v>4</v>
      </c>
      <c r="L13" s="15">
        <v>0</v>
      </c>
      <c r="M13" s="15">
        <v>0</v>
      </c>
      <c r="N13" s="15">
        <f>SUM(C10:C13)/4</f>
        <v>34.975</v>
      </c>
      <c r="O13" s="23"/>
      <c r="P13" s="16">
        <f>C13/C12-1</f>
        <v>0.755395683453237</v>
      </c>
      <c r="Q13" s="16">
        <f>(E13+D13)/C13</f>
        <v>0.256147540983607</v>
      </c>
      <c r="R13" s="16">
        <f>AVERAGE(Q10:Q13)</f>
        <v>0.102527747568174</v>
      </c>
      <c r="S13" s="17"/>
      <c r="T13" s="15">
        <f>SUM(J10:K13)/4</f>
        <v>-8.050000000000001</v>
      </c>
      <c r="U13" s="17"/>
      <c r="V13" s="26">
        <f>-(L13+M13)+V12</f>
        <v>0</v>
      </c>
      <c r="W13" s="17"/>
      <c r="X13" s="26">
        <f>F13-G13</f>
        <v>269.3</v>
      </c>
      <c r="Y13" s="24"/>
      <c r="Z13" s="26"/>
      <c r="AA13" s="24"/>
      <c r="AB13" s="15">
        <v>14.127</v>
      </c>
    </row>
    <row r="14" ht="20.05" customHeight="1">
      <c r="B14" s="13"/>
      <c r="C14" s="67">
        <v>66.40000000000001</v>
      </c>
      <c r="D14" s="15">
        <v>4.2</v>
      </c>
      <c r="E14" s="15">
        <v>3.8</v>
      </c>
      <c r="F14" s="26">
        <v>309</v>
      </c>
      <c r="G14" s="26">
        <v>66</v>
      </c>
      <c r="H14" s="26">
        <v>533</v>
      </c>
      <c r="I14" s="15">
        <v>70.40000000000001</v>
      </c>
      <c r="J14" s="15">
        <v>-7.7</v>
      </c>
      <c r="K14" s="15">
        <v>9.300000000000001</v>
      </c>
      <c r="L14" s="15">
        <v>0</v>
      </c>
      <c r="M14" s="15">
        <v>0</v>
      </c>
      <c r="N14" s="15">
        <f>SUM(C11:C14)/4</f>
        <v>42.525</v>
      </c>
      <c r="O14" s="23"/>
      <c r="P14" s="16">
        <f>C14/C13-1</f>
        <v>0.360655737704918</v>
      </c>
      <c r="Q14" s="16">
        <f>(E14+D14)/C14</f>
        <v>0.120481927710843</v>
      </c>
      <c r="R14" s="16">
        <f>AVERAGE(Q11:Q14)</f>
        <v>0.0594438096063822</v>
      </c>
      <c r="S14" s="17"/>
      <c r="T14" s="15">
        <f>SUM(J11:K14)/4</f>
        <v>-5.875</v>
      </c>
      <c r="U14" s="17"/>
      <c r="V14" s="26">
        <f>-(L14+M14)+V13</f>
        <v>0</v>
      </c>
      <c r="W14" s="17"/>
      <c r="X14" s="26">
        <f>F14-G14</f>
        <v>243</v>
      </c>
      <c r="Y14" s="24"/>
      <c r="Z14" s="26">
        <v>362</v>
      </c>
      <c r="AA14" s="24"/>
      <c r="AB14" s="15">
        <v>14.195</v>
      </c>
    </row>
    <row r="15" ht="20.05" customHeight="1">
      <c r="B15" s="13"/>
      <c r="C15" s="67">
        <v>72.2</v>
      </c>
      <c r="D15" s="15">
        <v>-0.5</v>
      </c>
      <c r="E15" s="15">
        <v>-3.6</v>
      </c>
      <c r="F15" s="26">
        <v>223</v>
      </c>
      <c r="G15" s="26">
        <v>74</v>
      </c>
      <c r="H15" s="26">
        <v>543</v>
      </c>
      <c r="I15" s="15">
        <v>10.7</v>
      </c>
      <c r="J15" s="15">
        <v>18.6</v>
      </c>
      <c r="K15" s="15">
        <v>-107.3</v>
      </c>
      <c r="L15" s="15">
        <v>0</v>
      </c>
      <c r="M15" s="15">
        <v>0</v>
      </c>
      <c r="N15" s="15">
        <f>SUM(C12:C15)/4</f>
        <v>53.8</v>
      </c>
      <c r="O15" s="15"/>
      <c r="P15" s="16">
        <f>C15/C14-1</f>
        <v>0.08734939759036139</v>
      </c>
      <c r="Q15" s="16">
        <f>(E15+D15)/C15</f>
        <v>-0.056786703601108</v>
      </c>
      <c r="R15" s="16">
        <f>AVERAGE(Q12:Q15)</f>
        <v>0.102442705661825</v>
      </c>
      <c r="S15" s="17"/>
      <c r="T15" s="15">
        <f>SUM(J12:K15)/4</f>
        <v>-30.425</v>
      </c>
      <c r="U15" s="17"/>
      <c r="V15" s="26">
        <f>-(L15+M15)+V14</f>
        <v>0</v>
      </c>
      <c r="W15" s="17"/>
      <c r="X15" s="26">
        <f>F15-G15</f>
        <v>149</v>
      </c>
      <c r="Y15" s="24"/>
      <c r="Z15" s="26">
        <v>328</v>
      </c>
      <c r="AA15" s="24"/>
      <c r="AB15" s="15">
        <v>13.882</v>
      </c>
    </row>
    <row r="16" ht="20.05" customHeight="1">
      <c r="B16" s="21">
        <v>2020</v>
      </c>
      <c r="C16" s="67">
        <v>41.9</v>
      </c>
      <c r="D16" s="15">
        <v>17.8</v>
      </c>
      <c r="E16" s="15">
        <v>7.1</v>
      </c>
      <c r="F16" s="26">
        <v>191</v>
      </c>
      <c r="G16" s="26">
        <v>47</v>
      </c>
      <c r="H16" s="26">
        <v>524</v>
      </c>
      <c r="I16" s="15">
        <v>39.2</v>
      </c>
      <c r="J16" s="15">
        <v>-14.1</v>
      </c>
      <c r="K16" s="15">
        <v>-139.7</v>
      </c>
      <c r="L16" s="15">
        <v>0</v>
      </c>
      <c r="M16" s="15">
        <v>0</v>
      </c>
      <c r="N16" s="15">
        <f>SUM(C13:C16)/4</f>
        <v>57.325</v>
      </c>
      <c r="O16" s="15">
        <v>48.45</v>
      </c>
      <c r="P16" s="16">
        <f>C16/C15-1</f>
        <v>-0.419667590027701</v>
      </c>
      <c r="Q16" s="16">
        <f>(E16+D16)/C16</f>
        <v>0.5942720763723151</v>
      </c>
      <c r="R16" s="16">
        <f>AVERAGE(Q13:Q16)</f>
        <v>0.228528710366414</v>
      </c>
      <c r="S16" s="17"/>
      <c r="T16" s="15">
        <f>SUM(J13:K16)/4</f>
        <v>-55.275</v>
      </c>
      <c r="U16" s="17"/>
      <c r="V16" s="26">
        <f>-(L16+M16)+V15</f>
        <v>0</v>
      </c>
      <c r="W16" s="17"/>
      <c r="X16" s="26">
        <f>F16-G16</f>
        <v>144</v>
      </c>
      <c r="Y16" s="24"/>
      <c r="Z16" s="26">
        <v>150</v>
      </c>
      <c r="AA16" s="24"/>
      <c r="AB16" s="15">
        <v>16.31</v>
      </c>
    </row>
    <row r="17" ht="20.05" customHeight="1">
      <c r="B17" s="13"/>
      <c r="C17" s="67">
        <v>3.9</v>
      </c>
      <c r="D17" s="15">
        <v>18.8</v>
      </c>
      <c r="E17" s="15">
        <v>-21.1</v>
      </c>
      <c r="F17" s="26">
        <v>147</v>
      </c>
      <c r="G17" s="26">
        <v>69.40000000000001</v>
      </c>
      <c r="H17" s="26">
        <v>520.3</v>
      </c>
      <c r="I17" s="15">
        <v>53.6</v>
      </c>
      <c r="J17" s="15">
        <v>-3.8</v>
      </c>
      <c r="K17" s="15">
        <v>83.3</v>
      </c>
      <c r="L17" s="15">
        <v>0</v>
      </c>
      <c r="M17" s="15">
        <v>0</v>
      </c>
      <c r="N17" s="15">
        <f>SUM(C14:C17)/4</f>
        <v>46.1</v>
      </c>
      <c r="O17" s="15">
        <v>46.1266666666667</v>
      </c>
      <c r="P17" s="16">
        <f>C17/C16-1</f>
        <v>-0.906921241050119</v>
      </c>
      <c r="Q17" s="16">
        <f>(E17+D17)/C17</f>
        <v>-0.58974358974359</v>
      </c>
      <c r="R17" s="16">
        <f>AVERAGE(Q14:Q17)</f>
        <v>0.017055927684615</v>
      </c>
      <c r="S17" s="17"/>
      <c r="T17" s="15">
        <f>SUM(J14:K17)/4</f>
        <v>-40.35</v>
      </c>
      <c r="U17" s="17"/>
      <c r="V17" s="26">
        <f>-(L17+M17)+V16</f>
        <v>0</v>
      </c>
      <c r="W17" s="17"/>
      <c r="X17" s="26">
        <f>F17-G17</f>
        <v>77.59999999999999</v>
      </c>
      <c r="Y17" s="24"/>
      <c r="Z17" s="26">
        <v>169</v>
      </c>
      <c r="AA17" s="24"/>
      <c r="AB17" s="15">
        <v>14.255</v>
      </c>
    </row>
    <row r="18" ht="20.05" customHeight="1">
      <c r="B18" s="13"/>
      <c r="C18" s="67">
        <v>17.2</v>
      </c>
      <c r="D18" s="15">
        <v>15.9</v>
      </c>
      <c r="E18" s="15">
        <v>-11</v>
      </c>
      <c r="F18" s="26">
        <v>124</v>
      </c>
      <c r="G18" s="26">
        <v>68</v>
      </c>
      <c r="H18" s="26">
        <v>515</v>
      </c>
      <c r="I18" s="15">
        <v>-0.8</v>
      </c>
      <c r="J18" s="15">
        <v>39.3</v>
      </c>
      <c r="K18" s="15">
        <v>-154.6</v>
      </c>
      <c r="L18" s="15">
        <v>0</v>
      </c>
      <c r="M18" s="15">
        <v>0</v>
      </c>
      <c r="N18" s="15">
        <f>SUM(C15:C18)/4</f>
        <v>33.8</v>
      </c>
      <c r="O18" s="15">
        <v>36.095</v>
      </c>
      <c r="P18" s="16">
        <f>C18/C17-1</f>
        <v>3.41025641025641</v>
      </c>
      <c r="Q18" s="16">
        <f>(E18+D18)/C18</f>
        <v>0.284883720930233</v>
      </c>
      <c r="R18" s="16">
        <f>AVERAGE(Q15:Q18)</f>
        <v>0.0581563759894625</v>
      </c>
      <c r="S18" s="17"/>
      <c r="T18" s="15">
        <f>SUM(J15:K18)/4</f>
        <v>-69.575</v>
      </c>
      <c r="U18" s="17"/>
      <c r="V18" s="26">
        <f>-(L18+M18)+V17</f>
        <v>0</v>
      </c>
      <c r="W18" s="17"/>
      <c r="X18" s="26">
        <f>F18-G18</f>
        <v>56</v>
      </c>
      <c r="Y18" s="24"/>
      <c r="Z18" s="26">
        <v>164</v>
      </c>
      <c r="AA18" s="24"/>
      <c r="AB18" s="15">
        <v>14.79</v>
      </c>
    </row>
    <row r="19" ht="20.05" customHeight="1">
      <c r="B19" s="13"/>
      <c r="C19" s="67">
        <v>13.4</v>
      </c>
      <c r="D19" s="15">
        <v>22.1</v>
      </c>
      <c r="E19" s="15">
        <v>28.3</v>
      </c>
      <c r="F19" s="26">
        <v>176</v>
      </c>
      <c r="G19" s="26">
        <v>79</v>
      </c>
      <c r="H19" s="26">
        <v>550</v>
      </c>
      <c r="I19" s="15">
        <v>37.7</v>
      </c>
      <c r="J19" s="15">
        <v>-53.6</v>
      </c>
      <c r="K19" s="15">
        <v>190.1</v>
      </c>
      <c r="L19" s="15">
        <v>0</v>
      </c>
      <c r="M19" s="15">
        <v>0</v>
      </c>
      <c r="N19" s="15">
        <f>SUM(C16:C19)/4</f>
        <v>19.1</v>
      </c>
      <c r="O19" s="15">
        <v>24.87</v>
      </c>
      <c r="P19" s="16">
        <f>C19/C18-1</f>
        <v>-0.22093023255814</v>
      </c>
      <c r="Q19" s="16">
        <f>(E19+D19)/C19</f>
        <v>3.76119402985075</v>
      </c>
      <c r="R19" s="16">
        <f>AVERAGE(Q16:Q19)</f>
        <v>1.01265155935243</v>
      </c>
      <c r="S19" s="17"/>
      <c r="T19" s="15">
        <f>SUM(J16:K19)/4</f>
        <v>-13.275</v>
      </c>
      <c r="U19" s="17"/>
      <c r="V19" s="26">
        <f>-(L19+M19)+V18</f>
        <v>0</v>
      </c>
      <c r="W19" s="17"/>
      <c r="X19" s="26">
        <f>F19-G19</f>
        <v>97</v>
      </c>
      <c r="Y19" s="24"/>
      <c r="Z19" s="26">
        <v>164</v>
      </c>
      <c r="AA19" s="24"/>
      <c r="AB19" s="15">
        <v>14.1</v>
      </c>
    </row>
    <row r="20" ht="20.05" customHeight="1">
      <c r="B20" s="21">
        <v>2021</v>
      </c>
      <c r="C20" s="67">
        <v>18.9</v>
      </c>
      <c r="D20" s="15">
        <v>44.35</v>
      </c>
      <c r="E20" s="15">
        <v>48.5</v>
      </c>
      <c r="F20" s="26">
        <v>118</v>
      </c>
      <c r="G20" s="26">
        <v>85</v>
      </c>
      <c r="H20" s="26">
        <v>605</v>
      </c>
      <c r="I20" s="15">
        <v>109.9</v>
      </c>
      <c r="J20" s="15">
        <v>15.069</v>
      </c>
      <c r="K20" s="15">
        <v>-87.8</v>
      </c>
      <c r="L20" s="15">
        <v>0</v>
      </c>
      <c r="M20" s="15">
        <v>0</v>
      </c>
      <c r="N20" s="15">
        <f>SUM(C17:C20)/4</f>
        <v>13.35</v>
      </c>
      <c r="O20" s="15">
        <v>27.995</v>
      </c>
      <c r="P20" s="16">
        <f>C20/C19-1</f>
        <v>0.41044776119403</v>
      </c>
      <c r="Q20" s="16">
        <f>(E20+D20)/C20</f>
        <v>4.91269841269841</v>
      </c>
      <c r="R20" s="16">
        <f>AVERAGE(Q17:Q20)</f>
        <v>2.09225814343395</v>
      </c>
      <c r="S20" s="17"/>
      <c r="T20" s="15">
        <f>SUM(J17:K20)/4</f>
        <v>6.99225</v>
      </c>
      <c r="U20" s="17"/>
      <c r="V20" s="26">
        <f>-(L20+M20)+V19</f>
        <v>0</v>
      </c>
      <c r="W20" s="17"/>
      <c r="X20" s="26">
        <f>F20-G20</f>
        <v>33</v>
      </c>
      <c r="Y20" s="15"/>
      <c r="Z20" s="26">
        <v>266</v>
      </c>
      <c r="AA20" s="17"/>
      <c r="AB20" s="15">
        <v>14.606</v>
      </c>
    </row>
    <row r="21" ht="20.05" customHeight="1">
      <c r="B21" s="13"/>
      <c r="C21" s="67">
        <v>16.5</v>
      </c>
      <c r="D21" s="15">
        <v>50.75</v>
      </c>
      <c r="E21" s="15">
        <v>21.5</v>
      </c>
      <c r="F21" s="26">
        <v>140</v>
      </c>
      <c r="G21" s="26">
        <v>79</v>
      </c>
      <c r="H21" s="26">
        <v>619</v>
      </c>
      <c r="I21" s="15">
        <v>-89.8</v>
      </c>
      <c r="J21" s="15">
        <v>-75.937</v>
      </c>
      <c r="K21" s="15">
        <v>112.6</v>
      </c>
      <c r="L21" s="15">
        <v>-0.033</v>
      </c>
      <c r="M21" s="15">
        <v>0</v>
      </c>
      <c r="N21" s="15">
        <f>SUM(C18:C21)/4</f>
        <v>16.5</v>
      </c>
      <c r="O21" s="15">
        <v>25.185</v>
      </c>
      <c r="P21" s="16">
        <f>C21/C20-1</f>
        <v>-0.126984126984127</v>
      </c>
      <c r="Q21" s="16">
        <f>(E21+D21)/C21</f>
        <v>4.37878787878788</v>
      </c>
      <c r="R21" s="16">
        <f>AVERAGE(Q18:Q21)</f>
        <v>3.33439101056682</v>
      </c>
      <c r="S21" s="17"/>
      <c r="T21" s="15">
        <f>SUM(J18:K21)/4</f>
        <v>-3.717</v>
      </c>
      <c r="U21" s="17"/>
      <c r="V21" s="26">
        <f>-(L21+M21)+V20</f>
        <v>0.033</v>
      </c>
      <c r="W21" s="17"/>
      <c r="X21" s="26">
        <f>F21-G21</f>
        <v>61</v>
      </c>
      <c r="Y21" s="15"/>
      <c r="Z21" s="26">
        <v>304</v>
      </c>
      <c r="AA21" s="17"/>
      <c r="AB21" s="15">
        <v>14.45</v>
      </c>
    </row>
    <row r="22" ht="20.05" customHeight="1">
      <c r="B22" s="13"/>
      <c r="C22" s="67">
        <v>51.8</v>
      </c>
      <c r="D22" s="26">
        <v>39.85</v>
      </c>
      <c r="E22" s="26">
        <v>45.7</v>
      </c>
      <c r="F22" s="26">
        <v>193</v>
      </c>
      <c r="G22" s="26">
        <v>73</v>
      </c>
      <c r="H22" s="26">
        <v>671</v>
      </c>
      <c r="I22" s="15">
        <v>52.9</v>
      </c>
      <c r="J22" s="15">
        <v>-12.5</v>
      </c>
      <c r="K22" s="15">
        <v>52.4</v>
      </c>
      <c r="L22" s="15">
        <v>0.679</v>
      </c>
      <c r="M22" s="15">
        <v>11.9</v>
      </c>
      <c r="N22" s="15">
        <f>SUM(C19:C22)/4</f>
        <v>25.15</v>
      </c>
      <c r="O22" s="15">
        <v>33.9975</v>
      </c>
      <c r="P22" s="16">
        <f>C22/C21-1</f>
        <v>2.13939393939394</v>
      </c>
      <c r="Q22" s="16">
        <f>(E22+D22)/C22</f>
        <v>1.6515444015444</v>
      </c>
      <c r="R22" s="16">
        <f>AVERAGE(Q19:Q22)</f>
        <v>3.67605618072036</v>
      </c>
      <c r="S22" s="17"/>
      <c r="T22" s="15">
        <f>SUM(J19:K22)/4</f>
        <v>35.083</v>
      </c>
      <c r="U22" s="17"/>
      <c r="V22" s="26">
        <f>-(L22+M22)+V21</f>
        <v>-12.546</v>
      </c>
      <c r="W22" s="17"/>
      <c r="X22" s="26">
        <f>F22-G22</f>
        <v>120</v>
      </c>
      <c r="Y22" s="15"/>
      <c r="Z22" s="26">
        <v>705</v>
      </c>
      <c r="AA22" s="17"/>
      <c r="AB22" s="15">
        <v>14.328</v>
      </c>
    </row>
    <row r="23" ht="20.05" customHeight="1">
      <c r="B23" s="13"/>
      <c r="C23" s="67">
        <v>111.4</v>
      </c>
      <c r="D23" s="26">
        <v>55.15</v>
      </c>
      <c r="E23" s="26">
        <v>78.5</v>
      </c>
      <c r="F23" s="26">
        <v>194</v>
      </c>
      <c r="G23" s="26">
        <v>62</v>
      </c>
      <c r="H23" s="26">
        <v>761</v>
      </c>
      <c r="I23" s="15">
        <v>88.90000000000001</v>
      </c>
      <c r="J23" s="15">
        <v>-21.832</v>
      </c>
      <c r="K23" s="15">
        <v>-5.1</v>
      </c>
      <c r="L23" s="15">
        <v>3.332</v>
      </c>
      <c r="M23" s="15">
        <v>24.6</v>
      </c>
      <c r="N23" s="15">
        <f>SUM(C20:C23)/4</f>
        <v>49.65</v>
      </c>
      <c r="O23" s="15">
        <v>42.479</v>
      </c>
      <c r="P23" s="16">
        <f>C23/C22-1</f>
        <v>1.15057915057915</v>
      </c>
      <c r="Q23" s="16">
        <f>(E23+D23)/C23</f>
        <v>1.19973070017953</v>
      </c>
      <c r="R23" s="16">
        <f>AVERAGE(Q20:Q23)</f>
        <v>3.03569034830256</v>
      </c>
      <c r="S23" s="17"/>
      <c r="T23" s="15">
        <f>SUM(J20:K23)/4</f>
        <v>-5.775</v>
      </c>
      <c r="U23" s="17"/>
      <c r="V23" s="26">
        <f>-(L23+M23)+V22</f>
        <v>-40.478</v>
      </c>
      <c r="W23" s="17"/>
      <c r="X23" s="26">
        <f>F23-G23</f>
        <v>132</v>
      </c>
      <c r="Y23" s="15"/>
      <c r="Z23" s="26">
        <v>610</v>
      </c>
      <c r="AA23" s="15">
        <v>281.073236581667</v>
      </c>
      <c r="AB23" s="15">
        <v>14.275</v>
      </c>
    </row>
    <row r="24" ht="20.05" customHeight="1">
      <c r="B24" s="21">
        <v>2022</v>
      </c>
      <c r="C24" s="67">
        <v>77</v>
      </c>
      <c r="D24" s="26">
        <v>2.4</v>
      </c>
      <c r="E24" s="26">
        <v>45.8</v>
      </c>
      <c r="F24" s="26">
        <v>187</v>
      </c>
      <c r="G24" s="26">
        <v>86</v>
      </c>
      <c r="H24" s="26">
        <v>832</v>
      </c>
      <c r="I24" s="15">
        <v>58</v>
      </c>
      <c r="J24" s="15">
        <v>-12.6</v>
      </c>
      <c r="K24" s="15">
        <v>-6.7</v>
      </c>
      <c r="L24" s="15">
        <v>0.7</v>
      </c>
      <c r="M24" s="15">
        <v>11.9</v>
      </c>
      <c r="N24" s="15">
        <f>SUM(C21:C24)/4</f>
        <v>64.175</v>
      </c>
      <c r="O24" s="15">
        <v>45.5855</v>
      </c>
      <c r="P24" s="16">
        <f>C24/C23-1</f>
        <v>-0.308797127468582</v>
      </c>
      <c r="Q24" s="16">
        <f>(E24+D24)/C24</f>
        <v>0.625974025974026</v>
      </c>
      <c r="R24" s="16">
        <f>AVERAGE(Q21:Q24)</f>
        <v>1.96400925162146</v>
      </c>
      <c r="S24" s="35"/>
      <c r="T24" s="15">
        <f>SUM(J21:K24)/4</f>
        <v>7.58275</v>
      </c>
      <c r="U24" s="15">
        <v>-9.5437036268372</v>
      </c>
      <c r="V24" s="26">
        <f>-(L24+M24)+V23</f>
        <v>-53.078</v>
      </c>
      <c r="W24" s="15"/>
      <c r="X24" s="26">
        <f>F24-G24</f>
        <v>101</v>
      </c>
      <c r="Y24" s="15">
        <v>85.9466925769232</v>
      </c>
      <c r="Z24" s="26">
        <v>438</v>
      </c>
      <c r="AA24" s="15">
        <v>164.130357127981</v>
      </c>
      <c r="AB24" s="15">
        <v>14.327</v>
      </c>
    </row>
    <row r="25" ht="20.05" customHeight="1">
      <c r="B25" s="13"/>
      <c r="C25" s="67">
        <v>97.90000000000001</v>
      </c>
      <c r="D25" s="26">
        <v>4</v>
      </c>
      <c r="E25" s="26">
        <v>-20.3</v>
      </c>
      <c r="F25" s="26">
        <v>139</v>
      </c>
      <c r="G25" s="26">
        <v>69</v>
      </c>
      <c r="H25" s="26">
        <v>795</v>
      </c>
      <c r="I25" s="15">
        <v>41.3</v>
      </c>
      <c r="J25" s="15">
        <v>-29.1</v>
      </c>
      <c r="K25" s="15">
        <v>-7.3</v>
      </c>
      <c r="L25" s="15">
        <v>0</v>
      </c>
      <c r="M25" s="15">
        <v>-11.9</v>
      </c>
      <c r="N25" s="15">
        <f>SUM(C22:C25)/4</f>
        <v>84.52500000000001</v>
      </c>
      <c r="O25" s="15">
        <v>60.163</v>
      </c>
      <c r="P25" s="16">
        <f>C25/C24-1</f>
        <v>0.271428571428571</v>
      </c>
      <c r="Q25" s="16">
        <f>(E25+D25)/C25</f>
        <v>-0.166496424923391</v>
      </c>
      <c r="R25" s="16">
        <f>AVERAGE(Q22:Q25)</f>
        <v>0.8276881756936409</v>
      </c>
      <c r="S25" s="35"/>
      <c r="T25" s="15">
        <f>SUM(J22:K25)/4</f>
        <v>-10.683</v>
      </c>
      <c r="U25" s="15">
        <v>33.7546684588044</v>
      </c>
      <c r="V25" s="26">
        <f>-(L25+M25)+V24</f>
        <v>-41.178</v>
      </c>
      <c r="W25" s="15"/>
      <c r="X25" s="26">
        <f>F25-G25</f>
        <v>70</v>
      </c>
      <c r="Y25" s="15">
        <v>225.706208313156</v>
      </c>
      <c r="Z25" s="15">
        <v>300</v>
      </c>
      <c r="AA25" s="15">
        <v>143.614062486983</v>
      </c>
      <c r="AB25" s="15">
        <v>14.66</v>
      </c>
    </row>
    <row r="26" ht="20.05" customHeight="1">
      <c r="B26" s="13"/>
      <c r="C26" s="67">
        <v>84.2</v>
      </c>
      <c r="D26" s="26">
        <v>2.6</v>
      </c>
      <c r="E26" s="26">
        <v>8</v>
      </c>
      <c r="F26" s="26">
        <v>159</v>
      </c>
      <c r="G26" s="26">
        <v>63</v>
      </c>
      <c r="H26" s="26">
        <v>791</v>
      </c>
      <c r="I26" s="15">
        <v>183.2</v>
      </c>
      <c r="J26" s="15">
        <v>4.3</v>
      </c>
      <c r="K26" s="15">
        <v>13.955</v>
      </c>
      <c r="L26" s="15">
        <v>6.7</v>
      </c>
      <c r="M26" s="15">
        <v>-5</v>
      </c>
      <c r="N26" s="15">
        <f>AVERAGE(C26)</f>
        <v>84.2</v>
      </c>
      <c r="O26" s="15">
        <v>75.05974999999999</v>
      </c>
      <c r="P26" s="16">
        <f>C26/C25-1</f>
        <v>-0.139938712972421</v>
      </c>
      <c r="Q26" s="16">
        <f>(E26+D26)/C26</f>
        <v>0.125890736342043</v>
      </c>
      <c r="R26" s="16">
        <f>AVERAGE(Q23:Q26)</f>
        <v>0.446274759393052</v>
      </c>
      <c r="S26" s="35">
        <f>S27</f>
        <v>0.125890736342043</v>
      </c>
      <c r="T26" s="15">
        <f>SUM(J23:K26)/4</f>
        <v>-16.09425</v>
      </c>
      <c r="U26" s="15">
        <v>7.5829813146111</v>
      </c>
      <c r="V26" s="26">
        <f>-(L26+M26)+V25</f>
        <v>-42.878</v>
      </c>
      <c r="W26" s="15">
        <f>W27</f>
        <v>-31.19189375</v>
      </c>
      <c r="X26" s="26">
        <f>F26-G26</f>
        <v>96</v>
      </c>
      <c r="Y26" s="15">
        <v>100.331925258444</v>
      </c>
      <c r="Z26" s="15">
        <v>318</v>
      </c>
      <c r="AA26" s="15">
        <v>176.936228014409</v>
      </c>
      <c r="AB26" s="15">
        <v>15.705</v>
      </c>
    </row>
    <row r="27" ht="20.05" customHeight="1">
      <c r="B27" s="13"/>
      <c r="C27" s="67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90.31468525299999</v>
      </c>
      <c r="P27" s="17"/>
      <c r="Q27" s="17"/>
      <c r="R27" s="17"/>
      <c r="S27" s="35">
        <f>AE53</f>
        <v>0.125890736342043</v>
      </c>
      <c r="T27" s="17"/>
      <c r="U27" s="15">
        <f>SUM(AE55:AH55)/4</f>
        <v>6.26978222900002</v>
      </c>
      <c r="V27" s="17"/>
      <c r="W27" s="15">
        <f>-SUM(AE76:AH76)+V26</f>
        <v>-31.19189375</v>
      </c>
      <c r="X27" s="17"/>
      <c r="Y27" s="15">
        <f>AH75</f>
        <v>121.079128916</v>
      </c>
      <c r="Z27" s="15">
        <v>210</v>
      </c>
      <c r="AA27" s="15">
        <v>143.614062486983</v>
      </c>
      <c r="AB27" s="17"/>
    </row>
    <row r="28" ht="20.05" customHeight="1">
      <c r="B28" s="21">
        <v>2023</v>
      </c>
      <c r="C28" s="67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493.875</v>
      </c>
      <c r="O28" s="15">
        <f>SUM(O16:O26)</f>
        <v>466.006416666667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188.09346687</v>
      </c>
      <c r="AB28" s="15"/>
    </row>
    <row r="29" ht="20.05" customHeight="1">
      <c r="B29" s="13"/>
      <c r="C29" s="67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67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67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67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67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67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67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67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67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67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67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67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67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6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67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308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0.24331797039168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1.15057915057915</v>
      </c>
      <c r="AF50" s="35">
        <f>P24</f>
        <v>-0.308797127468582</v>
      </c>
      <c r="AG50" s="35">
        <f>P25</f>
        <v>0.271428571428571</v>
      </c>
      <c r="AH50" s="35">
        <f>P26</f>
        <v>-0.139938712972421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-0.01</v>
      </c>
      <c r="AG51" s="35">
        <v>0.01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84.2</v>
      </c>
      <c r="AE52" s="23">
        <f>C26*(1+AE51)</f>
        <v>90.09399999999999</v>
      </c>
      <c r="AF52" s="23">
        <f>AE52*(1+AF51)</f>
        <v>89.19306</v>
      </c>
      <c r="AG52" s="23">
        <f>AF52*(1+AG51)</f>
        <v>90.0849906</v>
      </c>
      <c r="AH52" s="23">
        <f>AG52*(1+AH51)</f>
        <v>91.88669041199999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0.125890736342043</v>
      </c>
      <c r="AF53" s="35">
        <f>AE53</f>
        <v>0.125890736342043</v>
      </c>
      <c r="AG53" s="35">
        <f>AF53</f>
        <v>0.125890736342043</v>
      </c>
      <c r="AH53" s="35">
        <f>AG53</f>
        <v>0.125890736342043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AVERAGE(K23)</f>
        <v>-5.1</v>
      </c>
      <c r="AF54" s="15">
        <f>AE54</f>
        <v>-5.1</v>
      </c>
      <c r="AG54" s="15">
        <f>AF54</f>
        <v>-5.1</v>
      </c>
      <c r="AH54" s="15">
        <f>AG54</f>
        <v>-5.1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6.24200000000002</v>
      </c>
      <c r="AF55" s="15">
        <f>(AF52*AF53)+AF54</f>
        <v>6.12858000000002</v>
      </c>
      <c r="AG55" s="15">
        <f>(AG52*AG53)+AG54</f>
        <v>6.24086580000002</v>
      </c>
      <c r="AH55" s="15">
        <f>(AH52*AH53)+AH54</f>
        <v>6.46768311600002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-3.15</v>
      </c>
      <c r="AF56" s="15">
        <f>-AE71/20</f>
        <v>-2.9925</v>
      </c>
      <c r="AG56" s="15">
        <f>-AF71/20</f>
        <v>-2.842875</v>
      </c>
      <c r="AH56" s="15">
        <f>-AG71/20</f>
        <v>-2.70073125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3.09200000000002</v>
      </c>
      <c r="AF59" s="15">
        <f>AF55+AF56+AF58</f>
        <v>3.13608000000002</v>
      </c>
      <c r="AG59" s="15">
        <f>AG55+AG56+AG58</f>
        <v>3.39799080000002</v>
      </c>
      <c r="AH59" s="15">
        <f>AH55+AH56+AH58</f>
        <v>3.76695186600002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159</v>
      </c>
      <c r="AF61" s="15">
        <f>AE63</f>
        <v>162.092</v>
      </c>
      <c r="AG61" s="15">
        <f>AF63</f>
        <v>165.22808</v>
      </c>
      <c r="AH61" s="15">
        <f>AG63</f>
        <v>168.6260708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3.09200000000002</v>
      </c>
      <c r="AF62" s="15">
        <f>AF55+AF56+AF58+AF60</f>
        <v>3.13608000000002</v>
      </c>
      <c r="AG62" s="15">
        <f>AG55+AG56+AG58+AG60</f>
        <v>3.39799080000002</v>
      </c>
      <c r="AH62" s="15">
        <f>AH55+AH56+AH58+AH60</f>
        <v>3.76695186600002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162.092</v>
      </c>
      <c r="AF63" s="15">
        <f>AF61+AF62</f>
        <v>165.22808</v>
      </c>
      <c r="AG63" s="15">
        <f>AG61+AG62</f>
        <v>168.6260708</v>
      </c>
      <c r="AH63" s="15">
        <f>AH61+AH62</f>
        <v>172.393022666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-AVERAGE(D23:D26)</f>
        <v>-16.0375</v>
      </c>
      <c r="AF65" s="15">
        <f>AE65</f>
        <v>-16.0375</v>
      </c>
      <c r="AG65" s="15">
        <f>AF65</f>
        <v>-16.0375</v>
      </c>
      <c r="AH65" s="15">
        <f>AG65</f>
        <v>-16.0375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-4.69549999999998</v>
      </c>
      <c r="AF66" s="15">
        <f>(AF52*AF53)+AF65</f>
        <v>-4.80891999999998</v>
      </c>
      <c r="AG66" s="15">
        <f>(AG52*AG53)+AG65</f>
        <v>-4.69663419999998</v>
      </c>
      <c r="AH66" s="15">
        <f>(AH52*AH53)+AH65</f>
        <v>-4.46981688399998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637.1</v>
      </c>
      <c r="AF68" s="15">
        <f>AE68-AF54</f>
        <v>642.2</v>
      </c>
      <c r="AG68" s="15">
        <f>AF68-AG54</f>
        <v>647.3</v>
      </c>
      <c r="AH68" s="15">
        <f>AG68-AH54</f>
        <v>652.4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16.0375</v>
      </c>
      <c r="AF69" s="15">
        <f>AE69-AF65</f>
        <v>32.075</v>
      </c>
      <c r="AG69" s="15">
        <f>AF69-AG65</f>
        <v>48.1125</v>
      </c>
      <c r="AH69" s="15">
        <f>AG69-AH65</f>
        <v>64.15000000000001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621.0625</v>
      </c>
      <c r="AF70" s="15">
        <f>AF68-AF69</f>
        <v>610.125</v>
      </c>
      <c r="AG70" s="15">
        <f>AG68-AG69</f>
        <v>599.1875</v>
      </c>
      <c r="AH70" s="15">
        <f>AH68-AH69</f>
        <v>588.25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59.85</v>
      </c>
      <c r="AF71" s="15">
        <f>AE71+AF56</f>
        <v>56.8575</v>
      </c>
      <c r="AG71" s="15">
        <f>AF71+AG56</f>
        <v>54.014625</v>
      </c>
      <c r="AH71" s="15">
        <f>AG71+AH56</f>
        <v>51.31389375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723.3045</v>
      </c>
      <c r="AF73" s="15">
        <f>AE73+AF66+AF58</f>
        <v>718.49558</v>
      </c>
      <c r="AG73" s="15">
        <f>AF73+AG66+AG58</f>
        <v>713.7989458</v>
      </c>
      <c r="AH73" s="15">
        <f>AG73+AH66+AH58</f>
        <v>709.3291289159999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102.242</v>
      </c>
      <c r="AF75" s="15">
        <f>AF63-AF71-AF72</f>
        <v>108.37058</v>
      </c>
      <c r="AG75" s="15">
        <f>AG63-AG71-AG72</f>
        <v>114.6114458</v>
      </c>
      <c r="AH75" s="15">
        <f>AH63-AH71-AH72</f>
        <v>121.079128916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-3.15</v>
      </c>
      <c r="AF76" s="15">
        <f>AF56+AF58+AF60</f>
        <v>-2.9925</v>
      </c>
      <c r="AG76" s="15">
        <f>AG56+AG58+AG60</f>
        <v>-2.842875</v>
      </c>
      <c r="AH76" s="15">
        <f>AH56+AH58+AH60</f>
        <v>-2.70073125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508</v>
      </c>
      <c r="AD78" s="14"/>
      <c r="AE78" s="15"/>
      <c r="AF78" s="15"/>
      <c r="AG78" s="15"/>
      <c r="AH78" s="15">
        <v>210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508</v>
      </c>
      <c r="AD79" s="14"/>
      <c r="AE79" s="15"/>
      <c r="AF79" s="15"/>
      <c r="AG79" s="15"/>
      <c r="AH79" s="15">
        <v>1260000000000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1260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1.6564932070024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25.0791289160001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23.4557588491323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50.2409794303557</v>
      </c>
      <c r="AH86" s="15">
        <v>45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1128.56080122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188.09346687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-0.104316824428571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0.625482625482625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-0.0564284147473207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508</v>
      </c>
      <c r="AF94" t="s" s="44">
        <v>60</v>
      </c>
      <c r="AG94" s="15">
        <f>AH78</f>
        <v>210</v>
      </c>
      <c r="AH94" t="s" s="44">
        <v>61</v>
      </c>
      <c r="AI94" s="15">
        <f>AH88</f>
        <v>188.09346687</v>
      </c>
      <c r="AJ94" t="s" s="44">
        <f>IF(AK94&gt;0,"+","")</f>
      </c>
      <c r="AK94" s="16">
        <f>AI94/AG94-1</f>
        <v>-0.104316824428571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0.625482625482625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-0.0510928571428571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-0.0240730158730159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0.0761904761904762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-0.139938712972421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2.13939393939394</v>
      </c>
      <c r="AF103" s="16">
        <f>P23</f>
        <v>1.15057915057915</v>
      </c>
      <c r="AG103" s="16">
        <f>P24</f>
        <v>-0.308797127468582</v>
      </c>
      <c r="AH103" s="16">
        <f>P25</f>
        <v>0.271428571428571</v>
      </c>
      <c r="AI103" s="16">
        <f>P26</f>
        <v>-0.139938712972421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51.8</v>
      </c>
      <c r="AF104" s="15">
        <f>C23</f>
        <v>111.4</v>
      </c>
      <c r="AG104" s="15">
        <f>C24</f>
        <v>77</v>
      </c>
      <c r="AH104" s="15">
        <f>C25</f>
        <v>97.90000000000001</v>
      </c>
      <c r="AI104" s="15">
        <f>C26</f>
        <v>84.2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-0.139938712972421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84.2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0.24331797039168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91.88669041199999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1.6515444015444</v>
      </c>
      <c r="AF110" s="16">
        <f>(D23+E23)/C23</f>
        <v>1.19973070017953</v>
      </c>
      <c r="AG110" s="16">
        <f>((E24+D24)/C24)</f>
        <v>0.625974025974026</v>
      </c>
      <c r="AH110" s="16">
        <f>(D25+E25)/C25</f>
        <v>-0.166496424923391</v>
      </c>
      <c r="AI110" s="16">
        <f>(D26+E26)/C26</f>
        <v>0.125890736342043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26">
        <f>E22</f>
        <v>45.7</v>
      </c>
      <c r="AF111" s="26">
        <f>E23</f>
        <v>78.5</v>
      </c>
      <c r="AG111" s="26">
        <f>E24</f>
        <v>45.8</v>
      </c>
      <c r="AH111" s="26">
        <f>E25</f>
        <v>-20.3</v>
      </c>
      <c r="AI111" s="26">
        <f>E26</f>
        <v>8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-0.166496424923391</v>
      </c>
      <c r="AG112" t="s" s="44">
        <v>76</v>
      </c>
      <c r="AH112" s="16">
        <f>AI110</f>
        <v>0.125890736342043</v>
      </c>
      <c r="AI112" t="s" s="44">
        <v>90</v>
      </c>
      <c r="AJ112" s="26">
        <f>AH111</f>
        <v>-20.3</v>
      </c>
      <c r="AK112" t="s" s="44">
        <v>76</v>
      </c>
      <c r="AL112" s="26">
        <f>AI111</f>
        <v>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0.446274759393052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0.125890736342043</v>
      </c>
      <c r="AG114" t="s" s="44">
        <v>94</v>
      </c>
      <c r="AH114" s="15">
        <f>AH66</f>
        <v>-4.46981688399998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-12.5</v>
      </c>
      <c r="AF117" s="15">
        <f>J23</f>
        <v>-21.832</v>
      </c>
      <c r="AG117" s="15">
        <f>J24</f>
        <v>-12.6</v>
      </c>
      <c r="AH117" s="15">
        <f>J25</f>
        <v>-29.1</v>
      </c>
      <c r="AI117" s="15">
        <f>J26</f>
        <v>4.3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52.4</v>
      </c>
      <c r="AF118" s="15">
        <f>K23</f>
        <v>-5.1</v>
      </c>
      <c r="AG118" s="15">
        <f>K24</f>
        <v>-6.7</v>
      </c>
      <c r="AH118" s="15">
        <f>K25</f>
        <v>-7.3</v>
      </c>
      <c r="AI118" s="15">
        <f>K26</f>
        <v>13.955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-36.4</v>
      </c>
      <c r="AG119" t="s" s="44">
        <v>76</v>
      </c>
      <c r="AH119" s="15">
        <f>AI117+AI118</f>
        <v>18.255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13.955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-16.09425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-5.1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6.26978222900002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26">
        <f>F22</f>
        <v>193</v>
      </c>
      <c r="AF124" s="26">
        <f>F23</f>
        <v>194</v>
      </c>
      <c r="AG124" s="26">
        <f>F24</f>
        <v>187</v>
      </c>
      <c r="AH124" s="26">
        <f>F25</f>
        <v>139</v>
      </c>
      <c r="AI124" s="26">
        <f>F26</f>
        <v>159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26">
        <f>G22</f>
        <v>73</v>
      </c>
      <c r="AF125" s="26">
        <f>G23</f>
        <v>62</v>
      </c>
      <c r="AG125" s="26">
        <f>G24</f>
        <v>86</v>
      </c>
      <c r="AH125" s="26">
        <f>G25</f>
        <v>69</v>
      </c>
      <c r="AI125" s="26">
        <f>G26</f>
        <v>63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26">
        <f>AH124</f>
        <v>139</v>
      </c>
      <c r="AH126" t="s" s="44">
        <v>76</v>
      </c>
      <c r="AI126" s="26">
        <f>AI124</f>
        <v>159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26">
        <f>AH125</f>
        <v>69</v>
      </c>
      <c r="AH127" t="s" s="44">
        <v>76</v>
      </c>
      <c r="AI127" s="26">
        <f>AI125</f>
        <v>63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70</v>
      </c>
      <c r="AO127" t="s" s="44">
        <v>76</v>
      </c>
      <c r="AP127" s="15">
        <f>AI126-AI127</f>
        <v>96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-11.68610625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121.079128916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-0.679</v>
      </c>
      <c r="AF131" s="15">
        <f>-L23</f>
        <v>-3.332</v>
      </c>
      <c r="AG131" s="15">
        <f>-L24</f>
        <v>-0.7</v>
      </c>
      <c r="AH131" s="15">
        <f>-L25</f>
        <v>0</v>
      </c>
      <c r="AI131" s="15">
        <f>-L26</f>
        <v>-6.7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-11.9</v>
      </c>
      <c r="AF132" s="15">
        <f>-M23</f>
        <v>-24.6</v>
      </c>
      <c r="AG132" s="15">
        <f>-M24</f>
        <v>-11.9</v>
      </c>
      <c r="AH132" s="15">
        <f>-M25</f>
        <v>11.9</v>
      </c>
      <c r="AI132" s="15">
        <f>-M26</f>
        <v>5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508</v>
      </c>
      <c r="AF133" t="s" s="44">
        <f>IF(AG133&gt;0,"paid","(raised)")</f>
        <v>121</v>
      </c>
      <c r="AG133" s="15">
        <f>SUM(AI131:AI132)</f>
        <v>-1.7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-6.7</v>
      </c>
      <c r="AM133" t="s" s="44">
        <f>AM105</f>
        <v>372</v>
      </c>
      <c r="AN133" t="s" s="44">
        <v>123</v>
      </c>
      <c r="AO133" s="15">
        <f>AI132</f>
        <v>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11.68610625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1260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1.6564932070024</v>
      </c>
      <c r="AK134" t="s" s="44">
        <v>130</v>
      </c>
      <c r="AL134" t="s" s="44">
        <v>131</v>
      </c>
      <c r="AM134" t="s" s="44">
        <v>132</v>
      </c>
      <c r="AN134" s="15">
        <f>AH85</f>
        <v>23.4557588491323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25.0791289160001</v>
      </c>
      <c r="AG135" t="s" s="44">
        <f>AG134</f>
        <v>372</v>
      </c>
      <c r="AH135" t="s" s="44">
        <v>136</v>
      </c>
      <c r="AI135" s="15">
        <f>AF134/AF135</f>
        <v>50.2409794303557</v>
      </c>
      <c r="AJ135" t="s" s="44">
        <v>130</v>
      </c>
      <c r="AK135" t="s" s="44">
        <v>137</v>
      </c>
      <c r="AL135" t="s" s="44">
        <v>138</v>
      </c>
      <c r="AM135" s="15">
        <f>AH86</f>
        <v>45</v>
      </c>
      <c r="AN135" t="s" s="44">
        <v>139</v>
      </c>
      <c r="AO135" t="s" s="44">
        <v>140</v>
      </c>
      <c r="AP135" t="s" s="44">
        <v>141</v>
      </c>
      <c r="AQ135" s="16">
        <f>AK94</f>
        <v>-0.104316824428571</v>
      </c>
      <c r="AR135" t="s" s="44">
        <f>IF(AQ135&gt;0,"higher","lower")</f>
        <v>104</v>
      </c>
      <c r="AS135" t="s" s="44">
        <v>142</v>
      </c>
      <c r="AT135" s="15">
        <f>AI94</f>
        <v>188.09346687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51.8</v>
      </c>
      <c r="AE137" s="15">
        <f>AF104</f>
        <v>111.4</v>
      </c>
      <c r="AF137" s="15">
        <f>AG104</f>
        <v>77</v>
      </c>
      <c r="AG137" s="15">
        <f>AH104</f>
        <v>97.90000000000001</v>
      </c>
      <c r="AH137" s="15">
        <f>AI104</f>
        <v>84.2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39.9</v>
      </c>
      <c r="AE138" s="15">
        <f>SUM(AF117:AF118)</f>
        <v>-26.932</v>
      </c>
      <c r="AF138" s="15">
        <f>SUM(AG117:AG118)</f>
        <v>-19.3</v>
      </c>
      <c r="AG138" s="15">
        <f>SUM(AH117:AH118)</f>
        <v>-36.4</v>
      </c>
      <c r="AH138" s="15">
        <f>SUM(AI117:AI118)</f>
        <v>18.255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-12.579</v>
      </c>
      <c r="AE139" s="15">
        <f>SUM(AF131:AF132)</f>
        <v>-27.932</v>
      </c>
      <c r="AF139" s="15">
        <f>SUM(AG131:AG132)</f>
        <v>-12.6</v>
      </c>
      <c r="AG139" s="15">
        <f>SUM(AH131:AH132)</f>
        <v>11.9</v>
      </c>
      <c r="AH139" s="15">
        <f>SUM(AI131:AI132)</f>
        <v>-1.7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67">
        <f>(AE124-AE125)</f>
        <v>120</v>
      </c>
      <c r="AE140" s="26">
        <f>(AF124-AF125)</f>
        <v>132</v>
      </c>
      <c r="AF140" s="26">
        <f>(AG124-AG125)</f>
        <v>101</v>
      </c>
      <c r="AG140" s="26">
        <f>(AH124-AH125)</f>
        <v>70</v>
      </c>
      <c r="AH140" s="26">
        <f>(AI124-AI125)</f>
        <v>96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188.09346687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Z2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6.61719" style="138" customWidth="1"/>
    <col min="2" max="26" width="10.4844" style="138" customWidth="1"/>
    <col min="27" max="16384" width="16.3516" style="138" customWidth="1"/>
  </cols>
  <sheetData>
    <row r="1" ht="58.85" customHeight="1"/>
    <row r="2" ht="27.65" customHeight="1">
      <c r="B2" t="s" s="2">
        <v>509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274</v>
      </c>
      <c r="Z3" t="s" s="3">
        <v>19</v>
      </c>
    </row>
    <row r="4" ht="20.25" customHeight="1">
      <c r="B4" s="6">
        <v>2019</v>
      </c>
      <c r="C4" s="7">
        <v>811</v>
      </c>
      <c r="D4" s="8">
        <v>171</v>
      </c>
      <c r="E4" s="8">
        <v>30</v>
      </c>
      <c r="F4" s="8">
        <v>0</v>
      </c>
      <c r="G4" s="8">
        <v>0</v>
      </c>
      <c r="H4" s="8">
        <v>0</v>
      </c>
      <c r="I4" s="8">
        <v>862</v>
      </c>
      <c r="J4" s="8">
        <v>-623</v>
      </c>
      <c r="K4" s="8">
        <v>476</v>
      </c>
      <c r="L4" s="8">
        <v>0</v>
      </c>
      <c r="M4" s="8">
        <v>0</v>
      </c>
      <c r="N4" s="8">
        <v>202.75</v>
      </c>
      <c r="O4" s="9"/>
      <c r="P4" s="55"/>
      <c r="Q4" s="55"/>
      <c r="R4" s="9"/>
      <c r="S4" s="8">
        <v>-36.75</v>
      </c>
      <c r="T4" s="9"/>
      <c r="U4" s="8">
        <v>0</v>
      </c>
      <c r="V4" s="9"/>
      <c r="W4" s="8">
        <v>0</v>
      </c>
      <c r="X4" s="73"/>
      <c r="Y4" s="8">
        <v>530</v>
      </c>
      <c r="Z4" s="73"/>
    </row>
    <row r="5" ht="20.05" customHeight="1">
      <c r="B5" s="13"/>
      <c r="C5" s="14">
        <v>809</v>
      </c>
      <c r="D5" s="15">
        <v>188</v>
      </c>
      <c r="E5" s="15">
        <v>6</v>
      </c>
      <c r="F5" s="15">
        <v>0</v>
      </c>
      <c r="G5" s="15">
        <v>0</v>
      </c>
      <c r="H5" s="15">
        <v>0</v>
      </c>
      <c r="I5" s="15">
        <v>899</v>
      </c>
      <c r="J5" s="15">
        <v>-2920</v>
      </c>
      <c r="K5" s="15">
        <v>1454</v>
      </c>
      <c r="L5" s="15">
        <v>0</v>
      </c>
      <c r="M5" s="15">
        <v>-10.7</v>
      </c>
      <c r="N5" s="15">
        <v>405</v>
      </c>
      <c r="O5" s="17"/>
      <c r="P5" s="16">
        <v>-0.00246609124537608</v>
      </c>
      <c r="Q5" s="16"/>
      <c r="R5" s="17"/>
      <c r="S5" s="15">
        <v>-403.25</v>
      </c>
      <c r="T5" s="17"/>
      <c r="U5" s="15">
        <v>10.7</v>
      </c>
      <c r="V5" s="17"/>
      <c r="W5" s="15">
        <v>0</v>
      </c>
      <c r="X5" s="24"/>
      <c r="Y5" s="15">
        <v>505</v>
      </c>
      <c r="Z5" s="24"/>
    </row>
    <row r="6" ht="20.05" customHeight="1">
      <c r="B6" s="13"/>
      <c r="C6" s="14">
        <v>847</v>
      </c>
      <c r="D6" s="15">
        <v>160</v>
      </c>
      <c r="E6" s="15">
        <v>21</v>
      </c>
      <c r="F6" s="15">
        <v>0</v>
      </c>
      <c r="G6" s="15">
        <v>0</v>
      </c>
      <c r="H6" s="15">
        <v>0</v>
      </c>
      <c r="I6" s="15">
        <v>919.1</v>
      </c>
      <c r="J6" s="15">
        <v>-417</v>
      </c>
      <c r="K6" s="15">
        <v>-1023</v>
      </c>
      <c r="L6" s="15">
        <v>0</v>
      </c>
      <c r="M6" s="15">
        <v>0</v>
      </c>
      <c r="N6" s="15">
        <v>616.75</v>
      </c>
      <c r="O6" s="17"/>
      <c r="P6" s="16">
        <v>0.0469715698393078</v>
      </c>
      <c r="Q6" s="16"/>
      <c r="R6" s="17"/>
      <c r="S6" s="15">
        <v>-763.25</v>
      </c>
      <c r="T6" s="17"/>
      <c r="U6" s="15">
        <v>10.7</v>
      </c>
      <c r="V6" s="17"/>
      <c r="W6" s="15">
        <v>0</v>
      </c>
      <c r="X6" s="24"/>
      <c r="Y6" s="15">
        <v>404</v>
      </c>
      <c r="Z6" s="24"/>
    </row>
    <row r="7" ht="20.05" customHeight="1">
      <c r="B7" s="13"/>
      <c r="C7" s="14">
        <v>908</v>
      </c>
      <c r="D7" s="15">
        <v>335</v>
      </c>
      <c r="E7" s="15">
        <v>17</v>
      </c>
      <c r="F7" s="15">
        <v>26216</v>
      </c>
      <c r="G7" s="15">
        <v>11880</v>
      </c>
      <c r="H7" s="15">
        <v>43124</v>
      </c>
      <c r="I7" s="15">
        <v>941.9</v>
      </c>
      <c r="J7" s="15">
        <v>3760</v>
      </c>
      <c r="K7" s="15">
        <v>-2098</v>
      </c>
      <c r="L7" s="15">
        <v>0</v>
      </c>
      <c r="M7" s="15">
        <v>0</v>
      </c>
      <c r="N7" s="15">
        <v>843.75</v>
      </c>
      <c r="O7" s="17"/>
      <c r="P7" s="16">
        <v>0.0720188902007084</v>
      </c>
      <c r="Q7" s="16">
        <v>-0.725037037037037</v>
      </c>
      <c r="R7" s="17"/>
      <c r="S7" s="15">
        <v>-347.75</v>
      </c>
      <c r="T7" s="17"/>
      <c r="U7" s="15">
        <v>10.7</v>
      </c>
      <c r="V7" s="17"/>
      <c r="W7" s="15">
        <v>14336</v>
      </c>
      <c r="X7" s="24"/>
      <c r="Y7" s="15">
        <v>330</v>
      </c>
      <c r="Z7" s="24"/>
    </row>
    <row r="8" ht="20.05" customHeight="1">
      <c r="B8" s="21">
        <v>2020</v>
      </c>
      <c r="C8" s="14">
        <v>4241</v>
      </c>
      <c r="D8" s="15">
        <v>1138.75</v>
      </c>
      <c r="E8" s="15">
        <v>657</v>
      </c>
      <c r="F8" s="15">
        <v>26151</v>
      </c>
      <c r="G8" s="15">
        <v>13117</v>
      </c>
      <c r="H8" s="15">
        <v>42229</v>
      </c>
      <c r="I8" s="15">
        <v>4944</v>
      </c>
      <c r="J8" s="15">
        <v>1768</v>
      </c>
      <c r="K8" s="15">
        <v>-2185</v>
      </c>
      <c r="L8" s="15">
        <v>0</v>
      </c>
      <c r="M8" s="15">
        <v>352</v>
      </c>
      <c r="N8" s="15">
        <v>1701.25</v>
      </c>
      <c r="O8" s="15"/>
      <c r="P8" s="16">
        <v>3.67070484581498</v>
      </c>
      <c r="Q8" s="16">
        <v>-0.629279941219691</v>
      </c>
      <c r="R8" s="17"/>
      <c r="S8" s="15">
        <v>-415.25</v>
      </c>
      <c r="T8" s="17"/>
      <c r="U8" s="15">
        <v>-341.3</v>
      </c>
      <c r="V8" s="17"/>
      <c r="W8" s="15">
        <v>13034</v>
      </c>
      <c r="X8" s="24"/>
      <c r="Y8" s="15">
        <v>196</v>
      </c>
      <c r="Z8" s="24"/>
    </row>
    <row r="9" ht="20.05" customHeight="1">
      <c r="B9" s="13"/>
      <c r="C9" s="14">
        <v>3815</v>
      </c>
      <c r="D9" s="15">
        <v>981.75</v>
      </c>
      <c r="E9" s="15">
        <v>446</v>
      </c>
      <c r="F9" s="15">
        <v>23847</v>
      </c>
      <c r="G9" s="15">
        <v>15770</v>
      </c>
      <c r="H9" s="15">
        <v>49580</v>
      </c>
      <c r="I9" s="15">
        <v>4311</v>
      </c>
      <c r="J9" s="15">
        <v>-3372</v>
      </c>
      <c r="K9" s="15">
        <v>-147</v>
      </c>
      <c r="L9" s="15">
        <v>0</v>
      </c>
      <c r="M9" s="15">
        <v>1215</v>
      </c>
      <c r="N9" s="15">
        <v>2452.75</v>
      </c>
      <c r="O9" s="15"/>
      <c r="P9" s="16">
        <v>-0.10044800754539</v>
      </c>
      <c r="Q9" s="16">
        <v>-0.617113444093365</v>
      </c>
      <c r="R9" s="17"/>
      <c r="S9" s="15">
        <v>-928.5</v>
      </c>
      <c r="T9" s="17"/>
      <c r="U9" s="15">
        <v>-1556.3</v>
      </c>
      <c r="V9" s="17"/>
      <c r="W9" s="15">
        <v>8077</v>
      </c>
      <c r="X9" s="24"/>
      <c r="Y9" s="15">
        <v>308</v>
      </c>
      <c r="Z9" s="24"/>
    </row>
    <row r="10" ht="20.05" customHeight="1">
      <c r="B10" s="13"/>
      <c r="C10" s="14">
        <v>4383</v>
      </c>
      <c r="D10" s="15">
        <v>1091.75</v>
      </c>
      <c r="E10" s="15">
        <v>545</v>
      </c>
      <c r="F10" s="15">
        <v>34586</v>
      </c>
      <c r="G10" s="15">
        <v>16721</v>
      </c>
      <c r="H10" s="15">
        <v>56097</v>
      </c>
      <c r="I10" s="15">
        <v>4919</v>
      </c>
      <c r="J10" s="15">
        <v>10870</v>
      </c>
      <c r="K10" s="15">
        <v>1594</v>
      </c>
      <c r="L10" s="15">
        <v>0</v>
      </c>
      <c r="M10" s="15">
        <v>-1726</v>
      </c>
      <c r="N10" s="15">
        <v>3336.75</v>
      </c>
      <c r="O10" s="15"/>
      <c r="P10" s="16">
        <v>0.148885976408912</v>
      </c>
      <c r="Q10" s="16">
        <v>-0.6094815314302841</v>
      </c>
      <c r="R10" s="17"/>
      <c r="S10" s="15">
        <v>2547.5</v>
      </c>
      <c r="T10" s="17"/>
      <c r="U10" s="15">
        <v>169.7</v>
      </c>
      <c r="V10" s="17"/>
      <c r="W10" s="15">
        <v>17865</v>
      </c>
      <c r="X10" s="24"/>
      <c r="Y10" s="15">
        <v>750</v>
      </c>
      <c r="Z10" s="24"/>
    </row>
    <row r="11" ht="20.05" customHeight="1">
      <c r="B11" s="13"/>
      <c r="C11" s="14">
        <v>4491</v>
      </c>
      <c r="D11" s="15">
        <v>971.75</v>
      </c>
      <c r="E11" s="15">
        <v>540</v>
      </c>
      <c r="F11" s="15">
        <v>26514</v>
      </c>
      <c r="G11" s="15">
        <v>65430</v>
      </c>
      <c r="H11" s="15">
        <v>239631</v>
      </c>
      <c r="I11" s="15">
        <v>5761</v>
      </c>
      <c r="J11" s="15">
        <v>2680</v>
      </c>
      <c r="K11" s="15">
        <v>-11010</v>
      </c>
      <c r="L11" s="15">
        <v>0</v>
      </c>
      <c r="M11" s="15">
        <v>260</v>
      </c>
      <c r="N11" s="15">
        <v>4232.5</v>
      </c>
      <c r="O11" s="15"/>
      <c r="P11" s="16">
        <v>0.0246406570841889</v>
      </c>
      <c r="Q11" s="16">
        <v>-0.623626698168931</v>
      </c>
      <c r="R11" s="17"/>
      <c r="S11" s="15">
        <v>49.5</v>
      </c>
      <c r="T11" s="17"/>
      <c r="U11" s="15">
        <v>-90.3</v>
      </c>
      <c r="V11" s="17"/>
      <c r="W11" s="15">
        <v>-38916</v>
      </c>
      <c r="X11" s="24"/>
      <c r="Y11" s="15">
        <v>2250</v>
      </c>
      <c r="Z11" s="24"/>
    </row>
    <row r="12" ht="20.05" customHeight="1">
      <c r="B12" s="21">
        <v>2021</v>
      </c>
      <c r="C12" s="14">
        <v>4426.5</v>
      </c>
      <c r="D12" s="15">
        <v>1057.65</v>
      </c>
      <c r="E12" s="15">
        <v>741.6</v>
      </c>
      <c r="F12" s="15">
        <v>20424</v>
      </c>
      <c r="G12" s="15">
        <v>58809</v>
      </c>
      <c r="H12" s="15">
        <v>234427</v>
      </c>
      <c r="I12" s="15">
        <v>5182</v>
      </c>
      <c r="J12" s="15">
        <v>-1160.6</v>
      </c>
      <c r="K12" s="15">
        <v>2274.8</v>
      </c>
      <c r="L12" s="15">
        <v>0</v>
      </c>
      <c r="M12" s="15">
        <v>0</v>
      </c>
      <c r="N12" s="15">
        <v>4278.875</v>
      </c>
      <c r="O12" s="15"/>
      <c r="P12" s="16">
        <v>-0.0143620574482298</v>
      </c>
      <c r="Q12" s="16">
        <v>-0.627501387631095</v>
      </c>
      <c r="R12" s="17"/>
      <c r="S12" s="15">
        <v>432.3</v>
      </c>
      <c r="T12" s="17"/>
      <c r="U12" s="15">
        <v>-90.3</v>
      </c>
      <c r="V12" s="17"/>
      <c r="W12" s="15">
        <v>-38385</v>
      </c>
      <c r="X12" s="15"/>
      <c r="Y12" s="15">
        <v>2290</v>
      </c>
      <c r="Z12" s="15"/>
    </row>
    <row r="13" ht="20.05" customHeight="1">
      <c r="B13" s="13"/>
      <c r="C13" s="14">
        <v>4515.5</v>
      </c>
      <c r="D13" s="15">
        <v>1176.85</v>
      </c>
      <c r="E13" s="15">
        <v>766.7</v>
      </c>
      <c r="F13" s="15">
        <v>20347</v>
      </c>
      <c r="G13" s="15">
        <v>57587</v>
      </c>
      <c r="H13" s="15">
        <v>247300</v>
      </c>
      <c r="I13" s="15">
        <v>5151</v>
      </c>
      <c r="J13" s="15">
        <v>6066.6</v>
      </c>
      <c r="K13" s="15">
        <v>-11495.3</v>
      </c>
      <c r="L13" s="15">
        <v>0</v>
      </c>
      <c r="M13" s="15">
        <v>52</v>
      </c>
      <c r="N13" s="15">
        <v>4454</v>
      </c>
      <c r="O13" s="15"/>
      <c r="P13" s="16">
        <v>0.0201061786964871</v>
      </c>
      <c r="Q13" s="16">
        <v>-0.613196003592277</v>
      </c>
      <c r="R13" s="17"/>
      <c r="S13" s="15">
        <v>-45.125</v>
      </c>
      <c r="T13" s="17"/>
      <c r="U13" s="15">
        <v>-142.3</v>
      </c>
      <c r="V13" s="17"/>
      <c r="W13" s="15">
        <v>-37240</v>
      </c>
      <c r="X13" s="15"/>
      <c r="Y13" s="15">
        <v>2300</v>
      </c>
      <c r="Z13" s="15"/>
    </row>
    <row r="14" ht="20.05" customHeight="1">
      <c r="B14" s="13"/>
      <c r="C14" s="14">
        <v>4352</v>
      </c>
      <c r="D14" s="15">
        <v>883.75</v>
      </c>
      <c r="E14" s="15">
        <v>748.7</v>
      </c>
      <c r="F14" s="15">
        <v>22263</v>
      </c>
      <c r="G14" s="15">
        <v>57071</v>
      </c>
      <c r="H14" s="15">
        <v>251052</v>
      </c>
      <c r="I14" s="15">
        <v>4831</v>
      </c>
      <c r="J14" s="15">
        <v>5151</v>
      </c>
      <c r="K14" s="15">
        <v>-4484.5</v>
      </c>
      <c r="L14" s="15">
        <v>0</v>
      </c>
      <c r="M14" s="15">
        <v>-655</v>
      </c>
      <c r="N14" s="15">
        <v>4446.25</v>
      </c>
      <c r="O14" s="23"/>
      <c r="P14" s="16">
        <v>-0.0362086147713432</v>
      </c>
      <c r="Q14" s="16">
        <v>-0.6127635648017991</v>
      </c>
      <c r="R14" s="17"/>
      <c r="S14" s="15">
        <v>-2994.5</v>
      </c>
      <c r="T14" s="17"/>
      <c r="U14" s="15">
        <v>512.7</v>
      </c>
      <c r="V14" s="17"/>
      <c r="W14" s="15">
        <v>-34808</v>
      </c>
      <c r="X14" s="15"/>
      <c r="Y14" s="15">
        <v>2040</v>
      </c>
      <c r="Z14" s="15"/>
    </row>
    <row r="15" ht="20.05" customHeight="1">
      <c r="B15" s="13"/>
      <c r="C15" s="14">
        <v>4514</v>
      </c>
      <c r="D15" s="15">
        <v>905.75</v>
      </c>
      <c r="E15" s="15">
        <v>771</v>
      </c>
      <c r="F15" s="15">
        <v>26542</v>
      </c>
      <c r="G15" s="15">
        <v>61887</v>
      </c>
      <c r="H15" s="15">
        <v>265289</v>
      </c>
      <c r="I15" s="15">
        <v>5881</v>
      </c>
      <c r="J15" s="15">
        <v>8490</v>
      </c>
      <c r="K15" s="15">
        <v>-4866</v>
      </c>
      <c r="L15" s="15">
        <v>0</v>
      </c>
      <c r="M15" s="15">
        <v>655</v>
      </c>
      <c r="N15" s="15">
        <v>4452</v>
      </c>
      <c r="O15" s="23"/>
      <c r="P15" s="16">
        <v>0.0372242647058824</v>
      </c>
      <c r="Q15" s="16">
        <v>-0.603998203054807</v>
      </c>
      <c r="R15" s="17"/>
      <c r="S15" s="15">
        <v>-6</v>
      </c>
      <c r="T15" s="17"/>
      <c r="U15" s="15">
        <v>-142.3</v>
      </c>
      <c r="V15" s="17"/>
      <c r="W15" s="15">
        <v>-35345</v>
      </c>
      <c r="X15" s="15"/>
      <c r="Y15" s="15">
        <v>1780</v>
      </c>
      <c r="Z15" s="15"/>
    </row>
    <row r="16" ht="20.05" customHeight="1">
      <c r="B16" s="21">
        <v>2022</v>
      </c>
      <c r="C16" s="14">
        <v>4580</v>
      </c>
      <c r="D16" s="15">
        <v>1128.8</v>
      </c>
      <c r="E16" s="15">
        <v>988</v>
      </c>
      <c r="F16" s="15">
        <v>24122</v>
      </c>
      <c r="G16" s="15">
        <v>62752</v>
      </c>
      <c r="H16" s="15">
        <v>271294</v>
      </c>
      <c r="I16" s="15">
        <v>5242</v>
      </c>
      <c r="J16" s="15">
        <v>-281.1</v>
      </c>
      <c r="K16" s="15">
        <v>-2139.3</v>
      </c>
      <c r="L16" s="15">
        <v>0</v>
      </c>
      <c r="M16" s="15">
        <v>0</v>
      </c>
      <c r="N16" s="15">
        <v>4490.375</v>
      </c>
      <c r="O16" s="23"/>
      <c r="P16" s="16">
        <v>0.0146211785556048</v>
      </c>
      <c r="Q16" s="16">
        <v>-0.58970297580937</v>
      </c>
      <c r="R16" s="35">
        <v>-0.615070391767778</v>
      </c>
      <c r="S16" s="15">
        <v>-889.65</v>
      </c>
      <c r="T16" s="15">
        <v>-104.951522212780</v>
      </c>
      <c r="U16" s="15">
        <v>-142.3</v>
      </c>
      <c r="V16" s="15"/>
      <c r="W16" s="15">
        <v>-38630</v>
      </c>
      <c r="X16" s="15"/>
      <c r="Y16" s="15">
        <v>1605</v>
      </c>
      <c r="Z16" s="15"/>
    </row>
    <row r="17" ht="20.05" customHeight="1">
      <c r="B17" s="13"/>
      <c r="C17" s="14">
        <v>4796.2</v>
      </c>
      <c r="D17" s="15">
        <v>1246.4</v>
      </c>
      <c r="E17" s="15">
        <v>1143.3</v>
      </c>
      <c r="F17" s="15">
        <v>21716</v>
      </c>
      <c r="G17" s="15">
        <v>65428</v>
      </c>
      <c r="H17" s="15">
        <v>277343</v>
      </c>
      <c r="I17" s="15">
        <v>5727.9</v>
      </c>
      <c r="J17" s="15">
        <v>-6349.2</v>
      </c>
      <c r="K17" s="15">
        <v>4700</v>
      </c>
      <c r="L17" s="15">
        <v>0</v>
      </c>
      <c r="M17" s="15">
        <v>-757</v>
      </c>
      <c r="N17" s="15">
        <v>4560.55</v>
      </c>
      <c r="O17" s="23">
        <v>4570.23</v>
      </c>
      <c r="P17" s="16">
        <v>0.0472052401746725</v>
      </c>
      <c r="Q17" s="16">
        <v>-0.57155935139402</v>
      </c>
      <c r="R17" s="35">
        <v>-0.590210067570939</v>
      </c>
      <c r="S17" s="15">
        <v>55.225</v>
      </c>
      <c r="T17" s="15">
        <v>-104.951522212780</v>
      </c>
      <c r="U17" s="15">
        <v>614.7</v>
      </c>
      <c r="V17" s="15"/>
      <c r="W17" s="15">
        <v>-43712</v>
      </c>
      <c r="X17" s="15"/>
      <c r="Y17" s="15">
        <v>1340</v>
      </c>
      <c r="Z17" s="15"/>
    </row>
    <row r="18" ht="20.05" customHeight="1">
      <c r="B18" s="13"/>
      <c r="C18" s="14">
        <v>4908.5</v>
      </c>
      <c r="D18" s="15">
        <v>1274.7</v>
      </c>
      <c r="E18" s="15">
        <v>1073.9</v>
      </c>
      <c r="F18" s="15">
        <v>23206</v>
      </c>
      <c r="G18" s="15">
        <v>67494</v>
      </c>
      <c r="H18" s="15">
        <v>280002</v>
      </c>
      <c r="I18" s="15">
        <v>6022.3</v>
      </c>
      <c r="J18" s="15">
        <v>-4722.5</v>
      </c>
      <c r="K18" s="15">
        <v>5451.4</v>
      </c>
      <c r="L18" s="15">
        <v>0</v>
      </c>
      <c r="M18" s="15">
        <v>0</v>
      </c>
      <c r="N18" s="15">
        <v>4699.675</v>
      </c>
      <c r="O18" s="23">
        <v>4597.591333333330</v>
      </c>
      <c r="P18" s="16">
        <v>0.0234143697093532</v>
      </c>
      <c r="Q18" s="16">
        <v>-0.546146808023959</v>
      </c>
      <c r="R18" s="35">
        <v>-0.537816593886463</v>
      </c>
      <c r="S18" s="15">
        <v>70.825</v>
      </c>
      <c r="T18" s="15">
        <v>540.1869319116601</v>
      </c>
      <c r="U18" s="15">
        <v>614.7</v>
      </c>
      <c r="V18" s="15">
        <v>614.7</v>
      </c>
      <c r="W18" s="15">
        <v>-44288</v>
      </c>
      <c r="X18" s="15">
        <v>-44288</v>
      </c>
      <c r="Y18" s="15">
        <v>1470</v>
      </c>
      <c r="Z18" s="15">
        <v>1260.851643569590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23">
        <v>4969.7286044575</v>
      </c>
      <c r="P19" s="17"/>
      <c r="Q19" s="17"/>
      <c r="R19" s="35">
        <v>-0.546146808023959</v>
      </c>
      <c r="S19" s="17"/>
      <c r="T19" s="15">
        <v>689.000523721003</v>
      </c>
      <c r="U19" s="17"/>
      <c r="V19" s="15">
        <v>641.693550629969</v>
      </c>
      <c r="W19" s="17"/>
      <c r="X19" s="15">
        <v>-41531.9979051159</v>
      </c>
      <c r="Y19" s="15">
        <v>1355</v>
      </c>
      <c r="Z19" s="15">
        <v>1355</v>
      </c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v>9260.225</v>
      </c>
      <c r="O20" s="23">
        <v>9167.821333333330</v>
      </c>
      <c r="P20" s="17"/>
      <c r="Q20" s="17"/>
      <c r="R20" s="17"/>
      <c r="S20" s="17"/>
      <c r="T20" s="17"/>
      <c r="U20" s="17"/>
      <c r="V20" s="17"/>
      <c r="W20" s="17"/>
      <c r="X20" s="15"/>
      <c r="Y20" s="15"/>
      <c r="Z20" s="15">
        <v>670.0824446786251</v>
      </c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5"/>
      <c r="Y21" s="15"/>
      <c r="Z21" s="15"/>
    </row>
    <row r="22" ht="20.05" customHeight="1">
      <c r="B22" s="13"/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5"/>
      <c r="Y22" s="15"/>
      <c r="Z22" s="15"/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5"/>
      <c r="Y23" s="15"/>
      <c r="Z23" s="15"/>
    </row>
    <row r="24" ht="20.05" customHeight="1">
      <c r="B24" s="13"/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/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</sheetData>
  <mergeCells count="1">
    <mergeCell ref="B2:Z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W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39" customWidth="1"/>
    <col min="2" max="29" width="10.4844" style="139" customWidth="1"/>
    <col min="30" max="30" width="18.9766" style="141" customWidth="1"/>
    <col min="31" max="49" width="9" style="141" customWidth="1"/>
    <col min="50" max="16384" width="16.3516" style="141" customWidth="1"/>
  </cols>
  <sheetData>
    <row r="1" ht="11.65" customHeight="1"/>
    <row r="2" ht="27.65" customHeight="1">
      <c r="B2" t="s" s="2">
        <v>510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16</v>
      </c>
      <c r="W3" t="s" s="3">
        <v>17</v>
      </c>
      <c r="X3" t="s" s="3">
        <f>AA$3</f>
        <v>511</v>
      </c>
      <c r="Y3" t="s" s="3">
        <v>18</v>
      </c>
      <c r="Z3" t="s" s="3">
        <v>12</v>
      </c>
      <c r="AA3" t="s" s="3">
        <v>325</v>
      </c>
      <c r="AB3" t="s" s="3">
        <v>19</v>
      </c>
      <c r="AC3" t="s" s="3">
        <v>20</v>
      </c>
    </row>
    <row r="4" ht="20.25" customHeight="1">
      <c r="B4" s="6">
        <v>2017</v>
      </c>
      <c r="C4" s="7">
        <v>66.5</v>
      </c>
      <c r="D4" s="8">
        <v>2.66</v>
      </c>
      <c r="E4" s="8">
        <v>0.266</v>
      </c>
      <c r="F4" s="8">
        <v>106.4</v>
      </c>
      <c r="G4" s="8">
        <v>6064.8</v>
      </c>
      <c r="H4" s="8">
        <v>14457.1</v>
      </c>
      <c r="I4" s="8">
        <v>199.5</v>
      </c>
      <c r="J4" s="8">
        <v>125.02</v>
      </c>
      <c r="K4" s="8">
        <v>-54.53</v>
      </c>
      <c r="L4" s="8">
        <v>-0.29925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J4+K4</f>
        <v>70.48999999999999</v>
      </c>
      <c r="W4" s="8">
        <f>-(L4+M4)</f>
        <v>0.29925</v>
      </c>
      <c r="X4" s="8">
        <v>22260.089044992</v>
      </c>
      <c r="Y4" s="8">
        <f>F4-G4</f>
        <v>-5958.4</v>
      </c>
      <c r="Z4" s="9"/>
      <c r="AA4" s="10"/>
      <c r="AB4" s="11"/>
      <c r="AC4" s="12">
        <v>13.3</v>
      </c>
    </row>
    <row r="5" ht="20.05" customHeight="1">
      <c r="B5" s="13"/>
      <c r="C5" s="14">
        <v>0</v>
      </c>
      <c r="D5" s="15">
        <v>1.3327</v>
      </c>
      <c r="E5" s="15">
        <v>1.3327</v>
      </c>
      <c r="F5" s="15">
        <v>0</v>
      </c>
      <c r="G5" s="15">
        <v>0</v>
      </c>
      <c r="H5" s="15">
        <v>0</v>
      </c>
      <c r="I5" s="15">
        <v>-133.27</v>
      </c>
      <c r="J5" s="15">
        <v>-157.2586</v>
      </c>
      <c r="K5" s="15">
        <v>161.2567</v>
      </c>
      <c r="L5" s="15">
        <v>-0.2998575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J5+K5+V4</f>
        <v>74.4881</v>
      </c>
      <c r="W5" s="15">
        <f>-(L5+M5)+W4</f>
        <v>0.5991075</v>
      </c>
      <c r="X5" s="15">
        <f>X4</f>
        <v>22260.089044992</v>
      </c>
      <c r="Y5" s="15">
        <f>F5-G5</f>
        <v>0</v>
      </c>
      <c r="Z5" s="17"/>
      <c r="AA5" s="18"/>
      <c r="AB5" s="19"/>
      <c r="AC5" s="20">
        <v>13.327</v>
      </c>
    </row>
    <row r="6" ht="20.05" customHeight="1">
      <c r="B6" s="13"/>
      <c r="C6" s="14">
        <v>0</v>
      </c>
      <c r="D6" s="15">
        <v>2.661</v>
      </c>
      <c r="E6" s="15">
        <v>2.3949</v>
      </c>
      <c r="F6" s="15">
        <v>79.83</v>
      </c>
      <c r="G6" s="15">
        <v>3219.81</v>
      </c>
      <c r="H6" s="15">
        <v>13331.61</v>
      </c>
      <c r="I6" s="15">
        <v>0</v>
      </c>
      <c r="J6" s="15">
        <v>-54.5505</v>
      </c>
      <c r="K6" s="15">
        <v>29.271</v>
      </c>
      <c r="L6" s="15">
        <v>-0.2993625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J6+K6+V5</f>
        <v>49.2086</v>
      </c>
      <c r="W6" s="15">
        <f>-(L6+M6)+W5</f>
        <v>0.89847</v>
      </c>
      <c r="X6" s="15">
        <f>X5</f>
        <v>22260.089044992</v>
      </c>
      <c r="Y6" s="15">
        <f>F6-G6</f>
        <v>-3139.98</v>
      </c>
      <c r="Z6" s="17"/>
      <c r="AA6" s="18"/>
      <c r="AB6" s="19"/>
      <c r="AC6" s="20">
        <v>13.305</v>
      </c>
    </row>
    <row r="7" ht="20.05" customHeight="1">
      <c r="B7" s="13"/>
      <c r="C7" s="14">
        <v>0</v>
      </c>
      <c r="D7" s="15">
        <v>13.557</v>
      </c>
      <c r="E7" s="15">
        <v>0</v>
      </c>
      <c r="F7" s="15">
        <v>67.785</v>
      </c>
      <c r="G7" s="15">
        <v>4094.214</v>
      </c>
      <c r="H7" s="15">
        <v>11753.919</v>
      </c>
      <c r="I7" s="15">
        <v>0</v>
      </c>
      <c r="J7" s="15">
        <v>-405.3543</v>
      </c>
      <c r="K7" s="15">
        <v>391.7973</v>
      </c>
      <c r="L7" s="15">
        <v>-0.3050325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J7+K7+V6</f>
        <v>35.6516</v>
      </c>
      <c r="W7" s="15">
        <f>-(L7+M7)+W6</f>
        <v>1.2035025</v>
      </c>
      <c r="X7" s="15">
        <f>X6</f>
        <v>22260.089044992</v>
      </c>
      <c r="Y7" s="15">
        <f>F7-G7</f>
        <v>-4026.429</v>
      </c>
      <c r="Z7" s="17"/>
      <c r="AA7" s="18"/>
      <c r="AB7" s="19"/>
      <c r="AC7" s="20">
        <v>13.557</v>
      </c>
    </row>
    <row r="8" ht="20.05" customHeight="1">
      <c r="B8" s="21">
        <v>2018</v>
      </c>
      <c r="C8" s="14">
        <v>11.0088</v>
      </c>
      <c r="D8" s="15">
        <v>2.7522</v>
      </c>
      <c r="E8" s="15">
        <v>-0.13761</v>
      </c>
      <c r="F8" s="15">
        <v>41.283</v>
      </c>
      <c r="G8" s="15">
        <v>4224.627</v>
      </c>
      <c r="H8" s="15">
        <v>11917.026</v>
      </c>
      <c r="I8" s="15">
        <v>4.1283</v>
      </c>
      <c r="J8" s="15">
        <v>-12.3849</v>
      </c>
      <c r="K8" s="15">
        <v>-11.0088</v>
      </c>
      <c r="L8" s="15">
        <v>-368.450775</v>
      </c>
      <c r="M8" s="15">
        <v>0</v>
      </c>
      <c r="N8" s="15">
        <f>SUM(C5:C8)/4</f>
        <v>2.7522</v>
      </c>
      <c r="O8" s="15"/>
      <c r="P8" s="16"/>
      <c r="Q8" s="16"/>
      <c r="R8" s="16"/>
      <c r="S8" s="17"/>
      <c r="T8" s="15">
        <f>SUM(J5:K8)/4</f>
        <v>-14.558025</v>
      </c>
      <c r="U8" s="25"/>
      <c r="V8" s="15">
        <f>J8+K8+V7</f>
        <v>12.2579</v>
      </c>
      <c r="W8" s="15">
        <f>-(L8+M8)+W7</f>
        <v>369.6542775</v>
      </c>
      <c r="X8" s="15">
        <f>X7</f>
        <v>22260.089044992</v>
      </c>
      <c r="Y8" s="15">
        <f>F8-G8</f>
        <v>-4183.344</v>
      </c>
      <c r="Z8" s="24"/>
      <c r="AA8" s="18">
        <v>79</v>
      </c>
      <c r="AB8" s="22"/>
      <c r="AC8" s="20">
        <v>13.761</v>
      </c>
    </row>
    <row r="9" ht="20.05" customHeight="1">
      <c r="B9" s="13"/>
      <c r="C9" s="14">
        <v>0</v>
      </c>
      <c r="D9" s="15">
        <v>2.8</v>
      </c>
      <c r="E9" s="15">
        <v>-2.66</v>
      </c>
      <c r="F9" s="15">
        <v>14</v>
      </c>
      <c r="G9" s="15">
        <v>4354</v>
      </c>
      <c r="H9" s="15">
        <v>12110</v>
      </c>
      <c r="I9" s="15">
        <v>0</v>
      </c>
      <c r="J9" s="15">
        <v>-21</v>
      </c>
      <c r="K9" s="15">
        <v>-14</v>
      </c>
      <c r="L9" s="15">
        <v>-0.525</v>
      </c>
      <c r="M9" s="15">
        <v>0</v>
      </c>
      <c r="N9" s="15">
        <f>SUM(C6:C9)/4</f>
        <v>2.7522</v>
      </c>
      <c r="O9" s="15"/>
      <c r="P9" s="16"/>
      <c r="Q9" s="16"/>
      <c r="R9" s="16"/>
      <c r="S9" s="17"/>
      <c r="T9" s="15">
        <f>SUM(J6:K9)/4</f>
        <v>-24.30755</v>
      </c>
      <c r="U9" s="25"/>
      <c r="V9" s="15">
        <f>J9+K9+V8</f>
        <v>-22.7421</v>
      </c>
      <c r="W9" s="15">
        <f>-(L9+M9)+W8</f>
        <v>370.1792775</v>
      </c>
      <c r="X9" s="15">
        <f>X8</f>
        <v>22260.089044992</v>
      </c>
      <c r="Y9" s="15">
        <f>F13-G9</f>
        <v>-4283.365</v>
      </c>
      <c r="Z9" s="24"/>
      <c r="AA9" s="18">
        <v>61</v>
      </c>
      <c r="AB9" s="22"/>
      <c r="AC9" s="20">
        <v>14</v>
      </c>
    </row>
    <row r="10" ht="20.05" customHeight="1">
      <c r="B10" s="13"/>
      <c r="C10" s="14">
        <v>5.9608</v>
      </c>
      <c r="D10" s="15">
        <v>0</v>
      </c>
      <c r="E10" s="15">
        <v>-1.4902</v>
      </c>
      <c r="F10" s="15">
        <v>402.354</v>
      </c>
      <c r="G10" s="15">
        <v>2652.556</v>
      </c>
      <c r="H10" s="15">
        <v>10505.91</v>
      </c>
      <c r="I10" s="15">
        <v>13.4118</v>
      </c>
      <c r="J10" s="15">
        <v>1.4902</v>
      </c>
      <c r="K10" s="15">
        <v>1980.4758</v>
      </c>
      <c r="L10" s="15">
        <v>0</v>
      </c>
      <c r="M10" s="15">
        <v>0</v>
      </c>
      <c r="N10" s="15">
        <f>SUM(C7:C10)/4</f>
        <v>4.2424</v>
      </c>
      <c r="O10" s="15"/>
      <c r="P10" s="16"/>
      <c r="Q10" s="16"/>
      <c r="R10" s="16"/>
      <c r="S10" s="17"/>
      <c r="T10" s="15">
        <f>SUM(J7:K10)/4</f>
        <v>477.503825</v>
      </c>
      <c r="U10" s="25"/>
      <c r="V10" s="15">
        <f>J10+K10+V9</f>
        <v>1959.2239</v>
      </c>
      <c r="W10" s="15">
        <f>-(L10+M10)+W9</f>
        <v>370.1792775</v>
      </c>
      <c r="X10" s="15">
        <f>X9</f>
        <v>22260.089044992</v>
      </c>
      <c r="Y10" s="15">
        <f>F10-G10</f>
        <v>-2250.202</v>
      </c>
      <c r="Z10" s="24"/>
      <c r="AA10" s="18">
        <v>60</v>
      </c>
      <c r="AB10" s="22"/>
      <c r="AC10" s="20">
        <v>14.902</v>
      </c>
    </row>
    <row r="11" ht="20.05" customHeight="1">
      <c r="B11" s="13"/>
      <c r="C11" s="14">
        <v>0</v>
      </c>
      <c r="D11" s="15">
        <v>4.314</v>
      </c>
      <c r="E11" s="15">
        <v>0</v>
      </c>
      <c r="F11" s="15">
        <v>115.04</v>
      </c>
      <c r="G11" s="15">
        <v>2473.36</v>
      </c>
      <c r="H11" s="15">
        <v>9936.58</v>
      </c>
      <c r="I11" s="15">
        <v>0</v>
      </c>
      <c r="J11" s="15">
        <v>-253.088</v>
      </c>
      <c r="K11" s="15">
        <v>-15.818</v>
      </c>
      <c r="L11" s="15">
        <v>-385.0245</v>
      </c>
      <c r="M11" s="15">
        <v>0</v>
      </c>
      <c r="N11" s="15">
        <f>SUM(C8:C11)/4</f>
        <v>4.2424</v>
      </c>
      <c r="O11" s="15"/>
      <c r="P11" s="16"/>
      <c r="Q11" s="16"/>
      <c r="R11" s="16"/>
      <c r="S11" s="17"/>
      <c r="T11" s="15">
        <f>SUM(J8:K11)/4</f>
        <v>413.666575</v>
      </c>
      <c r="U11" s="25"/>
      <c r="V11" s="15">
        <f>J11+K11+V10</f>
        <v>1690.3179</v>
      </c>
      <c r="W11" s="15">
        <f>-(L11+M11)+W10</f>
        <v>755.2037775</v>
      </c>
      <c r="X11" s="15">
        <f>X10</f>
        <v>22260.089044992</v>
      </c>
      <c r="Y11" s="15">
        <f>F11-G11</f>
        <v>-2358.32</v>
      </c>
      <c r="Z11" s="24"/>
      <c r="AA11" s="18">
        <v>47</v>
      </c>
      <c r="AB11" s="22"/>
      <c r="AC11" s="20">
        <v>14.38</v>
      </c>
    </row>
    <row r="12" ht="20.05" customHeight="1">
      <c r="B12" s="21">
        <v>2019</v>
      </c>
      <c r="C12" s="14">
        <v>17.9424</v>
      </c>
      <c r="D12" s="15">
        <v>2.5632</v>
      </c>
      <c r="E12" s="15">
        <v>1.8512</v>
      </c>
      <c r="F12" s="15">
        <v>128.16</v>
      </c>
      <c r="G12" s="15">
        <v>2449.28</v>
      </c>
      <c r="H12" s="15">
        <v>9839.84</v>
      </c>
      <c r="I12" s="15">
        <v>18.512</v>
      </c>
      <c r="J12" s="15">
        <v>4.272</v>
      </c>
      <c r="K12" s="15">
        <v>12.816</v>
      </c>
      <c r="L12" s="15">
        <v>-0.534</v>
      </c>
      <c r="M12" s="15">
        <v>0</v>
      </c>
      <c r="N12" s="15">
        <f>SUM(C9:C12)/4</f>
        <v>5.9758</v>
      </c>
      <c r="O12" s="23"/>
      <c r="P12" s="16"/>
      <c r="Q12" s="16">
        <f>J12/I12</f>
        <v>0.230769230769231</v>
      </c>
      <c r="R12" s="16">
        <f>AVERAGE(Q9:Q12)</f>
        <v>0.230769230769231</v>
      </c>
      <c r="S12" s="17"/>
      <c r="T12" s="15">
        <f>SUM(J9:K12)/4</f>
        <v>423.787</v>
      </c>
      <c r="U12" s="25"/>
      <c r="V12" s="15">
        <f>J12+K12+V11</f>
        <v>1707.4059</v>
      </c>
      <c r="W12" s="15">
        <f>-(L12+M12)+W11</f>
        <v>755.7377775</v>
      </c>
      <c r="X12" s="15">
        <f>X11</f>
        <v>22260.089044992</v>
      </c>
      <c r="Y12" s="15">
        <f>F12-G12</f>
        <v>-2321.12</v>
      </c>
      <c r="Z12" s="24"/>
      <c r="AA12" s="18">
        <v>47</v>
      </c>
      <c r="AB12" s="22"/>
      <c r="AC12" s="20">
        <v>14.24</v>
      </c>
    </row>
    <row r="13" ht="20.05" customHeight="1">
      <c r="B13" s="13"/>
      <c r="C13" s="14">
        <v>24.0159</v>
      </c>
      <c r="D13" s="15">
        <v>2.54286</v>
      </c>
      <c r="E13" s="15">
        <v>0.28254</v>
      </c>
      <c r="F13" s="15">
        <v>70.63500000000001</v>
      </c>
      <c r="G13" s="15">
        <v>2429.844</v>
      </c>
      <c r="H13" s="15">
        <v>9775.884</v>
      </c>
      <c r="I13" s="15">
        <v>24.0159</v>
      </c>
      <c r="J13" s="15">
        <v>0</v>
      </c>
      <c r="K13" s="15">
        <v>-66.3969</v>
      </c>
      <c r="L13" s="15">
        <v>-0.5297625</v>
      </c>
      <c r="M13" s="15">
        <v>0</v>
      </c>
      <c r="N13" s="15">
        <f>SUM(C10:C13)/4</f>
        <v>11.979775</v>
      </c>
      <c r="O13" s="23"/>
      <c r="P13" s="16">
        <f>C13/C12-1</f>
        <v>0.33849986623863</v>
      </c>
      <c r="Q13" s="16">
        <f>J13/I13</f>
        <v>0</v>
      </c>
      <c r="R13" s="16">
        <f>AVERAGE(Q10:Q13)</f>
        <v>0.115384615384616</v>
      </c>
      <c r="S13" s="17"/>
      <c r="T13" s="15">
        <f>SUM(J10:K13)/4</f>
        <v>415.937775</v>
      </c>
      <c r="U13" s="25"/>
      <c r="V13" s="15">
        <f>J13+K13+V12</f>
        <v>1641.009</v>
      </c>
      <c r="W13" s="15">
        <f>-(L13+M13)+W12</f>
        <v>756.2675400000001</v>
      </c>
      <c r="X13" s="15">
        <f>X12</f>
        <v>22260.089044992</v>
      </c>
      <c r="Y13" s="15">
        <f>F13-G13</f>
        <v>-2359.209</v>
      </c>
      <c r="Z13" s="24"/>
      <c r="AA13" s="18">
        <v>47</v>
      </c>
      <c r="AB13" s="24"/>
      <c r="AC13" s="15">
        <v>14.127</v>
      </c>
    </row>
    <row r="14" ht="20.05" customHeight="1">
      <c r="B14" s="13"/>
      <c r="C14" s="14">
        <v>7.6653</v>
      </c>
      <c r="D14" s="15">
        <v>0</v>
      </c>
      <c r="E14" s="15">
        <v>-0.70975</v>
      </c>
      <c r="F14" s="15">
        <v>11.87746752</v>
      </c>
      <c r="G14" s="15">
        <v>2458.504146405</v>
      </c>
      <c r="H14" s="15">
        <v>9845.03412004</v>
      </c>
      <c r="I14" s="15">
        <v>7.0975</v>
      </c>
      <c r="J14" s="15">
        <v>0</v>
      </c>
      <c r="K14" s="15">
        <v>-52.5215</v>
      </c>
      <c r="L14" s="15">
        <v>-0.5323125</v>
      </c>
      <c r="M14" s="15">
        <v>0</v>
      </c>
      <c r="N14" s="15">
        <f>SUM(C11:C14)/4</f>
        <v>12.4059</v>
      </c>
      <c r="O14" s="23"/>
      <c r="P14" s="16">
        <f>C14/C13-1</f>
        <v>-0.680823954130389</v>
      </c>
      <c r="Q14" s="16">
        <f>J14/I14</f>
        <v>0</v>
      </c>
      <c r="R14" s="16">
        <f>AVERAGE(Q11:Q14)</f>
        <v>0.076923076923077</v>
      </c>
      <c r="S14" s="17"/>
      <c r="T14" s="15">
        <f>SUM(J11:K14)/4</f>
        <v>-92.6841</v>
      </c>
      <c r="U14" s="25"/>
      <c r="V14" s="15">
        <f>J14+K14+V13</f>
        <v>1588.4875</v>
      </c>
      <c r="W14" s="15">
        <f>-(L14+M14)+W13</f>
        <v>756.7998525</v>
      </c>
      <c r="X14" s="15">
        <f>X13</f>
        <v>22260.089044992</v>
      </c>
      <c r="Y14" s="15">
        <f>F14-G14</f>
        <v>-2446.626678885</v>
      </c>
      <c r="Z14" s="24"/>
      <c r="AA14" s="18">
        <v>47</v>
      </c>
      <c r="AB14" s="24"/>
      <c r="AC14" s="15">
        <v>14.195</v>
      </c>
    </row>
    <row r="15" ht="20.05" customHeight="1">
      <c r="B15" s="13"/>
      <c r="C15" s="14">
        <v>13.882</v>
      </c>
      <c r="D15" s="15">
        <v>5.5528</v>
      </c>
      <c r="E15" s="15">
        <v>-2.7764</v>
      </c>
      <c r="F15" s="15">
        <v>13.882</v>
      </c>
      <c r="G15" s="15">
        <v>2679.226</v>
      </c>
      <c r="H15" s="15">
        <v>8634.603999999999</v>
      </c>
      <c r="I15" s="15">
        <v>13.882</v>
      </c>
      <c r="J15" s="15">
        <v>34.705</v>
      </c>
      <c r="K15" s="15">
        <v>-36.0932</v>
      </c>
      <c r="L15" s="15">
        <v>-0.520575</v>
      </c>
      <c r="M15" s="15">
        <v>0</v>
      </c>
      <c r="N15" s="15">
        <f>SUM(C12:C15)/4</f>
        <v>15.8764</v>
      </c>
      <c r="O15" s="15"/>
      <c r="P15" s="16">
        <f>C15/C14-1</f>
        <v>0.811018485904009</v>
      </c>
      <c r="Q15" s="16">
        <f>J15/I15</f>
        <v>2.5</v>
      </c>
      <c r="R15" s="16">
        <f>AVERAGE(Q12:Q15)</f>
        <v>0.682692307692308</v>
      </c>
      <c r="S15" s="17"/>
      <c r="T15" s="15">
        <f>SUM(J12:K15)/4</f>
        <v>-25.80465</v>
      </c>
      <c r="U15" s="25"/>
      <c r="V15" s="15">
        <f>J15+K15+V14</f>
        <v>1587.0993</v>
      </c>
      <c r="W15" s="15">
        <f>-(L15+M15)+W14</f>
        <v>757.3204275000001</v>
      </c>
      <c r="X15" s="15">
        <f>X14</f>
        <v>22260.089044992</v>
      </c>
      <c r="Y15" s="15">
        <f>F15-G15</f>
        <v>-2665.344</v>
      </c>
      <c r="Z15" s="24"/>
      <c r="AA15" s="18">
        <v>49</v>
      </c>
      <c r="AB15" s="24"/>
      <c r="AC15" s="15">
        <v>13.882</v>
      </c>
    </row>
    <row r="16" ht="20.05" customHeight="1">
      <c r="B16" s="21">
        <v>2020</v>
      </c>
      <c r="C16" s="14">
        <v>16.1469</v>
      </c>
      <c r="D16" s="15">
        <v>14.8421</v>
      </c>
      <c r="E16" s="15">
        <v>-6.8502</v>
      </c>
      <c r="F16" s="15">
        <v>3.69326902</v>
      </c>
      <c r="G16" s="15">
        <v>3157.15400294</v>
      </c>
      <c r="H16" s="15">
        <v>11662.01203307</v>
      </c>
      <c r="I16" s="15">
        <v>11.417</v>
      </c>
      <c r="J16" s="15">
        <v>5.7085</v>
      </c>
      <c r="K16" s="15">
        <v>-12.7218</v>
      </c>
      <c r="L16" s="15">
        <v>0</v>
      </c>
      <c r="M16" s="15">
        <v>0</v>
      </c>
      <c r="N16" s="15">
        <f>SUM(C13:C16)/4</f>
        <v>15.427525</v>
      </c>
      <c r="O16" s="15"/>
      <c r="P16" s="16">
        <f>C16/C15-1</f>
        <v>0.163153724247227</v>
      </c>
      <c r="Q16" s="16">
        <f>J16/I16</f>
        <v>0.5</v>
      </c>
      <c r="R16" s="16">
        <f>AVERAGE(Q13:Q16)</f>
        <v>0.75</v>
      </c>
      <c r="S16" s="17"/>
      <c r="T16" s="15">
        <f>SUM(J13:K16)/4</f>
        <v>-31.829975</v>
      </c>
      <c r="U16" s="25"/>
      <c r="V16" s="15">
        <f>J16+K16+V15</f>
        <v>1580.086</v>
      </c>
      <c r="W16" s="15">
        <f>-(L16+M16)+W15</f>
        <v>757.3204275000001</v>
      </c>
      <c r="X16" s="15">
        <f>X15</f>
        <v>22260.089044992</v>
      </c>
      <c r="Y16" s="15">
        <f>F16-G16</f>
        <v>-3153.46073392</v>
      </c>
      <c r="Z16" s="24"/>
      <c r="AA16" s="18">
        <v>47</v>
      </c>
      <c r="AB16" s="24"/>
      <c r="AC16" s="15">
        <v>16.31</v>
      </c>
    </row>
    <row r="17" ht="20.05" customHeight="1">
      <c r="B17" s="13"/>
      <c r="C17" s="14">
        <v>22.2378</v>
      </c>
      <c r="D17" s="15">
        <v>-6.5573</v>
      </c>
      <c r="E17" s="15">
        <v>4.70415</v>
      </c>
      <c r="F17" s="15">
        <v>28.51</v>
      </c>
      <c r="G17" s="15">
        <v>2066.975</v>
      </c>
      <c r="H17" s="15">
        <v>10263.6</v>
      </c>
      <c r="I17" s="15">
        <v>12.8295</v>
      </c>
      <c r="J17" s="15">
        <v>-26.37175</v>
      </c>
      <c r="K17" s="15">
        <v>-0.2851</v>
      </c>
      <c r="L17" s="15">
        <v>0</v>
      </c>
      <c r="M17" s="15">
        <v>0</v>
      </c>
      <c r="N17" s="15">
        <f>SUM(C14:C17)/4</f>
        <v>14.983</v>
      </c>
      <c r="O17" s="15"/>
      <c r="P17" s="16">
        <f>C17/C16-1</f>
        <v>0.37721791799045</v>
      </c>
      <c r="Q17" s="16">
        <f>J17/I17</f>
        <v>-2.05555555555556</v>
      </c>
      <c r="R17" s="16">
        <f>AVERAGE(Q14:Q17)</f>
        <v>0.23611111111111</v>
      </c>
      <c r="S17" s="17"/>
      <c r="T17" s="25">
        <f>SUM(J14:K17)/4</f>
        <v>-21.8949625</v>
      </c>
      <c r="U17" s="25"/>
      <c r="V17" s="15">
        <f>J17+K17+V16</f>
        <v>1553.42915</v>
      </c>
      <c r="W17" s="15">
        <f>-(L17+M17)+W16</f>
        <v>757.3204275000001</v>
      </c>
      <c r="X17" s="15">
        <f>X16</f>
        <v>22260.089044992</v>
      </c>
      <c r="Y17" s="15">
        <f>F17-G17</f>
        <v>-2038.465</v>
      </c>
      <c r="Z17" s="24"/>
      <c r="AA17" s="18">
        <v>47</v>
      </c>
      <c r="AB17" s="24"/>
      <c r="AC17" s="15">
        <v>14.255</v>
      </c>
    </row>
    <row r="18" ht="20.05" customHeight="1">
      <c r="B18" s="13"/>
      <c r="C18" s="14">
        <v>24.4035</v>
      </c>
      <c r="D18" s="15">
        <v>3.4017</v>
      </c>
      <c r="E18" s="15">
        <v>4.2891</v>
      </c>
      <c r="F18" s="15">
        <v>29.58</v>
      </c>
      <c r="G18" s="15">
        <v>1419.84</v>
      </c>
      <c r="H18" s="15">
        <v>9938.879999999999</v>
      </c>
      <c r="I18" s="15">
        <v>38.454</v>
      </c>
      <c r="J18" s="15">
        <v>51.765</v>
      </c>
      <c r="K18" s="15">
        <v>5.916</v>
      </c>
      <c r="L18" s="15">
        <v>0</v>
      </c>
      <c r="M18" s="15">
        <v>0</v>
      </c>
      <c r="N18" s="15">
        <f>SUM(C15:C18)/4</f>
        <v>19.16755</v>
      </c>
      <c r="O18" s="15"/>
      <c r="P18" s="16">
        <f>C18/C17-1</f>
        <v>0.09738823085017401</v>
      </c>
      <c r="Q18" s="16">
        <f>J18/I18</f>
        <v>1.34615384615385</v>
      </c>
      <c r="R18" s="16">
        <f>AVERAGE(Q15:Q18)</f>
        <v>0.5726495726495729</v>
      </c>
      <c r="S18" s="17"/>
      <c r="T18" s="25">
        <f>SUM(J15:K18)/4</f>
        <v>5.6556625</v>
      </c>
      <c r="U18" s="25"/>
      <c r="V18" s="15">
        <f>J18+K18+V17</f>
        <v>1611.11015</v>
      </c>
      <c r="W18" s="15">
        <f>-(L18+M18)+W17</f>
        <v>757.3204275000001</v>
      </c>
      <c r="X18" s="15">
        <f>X17</f>
        <v>22260.089044992</v>
      </c>
      <c r="Y18" s="15">
        <f>F18-G18</f>
        <v>-1390.26</v>
      </c>
      <c r="Z18" s="24"/>
      <c r="AA18" s="18">
        <v>52</v>
      </c>
      <c r="AB18" s="24"/>
      <c r="AC18" s="15">
        <v>14.79</v>
      </c>
    </row>
    <row r="19" ht="20.05" customHeight="1">
      <c r="B19" s="13"/>
      <c r="C19" s="14">
        <v>57.81</v>
      </c>
      <c r="D19" s="15">
        <v>3.243</v>
      </c>
      <c r="E19" s="15">
        <v>1.41</v>
      </c>
      <c r="F19" s="15">
        <v>30.6121998</v>
      </c>
      <c r="G19" s="15">
        <v>1430.3001507</v>
      </c>
      <c r="H19" s="15">
        <v>8292.8215452</v>
      </c>
      <c r="I19" s="15">
        <v>50.76</v>
      </c>
      <c r="J19" s="15">
        <v>23.97</v>
      </c>
      <c r="K19" s="15">
        <v>-26.79</v>
      </c>
      <c r="L19" s="15">
        <v>0</v>
      </c>
      <c r="M19" s="15">
        <v>0</v>
      </c>
      <c r="N19" s="15">
        <f>SUM(C16:C19)/4</f>
        <v>30.14955</v>
      </c>
      <c r="O19" s="15"/>
      <c r="P19" s="16">
        <f>C19/C18-1</f>
        <v>1.36892249062634</v>
      </c>
      <c r="Q19" s="16">
        <f>J19/I19</f>
        <v>0.472222222222222</v>
      </c>
      <c r="R19" s="16">
        <f>AVERAGE(Q16:Q19)</f>
        <v>0.065705128205128</v>
      </c>
      <c r="S19" s="17"/>
      <c r="T19" s="25">
        <f>SUM(J16:K19)/4</f>
        <v>5.2977125</v>
      </c>
      <c r="U19" s="25"/>
      <c r="V19" s="15">
        <f>J19+K19+V18</f>
        <v>1608.29015</v>
      </c>
      <c r="W19" s="15">
        <f>-(L19+M19)+W18</f>
        <v>757.3204275000001</v>
      </c>
      <c r="X19" s="15">
        <f>X18</f>
        <v>22260.089044992</v>
      </c>
      <c r="Y19" s="15">
        <f>F19-G19</f>
        <v>-1399.6879509</v>
      </c>
      <c r="Z19" s="24"/>
      <c r="AA19" s="18">
        <v>78</v>
      </c>
      <c r="AB19" s="24"/>
      <c r="AC19" s="15">
        <v>14.1</v>
      </c>
    </row>
    <row r="20" ht="20.05" customHeight="1">
      <c r="B20" s="21">
        <v>2021</v>
      </c>
      <c r="C20" s="14">
        <v>19.86416</v>
      </c>
      <c r="D20" s="15">
        <v>3.35938</v>
      </c>
      <c r="E20" s="15">
        <v>-1.75272</v>
      </c>
      <c r="F20" s="15">
        <v>6.304066448</v>
      </c>
      <c r="G20" s="15">
        <v>1918.306790612</v>
      </c>
      <c r="H20" s="15">
        <v>9050.444663344</v>
      </c>
      <c r="I20" s="15">
        <v>27.89746</v>
      </c>
      <c r="J20" s="15">
        <v>10.00511</v>
      </c>
      <c r="K20" s="15">
        <v>-476.1556</v>
      </c>
      <c r="L20" s="15">
        <v>0</v>
      </c>
      <c r="M20" s="15">
        <v>0</v>
      </c>
      <c r="N20" s="15">
        <f>SUM(C17:C20)/4</f>
        <v>31.078865</v>
      </c>
      <c r="O20" s="15"/>
      <c r="P20" s="16">
        <f>C20/C19-1</f>
        <v>-0.656388860058813</v>
      </c>
      <c r="Q20" s="16">
        <f>J20/I20</f>
        <v>0.358638743455497</v>
      </c>
      <c r="R20" s="16">
        <f>AVERAGE(Q17:Q20)</f>
        <v>0.0303648140690023</v>
      </c>
      <c r="S20" s="17"/>
      <c r="T20" s="25">
        <f>SUM(J17:K20)/4</f>
        <v>-109.486585</v>
      </c>
      <c r="U20" s="25"/>
      <c r="V20" s="15">
        <f>J20+K20+V19</f>
        <v>1142.13966</v>
      </c>
      <c r="W20" s="15">
        <f>-(L20+M20)+W19</f>
        <v>757.3204275000001</v>
      </c>
      <c r="X20" s="15">
        <f>X19</f>
        <v>22260.089044992</v>
      </c>
      <c r="Y20" s="15">
        <f>F20-G20</f>
        <v>-1912.002724164</v>
      </c>
      <c r="Z20" s="15"/>
      <c r="AA20" s="18">
        <v>74</v>
      </c>
      <c r="AB20" s="15"/>
      <c r="AC20" s="15">
        <v>14.606</v>
      </c>
    </row>
    <row r="21" ht="20.05" customHeight="1">
      <c r="B21" s="13"/>
      <c r="C21" s="14">
        <v>68.49299999999999</v>
      </c>
      <c r="D21" s="15">
        <v>3.9015</v>
      </c>
      <c r="E21" s="15">
        <v>-11.271</v>
      </c>
      <c r="F21" s="15">
        <v>419.05</v>
      </c>
      <c r="G21" s="15">
        <v>1416.1</v>
      </c>
      <c r="H21" s="15">
        <v>10042.75</v>
      </c>
      <c r="I21" s="15">
        <v>69.21550000000001</v>
      </c>
      <c r="J21" s="15">
        <v>-21.45825</v>
      </c>
      <c r="K21" s="15">
        <v>-903.125</v>
      </c>
      <c r="L21" s="15">
        <v>-197.965</v>
      </c>
      <c r="M21" s="15">
        <v>1536.035</v>
      </c>
      <c r="N21" s="15">
        <f>SUM(C18:C21)/4</f>
        <v>42.642665</v>
      </c>
      <c r="O21" s="15"/>
      <c r="P21" s="16">
        <f>C21/C20-1</f>
        <v>2.44806928659455</v>
      </c>
      <c r="Q21" s="16">
        <f>J21/I21</f>
        <v>-0.310020876826722</v>
      </c>
      <c r="R21" s="16">
        <f>AVERAGE(Q18:Q21)</f>
        <v>0.466748483751212</v>
      </c>
      <c r="S21" s="17"/>
      <c r="T21" s="25">
        <f>SUM(J18:K21)/4</f>
        <v>-333.968185</v>
      </c>
      <c r="U21" s="25"/>
      <c r="V21" s="15">
        <f>J21+K21+V20</f>
        <v>217.55641</v>
      </c>
      <c r="W21" s="15">
        <f>-(L21+M21)+W20</f>
        <v>-580.7495725</v>
      </c>
      <c r="X21" s="15">
        <f>X20</f>
        <v>22260.089044992</v>
      </c>
      <c r="Y21" s="15">
        <f>F21-G21</f>
        <v>-997.05</v>
      </c>
      <c r="Z21" s="15"/>
      <c r="AA21" s="18">
        <v>119</v>
      </c>
      <c r="AB21" s="15"/>
      <c r="AC21" s="15">
        <v>14.45</v>
      </c>
    </row>
    <row r="22" ht="20.05" customHeight="1">
      <c r="B22" s="13"/>
      <c r="C22" s="14">
        <v>30.0888</v>
      </c>
      <c r="D22" s="15">
        <v>2.8656</v>
      </c>
      <c r="E22" s="15">
        <v>-1.4328</v>
      </c>
      <c r="F22" s="15">
        <v>200.592</v>
      </c>
      <c r="G22" s="15">
        <v>1404.144</v>
      </c>
      <c r="H22" s="15">
        <v>10015.272</v>
      </c>
      <c r="I22" s="15">
        <v>12.8952</v>
      </c>
      <c r="J22" s="15">
        <v>32.9544</v>
      </c>
      <c r="K22" s="15">
        <v>-242.1432</v>
      </c>
      <c r="L22" s="15">
        <v>-10.0296</v>
      </c>
      <c r="M22" s="15">
        <v>1.4328</v>
      </c>
      <c r="N22" s="15">
        <f>SUM(C19:C22)/4</f>
        <v>44.06399</v>
      </c>
      <c r="O22" s="15"/>
      <c r="P22" s="16">
        <f>C22/C21-1</f>
        <v>-0.560702553545618</v>
      </c>
      <c r="Q22" s="16">
        <f>J22/I22</f>
        <v>2.55555555555556</v>
      </c>
      <c r="R22" s="16">
        <f>AVERAGE(Q19:Q22)</f>
        <v>0.769098911101639</v>
      </c>
      <c r="S22" s="17"/>
      <c r="T22" s="25">
        <f>SUM(J19:K22)/4</f>
        <v>-400.685635</v>
      </c>
      <c r="U22" s="25"/>
      <c r="V22" s="15">
        <f>J22+K22+V21</f>
        <v>8.367610000000001</v>
      </c>
      <c r="W22" s="15">
        <f>-(L22+M22)+W21</f>
        <v>-572.1527725</v>
      </c>
      <c r="X22" s="15">
        <f>X21</f>
        <v>22260.089044992</v>
      </c>
      <c r="Y22" s="15">
        <f>F22-G22</f>
        <v>-1203.552</v>
      </c>
      <c r="Z22" s="15"/>
      <c r="AA22" s="18">
        <v>93</v>
      </c>
      <c r="AB22" s="15"/>
      <c r="AC22" s="15">
        <v>14.328</v>
      </c>
    </row>
    <row r="23" ht="20.05" customHeight="1">
      <c r="B23" s="13"/>
      <c r="C23" s="14">
        <v>34.26</v>
      </c>
      <c r="D23" s="15">
        <v>2.855</v>
      </c>
      <c r="E23" s="15">
        <v>-7.1375</v>
      </c>
      <c r="F23" s="15">
        <v>856.5</v>
      </c>
      <c r="G23" s="15">
        <v>1441.775</v>
      </c>
      <c r="H23" s="15">
        <v>13989.5</v>
      </c>
      <c r="I23" s="15">
        <v>49.9625</v>
      </c>
      <c r="J23" s="15">
        <v>25.695</v>
      </c>
      <c r="K23" s="15">
        <v>-1718.71</v>
      </c>
      <c r="L23" s="15">
        <v>-9.9925</v>
      </c>
      <c r="M23" s="15">
        <v>2369.65</v>
      </c>
      <c r="N23" s="15">
        <f>SUM(C20:C23)/4</f>
        <v>38.17649</v>
      </c>
      <c r="O23" s="15"/>
      <c r="P23" s="16">
        <f>C23/C22-1</f>
        <v>0.138629656217596</v>
      </c>
      <c r="Q23" s="16">
        <f>J23/I23</f>
        <v>0.514285714285714</v>
      </c>
      <c r="R23" s="16">
        <f>AVERAGE(Q20:Q23)</f>
        <v>0.7796147841175119</v>
      </c>
      <c r="S23" s="17"/>
      <c r="T23" s="25">
        <f>SUM(J20:K23)/4</f>
        <v>-823.234385</v>
      </c>
      <c r="U23" s="25"/>
      <c r="V23" s="15">
        <f>J23+K23+V22</f>
        <v>-1684.64739</v>
      </c>
      <c r="W23" s="15">
        <f>-(L23+M23)+W22</f>
        <v>-2931.8102725</v>
      </c>
      <c r="X23" s="15">
        <f>X22</f>
        <v>22260.089044992</v>
      </c>
      <c r="Y23" s="15">
        <f>F23-G23</f>
        <v>-585.275</v>
      </c>
      <c r="Z23" s="15"/>
      <c r="AA23" s="18">
        <v>116</v>
      </c>
      <c r="AB23" s="15"/>
      <c r="AC23" s="15">
        <v>14.275</v>
      </c>
    </row>
    <row r="24" ht="20.05" customHeight="1">
      <c r="B24" s="21">
        <v>2022</v>
      </c>
      <c r="C24" s="14">
        <v>42.40792</v>
      </c>
      <c r="D24" s="15">
        <v>3.782328</v>
      </c>
      <c r="E24" s="15">
        <v>-5.01445</v>
      </c>
      <c r="F24" s="15">
        <v>787.985</v>
      </c>
      <c r="G24" s="15">
        <v>1432.7</v>
      </c>
      <c r="H24" s="15">
        <v>14928.734</v>
      </c>
      <c r="I24" s="15">
        <v>42.465228</v>
      </c>
      <c r="J24" s="15">
        <v>5.01445</v>
      </c>
      <c r="K24" s="15">
        <v>-934.851077</v>
      </c>
      <c r="L24" s="15">
        <v>-10.473037</v>
      </c>
      <c r="M24" s="15">
        <v>873.732095</v>
      </c>
      <c r="N24" s="15">
        <f>SUM(C21:C24)/4</f>
        <v>43.81243</v>
      </c>
      <c r="O24" s="15">
        <v>52.651725</v>
      </c>
      <c r="P24" s="16">
        <f>C24/C23-1</f>
        <v>0.237826036193812</v>
      </c>
      <c r="Q24" s="16">
        <f>J24/I24</f>
        <v>0.11808367071525</v>
      </c>
      <c r="R24" s="16">
        <f>AVERAGE(Q21:Q24)</f>
        <v>0.719476015932451</v>
      </c>
      <c r="S24" s="35"/>
      <c r="T24" s="25">
        <f>SUM(J21:K24)/4</f>
        <v>-939.15591925</v>
      </c>
      <c r="U24" s="15"/>
      <c r="V24" s="15">
        <f>J24+K24+V23</f>
        <v>-2614.484017</v>
      </c>
      <c r="W24" s="15">
        <f>-(L24+M24)+W23</f>
        <v>-3795.0693305</v>
      </c>
      <c r="X24" s="15">
        <f>X23</f>
        <v>22260.089044992</v>
      </c>
      <c r="Y24" s="15">
        <f>F24-G24</f>
        <v>-644.715</v>
      </c>
      <c r="Z24" s="15"/>
      <c r="AA24" s="18">
        <v>198</v>
      </c>
      <c r="AB24" s="140"/>
      <c r="AC24" s="15">
        <v>14.327</v>
      </c>
    </row>
    <row r="25" ht="20.05" customHeight="1">
      <c r="B25" s="13"/>
      <c r="C25" s="14">
        <v>37.2364</v>
      </c>
      <c r="D25" s="15">
        <v>3.57704</v>
      </c>
      <c r="E25" s="15">
        <v>-7.2567</v>
      </c>
      <c r="F25" s="15">
        <v>586.4</v>
      </c>
      <c r="G25" s="15">
        <v>1480.66</v>
      </c>
      <c r="H25" s="15">
        <v>15334.36</v>
      </c>
      <c r="I25" s="15">
        <v>37.17776</v>
      </c>
      <c r="J25" s="15">
        <v>13.927</v>
      </c>
      <c r="K25" s="15">
        <v>-222.08434</v>
      </c>
      <c r="L25" s="15">
        <v>-11.27354</v>
      </c>
      <c r="M25" s="15">
        <v>3.1519</v>
      </c>
      <c r="N25" s="15">
        <f>SUM(C22:C25)/4</f>
        <v>35.99828</v>
      </c>
      <c r="O25" s="15">
        <v>53.27444</v>
      </c>
      <c r="P25" s="16">
        <f>C25/C24-1</f>
        <v>-0.121947032535432</v>
      </c>
      <c r="Q25" s="16">
        <f>J25/I25</f>
        <v>0.374605678233438</v>
      </c>
      <c r="R25" s="16">
        <f>AVERAGE(Q22:Q25)</f>
        <v>0.890632654697491</v>
      </c>
      <c r="S25" s="35"/>
      <c r="T25" s="25">
        <f>SUM(J22:K25)/4</f>
        <v>-760.04944175</v>
      </c>
      <c r="U25" s="15"/>
      <c r="V25" s="15">
        <f>J25+K25+V24</f>
        <v>-2822.641357</v>
      </c>
      <c r="W25" s="15">
        <f>-(L25+M25)+W24</f>
        <v>-3786.9476905</v>
      </c>
      <c r="X25" s="15">
        <f>X24</f>
        <v>22260.089044992</v>
      </c>
      <c r="Y25" s="15">
        <f>F25-G25</f>
        <v>-894.26</v>
      </c>
      <c r="Z25" s="15"/>
      <c r="AA25" s="18">
        <v>246</v>
      </c>
      <c r="AB25" s="140"/>
      <c r="AC25" s="15">
        <v>14.66</v>
      </c>
    </row>
    <row r="26" ht="20.05" customHeight="1">
      <c r="B26" s="13"/>
      <c r="C26" s="14">
        <v>43.974</v>
      </c>
      <c r="D26" s="15">
        <v>3.92625</v>
      </c>
      <c r="E26" s="15">
        <v>-7.177185</v>
      </c>
      <c r="F26" s="15">
        <v>1099.35</v>
      </c>
      <c r="G26" s="15">
        <v>2402.865</v>
      </c>
      <c r="H26" s="15">
        <v>17275.5</v>
      </c>
      <c r="I26" s="15">
        <v>43.974</v>
      </c>
      <c r="J26" s="15">
        <v>4.7115</v>
      </c>
      <c r="K26" s="15">
        <v>-287.4015</v>
      </c>
      <c r="L26" s="15">
        <v>745.9875</v>
      </c>
      <c r="M26" s="15">
        <v>0</v>
      </c>
      <c r="N26" s="15">
        <f>SUM(C23:C26)/4</f>
        <v>39.46958</v>
      </c>
      <c r="O26" s="15">
        <v>59.5392255</v>
      </c>
      <c r="P26" s="16">
        <f>C26/C25-1</f>
        <v>0.180941229549581</v>
      </c>
      <c r="Q26" s="16">
        <f>J26/I26</f>
        <v>0.107142857142857</v>
      </c>
      <c r="R26" s="16">
        <f>AVERAGE(Q23:Q26)</f>
        <v>0.278529480094315</v>
      </c>
      <c r="S26" s="35">
        <f>S27</f>
        <v>0.278529480094315</v>
      </c>
      <c r="T26" s="25">
        <f>SUM(J23:K26)/4</f>
        <v>-778.42474175</v>
      </c>
      <c r="U26" s="15"/>
      <c r="V26" s="15">
        <f>J26+K26+V25</f>
        <v>-3105.331357</v>
      </c>
      <c r="W26" s="15">
        <f>-(L26+M26)+W25</f>
        <v>-4532.9351905</v>
      </c>
      <c r="X26" s="15">
        <f>X25</f>
        <v>22260.089044992</v>
      </c>
      <c r="Y26" s="15">
        <f>F26-G26</f>
        <v>-1303.515</v>
      </c>
      <c r="Z26" s="15"/>
      <c r="AA26" s="18">
        <v>140</v>
      </c>
      <c r="AB26" s="140"/>
      <c r="AC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AVERAGE(AF52:AI52)</f>
        <v>50.5284478272</v>
      </c>
      <c r="P27" s="17"/>
      <c r="Q27" s="17"/>
      <c r="R27" s="17"/>
      <c r="S27" s="35">
        <f>AF53</f>
        <v>0.278529480094315</v>
      </c>
      <c r="T27" s="25"/>
      <c r="U27" s="15">
        <f>SUM(AF55:AI55)/4</f>
        <v>-273.327837696717</v>
      </c>
      <c r="V27" s="17"/>
      <c r="W27" s="17"/>
      <c r="X27" s="17"/>
      <c r="Y27" s="26"/>
      <c r="Z27" s="15">
        <f>AI75</f>
        <v>-2396.826350786870</v>
      </c>
      <c r="AA27" s="15">
        <v>157</v>
      </c>
      <c r="AB27" s="140">
        <v>124.848501910733</v>
      </c>
      <c r="AC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119.28029</v>
      </c>
      <c r="O28" s="15">
        <f>SUM(O24:O26)</f>
        <v>165.4653905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15"/>
      <c r="AA28" s="15"/>
      <c r="AB28" s="15">
        <f>AI89</f>
        <v>79.4090258003705</v>
      </c>
      <c r="AC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15"/>
      <c r="AA29" s="15"/>
      <c r="AB29" s="15"/>
      <c r="AC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5"/>
      <c r="AA30" s="15"/>
      <c r="AB30" s="15"/>
      <c r="AC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5"/>
      <c r="AA31" s="15"/>
      <c r="AB31" s="15"/>
      <c r="AC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5"/>
      <c r="AA32" s="15"/>
      <c r="AB32" s="15"/>
      <c r="AC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5"/>
      <c r="AA33" s="15"/>
      <c r="AB33" s="15"/>
      <c r="AC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/>
      <c r="AA34" s="15"/>
      <c r="AB34" s="15"/>
      <c r="AC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5"/>
      <c r="AA35" s="15"/>
      <c r="AB35" s="15"/>
      <c r="AC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5"/>
      <c r="AA36" s="15"/>
      <c r="AB36" s="15"/>
      <c r="AC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5"/>
      <c r="AA37" s="15"/>
      <c r="AB37" s="15"/>
      <c r="AC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5"/>
      <c r="AA38" s="15"/>
      <c r="AB38" s="15"/>
      <c r="AC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5"/>
      <c r="AA39" s="15"/>
      <c r="AB39" s="15"/>
      <c r="AC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5"/>
      <c r="AA40" s="15"/>
      <c r="AB40" s="15"/>
      <c r="AC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5"/>
      <c r="AA41" s="15"/>
      <c r="AB41" s="15"/>
      <c r="AC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15"/>
      <c r="AA42" s="15"/>
      <c r="AB42" s="15"/>
      <c r="AC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5"/>
      <c r="AA43" s="15"/>
      <c r="AB43" s="15"/>
      <c r="AC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5"/>
      <c r="AA44" s="15"/>
      <c r="AB44" s="15"/>
      <c r="AC44" s="15"/>
    </row>
    <row r="46" ht="27.65" customHeight="1">
      <c r="AD46" t="s" s="2">
        <v>325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ht="20.25" customHeight="1">
      <c r="AD47" t="s" s="28">
        <f>B$3</f>
        <v>22</v>
      </c>
      <c r="AE47" t="s" s="29">
        <v>23</v>
      </c>
      <c r="AF47" t="s" s="29">
        <v>24</v>
      </c>
      <c r="AG47" t="s" s="29">
        <v>25</v>
      </c>
      <c r="AH47" t="s" s="29">
        <v>26</v>
      </c>
      <c r="AI47" t="s" s="29">
        <v>23</v>
      </c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ht="20.25" customHeight="1">
      <c r="AD48" t="s" s="31">
        <v>15</v>
      </c>
      <c r="AE48" s="32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</row>
    <row r="49" ht="20.05" customHeight="1">
      <c r="AD49" t="s" s="33">
        <v>27</v>
      </c>
      <c r="AE49" s="34"/>
      <c r="AF49" s="16">
        <f>AVERAGE(P23:P26)</f>
        <v>0.108862472356389</v>
      </c>
      <c r="AG49" s="35"/>
      <c r="AH49" s="35"/>
      <c r="AI49" s="35">
        <f>AVERAGE(AF51:AI51)</f>
        <v>0.0425</v>
      </c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ht="20.05" customHeight="1">
      <c r="AD50" s="36"/>
      <c r="AE50" s="37"/>
      <c r="AF50" s="35">
        <f>P23</f>
        <v>0.138629656217596</v>
      </c>
      <c r="AG50" s="35">
        <f>P24</f>
        <v>0.237826036193812</v>
      </c>
      <c r="AH50" s="35">
        <f>P25</f>
        <v>-0.121947032535432</v>
      </c>
      <c r="AI50" s="35">
        <f>P26</f>
        <v>0.180941229549581</v>
      </c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ht="20.05" customHeight="1">
      <c r="AD51" t="s" s="33">
        <v>13</v>
      </c>
      <c r="AE51" s="37"/>
      <c r="AF51" s="35">
        <v>0.12</v>
      </c>
      <c r="AG51" s="35">
        <v>0.1</v>
      </c>
      <c r="AH51" s="35">
        <v>-0.12</v>
      </c>
      <c r="AI51" s="35">
        <v>0.07000000000000001</v>
      </c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ht="20.05" customHeight="1">
      <c r="AD52" t="s" s="33">
        <v>28</v>
      </c>
      <c r="AE52" s="38">
        <f>C26</f>
        <v>43.974</v>
      </c>
      <c r="AF52" s="23">
        <f>C26*(1+AF51)</f>
        <v>49.25088</v>
      </c>
      <c r="AG52" s="23">
        <f>AF52*(1+AG51)</f>
        <v>54.175968</v>
      </c>
      <c r="AH52" s="23">
        <f>AG52*(1+AH51)</f>
        <v>47.67485184</v>
      </c>
      <c r="AI52" s="23">
        <f>AH52*(1+AI51)</f>
        <v>51.0120914688</v>
      </c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ht="20.05" customHeight="1">
      <c r="AD53" t="s" s="33">
        <v>14</v>
      </c>
      <c r="AE53" s="37"/>
      <c r="AF53" s="35">
        <f>AVERAGE(R26)</f>
        <v>0.278529480094315</v>
      </c>
      <c r="AG53" s="35">
        <f>AF53</f>
        <v>0.278529480094315</v>
      </c>
      <c r="AH53" s="35">
        <f>AG53</f>
        <v>0.278529480094315</v>
      </c>
      <c r="AI53" s="35">
        <f>AH53</f>
        <v>0.278529480094315</v>
      </c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ht="20.05" customHeight="1">
      <c r="AD54" t="s" s="33">
        <v>29</v>
      </c>
      <c r="AE54" s="14"/>
      <c r="AF54" s="15">
        <f>AVERAGE(K26)</f>
        <v>-287.4015</v>
      </c>
      <c r="AG54" s="15">
        <f>AF54</f>
        <v>-287.4015</v>
      </c>
      <c r="AH54" s="15">
        <f>AG54</f>
        <v>-287.4015</v>
      </c>
      <c r="AI54" s="15">
        <f>AH54</f>
        <v>-287.4015</v>
      </c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20.05" customHeight="1">
      <c r="AD55" t="s" s="33">
        <v>30</v>
      </c>
      <c r="AE55" s="14"/>
      <c r="AF55" s="15">
        <f>(AF52*AF53)+AF54</f>
        <v>-273.683677999413</v>
      </c>
      <c r="AG55" s="15">
        <f>(AG52*AG53)+AG54</f>
        <v>-272.311895799354</v>
      </c>
      <c r="AH55" s="15">
        <f>(AH52*AH53)+AH54</f>
        <v>-274.122648303431</v>
      </c>
      <c r="AI55" s="15">
        <f>(AI52*AI53)+AI54</f>
        <v>-273.193128684671</v>
      </c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20.05" customHeight="1">
      <c r="AD56" t="s" s="33">
        <v>31</v>
      </c>
      <c r="AE56" s="14"/>
      <c r="AF56" s="15">
        <f>-G26/20</f>
        <v>-120.14325</v>
      </c>
      <c r="AG56" s="15">
        <f>-AF71/20</f>
        <v>-114.1360875</v>
      </c>
      <c r="AH56" s="15">
        <f>-AG71/20</f>
        <v>-108.429283125</v>
      </c>
      <c r="AI56" s="15">
        <f>-AH71/20</f>
        <v>-103.007818968750</v>
      </c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20.05" customHeight="1">
      <c r="AD57" t="s" s="33">
        <v>32</v>
      </c>
      <c r="AE57" s="39"/>
      <c r="AF57" s="40">
        <v>0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20.05" customHeight="1">
      <c r="AD58" t="s" s="33">
        <v>33</v>
      </c>
      <c r="AE58" s="14"/>
      <c r="AF58" s="15">
        <f>IF(AF66&gt;0,AF66*$AF$57,0)</f>
        <v>0</v>
      </c>
      <c r="AG58" s="15">
        <f>IF(AG66&gt;0,AG66*$AF$57,0)</f>
        <v>0</v>
      </c>
      <c r="AH58" s="15">
        <f>IF(AH66&gt;0,AH66*$AF$57,0)</f>
        <v>0</v>
      </c>
      <c r="AI58" s="15">
        <f>IF(AI66&gt;0,AI66*$AF$57,0)</f>
        <v>0</v>
      </c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20.05" customHeight="1">
      <c r="AD59" t="s" s="33">
        <v>34</v>
      </c>
      <c r="AE59" s="14"/>
      <c r="AF59" s="15">
        <f>AF55+AF56+AF58</f>
        <v>-393.826927999413</v>
      </c>
      <c r="AG59" s="15">
        <f>AG55+AG56+AG58</f>
        <v>-386.447983299354</v>
      </c>
      <c r="AH59" s="15">
        <f>AH55+AH56+AH58</f>
        <v>-382.551931428431</v>
      </c>
      <c r="AI59" s="15">
        <f>AI55+AI56+AI58</f>
        <v>-376.200947653421</v>
      </c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20.05" customHeight="1">
      <c r="AD60" t="s" s="33">
        <v>35</v>
      </c>
      <c r="AE60" s="14"/>
      <c r="AF60" s="15">
        <f>-MIN(0,AF59)</f>
        <v>393.826927999413</v>
      </c>
      <c r="AG60" s="15">
        <f>-MIN(AF72,AG59)</f>
        <v>386.447983299354</v>
      </c>
      <c r="AH60" s="15">
        <f>-MIN(AG72,AH59)</f>
        <v>382.551931428431</v>
      </c>
      <c r="AI60" s="15">
        <f>-MIN(AH72,AI59)</f>
        <v>376.200947653421</v>
      </c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20.05" customHeight="1">
      <c r="AD61" t="s" s="33">
        <v>36</v>
      </c>
      <c r="AE61" s="14"/>
      <c r="AF61" s="15">
        <f>F26</f>
        <v>1099.35</v>
      </c>
      <c r="AG61" s="15">
        <f>AF63</f>
        <v>1099.35</v>
      </c>
      <c r="AH61" s="15">
        <f>AG63</f>
        <v>1099.35</v>
      </c>
      <c r="AI61" s="15">
        <f>AH63</f>
        <v>1099.35</v>
      </c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20.05" customHeight="1">
      <c r="AD62" t="s" s="33">
        <v>37</v>
      </c>
      <c r="AE62" s="14"/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>
        <f>AI55+AI56+AI58+AI60</f>
        <v>0</v>
      </c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20.05" customHeight="1">
      <c r="AD63" t="s" s="33">
        <v>38</v>
      </c>
      <c r="AE63" s="14"/>
      <c r="AF63" s="15">
        <f>AF61+AF62</f>
        <v>1099.35</v>
      </c>
      <c r="AG63" s="15">
        <f>AG61+AG62</f>
        <v>1099.35</v>
      </c>
      <c r="AH63" s="15">
        <f>AH61+AH62</f>
        <v>1099.35</v>
      </c>
      <c r="AI63" s="15">
        <f>AI61+AI62</f>
        <v>1099.35</v>
      </c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20.05" customHeight="1">
      <c r="AD64" t="s" s="41">
        <v>4</v>
      </c>
      <c r="AE64" s="14"/>
      <c r="AF64" s="15"/>
      <c r="AG64" s="15"/>
      <c r="AH64" s="15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ht="20.05" customHeight="1">
      <c r="AD65" t="s" s="33">
        <v>3</v>
      </c>
      <c r="AE65" s="14"/>
      <c r="AF65" s="15">
        <f>-AVERAGE(D24:D26)</f>
        <v>-3.76187266666667</v>
      </c>
      <c r="AG65" s="15">
        <f>AF65</f>
        <v>-3.76187266666667</v>
      </c>
      <c r="AH65" s="15">
        <f>AG65</f>
        <v>-3.76187266666667</v>
      </c>
      <c r="AI65" s="15">
        <f>AH65</f>
        <v>-3.76187266666667</v>
      </c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20.05" customHeight="1">
      <c r="AD66" t="s" s="33">
        <v>4</v>
      </c>
      <c r="AE66" s="14"/>
      <c r="AF66" s="15">
        <f>(AF52*AF53)+AF65</f>
        <v>9.955949333920829</v>
      </c>
      <c r="AG66" s="15">
        <f>(AG52*AG53)+AG65</f>
        <v>11.3277315339796</v>
      </c>
      <c r="AH66" s="15">
        <f>(AH52*AH53)+AH65</f>
        <v>9.51697902990203</v>
      </c>
      <c r="AI66" s="15">
        <f>(AI52*AI53)+AI65</f>
        <v>10.4464986486618</v>
      </c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ht="20.05" customHeight="1">
      <c r="AD67" t="s" s="41">
        <v>39</v>
      </c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20.05" customHeight="1">
      <c r="AD68" t="s" s="33">
        <v>40</v>
      </c>
      <c r="AE68" s="14"/>
      <c r="AF68" s="15">
        <f>H26-F26-AF54</f>
        <v>16463.5515</v>
      </c>
      <c r="AG68" s="15">
        <f>AF68-AG54</f>
        <v>16750.953</v>
      </c>
      <c r="AH68" s="15">
        <f>AG68-AH54</f>
        <v>17038.3545</v>
      </c>
      <c r="AI68" s="15">
        <f>AH68-AI54</f>
        <v>17325.756</v>
      </c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20.05" customHeight="1">
      <c r="AD69" t="s" s="33">
        <v>41</v>
      </c>
      <c r="AE69" s="14"/>
      <c r="AF69" s="15">
        <f>0-AF65</f>
        <v>3.76187266666667</v>
      </c>
      <c r="AG69" s="15">
        <f>AF69-AG65</f>
        <v>7.52374533333334</v>
      </c>
      <c r="AH69" s="15">
        <f>AG69-AH65</f>
        <v>11.285618</v>
      </c>
      <c r="AI69" s="15">
        <f>AH69-AI65</f>
        <v>15.0474906666667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20.05" customHeight="1">
      <c r="AD70" t="s" s="33">
        <v>42</v>
      </c>
      <c r="AE70" s="14"/>
      <c r="AF70" s="15">
        <f>AF68-AF69</f>
        <v>16459.7896273333</v>
      </c>
      <c r="AG70" s="15">
        <f>AG68-AG69</f>
        <v>16743.4292546667</v>
      </c>
      <c r="AH70" s="15">
        <f>AH68-AH69</f>
        <v>17027.068882</v>
      </c>
      <c r="AI70" s="15">
        <f>AI68-AI69</f>
        <v>17310.7085093333</v>
      </c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20.05" customHeight="1">
      <c r="AD71" t="s" s="33">
        <v>6</v>
      </c>
      <c r="AE71" s="14"/>
      <c r="AF71" s="15">
        <f>G26+AF56</f>
        <v>2282.72175</v>
      </c>
      <c r="AG71" s="15">
        <f>AF71+AG56</f>
        <v>2168.5856625</v>
      </c>
      <c r="AH71" s="15">
        <f>AG71+AH56</f>
        <v>2060.156379375</v>
      </c>
      <c r="AI71" s="15">
        <f>AH71+AI56</f>
        <v>1957.148560406250</v>
      </c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20.05" customHeight="1">
      <c r="AD72" t="s" s="33">
        <v>35</v>
      </c>
      <c r="AE72" s="14"/>
      <c r="AF72" s="15">
        <f>AF60</f>
        <v>393.826927999413</v>
      </c>
      <c r="AG72" s="15">
        <f>AF72+AG60</f>
        <v>780.2749112987671</v>
      </c>
      <c r="AH72" s="15">
        <f>AG72+AH60</f>
        <v>1162.8268427272</v>
      </c>
      <c r="AI72" s="15">
        <f>AH72+AI60</f>
        <v>1539.027790380620</v>
      </c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20.05" customHeight="1">
      <c r="AD73" t="s" s="33">
        <v>11</v>
      </c>
      <c r="AE73" s="14"/>
      <c r="AF73" s="15">
        <f>(H26-G26)+AF66+AF58</f>
        <v>14882.5909493339</v>
      </c>
      <c r="AG73" s="15">
        <f>AF73+AG66+AG58</f>
        <v>14893.9186808679</v>
      </c>
      <c r="AH73" s="15">
        <f>AG73+AH66+AH58</f>
        <v>14903.4356598978</v>
      </c>
      <c r="AI73" s="15">
        <f>AH73+AI66+AI58</f>
        <v>14913.8821585465</v>
      </c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20.05" customHeight="1">
      <c r="AD74" t="s" s="33">
        <v>43</v>
      </c>
      <c r="AE74" s="14"/>
      <c r="AF74" s="15">
        <f>AF71+AF72+AF73-AF63-AF70</f>
        <v>1.3e-11</v>
      </c>
      <c r="AG74" s="15">
        <f>AG71+AG72+AG73-AG63-AG70</f>
        <v>-3.3e-11</v>
      </c>
      <c r="AH74" s="15">
        <f>AH71+AH72+AH73-AH63-AH70</f>
        <v>0</v>
      </c>
      <c r="AI74" s="15">
        <f>AI71+AI72+AI73-AI63-AI70</f>
        <v>7e-11</v>
      </c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20.05" customHeight="1">
      <c r="AD75" t="s" s="33">
        <v>18</v>
      </c>
      <c r="AE75" s="14"/>
      <c r="AF75" s="15">
        <f>AF63-AF71-AF72</f>
        <v>-1577.198677999410</v>
      </c>
      <c r="AG75" s="15">
        <f>AG63-AG71-AG72</f>
        <v>-1849.510573798770</v>
      </c>
      <c r="AH75" s="15">
        <f>AH63-AH71-AH72</f>
        <v>-2123.6332221022</v>
      </c>
      <c r="AI75" s="15">
        <f>AI63-AI71-AI72</f>
        <v>-2396.826350786870</v>
      </c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20.05" customHeight="1">
      <c r="AD76" t="s" s="33">
        <v>44</v>
      </c>
      <c r="AE76" s="14"/>
      <c r="AF76" s="15">
        <f>AF56+AF58+AF60</f>
        <v>273.683677999413</v>
      </c>
      <c r="AG76" s="15">
        <f>AG56+AG58+AG60</f>
        <v>272.311895799354</v>
      </c>
      <c r="AH76" s="15">
        <f>AH56+AH58+AH60</f>
        <v>274.122648303431</v>
      </c>
      <c r="AI76" s="15">
        <f>AI56+AI58+AI60</f>
        <v>273.193128684671</v>
      </c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20.05" customHeight="1">
      <c r="AD77" t="s" s="33">
        <v>45</v>
      </c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20.05" customHeight="1">
      <c r="AD78" t="s" s="33">
        <f>AA$3</f>
        <v>512</v>
      </c>
      <c r="AE78" s="14"/>
      <c r="AF78" s="15"/>
      <c r="AG78" s="15"/>
      <c r="AH78" s="15"/>
      <c r="AI78" s="15">
        <v>157</v>
      </c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20.05" customHeight="1">
      <c r="AD79" t="s" s="33">
        <f>$AD78</f>
        <v>512</v>
      </c>
      <c r="AE79" s="14"/>
      <c r="AF79" s="15"/>
      <c r="AG79" s="15"/>
      <c r="AH79" s="15"/>
      <c r="AI79" s="15">
        <v>22260089044992</v>
      </c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20.05" customHeight="1">
      <c r="AD80" t="s" s="33">
        <v>46</v>
      </c>
      <c r="AE80" s="14"/>
      <c r="AF80" s="15"/>
      <c r="AG80" s="15"/>
      <c r="AH80" s="15"/>
      <c r="AI80" s="15">
        <f>AI79/1000000000</f>
        <v>22260.089044992</v>
      </c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20.05" customHeight="1">
      <c r="AD81" t="s" s="33">
        <v>47</v>
      </c>
      <c r="AE81" s="14"/>
      <c r="AF81" s="15"/>
      <c r="AG81" s="15"/>
      <c r="AH81" s="15"/>
      <c r="AI81" s="15">
        <f>AI80/AI78</f>
        <v>141.784006656</v>
      </c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20.05" customHeight="1">
      <c r="AD82" t="s" s="33">
        <v>48</v>
      </c>
      <c r="AE82" s="14"/>
      <c r="AF82" s="15"/>
      <c r="AG82" s="15"/>
      <c r="AH82" s="15"/>
      <c r="AI82" s="43">
        <f>AI80/(AI63+AI70)</f>
        <v>1.20912646929975</v>
      </c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</row>
    <row r="83" ht="20.05" customHeight="1">
      <c r="AD83" t="s" s="33">
        <v>49</v>
      </c>
      <c r="AE83" s="14"/>
      <c r="AF83" s="15"/>
      <c r="AG83" s="15"/>
      <c r="AH83" s="15"/>
      <c r="AI83" s="16">
        <f>-(AF58+AG58+AH58+AI58)/AI80</f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ht="20.05" customHeight="1">
      <c r="AD84" t="s" s="33">
        <v>50</v>
      </c>
      <c r="AE84" s="14"/>
      <c r="AF84" s="15"/>
      <c r="AG84" s="15"/>
      <c r="AH84" s="15">
        <f>SUM(J23:K26)</f>
        <v>-3113.698967</v>
      </c>
      <c r="AI84" s="15">
        <f>SUM(AF55:AI55)</f>
        <v>-1093.311350786870</v>
      </c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20.05" customHeight="1">
      <c r="AD85" t="s" s="33">
        <v>51</v>
      </c>
      <c r="AE85" s="14"/>
      <c r="AF85" s="15"/>
      <c r="AG85" s="15"/>
      <c r="AH85" s="15"/>
      <c r="AI85" s="15">
        <f>AI70/AI84</f>
        <v>-15.8332834438009</v>
      </c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20.05" customHeight="1">
      <c r="AD86" t="s" s="33">
        <v>28</v>
      </c>
      <c r="AE86" s="14"/>
      <c r="AF86" s="15"/>
      <c r="AG86" s="15"/>
      <c r="AH86" s="15"/>
      <c r="AI86" s="15">
        <f>SUM(AF52:AI52)*AF53</f>
        <v>56.2946492131309</v>
      </c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20.05" customHeight="1">
      <c r="AD87" t="s" s="33">
        <v>52</v>
      </c>
      <c r="AE87" s="14"/>
      <c r="AF87" s="15"/>
      <c r="AG87" s="15"/>
      <c r="AH87" s="15">
        <f>AI80/AI86</f>
        <v>395.421045448131</v>
      </c>
      <c r="AI87" s="15">
        <v>200</v>
      </c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20.05" customHeight="1">
      <c r="AD88" t="s" s="33">
        <v>53</v>
      </c>
      <c r="AE88" s="14"/>
      <c r="AF88" s="15"/>
      <c r="AG88" s="15"/>
      <c r="AH88" s="15"/>
      <c r="AI88" s="15">
        <f>AI86*AI87</f>
        <v>11258.9298426262</v>
      </c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20.05" customHeight="1">
      <c r="AD89" t="s" s="33">
        <v>54</v>
      </c>
      <c r="AE89" s="14"/>
      <c r="AF89" s="15"/>
      <c r="AG89" s="15"/>
      <c r="AH89" s="15"/>
      <c r="AI89" s="15">
        <f>(AI88/AI81)</f>
        <v>79.4090258003705</v>
      </c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</row>
    <row r="90" ht="20.05" customHeight="1">
      <c r="AD90" t="s" s="33">
        <v>55</v>
      </c>
      <c r="AE90" s="38"/>
      <c r="AF90" s="23"/>
      <c r="AG90" s="23"/>
      <c r="AH90" s="23"/>
      <c r="AI90" s="16">
        <f>AI89/AI78-1</f>
        <v>-0.494210026749232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ht="20.05" customHeight="1">
      <c r="AD91" t="s" s="33">
        <v>56</v>
      </c>
      <c r="AE91" s="38"/>
      <c r="AF91" s="23"/>
      <c r="AG91" s="23"/>
      <c r="AH91" s="23"/>
      <c r="AI91" s="16">
        <f>C26/C22-1</f>
        <v>0.461474036850921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ht="20.05" customHeight="1">
      <c r="AD92" t="s" s="33">
        <v>57</v>
      </c>
      <c r="AE92" s="38"/>
      <c r="AF92" s="23"/>
      <c r="AG92" s="23"/>
      <c r="AH92" s="23"/>
      <c r="AI92" s="16">
        <f>O28/N28-1</f>
        <v>0.387198090313161</v>
      </c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ht="20.05" customHeight="1">
      <c r="AD93" s="36"/>
      <c r="AE93" s="38"/>
      <c r="AF93" s="23"/>
      <c r="AG93" s="23"/>
      <c r="AH93" s="23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ht="20.05" customHeight="1">
      <c r="AD94" s="36"/>
      <c r="AE94" s="38"/>
      <c r="AF94" t="s" s="44">
        <f>$AD78</f>
        <v>512</v>
      </c>
      <c r="AG94" t="s" s="44">
        <f>AF116</f>
        <v>15</v>
      </c>
      <c r="AH94" t="s" s="44">
        <f>AG116</f>
        <v>360</v>
      </c>
      <c r="AI94" t="s" s="44">
        <f>AH116</f>
        <v>485</v>
      </c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</row>
    <row r="95" ht="20.05" customHeight="1">
      <c r="AD95" s="36"/>
      <c r="AE95" s="45"/>
      <c r="AF95" t="s" s="44">
        <v>60</v>
      </c>
      <c r="AG95" s="15">
        <f>AI78</f>
        <v>157</v>
      </c>
      <c r="AH95" t="s" s="44">
        <v>61</v>
      </c>
      <c r="AI95" s="15">
        <f>AI89</f>
        <v>79.4090258003705</v>
      </c>
      <c r="AJ95" t="s" s="44">
        <f>IF(AK95&gt;0,"+","")</f>
      </c>
      <c r="AK95" s="16">
        <f>AI95/AG95-1</f>
        <v>-0.494210026749232</v>
      </c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ht="20.05" customHeight="1">
      <c r="AD96" s="36"/>
      <c r="AE96" s="46"/>
      <c r="AF96" s="47">
        <f>TODAY()</f>
        <v>44942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ht="32.05" customHeight="1">
      <c r="AD97" s="36"/>
      <c r="AE97" s="34"/>
      <c r="AF97" t="s" s="44">
        <v>62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ht="32.05" customHeight="1">
      <c r="AD98" s="36"/>
      <c r="AE98" s="34"/>
      <c r="AF98" t="s" s="44">
        <v>63</v>
      </c>
      <c r="AG98" t="s" s="44">
        <v>64</v>
      </c>
      <c r="AH98" t="s" s="44">
        <f>IF(AI98&gt;0,"+","")</f>
        <v>361</v>
      </c>
      <c r="AI98" s="16">
        <f>AN105/AF105-1</f>
        <v>0.461474036850921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ht="32.05" customHeight="1">
      <c r="AD99" s="36"/>
      <c r="AE99" s="34"/>
      <c r="AF99" t="s" s="44">
        <v>63</v>
      </c>
      <c r="AG99" t="s" s="44">
        <v>65</v>
      </c>
      <c r="AH99" t="s" s="44">
        <f>IF(AI99&gt;0,"+","")</f>
      </c>
      <c r="AI99" s="16">
        <f>(AH120+AH121+AJ120+AJ121+AL120+AL121+AN120+AN121)/AG137</f>
        <v>-0.139878100249581</v>
      </c>
      <c r="AJ99" t="s" s="44">
        <v>66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ht="68.05" customHeight="1">
      <c r="AD100" s="36"/>
      <c r="AE100" s="34"/>
      <c r="AF100" t="s" s="44">
        <v>63</v>
      </c>
      <c r="AG100" t="s" s="44">
        <v>67</v>
      </c>
      <c r="AH100" t="s" s="44">
        <f>IF(AI100&gt;0,"+","")</f>
      </c>
      <c r="AI100" s="16">
        <f>(AH134+AH135+AJ134+AJ135+AL134+AL135+AN134+AN135)/AG137</f>
        <v>-0.177932011412645</v>
      </c>
      <c r="AJ100" t="s" s="44">
        <f>AJ99</f>
        <v>66</v>
      </c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ht="44.05" customHeight="1">
      <c r="AD101" s="36"/>
      <c r="AE101" s="34"/>
      <c r="AF101" t="s" s="44">
        <v>68</v>
      </c>
      <c r="AG101" t="s" s="44">
        <v>69</v>
      </c>
      <c r="AH101" s="16">
        <f>AQ130/AG137</f>
        <v>-0.0585583910902306</v>
      </c>
      <c r="AI101" t="s" s="44">
        <f>AJ100</f>
        <v>66</v>
      </c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ht="20.05" customHeight="1">
      <c r="AD102" s="36"/>
      <c r="AE102" s="34"/>
      <c r="AF102" t="s" s="44">
        <v>28</v>
      </c>
      <c r="AG102" t="s" s="44">
        <f>AG106</f>
        <v>362</v>
      </c>
      <c r="AH102" s="16">
        <f>AH106</f>
        <v>0.180941229549581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ht="68.05" customHeight="1">
      <c r="AD103" s="36"/>
      <c r="AE103" s="34"/>
      <c r="AF103" t="s" s="44">
        <v>70</v>
      </c>
      <c r="AG103" t="s" s="44">
        <v>393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ht="20.05" customHeight="1">
      <c r="AD104" s="36"/>
      <c r="AE104" s="34"/>
      <c r="AF104" s="16">
        <f>P22</f>
        <v>-0.560702553545618</v>
      </c>
      <c r="AG104" s="16">
        <f>P23</f>
        <v>0.138629656217596</v>
      </c>
      <c r="AH104" s="16">
        <f>P24</f>
        <v>0.237826036193812</v>
      </c>
      <c r="AI104" s="16">
        <f>P25</f>
        <v>-0.121947032535432</v>
      </c>
      <c r="AJ104" s="16">
        <f>P26</f>
        <v>0.180941229549581</v>
      </c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ht="32.05" customHeight="1">
      <c r="AD105" s="36"/>
      <c r="AE105" s="34"/>
      <c r="AF105" s="15">
        <f>C22</f>
        <v>30.0888</v>
      </c>
      <c r="AG105" t="s" s="44">
        <v>72</v>
      </c>
      <c r="AH105" s="15">
        <f>C23</f>
        <v>34.26</v>
      </c>
      <c r="AI105" t="s" s="44">
        <v>72</v>
      </c>
      <c r="AJ105" s="15">
        <f>C24</f>
        <v>42.40792</v>
      </c>
      <c r="AK105" t="s" s="44">
        <v>72</v>
      </c>
      <c r="AL105" s="15">
        <f>C25</f>
        <v>37.2364</v>
      </c>
      <c r="AM105" t="s" s="44">
        <v>72</v>
      </c>
      <c r="AN105" s="15">
        <f>C26</f>
        <v>43.974</v>
      </c>
      <c r="AO105" t="s" s="48">
        <f>AD$47</f>
        <v>22</v>
      </c>
      <c r="AP105" s="17"/>
      <c r="AQ105" s="17"/>
      <c r="AR105" s="17"/>
      <c r="AS105" s="17"/>
      <c r="AT105" s="17"/>
      <c r="AU105" s="17"/>
      <c r="AV105" s="17"/>
      <c r="AW105" s="17"/>
    </row>
    <row r="106" ht="56.05" customHeight="1">
      <c r="AD106" s="36"/>
      <c r="AE106" s="34"/>
      <c r="AF106" t="s" s="44">
        <v>2</v>
      </c>
      <c r="AG106" t="s" s="44">
        <f>IF(AH106&lt;0,"declined","grew")</f>
        <v>362</v>
      </c>
      <c r="AH106" s="16">
        <f>AN105/AL105-1</f>
        <v>0.180941229549581</v>
      </c>
      <c r="AI106" t="s" s="44">
        <v>73</v>
      </c>
      <c r="AJ106" t="s" s="44">
        <v>74</v>
      </c>
      <c r="AK106" t="s" s="44">
        <v>75</v>
      </c>
      <c r="AL106" t="s" s="44">
        <v>76</v>
      </c>
      <c r="AM106" s="15">
        <f>AN105</f>
        <v>43.974</v>
      </c>
      <c r="AN106" t="s" s="48">
        <f>AO105</f>
        <v>22</v>
      </c>
      <c r="AO106" t="s" s="44">
        <v>77</v>
      </c>
      <c r="AP106" t="s" s="44">
        <f>IF(AQ106&gt;0,"+","")</f>
        <v>361</v>
      </c>
      <c r="AQ106" s="16">
        <f>AI92</f>
        <v>0.387198090313161</v>
      </c>
      <c r="AR106" t="s" s="44">
        <v>78</v>
      </c>
      <c r="AS106" s="17"/>
      <c r="AT106" s="17"/>
      <c r="AU106" s="17"/>
      <c r="AV106" s="17"/>
      <c r="AW106" s="17"/>
    </row>
    <row r="107" ht="56.05" customHeight="1">
      <c r="AD107" s="36"/>
      <c r="AE107" s="34"/>
      <c r="AF107" t="s" s="44">
        <v>79</v>
      </c>
      <c r="AG107" s="16">
        <f>AVERAGE(AG104:AJ104)</f>
        <v>0.108862472356389</v>
      </c>
      <c r="AH107" t="s" s="44">
        <v>80</v>
      </c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</row>
    <row r="108" ht="56.05" customHeight="1">
      <c r="AD108" s="36"/>
      <c r="AE108" s="34"/>
      <c r="AF108" t="s" s="44">
        <v>81</v>
      </c>
      <c r="AG108" s="35">
        <f>AI49</f>
        <v>0.0425</v>
      </c>
      <c r="AH108" t="s" s="44">
        <v>82</v>
      </c>
      <c r="AI108" t="s" s="44">
        <v>83</v>
      </c>
      <c r="AJ108" s="23">
        <f>AI52</f>
        <v>51.0120914688</v>
      </c>
      <c r="AK108" t="s" s="48">
        <f>AO105</f>
        <v>22</v>
      </c>
      <c r="AL108" t="s" s="44">
        <v>84</v>
      </c>
      <c r="AM108" t="s" s="44">
        <f>AJ106</f>
        <v>74</v>
      </c>
      <c r="AN108" t="s" s="44">
        <f>AK106</f>
        <v>75</v>
      </c>
      <c r="AO108" t="s" s="44">
        <v>85</v>
      </c>
      <c r="AP108" s="17"/>
      <c r="AQ108" s="17"/>
      <c r="AR108" s="17"/>
      <c r="AS108" s="17"/>
      <c r="AT108" s="17"/>
      <c r="AU108" s="17"/>
      <c r="AV108" s="17"/>
      <c r="AW108" s="17"/>
    </row>
    <row r="109" ht="20.05" customHeight="1">
      <c r="AD109" s="36"/>
      <c r="AE109" s="34"/>
      <c r="AF109" t="s" s="44">
        <v>14</v>
      </c>
      <c r="AG109" t="s" s="44">
        <f>IF(AI113&lt;AG113,"down","up")</f>
        <v>108</v>
      </c>
      <c r="AH109" t="s" s="44">
        <v>86</v>
      </c>
      <c r="AI109" t="s" s="44">
        <f>IF(AM113&gt;AK113,"up","down")</f>
        <v>108</v>
      </c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ht="44.05" customHeight="1">
      <c r="AD110" s="36"/>
      <c r="AE110" s="34"/>
      <c r="AF110" t="s" s="44">
        <f>AF103</f>
        <v>70</v>
      </c>
      <c r="AG110" t="s" s="44">
        <v>88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ht="20.05" customHeight="1">
      <c r="AD111" s="36"/>
      <c r="AE111" s="34"/>
      <c r="AF111" s="16">
        <f>(D22+E22)/C22</f>
        <v>0.0476190476190476</v>
      </c>
      <c r="AG111" s="16">
        <f>(D23+E23)/C23</f>
        <v>-0.125</v>
      </c>
      <c r="AH111" s="16">
        <f>((E24+D24)/C24)</f>
        <v>-0.0290540540540541</v>
      </c>
      <c r="AI111" s="16">
        <f>(D25+E25)/C25</f>
        <v>-0.09881889763779531</v>
      </c>
      <c r="AJ111" s="16">
        <f>(D26+E26)/C26</f>
        <v>-0.0739285714285714</v>
      </c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ht="32.05" customHeight="1">
      <c r="AD112" s="36"/>
      <c r="AE112" s="34"/>
      <c r="AF112" s="15">
        <f>E22</f>
        <v>-1.4328</v>
      </c>
      <c r="AG112" t="s" s="44">
        <v>72</v>
      </c>
      <c r="AH112" s="15">
        <f>E23</f>
        <v>-7.1375</v>
      </c>
      <c r="AI112" t="s" s="44">
        <v>72</v>
      </c>
      <c r="AJ112" s="15">
        <f>E24</f>
        <v>-5.01445</v>
      </c>
      <c r="AK112" t="s" s="44">
        <v>72</v>
      </c>
      <c r="AL112" s="15">
        <f>E25</f>
        <v>-7.2567</v>
      </c>
      <c r="AM112" t="s" s="44">
        <v>72</v>
      </c>
      <c r="AN112" s="15">
        <f>E26</f>
        <v>-7.177185</v>
      </c>
      <c r="AO112" t="s" s="48">
        <f>AO105</f>
        <v>22</v>
      </c>
      <c r="AP112" s="17"/>
      <c r="AQ112" s="17"/>
      <c r="AR112" s="17"/>
      <c r="AS112" s="17"/>
      <c r="AT112" s="17"/>
      <c r="AU112" s="17"/>
      <c r="AV112" s="17"/>
      <c r="AW112" s="17"/>
    </row>
    <row r="113" ht="44.05" customHeight="1">
      <c r="AD113" s="36"/>
      <c r="AE113" s="34"/>
      <c r="AF113" t="s" s="44">
        <v>89</v>
      </c>
      <c r="AG113" s="16">
        <f>AI111</f>
        <v>-0.09881889763779531</v>
      </c>
      <c r="AH113" t="s" s="44">
        <v>76</v>
      </c>
      <c r="AI113" s="16">
        <f>AJ111</f>
        <v>-0.0739285714285714</v>
      </c>
      <c r="AJ113" t="s" s="44">
        <v>90</v>
      </c>
      <c r="AK113" s="15">
        <f>AL112</f>
        <v>-7.2567</v>
      </c>
      <c r="AL113" t="s" s="44">
        <v>76</v>
      </c>
      <c r="AM113" s="15">
        <f>AN112</f>
        <v>-7.177185</v>
      </c>
      <c r="AN113" t="s" s="48">
        <f>AK108</f>
        <v>22</v>
      </c>
      <c r="AO113" t="s" s="44">
        <v>73</v>
      </c>
      <c r="AP113" t="s" s="44">
        <f>AM108</f>
        <v>74</v>
      </c>
      <c r="AQ113" t="s" s="44">
        <v>91</v>
      </c>
      <c r="AR113" s="17"/>
      <c r="AS113" s="17"/>
      <c r="AT113" s="17"/>
      <c r="AU113" s="17"/>
      <c r="AV113" s="17"/>
      <c r="AW113" s="17"/>
    </row>
    <row r="114" ht="68.05" customHeight="1">
      <c r="AD114" s="36"/>
      <c r="AE114" s="34"/>
      <c r="AF114" t="s" s="44">
        <v>92</v>
      </c>
      <c r="AG114" s="16">
        <f>AVERAGE(AG111:AJ111)</f>
        <v>-0.08170038078010521</v>
      </c>
      <c r="AH114" t="s" s="44">
        <v>78</v>
      </c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ht="44.05" customHeight="1">
      <c r="AD115" s="36"/>
      <c r="AE115" s="34"/>
      <c r="AF115" t="s" s="44">
        <v>93</v>
      </c>
      <c r="AG115" s="35">
        <f>AF53</f>
        <v>0.278529480094315</v>
      </c>
      <c r="AH115" t="s" s="44">
        <v>94</v>
      </c>
      <c r="AI115" s="15">
        <f>AI66</f>
        <v>10.4464986486618</v>
      </c>
      <c r="AJ115" t="s" s="48">
        <f>AN113</f>
        <v>22</v>
      </c>
      <c r="AK115" t="s" s="44">
        <v>95</v>
      </c>
      <c r="AL115" t="s" s="44">
        <f>AP113</f>
        <v>74</v>
      </c>
      <c r="AM115" t="s" s="44">
        <f>AK106</f>
        <v>75</v>
      </c>
      <c r="AN115" t="s" s="44">
        <f>AO108</f>
        <v>85</v>
      </c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ht="20.05" customHeight="1">
      <c r="AD116" s="36"/>
      <c r="AE116" s="34"/>
      <c r="AF116" t="s" s="44">
        <v>15</v>
      </c>
      <c r="AG116" t="s" s="44">
        <f>IF(AG118&gt;AF118,"more","less")</f>
        <v>360</v>
      </c>
      <c r="AH116" t="s" s="44">
        <f>IF(AI122&lt;0,"negative","positive")</f>
        <v>485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ht="8.35" customHeight="1" hidden="1">
      <c r="AD117" s="36"/>
      <c r="AE117" s="34"/>
      <c r="AF117" s="17"/>
      <c r="AG117" s="15">
        <f>ABS(AG122)</f>
        <v>208.15734</v>
      </c>
      <c r="AH117" s="15">
        <f>ABS(AI122)</f>
        <v>282.69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ht="8.35" customHeight="1" hidden="1">
      <c r="AD118" s="36"/>
      <c r="AE118" s="34"/>
      <c r="AF118" s="15">
        <f>ABS(AG122)</f>
        <v>208.15734</v>
      </c>
      <c r="AG118" s="15">
        <f>ABS(AI122)</f>
        <v>282.69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ht="56.05" customHeight="1">
      <c r="AD119" s="36"/>
      <c r="AE119" s="34"/>
      <c r="AF119" t="s" s="44">
        <f>AF110</f>
        <v>70</v>
      </c>
      <c r="AG119" t="s" s="44">
        <v>96</v>
      </c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</row>
    <row r="120" ht="32.05" customHeight="1">
      <c r="AD120" s="36"/>
      <c r="AE120" s="34"/>
      <c r="AF120" s="15">
        <f>J22</f>
        <v>32.9544</v>
      </c>
      <c r="AG120" t="s" s="44">
        <v>72</v>
      </c>
      <c r="AH120" s="15">
        <f>J23</f>
        <v>25.695</v>
      </c>
      <c r="AI120" t="s" s="44">
        <v>72</v>
      </c>
      <c r="AJ120" s="15">
        <f>J24</f>
        <v>5.01445</v>
      </c>
      <c r="AK120" t="s" s="44">
        <v>72</v>
      </c>
      <c r="AL120" s="15">
        <f>J25</f>
        <v>13.927</v>
      </c>
      <c r="AM120" t="s" s="44">
        <v>72</v>
      </c>
      <c r="AN120" s="15">
        <f>J26</f>
        <v>4.7115</v>
      </c>
      <c r="AO120" t="s" s="48">
        <f>AO105</f>
        <v>22</v>
      </c>
      <c r="AP120" s="17"/>
      <c r="AQ120" s="17"/>
      <c r="AR120" s="17"/>
      <c r="AS120" s="17"/>
      <c r="AT120" s="17"/>
      <c r="AU120" s="17"/>
      <c r="AV120" s="17"/>
      <c r="AW120" s="17"/>
    </row>
    <row r="121" ht="32.05" customHeight="1">
      <c r="AD121" s="36"/>
      <c r="AE121" s="34"/>
      <c r="AF121" s="15">
        <f>K22</f>
        <v>-242.1432</v>
      </c>
      <c r="AG121" t="s" s="44">
        <v>72</v>
      </c>
      <c r="AH121" s="15">
        <f>K23</f>
        <v>-1718.71</v>
      </c>
      <c r="AI121" t="s" s="44">
        <v>72</v>
      </c>
      <c r="AJ121" s="15">
        <f>K24</f>
        <v>-934.851077</v>
      </c>
      <c r="AK121" t="s" s="44">
        <v>72</v>
      </c>
      <c r="AL121" s="15">
        <f>K25</f>
        <v>-222.08434</v>
      </c>
      <c r="AM121" t="s" s="44">
        <v>72</v>
      </c>
      <c r="AN121" s="15">
        <f>K26</f>
        <v>-287.4015</v>
      </c>
      <c r="AO121" t="s" s="48">
        <f>AO120</f>
        <v>22</v>
      </c>
      <c r="AP121" s="17"/>
      <c r="AQ121" s="17"/>
      <c r="AR121" s="17"/>
      <c r="AS121" s="17"/>
      <c r="AT121" s="17"/>
      <c r="AU121" s="17"/>
      <c r="AV121" s="17"/>
      <c r="AW121" s="17"/>
    </row>
    <row r="122" ht="44.05" customHeight="1">
      <c r="AD122" s="36"/>
      <c r="AE122" s="34"/>
      <c r="AF122" t="s" s="44">
        <v>97</v>
      </c>
      <c r="AG122" s="15">
        <f>AL120+AL121</f>
        <v>-208.15734</v>
      </c>
      <c r="AH122" t="s" s="44">
        <v>76</v>
      </c>
      <c r="AI122" s="15">
        <f>AN120+AN121</f>
        <v>-282.69</v>
      </c>
      <c r="AJ122" t="s" s="48">
        <f>AJ115</f>
        <v>22</v>
      </c>
      <c r="AK122" t="s" s="44">
        <v>84</v>
      </c>
      <c r="AL122" t="s" s="44">
        <f>AL115</f>
        <v>74</v>
      </c>
      <c r="AM122" t="s" s="44">
        <v>98</v>
      </c>
      <c r="AN122" s="15">
        <f>AN121</f>
        <v>-287.4015</v>
      </c>
      <c r="AO122" t="s" s="48">
        <f>AO105</f>
        <v>22</v>
      </c>
      <c r="AP122" t="s" s="44">
        <v>99</v>
      </c>
      <c r="AQ122" s="17"/>
      <c r="AR122" s="17"/>
      <c r="AS122" s="17"/>
      <c r="AT122" s="17"/>
      <c r="AU122" s="17"/>
      <c r="AV122" s="17"/>
      <c r="AW122" s="17"/>
    </row>
    <row r="123" ht="56.05" customHeight="1">
      <c r="AD123" s="36"/>
      <c r="AE123" s="34"/>
      <c r="AF123" t="s" s="44">
        <v>100</v>
      </c>
      <c r="AG123" s="15">
        <f>(AH120+AH121+AJ120+AJ121+AL120+AL121+AN120+AN121)/4</f>
        <v>-778.42474175</v>
      </c>
      <c r="AH123" t="s" s="48">
        <f>AO105</f>
        <v>22</v>
      </c>
      <c r="AI123" t="s" s="44">
        <v>78</v>
      </c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ht="44.05" customHeight="1">
      <c r="AD124" s="36"/>
      <c r="AE124" s="34"/>
      <c r="AF124" t="s" s="44">
        <v>101</v>
      </c>
      <c r="AG124" s="15">
        <f>AF54</f>
        <v>-287.4015</v>
      </c>
      <c r="AH124" t="s" s="48">
        <f>AH123</f>
        <v>22</v>
      </c>
      <c r="AI124" t="s" s="44">
        <v>102</v>
      </c>
      <c r="AJ124" t="s" s="44">
        <v>103</v>
      </c>
      <c r="AK124" t="s" s="44">
        <f>IF(AJ108&gt;AM106,"higher","lower")</f>
        <v>363</v>
      </c>
      <c r="AL124" t="s" s="44">
        <v>105</v>
      </c>
      <c r="AM124" s="15">
        <f>SUM(AF55:AI55)/4</f>
        <v>-273.327837696717</v>
      </c>
      <c r="AN124" t="s" s="48">
        <f>AH124</f>
        <v>22</v>
      </c>
      <c r="AO124" t="s" s="44">
        <v>106</v>
      </c>
      <c r="AP124" t="s" s="44">
        <v>107</v>
      </c>
      <c r="AQ124" s="17"/>
      <c r="AR124" s="17"/>
      <c r="AS124" s="17"/>
      <c r="AT124" s="17"/>
      <c r="AU124" s="17"/>
      <c r="AV124" s="17"/>
      <c r="AW124" s="17"/>
    </row>
    <row r="125" ht="20.05" customHeight="1">
      <c r="AD125" s="36"/>
      <c r="AE125" s="34"/>
      <c r="AF125" t="s" s="44">
        <v>18</v>
      </c>
      <c r="AG125" t="s" s="44">
        <f>AN130</f>
        <v>87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ht="32.05" customHeight="1">
      <c r="AD126" s="36"/>
      <c r="AE126" s="34"/>
      <c r="AF126" t="s" s="44">
        <f>AF103</f>
        <v>70</v>
      </c>
      <c r="AG126" t="s" s="44">
        <v>109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ht="32.05" customHeight="1">
      <c r="AD127" s="36"/>
      <c r="AE127" s="34"/>
      <c r="AF127" s="15">
        <f>F22</f>
        <v>200.592</v>
      </c>
      <c r="AG127" t="s" s="44">
        <v>72</v>
      </c>
      <c r="AH127" s="15">
        <f>F23</f>
        <v>856.5</v>
      </c>
      <c r="AI127" t="s" s="44">
        <v>72</v>
      </c>
      <c r="AJ127" s="15">
        <f>F24</f>
        <v>787.985</v>
      </c>
      <c r="AK127" t="s" s="44">
        <v>72</v>
      </c>
      <c r="AL127" s="15">
        <f>F25</f>
        <v>586.4</v>
      </c>
      <c r="AM127" t="s" s="44">
        <v>72</v>
      </c>
      <c r="AN127" s="15">
        <f>F26</f>
        <v>1099.35</v>
      </c>
      <c r="AO127" t="s" s="48">
        <f>AO105</f>
        <v>22</v>
      </c>
      <c r="AP127" s="17"/>
      <c r="AQ127" s="17"/>
      <c r="AR127" s="17"/>
      <c r="AS127" s="17"/>
      <c r="AT127" s="17"/>
      <c r="AU127" s="17"/>
      <c r="AV127" s="17"/>
      <c r="AW127" s="17"/>
    </row>
    <row r="128" ht="32.05" customHeight="1">
      <c r="AD128" s="36"/>
      <c r="AE128" s="34"/>
      <c r="AF128" s="15">
        <f>G22</f>
        <v>1404.144</v>
      </c>
      <c r="AG128" t="s" s="44">
        <v>72</v>
      </c>
      <c r="AH128" s="15">
        <f>G23</f>
        <v>1441.775</v>
      </c>
      <c r="AI128" t="s" s="44">
        <v>72</v>
      </c>
      <c r="AJ128" s="15">
        <f>G24</f>
        <v>1432.7</v>
      </c>
      <c r="AK128" t="s" s="44">
        <v>72</v>
      </c>
      <c r="AL128" s="15">
        <f>G25</f>
        <v>1480.66</v>
      </c>
      <c r="AM128" t="s" s="44">
        <v>72</v>
      </c>
      <c r="AN128" s="15">
        <f>G26</f>
        <v>2402.865</v>
      </c>
      <c r="AO128" t="s" s="48">
        <f>AO127</f>
        <v>22</v>
      </c>
      <c r="AP128" s="17"/>
      <c r="AQ128" s="17"/>
      <c r="AR128" s="17"/>
      <c r="AS128" s="17"/>
      <c r="AT128" s="17"/>
      <c r="AU128" s="17"/>
      <c r="AV128" s="17"/>
      <c r="AW128" s="17"/>
    </row>
    <row r="129" ht="32.05" customHeight="1">
      <c r="AD129" s="36"/>
      <c r="AE129" s="34"/>
      <c r="AF129" t="s" s="44">
        <v>110</v>
      </c>
      <c r="AG129" t="s" s="44">
        <f>IF(AJ129&lt;AH129,"declined","increased")</f>
        <v>111</v>
      </c>
      <c r="AH129" s="15">
        <f>AL127</f>
        <v>586.4</v>
      </c>
      <c r="AI129" t="s" s="44">
        <v>76</v>
      </c>
      <c r="AJ129" s="15">
        <f>AN127</f>
        <v>1099.35</v>
      </c>
      <c r="AK129" t="s" s="48">
        <f>AN124</f>
        <v>22</v>
      </c>
      <c r="AL129" t="s" s="44">
        <v>84</v>
      </c>
      <c r="AM129" t="s" s="44">
        <f>AJ106</f>
        <v>74</v>
      </c>
      <c r="AN129" t="s" s="44">
        <f>AQ113</f>
        <v>91</v>
      </c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ht="32.05" customHeight="1">
      <c r="AD130" s="36"/>
      <c r="AE130" s="34"/>
      <c r="AF130" t="s" s="44">
        <v>112</v>
      </c>
      <c r="AG130" t="s" s="44">
        <f>IF(AJ130&lt;AH130,"declined","increased")</f>
        <v>111</v>
      </c>
      <c r="AH130" s="15">
        <f>AL128</f>
        <v>1480.66</v>
      </c>
      <c r="AI130" t="s" s="44">
        <v>76</v>
      </c>
      <c r="AJ130" s="15">
        <f>AN128</f>
        <v>2402.865</v>
      </c>
      <c r="AK130" t="s" s="48">
        <f>AK129</f>
        <v>22</v>
      </c>
      <c r="AL130" t="s" s="44">
        <v>113</v>
      </c>
      <c r="AM130" t="s" s="44">
        <v>114</v>
      </c>
      <c r="AN130" t="s" s="44">
        <f>IF(AQ130&lt;AO130,"down","up")</f>
        <v>87</v>
      </c>
      <c r="AO130" s="15">
        <f>AH129-AH130</f>
        <v>-894.26</v>
      </c>
      <c r="AP130" t="s" s="44">
        <v>76</v>
      </c>
      <c r="AQ130" s="15">
        <f>AJ129-AJ130</f>
        <v>-1303.515</v>
      </c>
      <c r="AR130" t="s" s="48">
        <f>AK130</f>
        <v>22</v>
      </c>
      <c r="AS130" t="s" s="44">
        <v>115</v>
      </c>
      <c r="AT130" s="17"/>
      <c r="AU130" s="17"/>
      <c r="AV130" s="17"/>
      <c r="AW130" s="17"/>
    </row>
    <row r="131" ht="56.05" customHeight="1">
      <c r="AD131" s="36"/>
      <c r="AE131" s="34"/>
      <c r="AF131" t="s" s="44">
        <v>116</v>
      </c>
      <c r="AG131" s="15">
        <f>SUM(AF58:AI58)</f>
        <v>0</v>
      </c>
      <c r="AH131" t="s" s="48">
        <f>AK130</f>
        <v>22</v>
      </c>
      <c r="AI131" t="s" s="44">
        <v>117</v>
      </c>
      <c r="AJ131" t="s" s="44">
        <f>IF(AK131&gt;0,"+","")</f>
        <v>361</v>
      </c>
      <c r="AK131" s="15">
        <f>AF56+AG56+AH56+AI56+AF60+AG60+AH60+AI60</f>
        <v>1093.311350786870</v>
      </c>
      <c r="AL131" t="s" s="48">
        <f>AR130</f>
        <v>22</v>
      </c>
      <c r="AM131" t="s" s="44">
        <v>118</v>
      </c>
      <c r="AN131" t="s" s="44">
        <v>119</v>
      </c>
      <c r="AO131" s="15">
        <f>AI75</f>
        <v>-2396.826350786870</v>
      </c>
      <c r="AP131" t="s" s="48">
        <f>AK130</f>
        <v>22</v>
      </c>
      <c r="AQ131" t="s" s="44">
        <v>120</v>
      </c>
      <c r="AR131" s="17"/>
      <c r="AS131" s="17"/>
      <c r="AT131" s="17"/>
      <c r="AU131" s="17"/>
      <c r="AV131" s="17"/>
      <c r="AW131" s="17"/>
    </row>
    <row r="132" ht="20.05" customHeight="1">
      <c r="AD132" s="36"/>
      <c r="AE132" s="34"/>
      <c r="AF132" t="s" s="44">
        <v>17</v>
      </c>
      <c r="AG132" t="s" s="44">
        <f>AG136</f>
        <v>121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ht="68.05" customHeight="1">
      <c r="AD133" s="36"/>
      <c r="AE133" s="34"/>
      <c r="AF133" t="s" s="44">
        <f>AF103</f>
        <v>70</v>
      </c>
      <c r="AG133" t="s" s="44">
        <v>122</v>
      </c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</row>
    <row r="134" ht="32.05" customHeight="1">
      <c r="AD134" s="36"/>
      <c r="AE134" s="34"/>
      <c r="AF134" s="15">
        <f>-L22</f>
        <v>10.0296</v>
      </c>
      <c r="AG134" t="s" s="44">
        <v>72</v>
      </c>
      <c r="AH134" s="15">
        <f>-L23</f>
        <v>9.9925</v>
      </c>
      <c r="AI134" t="s" s="44">
        <v>72</v>
      </c>
      <c r="AJ134" s="15">
        <f>-L24</f>
        <v>10.473037</v>
      </c>
      <c r="AK134" t="s" s="44">
        <v>72</v>
      </c>
      <c r="AL134" s="15">
        <f>-L25</f>
        <v>11.27354</v>
      </c>
      <c r="AM134" t="s" s="44">
        <v>72</v>
      </c>
      <c r="AN134" s="15">
        <f>-L26</f>
        <v>-745.9875</v>
      </c>
      <c r="AO134" t="s" s="48">
        <f>AO105</f>
        <v>22</v>
      </c>
      <c r="AP134" s="17"/>
      <c r="AQ134" s="17"/>
      <c r="AR134" s="17"/>
      <c r="AS134" s="17"/>
      <c r="AT134" s="17"/>
      <c r="AU134" s="17"/>
      <c r="AV134" s="17"/>
      <c r="AW134" s="17"/>
    </row>
    <row r="135" ht="32.05" customHeight="1">
      <c r="AD135" s="36"/>
      <c r="AE135" s="34"/>
      <c r="AF135" s="15">
        <f>-M22</f>
        <v>-1.4328</v>
      </c>
      <c r="AG135" t="s" s="44">
        <v>72</v>
      </c>
      <c r="AH135" s="15">
        <f>-M23</f>
        <v>-2369.65</v>
      </c>
      <c r="AI135" t="s" s="44">
        <v>72</v>
      </c>
      <c r="AJ135" s="15">
        <f>-M24</f>
        <v>-873.732095</v>
      </c>
      <c r="AK135" t="s" s="44">
        <v>72</v>
      </c>
      <c r="AL135" s="15">
        <f>-M25</f>
        <v>-3.1519</v>
      </c>
      <c r="AM135" t="s" s="44">
        <v>72</v>
      </c>
      <c r="AN135" s="15">
        <f>-M26</f>
        <v>0</v>
      </c>
      <c r="AO135" t="s" s="48">
        <f>AO134</f>
        <v>22</v>
      </c>
      <c r="AP135" s="17"/>
      <c r="AQ135" s="17"/>
      <c r="AR135" s="17"/>
      <c r="AS135" s="17"/>
      <c r="AT135" s="17"/>
      <c r="AU135" s="17"/>
      <c r="AV135" s="17"/>
      <c r="AW135" s="17"/>
    </row>
    <row r="136" ht="44.05" customHeight="1">
      <c r="AD136" s="36"/>
      <c r="AE136" s="34"/>
      <c r="AF136" t="s" s="44">
        <f>AF94</f>
        <v>512</v>
      </c>
      <c r="AG136" t="s" s="44">
        <f>IF(AH136&gt;0,"paid","(raised)")</f>
        <v>121</v>
      </c>
      <c r="AH136" s="15">
        <f>SUM(AN134:AN135)</f>
        <v>-745.9875</v>
      </c>
      <c r="AI136" t="s" s="48">
        <f>AO105</f>
        <v>22</v>
      </c>
      <c r="AJ136" t="s" s="44">
        <f>AI106</f>
        <v>73</v>
      </c>
      <c r="AK136" t="s" s="44">
        <f>AJ106</f>
        <v>74</v>
      </c>
      <c r="AL136" t="s" s="44">
        <f>AK106</f>
        <v>75</v>
      </c>
      <c r="AM136" s="15">
        <f>AN134</f>
        <v>-745.9875</v>
      </c>
      <c r="AN136" t="s" s="48">
        <f>AO105</f>
        <v>22</v>
      </c>
      <c r="AO136" t="s" s="44">
        <v>123</v>
      </c>
      <c r="AP136" s="15">
        <f>AN135</f>
        <v>0</v>
      </c>
      <c r="AQ136" t="s" s="48">
        <f>AO105</f>
        <v>22</v>
      </c>
      <c r="AR136" t="s" s="44">
        <v>124</v>
      </c>
      <c r="AS136" t="s" s="44">
        <v>125</v>
      </c>
      <c r="AT136" t="s" s="44">
        <f>IF(AU136&gt;0,"pay","raise")</f>
        <v>383</v>
      </c>
      <c r="AU136" s="15">
        <f>-SUM(AF76:AI76)</f>
        <v>-1093.311350786870</v>
      </c>
      <c r="AV136" t="s" s="48">
        <f>AO105</f>
        <v>22</v>
      </c>
      <c r="AW136" t="s" s="44">
        <v>126</v>
      </c>
    </row>
    <row r="137" ht="56.05" customHeight="1">
      <c r="AD137" s="36"/>
      <c r="AE137" s="34"/>
      <c r="AF137" t="s" s="44">
        <v>127</v>
      </c>
      <c r="AG137" s="15">
        <f>AI80</f>
        <v>22260.089044992</v>
      </c>
      <c r="AH137" t="s" s="48">
        <f>AO105</f>
        <v>22</v>
      </c>
      <c r="AI137" t="s" s="44">
        <v>128</v>
      </c>
      <c r="AJ137" t="s" s="44">
        <v>129</v>
      </c>
      <c r="AK137" s="43">
        <f>AI82</f>
        <v>1.20912646929975</v>
      </c>
      <c r="AL137" t="s" s="44">
        <v>130</v>
      </c>
      <c r="AM137" t="s" s="44">
        <v>131</v>
      </c>
      <c r="AN137" t="s" s="44">
        <v>132</v>
      </c>
      <c r="AO137" s="15">
        <f>AI85</f>
        <v>-15.8332834438009</v>
      </c>
      <c r="AP137" t="s" s="44">
        <v>133</v>
      </c>
      <c r="AQ137" s="16">
        <f>-AG131/AG137</f>
        <v>0</v>
      </c>
      <c r="AR137" t="s" s="44">
        <v>134</v>
      </c>
      <c r="AS137" s="17"/>
      <c r="AT137" s="17"/>
      <c r="AU137" s="17"/>
      <c r="AV137" s="17"/>
      <c r="AW137" s="17"/>
    </row>
    <row r="138" ht="56.05" customHeight="1">
      <c r="AD138" s="36"/>
      <c r="AE138" s="34"/>
      <c r="AF138" t="s" s="44">
        <v>135</v>
      </c>
      <c r="AG138" s="15">
        <f>AI86</f>
        <v>56.2946492131309</v>
      </c>
      <c r="AH138" t="s" s="48">
        <f>AH137</f>
        <v>22</v>
      </c>
      <c r="AI138" t="s" s="44">
        <v>136</v>
      </c>
      <c r="AJ138" s="15">
        <f>AG137/AG138</f>
        <v>395.421045448131</v>
      </c>
      <c r="AK138" t="s" s="44">
        <v>130</v>
      </c>
      <c r="AL138" t="s" s="44">
        <v>137</v>
      </c>
      <c r="AM138" t="s" s="44">
        <v>138</v>
      </c>
      <c r="AN138" s="15">
        <f>AI87</f>
        <v>200</v>
      </c>
      <c r="AO138" t="s" s="44">
        <v>139</v>
      </c>
      <c r="AP138" t="s" s="44">
        <v>140</v>
      </c>
      <c r="AQ138" t="s" s="44">
        <v>141</v>
      </c>
      <c r="AR138" s="16">
        <f>AK95</f>
        <v>-0.494210026749232</v>
      </c>
      <c r="AS138" t="s" s="44">
        <f>IF(AR138&gt;0,"higher","lower")</f>
        <v>104</v>
      </c>
      <c r="AT138" t="s" s="44">
        <v>142</v>
      </c>
      <c r="AU138" s="15">
        <f>AI95</f>
        <v>79.4090258003705</v>
      </c>
      <c r="AV138" t="s" s="44">
        <v>143</v>
      </c>
      <c r="AW138" s="17"/>
    </row>
    <row r="139" ht="20.05" customHeight="1">
      <c r="AD139" s="36"/>
      <c r="AE139" s="38"/>
      <c r="AF139" s="44"/>
      <c r="AG139" s="17"/>
      <c r="AH139" s="17"/>
      <c r="AI139" s="17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</row>
    <row r="140" ht="20.05" customHeight="1">
      <c r="AD140" t="s" s="33">
        <v>28</v>
      </c>
      <c r="AE140" s="14">
        <f>AF105</f>
        <v>30.0888</v>
      </c>
      <c r="AF140" s="15">
        <f>AH105</f>
        <v>34.26</v>
      </c>
      <c r="AG140" s="15">
        <f>AJ105</f>
        <v>42.40792</v>
      </c>
      <c r="AH140" s="15">
        <f>AL105</f>
        <v>37.2364</v>
      </c>
      <c r="AI140" s="15">
        <f>AN105</f>
        <v>43.974</v>
      </c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ht="20.05" customHeight="1">
      <c r="AD141" t="s" s="33">
        <v>144</v>
      </c>
      <c r="AE141" s="14">
        <f>SUM(AF120:AF121)</f>
        <v>-209.1888</v>
      </c>
      <c r="AF141" s="15">
        <f>SUM(AH120:AH121)</f>
        <v>-1693.015</v>
      </c>
      <c r="AG141" s="15">
        <f>SUM(AJ120:AJ121)</f>
        <v>-929.836627</v>
      </c>
      <c r="AH141" s="15">
        <f>SUM(AL120:AL121)</f>
        <v>-208.15734</v>
      </c>
      <c r="AI141" s="15">
        <f>SUM(AN120:AN121)</f>
        <v>-282.69</v>
      </c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ht="20.05" customHeight="1">
      <c r="AD142" t="s" s="33">
        <v>145</v>
      </c>
      <c r="AE142" s="14">
        <f>SUM(AF134:AF135)</f>
        <v>8.5968</v>
      </c>
      <c r="AF142" s="15">
        <f>SUM(AH134:AH135)</f>
        <v>-2359.6575</v>
      </c>
      <c r="AG142" s="15">
        <f>SUM(AJ134:AJ135)</f>
        <v>-863.259058</v>
      </c>
      <c r="AH142" s="15">
        <f>SUM(AL134:AL135)</f>
        <v>8.121639999999999</v>
      </c>
      <c r="AI142" s="15">
        <f>SUM(AN134:AN135)</f>
        <v>-745.9875</v>
      </c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ht="20.05" customHeight="1">
      <c r="AD143" t="s" s="33">
        <v>146</v>
      </c>
      <c r="AE143" s="14">
        <f>(AF127-AF128)</f>
        <v>-1203.552</v>
      </c>
      <c r="AF143" s="15">
        <f>(AH127-AH128)</f>
        <v>-585.275</v>
      </c>
      <c r="AG143" s="15">
        <f>(AJ127-AJ128)</f>
        <v>-644.715</v>
      </c>
      <c r="AH143" s="15">
        <f>(AL127-AL128)</f>
        <v>-894.26</v>
      </c>
      <c r="AI143" s="15">
        <f>(AN127-AN128)</f>
        <v>-1303.515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ht="20.05" customHeight="1">
      <c r="AD144" s="36"/>
      <c r="AE144" s="34"/>
      <c r="AF144" s="17"/>
      <c r="AG144" s="17"/>
      <c r="AH144" s="17"/>
      <c r="AI144" s="15">
        <f>AU138</f>
        <v>79.4090258003705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ht="20.05" customHeight="1">
      <c r="AD145" s="36"/>
      <c r="AE145" s="34"/>
      <c r="AF145" s="17"/>
      <c r="AG145" s="17"/>
      <c r="AH145" s="17"/>
      <c r="AI145" s="17"/>
      <c r="AJ145" s="15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ht="20.05" customHeight="1">
      <c r="AD146" s="36"/>
      <c r="AE146" s="34"/>
      <c r="AF146" s="17"/>
      <c r="AG146" s="17"/>
      <c r="AH146" s="17"/>
      <c r="AI146" s="17"/>
      <c r="AJ146" s="15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ht="20.05" customHeight="1">
      <c r="AD147" s="36"/>
      <c r="AE147" s="34"/>
      <c r="AF147" s="17"/>
      <c r="AG147" s="17"/>
      <c r="AH147" s="17"/>
      <c r="AI147" s="17"/>
      <c r="AJ147" s="15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ht="20.05" customHeight="1">
      <c r="AD148" s="36"/>
      <c r="AE148" s="34"/>
      <c r="AF148" s="17"/>
      <c r="AG148" s="17"/>
      <c r="AH148" s="17"/>
      <c r="AI148" s="17"/>
      <c r="AJ148" s="15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  <row r="149" ht="20.05" customHeight="1">
      <c r="AD149" s="36"/>
      <c r="AE149" s="34"/>
      <c r="AF149" s="17"/>
      <c r="AG149" s="17"/>
      <c r="AH149" s="17"/>
      <c r="AI149" s="17"/>
      <c r="AJ149" s="15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</row>
    <row r="150" ht="20.05" customHeight="1">
      <c r="AD150" s="36"/>
      <c r="AE150" s="34"/>
      <c r="AF150" s="17"/>
      <c r="AG150" s="17"/>
      <c r="AH150" s="17"/>
      <c r="AI150" s="17"/>
      <c r="AJ150" s="15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</row>
    <row r="151" ht="20.05" customHeight="1">
      <c r="AD151" s="36"/>
      <c r="AE151" s="34"/>
      <c r="AF151" s="17"/>
      <c r="AG151" s="17"/>
      <c r="AH151" s="17"/>
      <c r="AI151" s="17"/>
      <c r="AJ151" s="15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</row>
  </sheetData>
  <mergeCells count="2">
    <mergeCell ref="B2:AC2"/>
    <mergeCell ref="AD46:AW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42" customWidth="1"/>
    <col min="2" max="28" width="10.4844" style="142" customWidth="1"/>
    <col min="29" max="29" width="18.9766" style="143" customWidth="1"/>
    <col min="30" max="48" width="9" style="143" customWidth="1"/>
    <col min="49" max="16384" width="16.3516" style="143" customWidth="1"/>
  </cols>
  <sheetData>
    <row r="1" ht="11.65" customHeight="1"/>
    <row r="2" ht="27.65" customHeight="1">
      <c r="B2" t="s" s="2">
        <v>513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372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190</v>
      </c>
      <c r="AA3" t="s" s="3">
        <v>19</v>
      </c>
      <c r="AB3" t="s" s="3">
        <v>20</v>
      </c>
    </row>
    <row r="4" ht="20.25" customHeight="1">
      <c r="B4" s="6">
        <v>2017</v>
      </c>
      <c r="C4" s="7">
        <v>1754</v>
      </c>
      <c r="D4" s="8">
        <v>77</v>
      </c>
      <c r="E4" s="8">
        <v>792</v>
      </c>
      <c r="F4" s="8">
        <v>4567.7</v>
      </c>
      <c r="G4" s="8">
        <v>14629</v>
      </c>
      <c r="H4" s="8">
        <v>39628</v>
      </c>
      <c r="I4" s="8">
        <v>2403</v>
      </c>
      <c r="J4" s="8">
        <v>996</v>
      </c>
      <c r="K4" s="8">
        <v>-102.5</v>
      </c>
      <c r="L4" s="8">
        <v>349.5</v>
      </c>
      <c r="M4" s="8">
        <v>-43.75</v>
      </c>
      <c r="N4" s="8"/>
      <c r="O4" s="8"/>
      <c r="P4" s="9"/>
      <c r="Q4" s="9"/>
      <c r="R4" s="9"/>
      <c r="S4" s="9"/>
      <c r="T4" s="9"/>
      <c r="U4" s="9"/>
      <c r="V4" s="8">
        <f>-(L4+M4)</f>
        <v>-305.75</v>
      </c>
      <c r="W4" s="9"/>
      <c r="X4" s="8">
        <f>F4-G4</f>
        <v>-10061.3</v>
      </c>
      <c r="Y4" s="9"/>
      <c r="Z4" s="10"/>
      <c r="AA4" s="11"/>
      <c r="AB4" s="12">
        <v>13.3</v>
      </c>
    </row>
    <row r="5" ht="20.05" customHeight="1">
      <c r="B5" s="13"/>
      <c r="C5" s="14">
        <v>2459</v>
      </c>
      <c r="D5" s="15">
        <v>77</v>
      </c>
      <c r="E5" s="15">
        <v>1335</v>
      </c>
      <c r="F5" s="15">
        <v>5396.9</v>
      </c>
      <c r="G5" s="15">
        <v>15801</v>
      </c>
      <c r="H5" s="15">
        <v>42119</v>
      </c>
      <c r="I5" s="15">
        <v>3223</v>
      </c>
      <c r="J5" s="15">
        <v>621.2</v>
      </c>
      <c r="K5" s="15">
        <v>-604.8</v>
      </c>
      <c r="L5" s="15">
        <v>349.5</v>
      </c>
      <c r="M5" s="15">
        <v>-43.75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-611.5</v>
      </c>
      <c r="W5" s="17"/>
      <c r="X5" s="15">
        <f>F5-G5</f>
        <v>-10404.1</v>
      </c>
      <c r="Y5" s="17"/>
      <c r="Z5" s="18"/>
      <c r="AA5" s="19"/>
      <c r="AB5" s="20">
        <v>13.327</v>
      </c>
    </row>
    <row r="6" ht="20.05" customHeight="1">
      <c r="B6" s="13"/>
      <c r="C6" s="14">
        <v>1614</v>
      </c>
      <c r="D6" s="15">
        <v>77</v>
      </c>
      <c r="E6" s="15">
        <v>332</v>
      </c>
      <c r="F6" s="15">
        <v>4539.2</v>
      </c>
      <c r="G6" s="15">
        <v>16820</v>
      </c>
      <c r="H6" s="15">
        <v>43472</v>
      </c>
      <c r="I6" s="15">
        <v>2315</v>
      </c>
      <c r="J6" s="15">
        <v>-8.699999999999999</v>
      </c>
      <c r="K6" s="15">
        <v>-598.7</v>
      </c>
      <c r="L6" s="15">
        <v>349.5</v>
      </c>
      <c r="M6" s="15">
        <v>-43.75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-917.25</v>
      </c>
      <c r="W6" s="17"/>
      <c r="X6" s="15">
        <f>F6-G6</f>
        <v>-12280.8</v>
      </c>
      <c r="Y6" s="17"/>
      <c r="Z6" s="18"/>
      <c r="AA6" s="19"/>
      <c r="AB6" s="20">
        <v>13.305</v>
      </c>
    </row>
    <row r="7" ht="20.05" customHeight="1">
      <c r="B7" s="13"/>
      <c r="C7" s="14">
        <v>4520</v>
      </c>
      <c r="D7" s="15">
        <v>77</v>
      </c>
      <c r="E7" s="15">
        <v>2708</v>
      </c>
      <c r="F7" s="15">
        <v>5801.1</v>
      </c>
      <c r="G7" s="15">
        <v>16754</v>
      </c>
      <c r="H7" s="15">
        <v>45951</v>
      </c>
      <c r="I7" s="15">
        <v>3185</v>
      </c>
      <c r="J7" s="15">
        <v>2476.9</v>
      </c>
      <c r="K7" s="15">
        <v>-1692.6</v>
      </c>
      <c r="L7" s="15">
        <v>349.5</v>
      </c>
      <c r="M7" s="15">
        <v>-43.75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-1223</v>
      </c>
      <c r="W7" s="17"/>
      <c r="X7" s="15">
        <f>F7-G7</f>
        <v>-10952.9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1702</v>
      </c>
      <c r="D8" s="15">
        <v>98</v>
      </c>
      <c r="E8" s="15">
        <v>499</v>
      </c>
      <c r="F8" s="15">
        <v>4855.9</v>
      </c>
      <c r="G8" s="15">
        <v>18895</v>
      </c>
      <c r="H8" s="15">
        <v>48585</v>
      </c>
      <c r="I8" s="15">
        <v>1953</v>
      </c>
      <c r="J8" s="15">
        <v>131.25</v>
      </c>
      <c r="K8" s="15">
        <v>-3275.2</v>
      </c>
      <c r="L8" s="15">
        <v>1145.25</v>
      </c>
      <c r="M8" s="15">
        <v>-85.5</v>
      </c>
      <c r="N8" s="15">
        <f>SUM(C5:C8)/4</f>
        <v>2573.75</v>
      </c>
      <c r="O8" s="15"/>
      <c r="P8" s="16"/>
      <c r="Q8" s="16"/>
      <c r="R8" s="16"/>
      <c r="S8" s="17"/>
      <c r="T8" s="15">
        <f>SUM(J5:K8)/4</f>
        <v>-737.6625</v>
      </c>
      <c r="U8" s="25"/>
      <c r="V8" s="15">
        <f>-(L8+M8)+V7</f>
        <v>-2282.75</v>
      </c>
      <c r="W8" s="17"/>
      <c r="X8" s="15">
        <f>F8-G8</f>
        <v>-14039.1</v>
      </c>
      <c r="Y8" s="24"/>
      <c r="Z8" s="15">
        <v>1760</v>
      </c>
      <c r="AA8" s="22"/>
      <c r="AB8" s="20">
        <v>13.761</v>
      </c>
    </row>
    <row r="9" ht="20.05" customHeight="1">
      <c r="B9" s="13"/>
      <c r="C9" s="14">
        <v>1418</v>
      </c>
      <c r="D9" s="15">
        <v>98</v>
      </c>
      <c r="E9" s="15">
        <v>80</v>
      </c>
      <c r="F9" s="15">
        <v>8720.1</v>
      </c>
      <c r="G9" s="15">
        <v>21653</v>
      </c>
      <c r="H9" s="15">
        <v>51375</v>
      </c>
      <c r="I9" s="15">
        <v>1711</v>
      </c>
      <c r="J9" s="15">
        <v>-47.35</v>
      </c>
      <c r="K9" s="15">
        <v>1514.7</v>
      </c>
      <c r="L9" s="15">
        <v>1145.25</v>
      </c>
      <c r="M9" s="15">
        <v>-85.5</v>
      </c>
      <c r="N9" s="15">
        <f>SUM(C6:C9)/4</f>
        <v>2313.5</v>
      </c>
      <c r="O9" s="15"/>
      <c r="P9" s="16"/>
      <c r="Q9" s="16"/>
      <c r="R9" s="16"/>
      <c r="S9" s="17"/>
      <c r="T9" s="15">
        <f>SUM(J6:K9)/4</f>
        <v>-374.925</v>
      </c>
      <c r="U9" s="25"/>
      <c r="V9" s="15">
        <f>-(L9+M9)+V8</f>
        <v>-3342.5</v>
      </c>
      <c r="W9" s="17"/>
      <c r="X9" s="15">
        <f>F13-G9</f>
        <v>-14775.7</v>
      </c>
      <c r="Y9" s="24"/>
      <c r="Z9" s="15">
        <v>1565</v>
      </c>
      <c r="AA9" s="22"/>
      <c r="AB9" s="20">
        <v>14</v>
      </c>
    </row>
    <row r="10" ht="20.05" customHeight="1">
      <c r="B10" s="13"/>
      <c r="C10" s="14">
        <v>1667</v>
      </c>
      <c r="D10" s="15">
        <v>98</v>
      </c>
      <c r="E10" s="15">
        <v>298</v>
      </c>
      <c r="F10" s="15">
        <v>8560</v>
      </c>
      <c r="G10" s="15">
        <v>22427</v>
      </c>
      <c r="H10" s="15">
        <v>52422</v>
      </c>
      <c r="I10" s="15">
        <v>2060</v>
      </c>
      <c r="J10" s="15">
        <v>150.65</v>
      </c>
      <c r="K10" s="15">
        <v>-544.9</v>
      </c>
      <c r="L10" s="15">
        <v>1145.25</v>
      </c>
      <c r="M10" s="15">
        <v>-85.5</v>
      </c>
      <c r="N10" s="15">
        <f>SUM(C7:C10)/4</f>
        <v>2326.75</v>
      </c>
      <c r="O10" s="15"/>
      <c r="P10" s="16"/>
      <c r="Q10" s="16"/>
      <c r="R10" s="16"/>
      <c r="S10" s="17"/>
      <c r="T10" s="15">
        <f>SUM(J7:K10)/4</f>
        <v>-321.6375</v>
      </c>
      <c r="U10" s="25"/>
      <c r="V10" s="15">
        <f>-(L10+M10)+V9</f>
        <v>-4402.25</v>
      </c>
      <c r="W10" s="17"/>
      <c r="X10" s="15">
        <f>F10-G10</f>
        <v>-13867</v>
      </c>
      <c r="Y10" s="24"/>
      <c r="Z10" s="15">
        <v>1160</v>
      </c>
      <c r="AA10" s="22"/>
      <c r="AB10" s="20">
        <v>14.902</v>
      </c>
    </row>
    <row r="11" ht="20.05" customHeight="1">
      <c r="B11" s="13"/>
      <c r="C11" s="14">
        <v>1842</v>
      </c>
      <c r="D11" s="15">
        <v>98</v>
      </c>
      <c r="E11" s="15">
        <v>825</v>
      </c>
      <c r="F11" s="15">
        <v>8128.7</v>
      </c>
      <c r="G11" s="15">
        <v>21815</v>
      </c>
      <c r="H11" s="15">
        <v>52102</v>
      </c>
      <c r="I11" s="15">
        <v>2018</v>
      </c>
      <c r="J11" s="15">
        <v>555.15</v>
      </c>
      <c r="K11" s="15">
        <v>-346.3</v>
      </c>
      <c r="L11" s="15">
        <v>1145.25</v>
      </c>
      <c r="M11" s="15">
        <v>-85.5</v>
      </c>
      <c r="N11" s="15">
        <f>SUM(C8:C11)/4</f>
        <v>1657.25</v>
      </c>
      <c r="O11" s="15"/>
      <c r="P11" s="16"/>
      <c r="Q11" s="16"/>
      <c r="R11" s="16"/>
      <c r="S11" s="17"/>
      <c r="T11" s="15">
        <f>SUM(J8:K11)/4</f>
        <v>-465.5</v>
      </c>
      <c r="U11" s="25"/>
      <c r="V11" s="15">
        <f>-(L11+M11)+V10</f>
        <v>-5462</v>
      </c>
      <c r="W11" s="17"/>
      <c r="X11" s="15">
        <f>F11-G11</f>
        <v>-13686.3</v>
      </c>
      <c r="Y11" s="24"/>
      <c r="Z11" s="15">
        <v>1255</v>
      </c>
      <c r="AA11" s="22"/>
      <c r="AB11" s="20">
        <v>14.38</v>
      </c>
    </row>
    <row r="12" ht="20.05" customHeight="1">
      <c r="B12" s="21">
        <v>2019</v>
      </c>
      <c r="C12" s="14">
        <v>1630</v>
      </c>
      <c r="D12" s="15">
        <v>89.75</v>
      </c>
      <c r="E12" s="15">
        <v>716</v>
      </c>
      <c r="F12" s="15">
        <v>7628.1</v>
      </c>
      <c r="G12" s="15">
        <v>21396</v>
      </c>
      <c r="H12" s="15">
        <v>52503</v>
      </c>
      <c r="I12" s="15">
        <v>1889</v>
      </c>
      <c r="J12" s="15">
        <v>230.45</v>
      </c>
      <c r="K12" s="15">
        <v>-571.6</v>
      </c>
      <c r="L12" s="15">
        <v>-64</v>
      </c>
      <c r="M12" s="15">
        <v>-25.75</v>
      </c>
      <c r="N12" s="15">
        <f>SUM(C9:C12)/4</f>
        <v>1639.25</v>
      </c>
      <c r="O12" s="23"/>
      <c r="P12" s="16"/>
      <c r="Q12" s="16">
        <f>(E12+D12)/C12</f>
        <v>0.494325153374233</v>
      </c>
      <c r="R12" s="16">
        <f>AVERAGE(Q9:Q12)</f>
        <v>0.494325153374233</v>
      </c>
      <c r="S12" s="17"/>
      <c r="T12" s="15">
        <f>SUM(J9:K12)/4</f>
        <v>235.2</v>
      </c>
      <c r="U12" s="25"/>
      <c r="V12" s="15">
        <f>-(L12+M12)+V11</f>
        <v>-5372.25</v>
      </c>
      <c r="W12" s="17"/>
      <c r="X12" s="15">
        <f>F12-G12</f>
        <v>-13767.9</v>
      </c>
      <c r="Y12" s="24"/>
      <c r="Z12" s="15">
        <v>1470</v>
      </c>
      <c r="AA12" s="22"/>
      <c r="AB12" s="20">
        <v>14.24</v>
      </c>
    </row>
    <row r="13" ht="20.05" customHeight="1">
      <c r="B13" s="13"/>
      <c r="C13" s="14">
        <v>1971</v>
      </c>
      <c r="D13" s="15">
        <v>89.75</v>
      </c>
      <c r="E13" s="15">
        <v>1537</v>
      </c>
      <c r="F13" s="15">
        <v>6877.3</v>
      </c>
      <c r="G13" s="15">
        <v>20695</v>
      </c>
      <c r="H13" s="15">
        <v>53306</v>
      </c>
      <c r="I13" s="15">
        <v>2243</v>
      </c>
      <c r="J13" s="15">
        <v>521.45</v>
      </c>
      <c r="K13" s="15">
        <v>-881.8</v>
      </c>
      <c r="L13" s="15">
        <v>-64</v>
      </c>
      <c r="M13" s="15">
        <v>-25.75</v>
      </c>
      <c r="N13" s="15">
        <f>SUM(C10:C13)/4</f>
        <v>1777.5</v>
      </c>
      <c r="O13" s="23"/>
      <c r="P13" s="16">
        <f>C13/C12-1</f>
        <v>0.20920245398773</v>
      </c>
      <c r="Q13" s="16">
        <f>(E13+D13)/C13</f>
        <v>0.825342465753425</v>
      </c>
      <c r="R13" s="16">
        <f>AVERAGE(Q10:Q13)</f>
        <v>0.659833809563829</v>
      </c>
      <c r="S13" s="17"/>
      <c r="T13" s="15">
        <f>SUM(J10:K13)/4</f>
        <v>-221.725</v>
      </c>
      <c r="U13" s="25"/>
      <c r="V13" s="15">
        <f>-(L13+M13)+V12</f>
        <v>-5282.5</v>
      </c>
      <c r="W13" s="17"/>
      <c r="X13" s="15">
        <f>F13-G13</f>
        <v>-13817.7</v>
      </c>
      <c r="Y13" s="24"/>
      <c r="Z13" s="15">
        <v>1535</v>
      </c>
      <c r="AA13" s="24"/>
      <c r="AB13" s="15">
        <v>14.127</v>
      </c>
    </row>
    <row r="14" ht="20.05" customHeight="1">
      <c r="B14" s="13"/>
      <c r="C14" s="14">
        <v>1630</v>
      </c>
      <c r="D14" s="15">
        <v>89.75</v>
      </c>
      <c r="E14" s="15">
        <v>268</v>
      </c>
      <c r="F14" s="15">
        <v>6892.5</v>
      </c>
      <c r="G14" s="15">
        <v>20400</v>
      </c>
      <c r="H14" s="15">
        <v>53267</v>
      </c>
      <c r="I14" s="15">
        <v>1885</v>
      </c>
      <c r="J14" s="15">
        <v>61.55</v>
      </c>
      <c r="K14" s="15">
        <v>452.3</v>
      </c>
      <c r="L14" s="15">
        <v>-64</v>
      </c>
      <c r="M14" s="15">
        <v>-25.75</v>
      </c>
      <c r="N14" s="15">
        <f>SUM(C11:C14)/4</f>
        <v>1768.25</v>
      </c>
      <c r="O14" s="23"/>
      <c r="P14" s="16">
        <f>C14/C13-1</f>
        <v>-0.17300862506342</v>
      </c>
      <c r="Q14" s="16">
        <f>(E14+D14)/C14</f>
        <v>0.219478527607362</v>
      </c>
      <c r="R14" s="16">
        <f>AVERAGE(Q11:Q14)</f>
        <v>0.51304871557834</v>
      </c>
      <c r="S14" s="17"/>
      <c r="T14" s="15">
        <f>SUM(J11:K14)/4</f>
        <v>5.3</v>
      </c>
      <c r="U14" s="25"/>
      <c r="V14" s="15">
        <f>-(L14+M14)+V13</f>
        <v>-5192.75</v>
      </c>
      <c r="W14" s="17"/>
      <c r="X14" s="15">
        <f>F14-G14</f>
        <v>-13507.5</v>
      </c>
      <c r="Y14" s="24"/>
      <c r="Z14" s="15">
        <v>1320</v>
      </c>
      <c r="AA14" s="24"/>
      <c r="AB14" s="15">
        <v>14.195</v>
      </c>
    </row>
    <row r="15" ht="20.05" customHeight="1">
      <c r="B15" s="13"/>
      <c r="C15" s="14">
        <v>1854</v>
      </c>
      <c r="D15" s="15">
        <v>89.75</v>
      </c>
      <c r="E15" s="15">
        <v>609</v>
      </c>
      <c r="F15" s="15">
        <v>6896.1</v>
      </c>
      <c r="G15" s="15">
        <v>20897</v>
      </c>
      <c r="H15" s="15">
        <v>54445</v>
      </c>
      <c r="I15" s="15">
        <v>2222</v>
      </c>
      <c r="J15" s="15">
        <v>292.55</v>
      </c>
      <c r="K15" s="15">
        <v>-968.1</v>
      </c>
      <c r="L15" s="15">
        <v>-64</v>
      </c>
      <c r="M15" s="15">
        <v>-25.75</v>
      </c>
      <c r="N15" s="15">
        <f>SUM(C12:C15)/4</f>
        <v>1771.25</v>
      </c>
      <c r="O15" s="15"/>
      <c r="P15" s="16">
        <f>C15/C14-1</f>
        <v>0.137423312883436</v>
      </c>
      <c r="Q15" s="16">
        <f>(E15+D15)/C15</f>
        <v>0.376887810140237</v>
      </c>
      <c r="R15" s="16">
        <f>AVERAGE(Q12:Q15)</f>
        <v>0.479008489218814</v>
      </c>
      <c r="S15" s="17"/>
      <c r="T15" s="15">
        <f>SUM(J12:K15)/4</f>
        <v>-215.8</v>
      </c>
      <c r="U15" s="25"/>
      <c r="V15" s="15">
        <f>-(L15+M15)+V14</f>
        <v>-5103</v>
      </c>
      <c r="W15" s="17"/>
      <c r="X15" s="15">
        <f>F15-G15</f>
        <v>-14000.9</v>
      </c>
      <c r="Y15" s="24"/>
      <c r="Z15" s="15">
        <v>1275</v>
      </c>
      <c r="AA15" s="24"/>
      <c r="AB15" s="15">
        <v>13.882</v>
      </c>
    </row>
    <row r="16" ht="20.05" customHeight="1">
      <c r="B16" s="21">
        <v>2020</v>
      </c>
      <c r="C16" s="14">
        <v>1497</v>
      </c>
      <c r="D16" s="15">
        <v>99.25</v>
      </c>
      <c r="E16" s="15">
        <v>309</v>
      </c>
      <c r="F16" s="15">
        <v>10420</v>
      </c>
      <c r="G16" s="15">
        <v>27922</v>
      </c>
      <c r="H16" s="15">
        <v>60105</v>
      </c>
      <c r="I16" s="15">
        <v>1547</v>
      </c>
      <c r="J16" s="15">
        <v>40.75</v>
      </c>
      <c r="K16" s="15">
        <v>-925</v>
      </c>
      <c r="L16" s="15">
        <v>3587</v>
      </c>
      <c r="M16" s="15">
        <v>-71</v>
      </c>
      <c r="N16" s="15">
        <f>SUM(C13:C16)/4</f>
        <v>1738</v>
      </c>
      <c r="O16" s="15"/>
      <c r="P16" s="16">
        <f>C16/C15-1</f>
        <v>-0.192556634304207</v>
      </c>
      <c r="Q16" s="16">
        <f>(E16+D16)/C16</f>
        <v>0.272712090848363</v>
      </c>
      <c r="R16" s="16">
        <f>AVERAGE(Q13:Q16)</f>
        <v>0.423605223587347</v>
      </c>
      <c r="S16" s="17"/>
      <c r="T16" s="15">
        <f>SUM(J13:K16)/4</f>
        <v>-351.575</v>
      </c>
      <c r="U16" s="25"/>
      <c r="V16" s="15">
        <f>-(L16+M16)+V15</f>
        <v>-8619</v>
      </c>
      <c r="W16" s="17"/>
      <c r="X16" s="15">
        <f>F16-G16</f>
        <v>-17502</v>
      </c>
      <c r="Y16" s="24"/>
      <c r="Z16" s="15">
        <v>650</v>
      </c>
      <c r="AA16" s="24"/>
      <c r="AB16" s="15">
        <v>16.31</v>
      </c>
    </row>
    <row r="17" ht="20.05" customHeight="1">
      <c r="B17" s="13"/>
      <c r="C17" s="14">
        <v>841</v>
      </c>
      <c r="D17" s="15">
        <v>99.25</v>
      </c>
      <c r="E17" s="15">
        <v>-508</v>
      </c>
      <c r="F17" s="15">
        <v>10888</v>
      </c>
      <c r="G17" s="15">
        <v>26452</v>
      </c>
      <c r="H17" s="15">
        <v>60412</v>
      </c>
      <c r="I17" s="15">
        <v>1140</v>
      </c>
      <c r="J17" s="15">
        <v>-224.25</v>
      </c>
      <c r="K17" s="15">
        <v>-670</v>
      </c>
      <c r="L17" s="15">
        <v>125</v>
      </c>
      <c r="M17" s="15">
        <v>1236</v>
      </c>
      <c r="N17" s="15">
        <f>SUM(C14:C17)/4</f>
        <v>1455.5</v>
      </c>
      <c r="O17" s="15"/>
      <c r="P17" s="16">
        <f>C17/C16-1</f>
        <v>-0.438209752839011</v>
      </c>
      <c r="Q17" s="16">
        <f>(E17+D17)/C17</f>
        <v>-0.48602853745541</v>
      </c>
      <c r="R17" s="16">
        <f>AVERAGE(Q14:Q17)</f>
        <v>0.095762472785138</v>
      </c>
      <c r="S17" s="17"/>
      <c r="T17" s="25">
        <f>SUM(J14:K17)/4</f>
        <v>-485.05</v>
      </c>
      <c r="U17" s="25"/>
      <c r="V17" s="15">
        <f>-(L17+M17)+V16</f>
        <v>-9980</v>
      </c>
      <c r="W17" s="17"/>
      <c r="X17" s="15">
        <f>F17-G17</f>
        <v>-15564</v>
      </c>
      <c r="Y17" s="24"/>
      <c r="Z17" s="15">
        <v>750</v>
      </c>
      <c r="AA17" s="24"/>
      <c r="AB17" s="15">
        <v>14.255</v>
      </c>
    </row>
    <row r="18" ht="20.05" customHeight="1">
      <c r="B18" s="13"/>
      <c r="C18" s="14">
        <v>1942</v>
      </c>
      <c r="D18" s="15">
        <v>99.25</v>
      </c>
      <c r="E18" s="15">
        <v>827</v>
      </c>
      <c r="F18" s="15">
        <v>11252</v>
      </c>
      <c r="G18" s="15">
        <v>26612</v>
      </c>
      <c r="H18" s="15">
        <v>60891</v>
      </c>
      <c r="I18" s="15">
        <v>1627</v>
      </c>
      <c r="J18" s="15">
        <v>72.75</v>
      </c>
      <c r="K18" s="15">
        <v>545</v>
      </c>
      <c r="L18" s="15">
        <v>-219</v>
      </c>
      <c r="M18" s="15">
        <v>-34</v>
      </c>
      <c r="N18" s="15">
        <f>SUM(C15:C18)/4</f>
        <v>1533.5</v>
      </c>
      <c r="O18" s="15"/>
      <c r="P18" s="16">
        <f>C18/C17-1</f>
        <v>1.30915576694411</v>
      </c>
      <c r="Q18" s="16">
        <f>(E18+D18)/C18</f>
        <v>0.476956745623069</v>
      </c>
      <c r="R18" s="16">
        <f>AVERAGE(Q15:Q18)</f>
        <v>0.160132027289065</v>
      </c>
      <c r="S18" s="17"/>
      <c r="T18" s="25">
        <f>SUM(J15:K18)/4</f>
        <v>-459.075</v>
      </c>
      <c r="U18" s="25"/>
      <c r="V18" s="15">
        <f>-(L18+M18)+V17</f>
        <v>-9727</v>
      </c>
      <c r="W18" s="17"/>
      <c r="X18" s="15">
        <f>F18-G18</f>
        <v>-15360</v>
      </c>
      <c r="Y18" s="24"/>
      <c r="Z18" s="15">
        <v>745</v>
      </c>
      <c r="AA18" s="24"/>
      <c r="AB18" s="15">
        <v>14.79</v>
      </c>
    </row>
    <row r="19" ht="20.05" customHeight="1">
      <c r="B19" s="13"/>
      <c r="C19" s="14">
        <v>1901</v>
      </c>
      <c r="D19" s="15">
        <v>99.25</v>
      </c>
      <c r="E19" s="15">
        <v>-142</v>
      </c>
      <c r="F19" s="15">
        <v>11552</v>
      </c>
      <c r="G19" s="15">
        <v>26392</v>
      </c>
      <c r="H19" s="15">
        <v>60863</v>
      </c>
      <c r="I19" s="15">
        <v>2372</v>
      </c>
      <c r="J19" s="15">
        <v>424.75</v>
      </c>
      <c r="K19" s="15">
        <v>44</v>
      </c>
      <c r="L19" s="15">
        <v>-96</v>
      </c>
      <c r="M19" s="15">
        <v>-71</v>
      </c>
      <c r="N19" s="15">
        <f>SUM(C16:C19)/4</f>
        <v>1545.25</v>
      </c>
      <c r="O19" s="15"/>
      <c r="P19" s="16">
        <f>C19/C18-1</f>
        <v>-0.0211122554067971</v>
      </c>
      <c r="Q19" s="16">
        <f>(E19+D19)/C19</f>
        <v>-0.0224881641241452</v>
      </c>
      <c r="R19" s="16">
        <f>AVERAGE(Q16:Q19)</f>
        <v>0.0602880337229692</v>
      </c>
      <c r="S19" s="17"/>
      <c r="T19" s="25">
        <f>SUM(J16:K19)/4</f>
        <v>-173</v>
      </c>
      <c r="U19" s="25"/>
      <c r="V19" s="15">
        <f>-(L19+M19)+V18</f>
        <v>-9560</v>
      </c>
      <c r="W19" s="17"/>
      <c r="X19" s="15">
        <f>F19-G19</f>
        <v>-14840</v>
      </c>
      <c r="Y19" s="24"/>
      <c r="Z19" s="15">
        <v>1225</v>
      </c>
      <c r="AA19" s="24"/>
      <c r="AB19" s="15">
        <v>14.1</v>
      </c>
    </row>
    <row r="20" ht="20.05" customHeight="1">
      <c r="B20" s="21">
        <v>2021</v>
      </c>
      <c r="C20" s="14">
        <v>1669</v>
      </c>
      <c r="D20" s="15">
        <v>108.25</v>
      </c>
      <c r="E20" s="15">
        <v>629</v>
      </c>
      <c r="F20" s="15">
        <v>12485</v>
      </c>
      <c r="G20" s="15">
        <v>28054</v>
      </c>
      <c r="H20" s="15">
        <v>62962</v>
      </c>
      <c r="I20" s="15">
        <v>2709</v>
      </c>
      <c r="J20" s="15">
        <v>1269.725</v>
      </c>
      <c r="K20" s="15">
        <v>166</v>
      </c>
      <c r="L20" s="15">
        <v>17.5</v>
      </c>
      <c r="M20" s="15">
        <v>-2</v>
      </c>
      <c r="N20" s="15">
        <f>SUM(C17:C20)/4</f>
        <v>1588.25</v>
      </c>
      <c r="O20" s="15"/>
      <c r="P20" s="16">
        <f>C20/C19-1</f>
        <v>-0.122041031036297</v>
      </c>
      <c r="Q20" s="16">
        <f>(E20+D20)/C20</f>
        <v>0.441731575793889</v>
      </c>
      <c r="R20" s="16">
        <f>AVERAGE(Q17:Q20)</f>
        <v>0.102542904959351</v>
      </c>
      <c r="S20" s="17"/>
      <c r="T20" s="25">
        <f>SUM(J17:K20)/4</f>
        <v>406.99375</v>
      </c>
      <c r="U20" s="25"/>
      <c r="V20" s="15">
        <f>-(L20+M20)+V19</f>
        <v>-9575.5</v>
      </c>
      <c r="W20" s="17"/>
      <c r="X20" s="15">
        <f>F20-G20</f>
        <v>-15569</v>
      </c>
      <c r="Y20" s="15"/>
      <c r="Z20" s="15">
        <v>1120</v>
      </c>
      <c r="AA20" s="15"/>
      <c r="AB20" s="15">
        <v>14.606</v>
      </c>
    </row>
    <row r="21" ht="20.05" customHeight="1">
      <c r="B21" s="13"/>
      <c r="C21" s="14">
        <v>1585</v>
      </c>
      <c r="D21" s="15">
        <v>108.25</v>
      </c>
      <c r="E21" s="15">
        <v>118</v>
      </c>
      <c r="F21" s="15">
        <v>7636</v>
      </c>
      <c r="G21" s="15">
        <v>24015</v>
      </c>
      <c r="H21" s="15">
        <v>59062</v>
      </c>
      <c r="I21" s="15">
        <v>2500</v>
      </c>
      <c r="J21" s="15">
        <v>148.725</v>
      </c>
      <c r="K21" s="15">
        <v>208</v>
      </c>
      <c r="L21" s="15">
        <v>-5153.5</v>
      </c>
      <c r="M21" s="15">
        <v>-24</v>
      </c>
      <c r="N21" s="15">
        <f>SUM(C18:C21)/4</f>
        <v>1774.25</v>
      </c>
      <c r="O21" s="15"/>
      <c r="P21" s="16">
        <f>C21/C20-1</f>
        <v>-0.0503295386458957</v>
      </c>
      <c r="Q21" s="16">
        <f>(E21+D21)/C21</f>
        <v>0.142744479495268</v>
      </c>
      <c r="R21" s="16">
        <f>AVERAGE(Q18:Q21)</f>
        <v>0.25973615919702</v>
      </c>
      <c r="S21" s="17"/>
      <c r="T21" s="25">
        <f>SUM(J18:K21)/4</f>
        <v>719.7375</v>
      </c>
      <c r="U21" s="25"/>
      <c r="V21" s="15">
        <f>-(L21+M21)+V20</f>
        <v>-4398</v>
      </c>
      <c r="W21" s="17"/>
      <c r="X21" s="15">
        <f>F21-G21</f>
        <v>-16379</v>
      </c>
      <c r="Y21" s="15"/>
      <c r="Z21" s="15">
        <v>965</v>
      </c>
      <c r="AA21" s="15"/>
      <c r="AB21" s="15">
        <v>14.45</v>
      </c>
    </row>
    <row r="22" ht="20.05" customHeight="1">
      <c r="B22" s="13"/>
      <c r="C22" s="14">
        <v>1913.2</v>
      </c>
      <c r="D22" s="15">
        <v>108.25</v>
      </c>
      <c r="E22" s="15">
        <v>285.4</v>
      </c>
      <c r="F22" s="15">
        <v>7662</v>
      </c>
      <c r="G22" s="15">
        <v>24693</v>
      </c>
      <c r="H22" s="15">
        <v>60102</v>
      </c>
      <c r="I22" s="15">
        <v>2530</v>
      </c>
      <c r="J22" s="15">
        <v>915.725</v>
      </c>
      <c r="K22" s="15">
        <v>-250.4</v>
      </c>
      <c r="L22" s="15">
        <v>-378.6</v>
      </c>
      <c r="M22" s="15">
        <v>-59.6</v>
      </c>
      <c r="N22" s="15">
        <f>SUM(C19:C22)/4</f>
        <v>1767.05</v>
      </c>
      <c r="O22" s="15"/>
      <c r="P22" s="16">
        <f>C22/C21-1</f>
        <v>0.207066246056782</v>
      </c>
      <c r="Q22" s="16">
        <f>(E22+D22)/C22</f>
        <v>0.205754756429019</v>
      </c>
      <c r="R22" s="16">
        <f>AVERAGE(Q19:Q22)</f>
        <v>0.191935661898508</v>
      </c>
      <c r="S22" s="17"/>
      <c r="T22" s="25">
        <f>SUM(J19:K22)/4</f>
        <v>731.63125</v>
      </c>
      <c r="U22" s="25"/>
      <c r="V22" s="15">
        <f>-(L22+M22)+V21</f>
        <v>-3959.8</v>
      </c>
      <c r="W22" s="17"/>
      <c r="X22" s="15">
        <f>F22-G22</f>
        <v>-17031</v>
      </c>
      <c r="Y22" s="15"/>
      <c r="Z22" s="15">
        <v>1005</v>
      </c>
      <c r="AA22" s="15"/>
      <c r="AB22" s="15">
        <v>14.328</v>
      </c>
    </row>
    <row r="23" ht="20.05" customHeight="1">
      <c r="B23" s="13"/>
      <c r="C23" s="14">
        <v>2487.6</v>
      </c>
      <c r="D23" s="15">
        <v>108.25</v>
      </c>
      <c r="E23" s="15">
        <v>506.4</v>
      </c>
      <c r="F23" s="15">
        <v>7767</v>
      </c>
      <c r="G23" s="15">
        <v>25576</v>
      </c>
      <c r="H23" s="15">
        <v>61470</v>
      </c>
      <c r="I23" s="15">
        <v>3022.5</v>
      </c>
      <c r="J23" s="15">
        <v>-33.575</v>
      </c>
      <c r="K23" s="15">
        <v>245.2</v>
      </c>
      <c r="L23" s="15">
        <v>154.1</v>
      </c>
      <c r="M23" s="15">
        <v>-240.4</v>
      </c>
      <c r="N23" s="15">
        <f>SUM(C20:C23)/4</f>
        <v>1913.7</v>
      </c>
      <c r="O23" s="15">
        <v>1783.5</v>
      </c>
      <c r="P23" s="16">
        <f>C23/C22-1</f>
        <v>0.300229981183358</v>
      </c>
      <c r="Q23" s="16">
        <f>(E23+D23)/C23</f>
        <v>0.247085544299727</v>
      </c>
      <c r="R23" s="16">
        <f>AVERAGE(Q20:Q23)</f>
        <v>0.259329089004476</v>
      </c>
      <c r="S23" s="17"/>
      <c r="T23" s="25">
        <f>SUM(J20:K23)/4</f>
        <v>667.35</v>
      </c>
      <c r="U23" s="25"/>
      <c r="V23" s="15">
        <f>-(L23+M23)+V22</f>
        <v>-3873.5</v>
      </c>
      <c r="W23" s="17"/>
      <c r="X23" s="15">
        <f>F23-G23</f>
        <v>-17809</v>
      </c>
      <c r="Y23" s="15"/>
      <c r="Z23" s="15">
        <v>1010</v>
      </c>
      <c r="AA23" s="15"/>
      <c r="AB23" s="15">
        <v>14.275</v>
      </c>
    </row>
    <row r="24" ht="20.05" customHeight="1">
      <c r="B24" s="21">
        <v>2022</v>
      </c>
      <c r="C24" s="14">
        <v>2026.8</v>
      </c>
      <c r="D24" s="15">
        <v>106</v>
      </c>
      <c r="E24" s="15">
        <v>372.1</v>
      </c>
      <c r="F24" s="15">
        <v>8927</v>
      </c>
      <c r="G24" s="15">
        <v>26903</v>
      </c>
      <c r="H24" s="15">
        <v>63133</v>
      </c>
      <c r="I24" s="15">
        <v>3192.5</v>
      </c>
      <c r="J24" s="15">
        <v>1344</v>
      </c>
      <c r="K24" s="15">
        <v>-245.4</v>
      </c>
      <c r="L24" s="15">
        <v>59</v>
      </c>
      <c r="M24" s="15">
        <v>1</v>
      </c>
      <c r="N24" s="15">
        <f>SUM(C21:C24)/4</f>
        <v>2003.15</v>
      </c>
      <c r="O24" s="15">
        <v>2009.908</v>
      </c>
      <c r="P24" s="16">
        <f>C24/C23-1</f>
        <v>-0.185238784370478</v>
      </c>
      <c r="Q24" s="16">
        <f>(E24+D24)/C24</f>
        <v>0.235889086244326</v>
      </c>
      <c r="R24" s="16">
        <f>AVERAGE(Q21:Q24)</f>
        <v>0.207868466617085</v>
      </c>
      <c r="S24" s="35"/>
      <c r="T24" s="25">
        <f>SUM(J21:K24)/4</f>
        <v>583.06875</v>
      </c>
      <c r="U24" s="15">
        <v>839.949725227430</v>
      </c>
      <c r="V24" s="15">
        <f>-(L24+M24)+V23</f>
        <v>-3933.5</v>
      </c>
      <c r="W24" s="15"/>
      <c r="X24" s="15">
        <f>F24-G24</f>
        <v>-17976</v>
      </c>
      <c r="Y24" s="15">
        <v>-14321.5353550373</v>
      </c>
      <c r="Z24" s="15">
        <v>1020</v>
      </c>
      <c r="AA24" s="26">
        <v>1419</v>
      </c>
      <c r="AB24" s="15">
        <v>14.327</v>
      </c>
    </row>
    <row r="25" ht="20.05" customHeight="1">
      <c r="B25" s="13"/>
      <c r="C25" s="14">
        <v>1808.8</v>
      </c>
      <c r="D25" s="15">
        <v>105.4</v>
      </c>
      <c r="E25" s="15">
        <v>136.9</v>
      </c>
      <c r="F25" s="15">
        <v>9122</v>
      </c>
      <c r="G25" s="15">
        <v>27594</v>
      </c>
      <c r="H25" s="15">
        <v>63691</v>
      </c>
      <c r="I25" s="15">
        <v>2589</v>
      </c>
      <c r="J25" s="15">
        <v>288.7</v>
      </c>
      <c r="K25" s="15">
        <v>414.6</v>
      </c>
      <c r="L25" s="15">
        <v>-359.7</v>
      </c>
      <c r="M25" s="15">
        <v>-208.3</v>
      </c>
      <c r="N25" s="15">
        <f>SUM(C22:C25)/4</f>
        <v>2059.1</v>
      </c>
      <c r="O25" s="15">
        <v>2064.801</v>
      </c>
      <c r="P25" s="16">
        <f>C25/C24-1</f>
        <v>-0.10755871324255</v>
      </c>
      <c r="Q25" s="16">
        <f>(E25+D25)/C25</f>
        <v>0.133956214064573</v>
      </c>
      <c r="R25" s="16">
        <f>AVERAGE(Q22:Q25)</f>
        <v>0.205671400259411</v>
      </c>
      <c r="S25" s="35"/>
      <c r="T25" s="25">
        <f>SUM(J22:K25)/4</f>
        <v>669.7125</v>
      </c>
      <c r="U25" s="15">
        <v>839.949725227430</v>
      </c>
      <c r="V25" s="15">
        <f>-(L25+M25)+V24</f>
        <v>-3365.5</v>
      </c>
      <c r="W25" s="15"/>
      <c r="X25" s="15">
        <f>F25-G25</f>
        <v>-18472</v>
      </c>
      <c r="Y25" s="15">
        <v>-14321.5353550373</v>
      </c>
      <c r="Z25" s="26">
        <v>910</v>
      </c>
      <c r="AA25" s="15">
        <v>1879.258098828850</v>
      </c>
      <c r="AB25" s="15">
        <v>14.66</v>
      </c>
    </row>
    <row r="26" ht="20.05" customHeight="1">
      <c r="B26" s="13"/>
      <c r="C26" s="14">
        <v>3310</v>
      </c>
      <c r="D26" s="15">
        <v>106.2</v>
      </c>
      <c r="E26" s="15">
        <v>512.4</v>
      </c>
      <c r="F26" s="15">
        <v>10535.6</v>
      </c>
      <c r="G26" s="15">
        <v>27367</v>
      </c>
      <c r="H26" s="15">
        <v>64107</v>
      </c>
      <c r="I26" s="15">
        <v>3133</v>
      </c>
      <c r="J26" s="15">
        <v>655.1</v>
      </c>
      <c r="K26" s="15">
        <v>1160.1</v>
      </c>
      <c r="L26" s="15">
        <v>-327.8</v>
      </c>
      <c r="M26" s="15">
        <v>-73.7</v>
      </c>
      <c r="N26" s="15">
        <f>SUM(C23:C26)/4</f>
        <v>2408.3</v>
      </c>
      <c r="O26" s="15">
        <v>2347.040094</v>
      </c>
      <c r="P26" s="16">
        <f>C26/C25-1</f>
        <v>0.8299425033171161</v>
      </c>
      <c r="Q26" s="16">
        <f>(E26+D26)/C26</f>
        <v>0.186888217522659</v>
      </c>
      <c r="R26" s="16">
        <f>AVERAGE(Q23:Q26)</f>
        <v>0.200954765532821</v>
      </c>
      <c r="S26" s="35">
        <f>S27</f>
        <v>0.200954765532821</v>
      </c>
      <c r="T26" s="25">
        <f>SUM(J23:K26)/4</f>
        <v>957.18125</v>
      </c>
      <c r="U26" s="15">
        <v>594.641143152458</v>
      </c>
      <c r="V26" s="15">
        <f>-(L26+M26)+V25</f>
        <v>-2964</v>
      </c>
      <c r="W26" s="15">
        <f>W27</f>
        <v>-479.932112711456</v>
      </c>
      <c r="X26" s="15">
        <f>F26-G26</f>
        <v>-16831.4</v>
      </c>
      <c r="Y26" s="15">
        <v>-16093.4354273902</v>
      </c>
      <c r="Z26" s="26">
        <v>905</v>
      </c>
      <c r="AA26" s="15">
        <v>1879.258098828850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2967.5184375</v>
      </c>
      <c r="P27" s="17"/>
      <c r="Q27" s="17"/>
      <c r="R27" s="17"/>
      <c r="S27" s="35">
        <f>AE53</f>
        <v>0.200954765532821</v>
      </c>
      <c r="T27" s="25"/>
      <c r="U27" s="15">
        <f>SUM(AE55:AH55)/4</f>
        <v>621.016971822136</v>
      </c>
      <c r="V27" s="17"/>
      <c r="W27" s="15">
        <f>-SUM(AE76:AH76)+V26</f>
        <v>-479.932112711456</v>
      </c>
      <c r="X27" s="26"/>
      <c r="Y27" s="15">
        <f>AH75</f>
        <v>-14347.3321127115</v>
      </c>
      <c r="Z27" s="15">
        <v>910</v>
      </c>
      <c r="AA27" s="15">
        <v>1879.258098828850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8384.25</v>
      </c>
      <c r="O28" s="15">
        <f>SUM(O23:O26)</f>
        <v>8205.249094000001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1425.345229428440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190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514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0.209343746721862</v>
      </c>
      <c r="AF49" s="35"/>
      <c r="AG49" s="35"/>
      <c r="AH49" s="35">
        <f>AVERAGE(AE51:AH51)</f>
        <v>-0.0125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0.300229981183358</v>
      </c>
      <c r="AF50" s="35">
        <f>P24</f>
        <v>-0.185238784370478</v>
      </c>
      <c r="AG50" s="35">
        <f>P25</f>
        <v>-0.10755871324255</v>
      </c>
      <c r="AH50" s="35">
        <f>P26</f>
        <v>0.8299425033171161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</v>
      </c>
      <c r="AF51" s="35">
        <v>-0.15</v>
      </c>
      <c r="AG51" s="35">
        <v>-0.05</v>
      </c>
      <c r="AH51" s="35">
        <v>0.15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3310</v>
      </c>
      <c r="AE52" s="23">
        <f>C26*(1+AE51)</f>
        <v>3310</v>
      </c>
      <c r="AF52" s="23">
        <f>AE52*(1+AF51)</f>
        <v>2813.5</v>
      </c>
      <c r="AG52" s="23">
        <f>AF52*(1+AG51)</f>
        <v>2672.825</v>
      </c>
      <c r="AH52" s="23">
        <f>AG52*(1+AH51)</f>
        <v>3073.74875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0.200954765532821</v>
      </c>
      <c r="AF53" s="35">
        <f>AE53</f>
        <v>0.200954765532821</v>
      </c>
      <c r="AG53" s="35">
        <f>AF53</f>
        <v>0.200954765532821</v>
      </c>
      <c r="AH53" s="35">
        <f>AG53</f>
        <v>0.200954765532821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AVERAGE(K20:K24)</f>
        <v>24.68</v>
      </c>
      <c r="AF54" s="15">
        <f>AE54</f>
        <v>24.68</v>
      </c>
      <c r="AG54" s="15">
        <f>AF54</f>
        <v>24.68</v>
      </c>
      <c r="AH54" s="15">
        <f>AG54</f>
        <v>24.68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689.840273913638</v>
      </c>
      <c r="AF55" s="15">
        <f>(AF52*AF53)+AF54</f>
        <v>590.066232826592</v>
      </c>
      <c r="AG55" s="15">
        <f>(AG52*AG53)+AG54</f>
        <v>561.796921185262</v>
      </c>
      <c r="AH55" s="15">
        <f>(AH52*AH53)+AH54</f>
        <v>642.364459363052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-1368.35</v>
      </c>
      <c r="AF56" s="15">
        <f>-AE71/20</f>
        <v>-1299.9325</v>
      </c>
      <c r="AG56" s="15">
        <f>-AF71/20</f>
        <v>-1234.935875</v>
      </c>
      <c r="AH56" s="15">
        <f>-AG71/20</f>
        <v>-1173.18908125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-678.509726086362</v>
      </c>
      <c r="AF59" s="15">
        <f>AF55+AF56+AF58</f>
        <v>-709.866267173408</v>
      </c>
      <c r="AG59" s="15">
        <f>AG55+AG56+AG58</f>
        <v>-673.138953814738</v>
      </c>
      <c r="AH59" s="15">
        <f>AH55+AH56+AH58</f>
        <v>-530.824621886948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678.509726086362</v>
      </c>
      <c r="AF60" s="15">
        <f>-MIN(AE72,AF59)</f>
        <v>709.866267173408</v>
      </c>
      <c r="AG60" s="15">
        <f>-MIN(AF72,AG59)</f>
        <v>673.138953814738</v>
      </c>
      <c r="AH60" s="15">
        <f>-MIN(AG72,AH59)</f>
        <v>530.824621886948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10535.6</v>
      </c>
      <c r="AF61" s="15">
        <f>AE63</f>
        <v>10535.6</v>
      </c>
      <c r="AG61" s="15">
        <f>AF63</f>
        <v>10535.6</v>
      </c>
      <c r="AH61" s="15">
        <f>AG63</f>
        <v>10535.6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10535.6</v>
      </c>
      <c r="AF63" s="15">
        <f>AF61+AF62</f>
        <v>10535.6</v>
      </c>
      <c r="AG63" s="15">
        <f>AG61+AG62</f>
        <v>10535.6</v>
      </c>
      <c r="AH63" s="15">
        <f>AH61+AH62</f>
        <v>10535.6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-105.866666666667</v>
      </c>
      <c r="AF65" s="15">
        <f>AE65</f>
        <v>-105.866666666667</v>
      </c>
      <c r="AG65" s="15">
        <f>AF65</f>
        <v>-105.866666666667</v>
      </c>
      <c r="AH65" s="15">
        <f>AG65</f>
        <v>-105.866666666667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559.293607246971</v>
      </c>
      <c r="AF66" s="15">
        <f>(AF52*AF53)+AF65</f>
        <v>459.519566159925</v>
      </c>
      <c r="AG66" s="15">
        <f>(AG52*AG53)+AG65</f>
        <v>431.250254518595</v>
      </c>
      <c r="AH66" s="15">
        <f>(AH52*AH53)+AH65</f>
        <v>511.817792696385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53546.72</v>
      </c>
      <c r="AF68" s="15">
        <f>AE68-AF54</f>
        <v>53522.04</v>
      </c>
      <c r="AG68" s="15">
        <f>AF68-AG54</f>
        <v>53497.36</v>
      </c>
      <c r="AH68" s="15">
        <f>AG68-AH54</f>
        <v>53472.68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105.866666666667</v>
      </c>
      <c r="AF69" s="15">
        <f>AE69-AF65</f>
        <v>211.733333333334</v>
      </c>
      <c r="AG69" s="15">
        <f>AF69-AG65</f>
        <v>317.600000000001</v>
      </c>
      <c r="AH69" s="15">
        <f>AG69-AH65</f>
        <v>423.466666666668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53440.8533333333</v>
      </c>
      <c r="AF70" s="15">
        <f>AF68-AF69</f>
        <v>53310.3066666667</v>
      </c>
      <c r="AG70" s="15">
        <f>AG68-AG69</f>
        <v>53179.76</v>
      </c>
      <c r="AH70" s="15">
        <f>AH68-AH69</f>
        <v>53049.2133333333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25998.65</v>
      </c>
      <c r="AF71" s="15">
        <f>AE71+AF56</f>
        <v>24698.7175</v>
      </c>
      <c r="AG71" s="15">
        <f>AF71+AG56</f>
        <v>23463.781625</v>
      </c>
      <c r="AH71" s="15">
        <f>AG71+AH56</f>
        <v>22290.59254375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678.509726086362</v>
      </c>
      <c r="AF72" s="15">
        <f>AE72+AF60</f>
        <v>1388.375993259770</v>
      </c>
      <c r="AG72" s="15">
        <f>AF72+AG60</f>
        <v>2061.514947074510</v>
      </c>
      <c r="AH72" s="15">
        <f>AG72+AH60</f>
        <v>2592.339568961460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37299.293607247</v>
      </c>
      <c r="AF73" s="15">
        <f>AE73+AF66+AF58</f>
        <v>37758.8131734069</v>
      </c>
      <c r="AG73" s="15">
        <f>AF73+AG66+AG58</f>
        <v>38190.0634279255</v>
      </c>
      <c r="AH73" s="15">
        <f>AG73+AH66+AH58</f>
        <v>38701.8812206219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6.200000000000001e-11</v>
      </c>
      <c r="AF74" s="15">
        <f>AF71+AF72+AF73-AF63-AF70</f>
        <v>-3e-11</v>
      </c>
      <c r="AG74" s="15">
        <f>AG71+AG72+AG73-AG63-AG70</f>
        <v>9.999999999999999e-12</v>
      </c>
      <c r="AH74" s="15">
        <f>AH71+AH72+AH73-AH63-AH70</f>
        <v>6e-11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-16141.5597260864</v>
      </c>
      <c r="AF75" s="15">
        <f>AF63-AF71-AF72</f>
        <v>-15551.4934932598</v>
      </c>
      <c r="AG75" s="15">
        <f>AG63-AG71-AG72</f>
        <v>-14989.6965720745</v>
      </c>
      <c r="AH75" s="15">
        <f>AH63-AH71-AH72</f>
        <v>-14347.3321127115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-689.840273913638</v>
      </c>
      <c r="AF76" s="15">
        <f>AF56+AF58+AF60</f>
        <v>-590.066232826592</v>
      </c>
      <c r="AG76" s="15">
        <f>AG56+AG58+AG60</f>
        <v>-561.796921185262</v>
      </c>
      <c r="AH76" s="15">
        <f>AH56+AH58+AH60</f>
        <v>-642.364459363052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515</v>
      </c>
      <c r="AD78" s="14"/>
      <c r="AE78" s="15"/>
      <c r="AF78" s="15"/>
      <c r="AG78" s="15"/>
      <c r="AH78" s="15">
        <v>910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515</v>
      </c>
      <c r="AD79" s="14"/>
      <c r="AE79" s="15"/>
      <c r="AF79" s="15"/>
      <c r="AG79" s="15"/>
      <c r="AH79" s="15">
        <v>19031193825280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19031.19382528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20.913399808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0.299304076360372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3828.725</v>
      </c>
      <c r="AH84" s="15">
        <f>SUM(AE55:AH55)</f>
        <v>2484.067887288540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21.3557824263968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7.66130181975554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29808.8146474625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1425.345229428440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0.566313438932352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0.730085720259252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-0.0213496622834481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515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910</v>
      </c>
      <c r="AG94" t="s" s="44">
        <v>61</v>
      </c>
      <c r="AH94" s="15">
        <f>AH88</f>
        <v>1425.345229428440</v>
      </c>
      <c r="AI94" t="s" s="44">
        <f>IF(AJ94&gt;0,"+","")</f>
        <v>361</v>
      </c>
      <c r="AJ94" s="16">
        <f>AH94/AF94-1</f>
        <v>0.566313438932352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0.730085720259252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0.201181546210419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0.0523246207853358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-0.884411149112574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0.8299425033171161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0.207066246056782</v>
      </c>
      <c r="AF103" s="16">
        <f>P23</f>
        <v>0.300229981183358</v>
      </c>
      <c r="AG103" s="16">
        <f>P24</f>
        <v>-0.185238784370478</v>
      </c>
      <c r="AH103" s="16">
        <f>P25</f>
        <v>-0.10755871324255</v>
      </c>
      <c r="AI103" s="16">
        <f>P26</f>
        <v>0.8299425033171161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1913.2</v>
      </c>
      <c r="AF104" t="s" s="44">
        <v>72</v>
      </c>
      <c r="AG104" s="15">
        <f>C23</f>
        <v>2487.6</v>
      </c>
      <c r="AH104" t="s" s="44">
        <v>72</v>
      </c>
      <c r="AI104" s="15">
        <f>C24</f>
        <v>2026.8</v>
      </c>
      <c r="AJ104" t="s" s="44">
        <v>72</v>
      </c>
      <c r="AK104" s="15">
        <f>C25</f>
        <v>1808.8</v>
      </c>
      <c r="AL104" t="s" s="44">
        <v>72</v>
      </c>
      <c r="AM104" s="15">
        <f>C26</f>
        <v>3310</v>
      </c>
      <c r="AN104" t="s" s="48">
        <f>AC$47</f>
        <v>514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0.8299425033171161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3310</v>
      </c>
      <c r="AM105" t="s" s="48">
        <f>AN104</f>
        <v>514</v>
      </c>
      <c r="AN105" t="s" s="44">
        <v>77</v>
      </c>
      <c r="AO105" t="s" s="44">
        <f>IF(AP105&gt;0,"+","")</f>
      </c>
      <c r="AP105" s="16">
        <f>AH91</f>
        <v>-0.0213496622834481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0.209343746721862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-0.0125</v>
      </c>
      <c r="AG107" t="s" s="44">
        <v>82</v>
      </c>
      <c r="AH107" t="s" s="44">
        <v>83</v>
      </c>
      <c r="AI107" s="23">
        <f>AH52</f>
        <v>3073.74875</v>
      </c>
      <c r="AJ107" t="s" s="48">
        <f>AN104</f>
        <v>514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0.205754756429019</v>
      </c>
      <c r="AF110" s="16">
        <f>(D23+E23)/C23</f>
        <v>0.247085544299727</v>
      </c>
      <c r="AG110" s="16">
        <f>((E24+D24)/C24)</f>
        <v>0.235889086244326</v>
      </c>
      <c r="AH110" s="16">
        <f>(D25+E25)/C25</f>
        <v>0.133956214064573</v>
      </c>
      <c r="AI110" s="16">
        <f>(D26+E26)/C26</f>
        <v>0.186888217522659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285.4</v>
      </c>
      <c r="AF111" t="s" s="44">
        <v>72</v>
      </c>
      <c r="AG111" s="15">
        <f>E23</f>
        <v>506.4</v>
      </c>
      <c r="AH111" t="s" s="44">
        <v>72</v>
      </c>
      <c r="AI111" s="15">
        <f>E24</f>
        <v>372.1</v>
      </c>
      <c r="AJ111" t="s" s="44">
        <v>72</v>
      </c>
      <c r="AK111" s="15">
        <f>E25</f>
        <v>136.9</v>
      </c>
      <c r="AL111" t="s" s="44">
        <v>72</v>
      </c>
      <c r="AM111" s="15">
        <f>E26</f>
        <v>512.4</v>
      </c>
      <c r="AN111" t="s" s="48">
        <f>AN104</f>
        <v>514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0.133956214064573</v>
      </c>
      <c r="AG112" t="s" s="44">
        <v>76</v>
      </c>
      <c r="AH112" s="16">
        <f>AI110</f>
        <v>0.186888217522659</v>
      </c>
      <c r="AI112" t="s" s="44">
        <v>90</v>
      </c>
      <c r="AJ112" s="15">
        <f>AK111</f>
        <v>136.9</v>
      </c>
      <c r="AK112" t="s" s="44">
        <v>76</v>
      </c>
      <c r="AL112" s="15">
        <f>AM111</f>
        <v>512.4</v>
      </c>
      <c r="AM112" t="s" s="48">
        <f>AJ107</f>
        <v>514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0.200954765532821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0.200954765532821</v>
      </c>
      <c r="AG114" t="s" s="44">
        <v>94</v>
      </c>
      <c r="AH114" s="15">
        <f>AH66</f>
        <v>511.817792696385</v>
      </c>
      <c r="AI114" t="s" s="48">
        <f>AM112</f>
        <v>514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703.3</v>
      </c>
      <c r="AG116" s="15">
        <f>ABS(AH120)</f>
        <v>1815.2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915.725</v>
      </c>
      <c r="AF118" t="s" s="44">
        <v>72</v>
      </c>
      <c r="AG118" s="15">
        <f>J23</f>
        <v>-33.575</v>
      </c>
      <c r="AH118" t="s" s="44">
        <v>72</v>
      </c>
      <c r="AI118" s="15">
        <f>J24</f>
        <v>1344</v>
      </c>
      <c r="AJ118" t="s" s="44">
        <v>72</v>
      </c>
      <c r="AK118" s="15">
        <f>J25</f>
        <v>288.7</v>
      </c>
      <c r="AL118" t="s" s="44">
        <v>72</v>
      </c>
      <c r="AM118" s="15">
        <f>J26</f>
        <v>655.1</v>
      </c>
      <c r="AN118" t="s" s="48">
        <f>AN104</f>
        <v>514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-250.4</v>
      </c>
      <c r="AF119" t="s" s="44">
        <v>72</v>
      </c>
      <c r="AG119" s="15">
        <f>K23</f>
        <v>245.2</v>
      </c>
      <c r="AH119" t="s" s="44">
        <v>72</v>
      </c>
      <c r="AI119" s="15">
        <f>K24</f>
        <v>-245.4</v>
      </c>
      <c r="AJ119" t="s" s="44">
        <v>72</v>
      </c>
      <c r="AK119" s="15">
        <f>K25</f>
        <v>414.6</v>
      </c>
      <c r="AL119" t="s" s="44">
        <v>72</v>
      </c>
      <c r="AM119" s="15">
        <f>K26</f>
        <v>1160.1</v>
      </c>
      <c r="AN119" t="s" s="48">
        <f>AN118</f>
        <v>514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703.3</v>
      </c>
      <c r="AG120" t="s" s="44">
        <v>76</v>
      </c>
      <c r="AH120" s="15">
        <f>AM118+AM119</f>
        <v>1815.2</v>
      </c>
      <c r="AI120" t="s" s="48">
        <f>AI114</f>
        <v>514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1160.1</v>
      </c>
      <c r="AN120" t="s" s="48">
        <f>AN104</f>
        <v>514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957.18125</v>
      </c>
      <c r="AG121" t="s" s="48">
        <f>AN104</f>
        <v>514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24.68</v>
      </c>
      <c r="AG122" t="s" s="48">
        <f>AG121</f>
        <v>514</v>
      </c>
      <c r="AH122" t="s" s="44">
        <v>102</v>
      </c>
      <c r="AI122" t="s" s="44">
        <v>103</v>
      </c>
      <c r="AJ122" t="s" s="44">
        <f>IF(AI107&gt;AL105,"higher","lower")</f>
        <v>104</v>
      </c>
      <c r="AK122" t="s" s="44">
        <v>105</v>
      </c>
      <c r="AL122" s="15">
        <f>SUM(AE55:AH55)/4</f>
        <v>621.016971822136</v>
      </c>
      <c r="AM122" t="s" s="48">
        <f>AG122</f>
        <v>514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108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7662</v>
      </c>
      <c r="AF125" t="s" s="44">
        <v>72</v>
      </c>
      <c r="AG125" s="15">
        <f>F23</f>
        <v>7767</v>
      </c>
      <c r="AH125" t="s" s="44">
        <v>72</v>
      </c>
      <c r="AI125" s="15">
        <f>F24</f>
        <v>8927</v>
      </c>
      <c r="AJ125" t="s" s="44">
        <v>72</v>
      </c>
      <c r="AK125" s="15">
        <f>F25</f>
        <v>9122</v>
      </c>
      <c r="AL125" t="s" s="44">
        <v>72</v>
      </c>
      <c r="AM125" s="15">
        <f>F26</f>
        <v>10535.6</v>
      </c>
      <c r="AN125" t="s" s="48">
        <f>AN104</f>
        <v>514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24693</v>
      </c>
      <c r="AF126" t="s" s="44">
        <v>72</v>
      </c>
      <c r="AG126" s="15">
        <f>G23</f>
        <v>25576</v>
      </c>
      <c r="AH126" t="s" s="44">
        <v>72</v>
      </c>
      <c r="AI126" s="15">
        <f>G24</f>
        <v>26903</v>
      </c>
      <c r="AJ126" t="s" s="44">
        <v>72</v>
      </c>
      <c r="AK126" s="15">
        <f>G25</f>
        <v>27594</v>
      </c>
      <c r="AL126" t="s" s="44">
        <v>72</v>
      </c>
      <c r="AM126" s="15">
        <f>G26</f>
        <v>27367</v>
      </c>
      <c r="AN126" t="s" s="48">
        <f>AN125</f>
        <v>514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9122</v>
      </c>
      <c r="AH127" t="s" s="44">
        <v>76</v>
      </c>
      <c r="AI127" s="15">
        <f>AM125</f>
        <v>10535.6</v>
      </c>
      <c r="AJ127" t="s" s="48">
        <f>AM122</f>
        <v>514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370</v>
      </c>
      <c r="AG128" s="15">
        <f>AK126</f>
        <v>27594</v>
      </c>
      <c r="AH128" t="s" s="44">
        <v>76</v>
      </c>
      <c r="AI128" s="15">
        <f>AM126</f>
        <v>27367</v>
      </c>
      <c r="AJ128" t="s" s="48">
        <f>AJ127</f>
        <v>514</v>
      </c>
      <c r="AK128" t="s" s="44">
        <v>113</v>
      </c>
      <c r="AL128" t="s" s="44">
        <v>114</v>
      </c>
      <c r="AM128" t="s" s="44">
        <f>IF(AP128&lt;AN128,"down","up")</f>
        <v>108</v>
      </c>
      <c r="AN128" s="15">
        <f>AG127-AG128</f>
        <v>-18472</v>
      </c>
      <c r="AO128" t="s" s="44">
        <v>76</v>
      </c>
      <c r="AP128" s="15">
        <f>AI127-AI128</f>
        <v>-16831.4</v>
      </c>
      <c r="AQ128" t="s" s="48">
        <f>AJ128</f>
        <v>514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514</v>
      </c>
      <c r="AH129" t="s" s="44">
        <v>117</v>
      </c>
      <c r="AI129" t="s" s="44">
        <f>IF(AJ129&gt;0,"+","")</f>
      </c>
      <c r="AJ129" s="15">
        <f>AE56+AF56+AG56+AH56+AE60+AF60+AG60+AH60</f>
        <v>-2484.067887288540</v>
      </c>
      <c r="AK129" t="s" s="48">
        <f>AQ128</f>
        <v>514</v>
      </c>
      <c r="AL129" t="s" s="44">
        <v>118</v>
      </c>
      <c r="AM129" t="s" s="44">
        <v>119</v>
      </c>
      <c r="AN129" s="15">
        <f>AH75</f>
        <v>-14347.3321127115</v>
      </c>
      <c r="AO129" t="s" s="48">
        <f>AJ128</f>
        <v>514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378.6</v>
      </c>
      <c r="AF132" t="s" s="44">
        <v>72</v>
      </c>
      <c r="AG132" s="15">
        <f>-L23</f>
        <v>-154.1</v>
      </c>
      <c r="AH132" t="s" s="44">
        <v>72</v>
      </c>
      <c r="AI132" s="15">
        <f>-L24</f>
        <v>-59</v>
      </c>
      <c r="AJ132" t="s" s="44">
        <v>72</v>
      </c>
      <c r="AK132" s="15">
        <f>-L25</f>
        <v>359.7</v>
      </c>
      <c r="AL132" t="s" s="44">
        <v>72</v>
      </c>
      <c r="AM132" s="15">
        <f>-L26</f>
        <v>327.8</v>
      </c>
      <c r="AN132" t="s" s="48">
        <f>AN104</f>
        <v>514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59.6</v>
      </c>
      <c r="AF133" t="s" s="44">
        <v>72</v>
      </c>
      <c r="AG133" s="15">
        <f>-M23</f>
        <v>240.4</v>
      </c>
      <c r="AH133" t="s" s="44">
        <v>72</v>
      </c>
      <c r="AI133" s="15">
        <f>-M24</f>
        <v>-1</v>
      </c>
      <c r="AJ133" t="s" s="44">
        <v>72</v>
      </c>
      <c r="AK133" s="15">
        <f>-M25</f>
        <v>208.3</v>
      </c>
      <c r="AL133" t="s" s="44">
        <v>72</v>
      </c>
      <c r="AM133" s="15">
        <f>-M26</f>
        <v>73.7</v>
      </c>
      <c r="AN133" t="s" s="48">
        <f>AN132</f>
        <v>514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515</v>
      </c>
      <c r="AF134" t="s" s="44">
        <f>IF(AG134&gt;0,"paid","(raised)")</f>
        <v>374</v>
      </c>
      <c r="AG134" s="15">
        <f>SUM(AM132:AM133)</f>
        <v>401.5</v>
      </c>
      <c r="AH134" t="s" s="48">
        <f>AN104</f>
        <v>514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327.8</v>
      </c>
      <c r="AM134" t="s" s="48">
        <f>AN104</f>
        <v>514</v>
      </c>
      <c r="AN134" t="s" s="44">
        <v>123</v>
      </c>
      <c r="AO134" s="15">
        <f>AM133</f>
        <v>73.7</v>
      </c>
      <c r="AP134" t="s" s="48">
        <f>AN104</f>
        <v>514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2484.067887288540</v>
      </c>
      <c r="AU134" t="s" s="48">
        <f>AN104</f>
        <v>514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19031.19382528</v>
      </c>
      <c r="AG135" t="s" s="48">
        <f>AN104</f>
        <v>514</v>
      </c>
      <c r="AH135" t="s" s="44">
        <v>128</v>
      </c>
      <c r="AI135" t="s" s="44">
        <v>129</v>
      </c>
      <c r="AJ135" s="43">
        <f>AH82</f>
        <v>0.299304076360372</v>
      </c>
      <c r="AK135" t="s" s="44">
        <v>130</v>
      </c>
      <c r="AL135" t="s" s="44">
        <v>131</v>
      </c>
      <c r="AM135" t="s" s="44">
        <v>132</v>
      </c>
      <c r="AN135" s="15">
        <f>AH85</f>
        <v>21.3557824263968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2484.067887288540</v>
      </c>
      <c r="AG136" t="s" s="48">
        <f>AG135</f>
        <v>514</v>
      </c>
      <c r="AH136" t="s" s="44">
        <v>136</v>
      </c>
      <c r="AI136" s="15">
        <f>AF135/AF136</f>
        <v>7.66130181975554</v>
      </c>
      <c r="AJ136" t="s" s="44">
        <v>130</v>
      </c>
      <c r="AK136" t="s" s="44">
        <v>137</v>
      </c>
      <c r="AL136" t="s" s="44">
        <v>138</v>
      </c>
      <c r="AM136" s="15">
        <f>AH86</f>
        <v>12</v>
      </c>
      <c r="AN136" t="s" s="44">
        <v>139</v>
      </c>
      <c r="AO136" t="s" s="44">
        <v>140</v>
      </c>
      <c r="AP136" t="s" s="44">
        <v>141</v>
      </c>
      <c r="AQ136" s="16">
        <f>AJ94</f>
        <v>0.566313438932352</v>
      </c>
      <c r="AR136" t="s" s="44">
        <f>IF(AQ136&gt;0,"higher","lower")</f>
        <v>363</v>
      </c>
      <c r="AS136" t="s" s="44">
        <v>142</v>
      </c>
      <c r="AT136" s="15">
        <f>AH94</f>
        <v>1425.345229428440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515</v>
      </c>
      <c r="AF138" t="s" s="44">
        <f>AE146</f>
        <v>394</v>
      </c>
      <c r="AG138" t="s" s="44">
        <f>AF146</f>
        <v>395</v>
      </c>
      <c r="AH138" s="16">
        <f>AG146</f>
        <v>0.8299425033171161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910</v>
      </c>
      <c r="AG139" t="s" s="44">
        <f>AG94</f>
        <v>61</v>
      </c>
      <c r="AH139" s="15">
        <f>AH94</f>
        <v>1425.345229428440</v>
      </c>
      <c r="AI139" t="s" s="44">
        <f>AI94</f>
        <v>361</v>
      </c>
      <c r="AJ139" s="16">
        <f>AJ94</f>
        <v>0.566313438932352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0.730085720259252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0.201181546210419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  <v>361</v>
      </c>
      <c r="AH144" s="16">
        <f>AH99</f>
        <v>0.0523246207853358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-0.884411149112574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0.8299425033171161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0.207066246056782</v>
      </c>
      <c r="AF148" s="16">
        <f>AF103</f>
        <v>0.300229981183358</v>
      </c>
      <c r="AG148" s="16">
        <f>AG103</f>
        <v>-0.185238784370478</v>
      </c>
      <c r="AH148" s="16">
        <f>AH103</f>
        <v>-0.10755871324255</v>
      </c>
      <c r="AI148" s="16">
        <f>AI103</f>
        <v>0.8299425033171161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1913.2</v>
      </c>
      <c r="AF149" t="s" s="44">
        <f>AF104</f>
        <v>72</v>
      </c>
      <c r="AG149" s="15">
        <f>AG104</f>
        <v>2487.6</v>
      </c>
      <c r="AH149" t="s" s="44">
        <f>AH104</f>
        <v>72</v>
      </c>
      <c r="AI149" s="15">
        <f>AI104</f>
        <v>2026.8</v>
      </c>
      <c r="AJ149" t="s" s="44">
        <f>AJ104</f>
        <v>72</v>
      </c>
      <c r="AK149" s="15">
        <f>AK104</f>
        <v>1808.8</v>
      </c>
      <c r="AL149" t="s" s="44">
        <f>AL104</f>
        <v>72</v>
      </c>
      <c r="AM149" s="15">
        <f>AM104</f>
        <v>3310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0.8299425033171161</v>
      </c>
      <c r="AH150" t="s" s="44">
        <v>408</v>
      </c>
      <c r="AI150" t="s" s="44">
        <v>409</v>
      </c>
      <c r="AJ150" t="s" s="44">
        <v>410</v>
      </c>
      <c r="AK150" s="15">
        <f>AL105</f>
        <v>3310</v>
      </c>
      <c r="AL150" t="s" s="44">
        <f>AN149</f>
        <v>407</v>
      </c>
      <c r="AM150" t="s" s="44">
        <v>411</v>
      </c>
      <c r="AN150" t="s" s="44">
        <f>AO105</f>
      </c>
      <c r="AO150" s="16">
        <f>AP105</f>
        <v>-0.0213496622834481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0.209343746721862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-0.0125</v>
      </c>
      <c r="AG152" t="s" s="44">
        <v>415</v>
      </c>
      <c r="AH152" t="s" s="44">
        <v>416</v>
      </c>
      <c r="AI152" s="23">
        <f>AI107</f>
        <v>3073.74875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419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0.205754756429019</v>
      </c>
      <c r="AF155" s="16">
        <f>AF110</f>
        <v>0.247085544299727</v>
      </c>
      <c r="AG155" s="16">
        <f>AG110</f>
        <v>0.235889086244326</v>
      </c>
      <c r="AH155" s="16">
        <f>AH110</f>
        <v>0.133956214064573</v>
      </c>
      <c r="AI155" s="16">
        <f>AI110</f>
        <v>0.186888217522659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285.4</v>
      </c>
      <c r="AF156" t="s" s="44">
        <f>AF111</f>
        <v>72</v>
      </c>
      <c r="AG156" s="15">
        <f>AG111</f>
        <v>506.4</v>
      </c>
      <c r="AH156" t="s" s="44">
        <f>AH111</f>
        <v>72</v>
      </c>
      <c r="AI156" s="15">
        <f>AI111</f>
        <v>372.1</v>
      </c>
      <c r="AJ156" t="s" s="44">
        <f>AJ111</f>
        <v>72</v>
      </c>
      <c r="AK156" s="15">
        <f>AK111</f>
        <v>136.9</v>
      </c>
      <c r="AL156" t="s" s="44">
        <f>AL111</f>
        <v>72</v>
      </c>
      <c r="AM156" s="15">
        <f>AM111</f>
        <v>512.4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0.133956214064573</v>
      </c>
      <c r="AG157" t="s" s="85">
        <v>422</v>
      </c>
      <c r="AH157" s="16">
        <f>AH112</f>
        <v>0.186888217522659</v>
      </c>
      <c r="AI157" t="s" s="85">
        <v>423</v>
      </c>
      <c r="AJ157" s="15">
        <f>AJ112</f>
        <v>136.9</v>
      </c>
      <c r="AK157" t="s" s="44">
        <v>410</v>
      </c>
      <c r="AL157" s="15">
        <f>AL112</f>
        <v>512.4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0.200954765532821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0.200954765532821</v>
      </c>
      <c r="AG159" t="s" s="85">
        <v>427</v>
      </c>
      <c r="AH159" s="15">
        <f>AH114</f>
        <v>511.817792696385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703.3</v>
      </c>
      <c r="AG161" s="15">
        <f>ABS(AH165)</f>
        <v>1815.2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915.725</v>
      </c>
      <c r="AF163" t="s" s="44">
        <f>AF118</f>
        <v>72</v>
      </c>
      <c r="AG163" s="15">
        <f>AG118</f>
        <v>-33.575</v>
      </c>
      <c r="AH163" t="s" s="44">
        <f>AH118</f>
        <v>72</v>
      </c>
      <c r="AI163" s="15">
        <f>AI118</f>
        <v>1344</v>
      </c>
      <c r="AJ163" t="s" s="44">
        <f>AJ118</f>
        <v>72</v>
      </c>
      <c r="AK163" s="15">
        <f>AK118</f>
        <v>288.7</v>
      </c>
      <c r="AL163" t="s" s="44">
        <f>AL118</f>
        <v>72</v>
      </c>
      <c r="AM163" s="15">
        <f>AM118</f>
        <v>655.1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-250.4</v>
      </c>
      <c r="AF164" t="s" s="44">
        <f>AF119</f>
        <v>72</v>
      </c>
      <c r="AG164" s="15">
        <f>AG119</f>
        <v>245.2</v>
      </c>
      <c r="AH164" t="s" s="44">
        <f>AH119</f>
        <v>72</v>
      </c>
      <c r="AI164" s="15">
        <f>AI119</f>
        <v>-245.4</v>
      </c>
      <c r="AJ164" t="s" s="44">
        <f>AJ119</f>
        <v>72</v>
      </c>
      <c r="AK164" s="15">
        <f>AK119</f>
        <v>414.6</v>
      </c>
      <c r="AL164" t="s" s="44">
        <f>AL119</f>
        <v>72</v>
      </c>
      <c r="AM164" s="15">
        <f>AM119</f>
        <v>1160.1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703.3</v>
      </c>
      <c r="AG165" t="s" s="44">
        <v>410</v>
      </c>
      <c r="AH165" s="15">
        <f>AH120</f>
        <v>1815.2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1160.1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957.18125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24.68</v>
      </c>
      <c r="AG167" t="s" s="44">
        <f>AN149</f>
        <v>407</v>
      </c>
      <c r="AH167" t="s" s="85">
        <v>435</v>
      </c>
      <c r="AI167" s="15">
        <f>AL122</f>
        <v>621.016971822136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437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7662</v>
      </c>
      <c r="AF170" t="s" s="44">
        <f>AF125</f>
        <v>72</v>
      </c>
      <c r="AG170" s="15">
        <f>AG125</f>
        <v>7767</v>
      </c>
      <c r="AH170" t="s" s="44">
        <f>AH125</f>
        <v>72</v>
      </c>
      <c r="AI170" s="15">
        <f>AI125</f>
        <v>8927</v>
      </c>
      <c r="AJ170" t="s" s="44">
        <f>AJ125</f>
        <v>72</v>
      </c>
      <c r="AK170" s="15">
        <f>AK125</f>
        <v>9122</v>
      </c>
      <c r="AL170" t="s" s="44">
        <f>AL125</f>
        <v>72</v>
      </c>
      <c r="AM170" s="15">
        <f>AM125</f>
        <v>10535.6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24693</v>
      </c>
      <c r="AF171" t="s" s="44">
        <f>AF126</f>
        <v>72</v>
      </c>
      <c r="AG171" s="15">
        <f>AG126</f>
        <v>25576</v>
      </c>
      <c r="AH171" t="s" s="44">
        <f>AH126</f>
        <v>72</v>
      </c>
      <c r="AI171" s="15">
        <f>AI126</f>
        <v>26903</v>
      </c>
      <c r="AJ171" t="s" s="44">
        <f>AJ126</f>
        <v>72</v>
      </c>
      <c r="AK171" s="15">
        <f>AK126</f>
        <v>27594</v>
      </c>
      <c r="AL171" t="s" s="44">
        <f>AL126</f>
        <v>72</v>
      </c>
      <c r="AM171" s="15">
        <f>AM126</f>
        <v>27367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440</v>
      </c>
      <c r="AG172" s="15">
        <f>AG127</f>
        <v>9122</v>
      </c>
      <c r="AH172" t="s" s="44">
        <f>AG165</f>
        <v>410</v>
      </c>
      <c r="AI172" s="15">
        <f>AI127</f>
        <v>10535.6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516</v>
      </c>
      <c r="AG173" s="15">
        <f>AG128</f>
        <v>27594</v>
      </c>
      <c r="AH173" t="s" s="44">
        <f>AG165</f>
        <v>410</v>
      </c>
      <c r="AI173" s="15">
        <f>AI128</f>
        <v>27367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440</v>
      </c>
      <c r="AN173" s="15">
        <f>AN128</f>
        <v>-18472</v>
      </c>
      <c r="AO173" t="s" s="44">
        <f>AH173</f>
        <v>410</v>
      </c>
      <c r="AP173" s="15">
        <f>AP128</f>
        <v>-16831.4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-2484.067887288540</v>
      </c>
      <c r="AJ174" t="s" s="44">
        <f>AG174</f>
        <v>407</v>
      </c>
      <c r="AK174" t="s" s="85">
        <v>446</v>
      </c>
      <c r="AL174" s="15">
        <f>AN129</f>
        <v>-14347.3321127115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44.05" customHeight="1">
      <c r="AC175" s="36"/>
      <c r="AD175" s="38"/>
      <c r="AE175" t="s" s="44">
        <v>448</v>
      </c>
      <c r="AF175" t="s" s="44">
        <f>IF(AF130="(raised)","(yang dihimpun)","(yang dibayarkan)")</f>
        <v>449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378.6</v>
      </c>
      <c r="AF177" t="s" s="44">
        <f>AF132</f>
        <v>72</v>
      </c>
      <c r="AG177" s="15">
        <f>AG132</f>
        <v>-154.1</v>
      </c>
      <c r="AH177" t="s" s="44">
        <f>AH132</f>
        <v>72</v>
      </c>
      <c r="AI177" s="15">
        <f>AI132</f>
        <v>-59</v>
      </c>
      <c r="AJ177" t="s" s="44">
        <f>AJ132</f>
        <v>72</v>
      </c>
      <c r="AK177" s="15">
        <f>AK132</f>
        <v>359.7</v>
      </c>
      <c r="AL177" t="s" s="44">
        <f>AL132</f>
        <v>72</v>
      </c>
      <c r="AM177" s="15">
        <f>AM132</f>
        <v>327.8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59.6</v>
      </c>
      <c r="AF178" t="s" s="44">
        <f>AF133</f>
        <v>72</v>
      </c>
      <c r="AG178" s="15">
        <f>AG133</f>
        <v>240.4</v>
      </c>
      <c r="AH178" t="s" s="44">
        <f>AH133</f>
        <v>72</v>
      </c>
      <c r="AI178" s="15">
        <f>AI133</f>
        <v>-1</v>
      </c>
      <c r="AJ178" t="s" s="44">
        <f>AJ133</f>
        <v>72</v>
      </c>
      <c r="AK178" s="15">
        <f>AK133</f>
        <v>208.3</v>
      </c>
      <c r="AL178" t="s" s="44">
        <f>AL133</f>
        <v>72</v>
      </c>
      <c r="AM178" s="15">
        <f>AM133</f>
        <v>73.7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515</v>
      </c>
      <c r="AF179" t="s" s="44">
        <f>IF(AF175="(yang dihimpun)","(menghimpun)","(membayarkan)")</f>
        <v>451</v>
      </c>
      <c r="AG179" s="15">
        <f>AG134</f>
        <v>401.5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327.8</v>
      </c>
      <c r="AN179" t="s" s="44">
        <f>AN178</f>
        <v>407</v>
      </c>
      <c r="AO179" t="s" s="44">
        <v>454</v>
      </c>
      <c r="AP179" s="15">
        <f>AO134</f>
        <v>73.7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2484.067887288540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19031.19382528</v>
      </c>
      <c r="AG180" t="s" s="44">
        <f>AN149</f>
        <v>407</v>
      </c>
      <c r="AH180" t="s" s="85">
        <v>458</v>
      </c>
      <c r="AI180" s="40">
        <f>AJ135</f>
        <v>0.299304076360372</v>
      </c>
      <c r="AJ180" t="s" s="44">
        <v>459</v>
      </c>
      <c r="AK180" t="s" s="85">
        <v>460</v>
      </c>
      <c r="AL180" s="15">
        <f>AN135</f>
        <v>21.3557824263968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2484.067887288540</v>
      </c>
      <c r="AG181" t="s" s="44">
        <f>AN149</f>
        <v>407</v>
      </c>
      <c r="AH181" t="s" s="85">
        <v>463</v>
      </c>
      <c r="AI181" s="15">
        <f>AI136</f>
        <v>7.66130181975554</v>
      </c>
      <c r="AJ181" t="s" s="44">
        <v>464</v>
      </c>
      <c r="AK181" t="s" s="85">
        <v>465</v>
      </c>
      <c r="AL181" s="15">
        <f>AM136</f>
        <v>12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0.566313438932352</v>
      </c>
      <c r="AQ181" t="s" s="85">
        <v>468</v>
      </c>
      <c r="AR181" s="15">
        <f>AT136</f>
        <v>1425.345229428440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1913.2</v>
      </c>
      <c r="AE183" s="15">
        <f>AG104</f>
        <v>2487.6</v>
      </c>
      <c r="AF183" s="15">
        <f>AI104</f>
        <v>2026.8</v>
      </c>
      <c r="AG183" s="15">
        <f>AK104</f>
        <v>1808.8</v>
      </c>
      <c r="AH183" s="15">
        <f>AM104</f>
        <v>3310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665.325</v>
      </c>
      <c r="AE184" s="15">
        <f>SUM(AG118:AG119)</f>
        <v>211.625</v>
      </c>
      <c r="AF184" s="15">
        <f>SUM(AI118:AI119)</f>
        <v>1098.6</v>
      </c>
      <c r="AG184" s="15">
        <f>SUM(AK118:AK119)</f>
        <v>703.3</v>
      </c>
      <c r="AH184" s="15">
        <f>SUM(AM118:AM119)</f>
        <v>1815.2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438.2</v>
      </c>
      <c r="AE185" s="15">
        <f>SUM(AG132:AG133)</f>
        <v>86.3</v>
      </c>
      <c r="AF185" s="15">
        <f>SUM(AI132:AI133)</f>
        <v>-60</v>
      </c>
      <c r="AG185" s="15">
        <f>SUM(AK132:AK133)</f>
        <v>568</v>
      </c>
      <c r="AH185" s="15">
        <f>SUM(AM132:AM133)</f>
        <v>401.5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-17031</v>
      </c>
      <c r="AE186" s="15">
        <f>(AG125-AG126)</f>
        <v>-17809</v>
      </c>
      <c r="AF186" s="15">
        <f>(AI125-AI126)</f>
        <v>-17976</v>
      </c>
      <c r="AG186" s="15">
        <f>(AK125-AK126)</f>
        <v>-18472</v>
      </c>
      <c r="AH186" s="15">
        <f>(AM125-AM126)</f>
        <v>-16831.4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1425.345229428440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44" customWidth="1"/>
    <col min="2" max="28" width="10.4844" style="144" customWidth="1"/>
    <col min="29" max="29" width="18.9766" style="145" customWidth="1"/>
    <col min="30" max="48" width="9" style="145" customWidth="1"/>
    <col min="49" max="16384" width="16.3516" style="145" customWidth="1"/>
  </cols>
  <sheetData>
    <row r="1" ht="11.65" customHeight="1"/>
    <row r="2" ht="27.65" customHeight="1">
      <c r="B2" t="s" s="2">
        <v>517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301</v>
      </c>
      <c r="AA3" t="s" s="3">
        <v>19</v>
      </c>
      <c r="AB3" t="s" s="3">
        <v>20</v>
      </c>
    </row>
    <row r="4" ht="20.25" customHeight="1">
      <c r="B4" s="6">
        <v>2017</v>
      </c>
      <c r="C4" s="65">
        <v>133</v>
      </c>
      <c r="D4" s="59">
        <v>67.83</v>
      </c>
      <c r="E4" s="59">
        <v>1143.8</v>
      </c>
      <c r="F4" s="59">
        <v>119.7</v>
      </c>
      <c r="G4" s="59">
        <v>77299.600000000006</v>
      </c>
      <c r="H4" s="59">
        <v>41376.3</v>
      </c>
      <c r="I4" s="59">
        <v>252.7</v>
      </c>
      <c r="J4" s="59">
        <v>-1529.5</v>
      </c>
      <c r="K4" s="59">
        <v>1609.3</v>
      </c>
      <c r="L4" s="59">
        <v>627.893</v>
      </c>
      <c r="M4" s="59">
        <v>0</v>
      </c>
      <c r="N4" s="59"/>
      <c r="O4" s="59"/>
      <c r="P4" s="9"/>
      <c r="Q4" s="9"/>
      <c r="R4" s="9"/>
      <c r="S4" s="9"/>
      <c r="T4" s="9"/>
      <c r="U4" s="9"/>
      <c r="V4" s="59">
        <f>-(L4+M4)</f>
        <v>-627.893</v>
      </c>
      <c r="W4" s="9"/>
      <c r="X4" s="59">
        <f>F4-G4</f>
        <v>-77179.899999999994</v>
      </c>
      <c r="Y4" s="9"/>
      <c r="Z4" s="59"/>
      <c r="AA4" s="11"/>
      <c r="AB4" s="12">
        <v>13.3</v>
      </c>
    </row>
    <row r="5" ht="20.05" customHeight="1">
      <c r="B5" s="13"/>
      <c r="C5" s="67">
        <v>74.63120000000001</v>
      </c>
      <c r="D5" s="26">
        <v>67.96769999999999</v>
      </c>
      <c r="E5" s="26">
        <v>1985.723</v>
      </c>
      <c r="F5" s="26">
        <v>199.905</v>
      </c>
      <c r="G5" s="26">
        <v>73764.945000000007</v>
      </c>
      <c r="H5" s="26">
        <v>41686.856</v>
      </c>
      <c r="I5" s="26">
        <v>-39.981</v>
      </c>
      <c r="J5" s="26">
        <v>-133.27</v>
      </c>
      <c r="K5" s="26">
        <v>213.232</v>
      </c>
      <c r="L5" s="26">
        <v>629.16767</v>
      </c>
      <c r="M5" s="26">
        <v>0</v>
      </c>
      <c r="N5" s="26"/>
      <c r="O5" s="26"/>
      <c r="P5" s="16"/>
      <c r="Q5" s="17"/>
      <c r="R5" s="17"/>
      <c r="S5" s="17"/>
      <c r="T5" s="17"/>
      <c r="U5" s="17"/>
      <c r="V5" s="26">
        <f>-(L5+M5)+V4</f>
        <v>-1257.06067</v>
      </c>
      <c r="W5" s="17"/>
      <c r="X5" s="26">
        <f>F5-G5</f>
        <v>-73565.039999999994</v>
      </c>
      <c r="Y5" s="17"/>
      <c r="Z5" s="26"/>
      <c r="AA5" s="19"/>
      <c r="AB5" s="20">
        <v>13.327</v>
      </c>
    </row>
    <row r="6" ht="20.05" customHeight="1">
      <c r="B6" s="13"/>
      <c r="C6" s="67">
        <v>18.627</v>
      </c>
      <c r="D6" s="26">
        <v>67.85550000000001</v>
      </c>
      <c r="E6" s="26">
        <v>3233.115</v>
      </c>
      <c r="F6" s="26">
        <v>199.575</v>
      </c>
      <c r="G6" s="26">
        <v>36961.29</v>
      </c>
      <c r="H6" s="26">
        <v>39715.425</v>
      </c>
      <c r="I6" s="26">
        <v>26.61</v>
      </c>
      <c r="J6" s="26">
        <v>-172.965</v>
      </c>
      <c r="K6" s="26">
        <v>172.965</v>
      </c>
      <c r="L6" s="26">
        <v>628.12905</v>
      </c>
      <c r="M6" s="26">
        <v>0</v>
      </c>
      <c r="N6" s="26"/>
      <c r="O6" s="26"/>
      <c r="P6" s="16"/>
      <c r="Q6" s="17"/>
      <c r="R6" s="17"/>
      <c r="S6" s="17"/>
      <c r="T6" s="17"/>
      <c r="U6" s="17"/>
      <c r="V6" s="26">
        <f>-(L6+M6)+V5</f>
        <v>-1885.18972</v>
      </c>
      <c r="W6" s="17"/>
      <c r="X6" s="26">
        <f>F6-G6</f>
        <v>-36761.715</v>
      </c>
      <c r="Y6" s="17"/>
      <c r="Z6" s="26"/>
      <c r="AA6" s="19"/>
      <c r="AB6" s="20">
        <v>13.305</v>
      </c>
    </row>
    <row r="7" ht="20.05" customHeight="1">
      <c r="B7" s="13"/>
      <c r="C7" s="67">
        <v>0</v>
      </c>
      <c r="D7" s="26">
        <v>69.1407</v>
      </c>
      <c r="E7" s="26">
        <v>3294.351</v>
      </c>
      <c r="F7" s="26">
        <v>555.837</v>
      </c>
      <c r="G7" s="26">
        <v>46229.37</v>
      </c>
      <c r="H7" s="26">
        <v>50120.229</v>
      </c>
      <c r="I7" s="26">
        <v>11916.603</v>
      </c>
      <c r="J7" s="26">
        <v>135.57</v>
      </c>
      <c r="K7" s="26">
        <v>-2467.374</v>
      </c>
      <c r="L7" s="26">
        <v>640.02597</v>
      </c>
      <c r="M7" s="26">
        <v>0</v>
      </c>
      <c r="N7" s="26"/>
      <c r="O7" s="26"/>
      <c r="P7" s="16"/>
      <c r="Q7" s="17"/>
      <c r="R7" s="17"/>
      <c r="S7" s="17"/>
      <c r="T7" s="17"/>
      <c r="U7" s="17"/>
      <c r="V7" s="26">
        <f>-(L7+M7)+V6</f>
        <v>-2525.21569</v>
      </c>
      <c r="W7" s="17"/>
      <c r="X7" s="26">
        <f>F7-G7</f>
        <v>-45673.533</v>
      </c>
      <c r="Y7" s="17"/>
      <c r="Z7" s="26"/>
      <c r="AA7" s="19"/>
      <c r="AB7" s="20">
        <v>13.557</v>
      </c>
    </row>
    <row r="8" ht="20.05" customHeight="1">
      <c r="B8" s="21">
        <v>2018</v>
      </c>
      <c r="C8" s="67">
        <v>4265.91</v>
      </c>
      <c r="D8" s="26">
        <v>115.248375</v>
      </c>
      <c r="E8" s="26">
        <v>1293.534</v>
      </c>
      <c r="F8" s="26">
        <v>894.465</v>
      </c>
      <c r="G8" s="26">
        <v>46938.771</v>
      </c>
      <c r="H8" s="26">
        <v>52154.19</v>
      </c>
      <c r="I8" s="26">
        <v>3165.03</v>
      </c>
      <c r="J8" s="26">
        <v>16.5132</v>
      </c>
      <c r="K8" s="26">
        <v>137.61</v>
      </c>
      <c r="L8" s="26">
        <v>149.81944725</v>
      </c>
      <c r="M8" s="26">
        <v>0</v>
      </c>
      <c r="N8" s="26">
        <f>SUM(C5:C8)/4</f>
        <v>1089.79205</v>
      </c>
      <c r="O8" s="26"/>
      <c r="P8" s="16"/>
      <c r="Q8" s="16"/>
      <c r="R8" s="16"/>
      <c r="S8" s="17"/>
      <c r="T8" s="26">
        <f>SUM(J5:K8)/4</f>
        <v>-524.4297</v>
      </c>
      <c r="U8" s="17"/>
      <c r="V8" s="26">
        <f>-(L8+M8)+V7</f>
        <v>-2675.03513725</v>
      </c>
      <c r="W8" s="17"/>
      <c r="X8" s="26">
        <f>F8-G8</f>
        <v>-46044.306</v>
      </c>
      <c r="Y8" s="24"/>
      <c r="Z8" s="18">
        <v>286</v>
      </c>
      <c r="AA8" s="22"/>
      <c r="AB8" s="20">
        <v>13.761</v>
      </c>
    </row>
    <row r="9" ht="20.05" customHeight="1">
      <c r="B9" s="13"/>
      <c r="C9" s="67">
        <v>3514</v>
      </c>
      <c r="D9" s="26">
        <v>117.25</v>
      </c>
      <c r="E9" s="26">
        <v>2142</v>
      </c>
      <c r="F9" s="26">
        <v>1400</v>
      </c>
      <c r="G9" s="26">
        <v>48538</v>
      </c>
      <c r="H9" s="26">
        <v>54684</v>
      </c>
      <c r="I9" s="26">
        <v>3150</v>
      </c>
      <c r="J9" s="26">
        <v>-674.8</v>
      </c>
      <c r="K9" s="26">
        <v>-233.8</v>
      </c>
      <c r="L9" s="26">
        <v>152.4215</v>
      </c>
      <c r="M9" s="26">
        <v>0</v>
      </c>
      <c r="N9" s="26">
        <f>SUM(C6:C9)/4</f>
        <v>1949.63425</v>
      </c>
      <c r="O9" s="26"/>
      <c r="P9" s="16"/>
      <c r="Q9" s="16">
        <f>(E9+D9)/C9</f>
        <v>0.64292828685259</v>
      </c>
      <c r="R9" s="16"/>
      <c r="S9" s="17"/>
      <c r="T9" s="26">
        <f>SUM(J6:K9)/4</f>
        <v>-771.5702</v>
      </c>
      <c r="U9" s="17"/>
      <c r="V9" s="26">
        <f>-(L9+M9)+V8</f>
        <v>-2827.45663725</v>
      </c>
      <c r="W9" s="17"/>
      <c r="X9" s="26">
        <f>F9-G9</f>
        <v>-47138</v>
      </c>
      <c r="Y9" s="24"/>
      <c r="Z9" s="18">
        <v>226</v>
      </c>
      <c r="AA9" s="22"/>
      <c r="AB9" s="20">
        <v>14</v>
      </c>
    </row>
    <row r="10" ht="20.05" customHeight="1">
      <c r="B10" s="13"/>
      <c r="C10" s="67">
        <v>3934.128</v>
      </c>
      <c r="D10" s="26">
        <v>124.80425</v>
      </c>
      <c r="E10" s="26">
        <v>2280.006</v>
      </c>
      <c r="F10" s="26">
        <v>1877.652</v>
      </c>
      <c r="G10" s="26">
        <v>49429.934</v>
      </c>
      <c r="H10" s="26">
        <v>56836.228</v>
      </c>
      <c r="I10" s="26">
        <v>3576.48</v>
      </c>
      <c r="J10" s="26">
        <v>74.51000000000001</v>
      </c>
      <c r="K10" s="26">
        <v>1873.1814</v>
      </c>
      <c r="L10" s="26">
        <v>162.2417995</v>
      </c>
      <c r="M10" s="26">
        <v>0</v>
      </c>
      <c r="N10" s="26">
        <f>SUM(C7:C10)/4</f>
        <v>2928.5095</v>
      </c>
      <c r="O10" s="26"/>
      <c r="P10" s="16">
        <f>C10/C9-1</f>
        <v>0.119558338076266</v>
      </c>
      <c r="Q10" s="16">
        <f>(E10+D10)/C10</f>
        <v>0.611268939393939</v>
      </c>
      <c r="R10" s="16"/>
      <c r="S10" s="17"/>
      <c r="T10" s="26">
        <f>SUM(J7:K10)/4</f>
        <v>-284.64735</v>
      </c>
      <c r="U10" s="17"/>
      <c r="V10" s="26">
        <f>-(L10+M10)+V9</f>
        <v>-2989.69843675</v>
      </c>
      <c r="W10" s="17"/>
      <c r="X10" s="26">
        <f>F10-G10</f>
        <v>-47552.282</v>
      </c>
      <c r="Y10" s="24"/>
      <c r="Z10" s="18">
        <v>216</v>
      </c>
      <c r="AA10" s="22"/>
      <c r="AB10" s="20">
        <v>14.902</v>
      </c>
    </row>
    <row r="11" ht="20.05" customHeight="1">
      <c r="B11" s="13"/>
      <c r="C11" s="67">
        <v>4127.06</v>
      </c>
      <c r="D11" s="26">
        <v>120.4325</v>
      </c>
      <c r="E11" s="26">
        <v>2272.04</v>
      </c>
      <c r="F11" s="26">
        <v>647.1</v>
      </c>
      <c r="G11" s="26">
        <v>45915.34</v>
      </c>
      <c r="H11" s="26">
        <v>53249.14</v>
      </c>
      <c r="I11" s="26">
        <v>3767.56</v>
      </c>
      <c r="J11" s="26">
        <v>-977.84</v>
      </c>
      <c r="K11" s="26">
        <v>-86.28</v>
      </c>
      <c r="L11" s="26">
        <v>156.558655</v>
      </c>
      <c r="M11" s="26">
        <v>0</v>
      </c>
      <c r="N11" s="26">
        <f>SUM(C8:C11)/4</f>
        <v>3960.2745</v>
      </c>
      <c r="O11" s="26"/>
      <c r="P11" s="16">
        <f>C11/C10-1</f>
        <v>0.0490406006108596</v>
      </c>
      <c r="Q11" s="16">
        <f>(E11+D11)/C11</f>
        <v>0.5797038327526129</v>
      </c>
      <c r="R11" s="16"/>
      <c r="S11" s="17"/>
      <c r="T11" s="26">
        <f>SUM(J8:K11)/4</f>
        <v>32.27365</v>
      </c>
      <c r="U11" s="17"/>
      <c r="V11" s="26">
        <f>-(L11+M11)+V10</f>
        <v>-3146.25709175</v>
      </c>
      <c r="W11" s="17"/>
      <c r="X11" s="26">
        <f>F11-G11</f>
        <v>-45268.24</v>
      </c>
      <c r="Y11" s="24"/>
      <c r="Z11" s="18">
        <v>103</v>
      </c>
      <c r="AA11" s="22"/>
      <c r="AB11" s="20">
        <v>14.38</v>
      </c>
    </row>
    <row r="12" ht="20.05" customHeight="1">
      <c r="B12" s="21">
        <v>2019</v>
      </c>
      <c r="C12" s="67">
        <v>3332.16</v>
      </c>
      <c r="D12" s="26">
        <v>511.928</v>
      </c>
      <c r="E12" s="26">
        <v>754.72</v>
      </c>
      <c r="F12" s="26">
        <v>612.3200000000001</v>
      </c>
      <c r="G12" s="26">
        <v>44742.08</v>
      </c>
      <c r="H12" s="26">
        <v>51534.56</v>
      </c>
      <c r="I12" s="26">
        <v>3033.12</v>
      </c>
      <c r="J12" s="26">
        <v>92.56</v>
      </c>
      <c r="K12" s="26">
        <v>-135.28</v>
      </c>
      <c r="L12" s="26">
        <v>60.52</v>
      </c>
      <c r="M12" s="26">
        <v>0</v>
      </c>
      <c r="N12" s="26">
        <f>SUM(C9:C12)/4</f>
        <v>3726.837</v>
      </c>
      <c r="O12" s="23"/>
      <c r="P12" s="16">
        <f>C12/C11-1</f>
        <v>-0.192606843612644</v>
      </c>
      <c r="Q12" s="16">
        <f>(E12+D12)/C12</f>
        <v>0.380128205128205</v>
      </c>
      <c r="R12" s="16">
        <f>AVERAGE(Q9:Q12)</f>
        <v>0.553507316031837</v>
      </c>
      <c r="S12" s="17"/>
      <c r="T12" s="26">
        <f>SUM(J9:K12)/4</f>
        <v>-16.93715</v>
      </c>
      <c r="U12" s="17"/>
      <c r="V12" s="26">
        <f>-(L12+M12)+V11</f>
        <v>-3206.77709175</v>
      </c>
      <c r="W12" s="17"/>
      <c r="X12" s="26">
        <f>F12-G12</f>
        <v>-44129.76</v>
      </c>
      <c r="Y12" s="24"/>
      <c r="Z12" s="18">
        <v>123</v>
      </c>
      <c r="AA12" s="22"/>
      <c r="AB12" s="20">
        <v>14.24</v>
      </c>
    </row>
    <row r="13" ht="20.05" customHeight="1">
      <c r="B13" s="13"/>
      <c r="C13" s="67">
        <v>3489.369</v>
      </c>
      <c r="D13" s="26">
        <v>507.86565</v>
      </c>
      <c r="E13" s="26">
        <v>1271.43</v>
      </c>
      <c r="F13" s="26">
        <v>607.461</v>
      </c>
      <c r="G13" s="26">
        <v>43299.255</v>
      </c>
      <c r="H13" s="26">
        <v>51648.312</v>
      </c>
      <c r="I13" s="26">
        <v>2966.67</v>
      </c>
      <c r="J13" s="26">
        <v>-854.6835</v>
      </c>
      <c r="K13" s="26">
        <v>91.82550000000001</v>
      </c>
      <c r="L13" s="26">
        <v>60.03975</v>
      </c>
      <c r="M13" s="26">
        <v>0</v>
      </c>
      <c r="N13" s="26">
        <f>SUM(C10:C13)/4</f>
        <v>3720.67925</v>
      </c>
      <c r="O13" s="23"/>
      <c r="P13" s="16">
        <f>C13/C12-1</f>
        <v>0.0471793071161049</v>
      </c>
      <c r="Q13" s="16">
        <f>(E13+D13)/C13</f>
        <v>0.509919028340081</v>
      </c>
      <c r="R13" s="16">
        <f>AVERAGE(Q10:Q13)</f>
        <v>0.5202550014037099</v>
      </c>
      <c r="S13" s="17"/>
      <c r="T13" s="26">
        <f>SUM(J10:K13)/4</f>
        <v>19.49835</v>
      </c>
      <c r="U13" s="17"/>
      <c r="V13" s="26">
        <f>-(L13+M13)+V12</f>
        <v>-3266.81684175</v>
      </c>
      <c r="W13" s="17"/>
      <c r="X13" s="26">
        <f>F13-G13</f>
        <v>-42691.794</v>
      </c>
      <c r="Y13" s="24"/>
      <c r="Z13" s="18">
        <v>119</v>
      </c>
      <c r="AA13" s="24"/>
      <c r="AB13" s="15">
        <v>14.127</v>
      </c>
    </row>
    <row r="14" ht="20.05" customHeight="1">
      <c r="B14" s="13"/>
      <c r="C14" s="67">
        <v>3846.845</v>
      </c>
      <c r="D14" s="26">
        <v>510.31025</v>
      </c>
      <c r="E14" s="26">
        <v>1234.965</v>
      </c>
      <c r="F14" s="26">
        <v>908.48</v>
      </c>
      <c r="G14" s="26">
        <v>44558.105</v>
      </c>
      <c r="H14" s="26">
        <v>52890.57</v>
      </c>
      <c r="I14" s="26">
        <v>3279.045</v>
      </c>
      <c r="J14" s="26">
        <v>965.26</v>
      </c>
      <c r="K14" s="26">
        <v>-596.1900000000001</v>
      </c>
      <c r="L14" s="26">
        <v>60.32875</v>
      </c>
      <c r="M14" s="26">
        <v>0</v>
      </c>
      <c r="N14" s="26">
        <f>SUM(C11:C14)/4</f>
        <v>3698.8585</v>
      </c>
      <c r="O14" s="23"/>
      <c r="P14" s="16">
        <f>C14/C13-1</f>
        <v>0.102447175979382</v>
      </c>
      <c r="Q14" s="16">
        <f>(E14+D14)/C14</f>
        <v>0.453690036900369</v>
      </c>
      <c r="R14" s="16">
        <f>AVERAGE(Q11:Q14)</f>
        <v>0.480860275780317</v>
      </c>
      <c r="S14" s="17"/>
      <c r="T14" s="26">
        <f>SUM(J11:K14)/4</f>
        <v>-375.157</v>
      </c>
      <c r="U14" s="17"/>
      <c r="V14" s="26">
        <f>-(L14+M14)+V13</f>
        <v>-3327.14559175</v>
      </c>
      <c r="W14" s="17"/>
      <c r="X14" s="26">
        <f>F14-G14</f>
        <v>-43649.625</v>
      </c>
      <c r="Y14" s="24"/>
      <c r="Z14" s="18">
        <v>90</v>
      </c>
      <c r="AA14" s="24"/>
      <c r="AB14" s="15">
        <v>14.195</v>
      </c>
    </row>
    <row r="15" ht="20.05" customHeight="1">
      <c r="B15" s="13"/>
      <c r="C15" s="67">
        <v>5011.402</v>
      </c>
      <c r="D15" s="26">
        <v>499.0579</v>
      </c>
      <c r="E15" s="26">
        <v>131.879</v>
      </c>
      <c r="F15" s="26">
        <v>624.6900000000001</v>
      </c>
      <c r="G15" s="26">
        <v>44325.226</v>
      </c>
      <c r="H15" s="26">
        <v>51405.046</v>
      </c>
      <c r="I15" s="26">
        <v>4303.42</v>
      </c>
      <c r="J15" s="26">
        <v>-999.504</v>
      </c>
      <c r="K15" s="26">
        <v>588.5968</v>
      </c>
      <c r="L15" s="26">
        <v>58.9985</v>
      </c>
      <c r="M15" s="26">
        <v>0</v>
      </c>
      <c r="N15" s="26">
        <f>SUM(C12:C15)/4</f>
        <v>3919.944</v>
      </c>
      <c r="O15" s="26"/>
      <c r="P15" s="16">
        <f>C15/C14-1</f>
        <v>0.302730419343644</v>
      </c>
      <c r="Q15" s="16">
        <f>(E15+D15)/C15</f>
        <v>0.12590027700831</v>
      </c>
      <c r="R15" s="16">
        <f>AVERAGE(Q12:Q15)</f>
        <v>0.367409386844241</v>
      </c>
      <c r="S15" s="17"/>
      <c r="T15" s="26">
        <f>SUM(J12:K15)/4</f>
        <v>-211.8538</v>
      </c>
      <c r="U15" s="17"/>
      <c r="V15" s="26">
        <f>-(L15+M15)+V14</f>
        <v>-3386.14409175</v>
      </c>
      <c r="W15" s="17"/>
      <c r="X15" s="26">
        <f>F15-G15</f>
        <v>-43700.536</v>
      </c>
      <c r="Y15" s="24"/>
      <c r="Z15" s="18">
        <v>66</v>
      </c>
      <c r="AA15" s="24"/>
      <c r="AB15" s="15">
        <v>13.882</v>
      </c>
    </row>
    <row r="16" ht="20.05" customHeight="1">
      <c r="B16" s="21">
        <v>2020</v>
      </c>
      <c r="C16" s="67">
        <v>4191.67</v>
      </c>
      <c r="D16" s="26">
        <v>441.457333333334</v>
      </c>
      <c r="E16" s="26">
        <v>-570.85</v>
      </c>
      <c r="F16" s="26">
        <v>701.33</v>
      </c>
      <c r="G16" s="26">
        <v>51246.02</v>
      </c>
      <c r="H16" s="26">
        <v>59025.89</v>
      </c>
      <c r="I16" s="26">
        <v>4468.94</v>
      </c>
      <c r="J16" s="26">
        <v>-63.609</v>
      </c>
      <c r="K16" s="26">
        <v>-32.62</v>
      </c>
      <c r="L16" s="26">
        <v>108.4574225</v>
      </c>
      <c r="M16" s="26">
        <v>0</v>
      </c>
      <c r="N16" s="26">
        <f>SUM(C13:C16)/4</f>
        <v>4134.8215</v>
      </c>
      <c r="O16" s="26"/>
      <c r="P16" s="16">
        <f>C16/C15-1</f>
        <v>-0.16357338724772</v>
      </c>
      <c r="Q16" s="16">
        <f>(E16+D16)/C16</f>
        <v>-0.0308690012970167</v>
      </c>
      <c r="R16" s="16">
        <f>AVERAGE(Q13:Q16)</f>
        <v>0.264660085237936</v>
      </c>
      <c r="S16" s="17"/>
      <c r="T16" s="26">
        <f>SUM(J13:K16)/4</f>
        <v>-225.23105</v>
      </c>
      <c r="U16" s="17"/>
      <c r="V16" s="26">
        <f>-(L16+M16)+V15</f>
        <v>-3494.60151425</v>
      </c>
      <c r="W16" s="17"/>
      <c r="X16" s="26">
        <f>F16-G16</f>
        <v>-50544.69</v>
      </c>
      <c r="Y16" s="24"/>
      <c r="Z16" s="26">
        <v>50</v>
      </c>
      <c r="AA16" s="24"/>
      <c r="AB16" s="15">
        <v>16.31</v>
      </c>
    </row>
    <row r="17" ht="20.05" customHeight="1">
      <c r="B17" s="13"/>
      <c r="C17" s="67">
        <v>2608.665</v>
      </c>
      <c r="D17" s="26">
        <v>405.792333333334</v>
      </c>
      <c r="E17" s="26">
        <v>-1211.675</v>
      </c>
      <c r="F17" s="26">
        <v>627.22</v>
      </c>
      <c r="G17" s="26">
        <v>44219.01</v>
      </c>
      <c r="H17" s="26">
        <v>51032.9</v>
      </c>
      <c r="I17" s="26">
        <v>2722.705</v>
      </c>
      <c r="J17" s="26">
        <v>-101.2105</v>
      </c>
      <c r="K17" s="26">
        <v>-42.765</v>
      </c>
      <c r="L17" s="26">
        <v>94.79218625</v>
      </c>
      <c r="M17" s="26">
        <v>0</v>
      </c>
      <c r="N17" s="26">
        <f>SUM(C14:C17)/4</f>
        <v>3914.6455</v>
      </c>
      <c r="O17" s="26"/>
      <c r="P17" s="16">
        <f>C17/C16-1</f>
        <v>-0.37765496806762</v>
      </c>
      <c r="Q17" s="16">
        <f>(E17+D17)/C17</f>
        <v>-0.308925318761384</v>
      </c>
      <c r="R17" s="16">
        <f>AVERAGE(Q14:Q17)</f>
        <v>0.0599489984625696</v>
      </c>
      <c r="S17" s="17"/>
      <c r="T17" s="26">
        <f>SUM(J14:K17)/4</f>
        <v>-70.510425</v>
      </c>
      <c r="U17" s="17"/>
      <c r="V17" s="26">
        <f>-(L17+M17)+V16</f>
        <v>-3589.3937005</v>
      </c>
      <c r="W17" s="17"/>
      <c r="X17" s="26">
        <f>F17-G17</f>
        <v>-43591.79</v>
      </c>
      <c r="Y17" s="24"/>
      <c r="Z17" s="26">
        <v>50</v>
      </c>
      <c r="AA17" s="24"/>
      <c r="AB17" s="15">
        <v>14.255</v>
      </c>
    </row>
    <row r="18" ht="20.05" customHeight="1">
      <c r="B18" s="13"/>
      <c r="C18" s="67">
        <v>2188.92</v>
      </c>
      <c r="D18" s="26">
        <v>258.332</v>
      </c>
      <c r="E18" s="26">
        <v>-2026.23</v>
      </c>
      <c r="F18" s="26">
        <v>576.8099999999999</v>
      </c>
      <c r="G18" s="26">
        <v>44133.36</v>
      </c>
      <c r="H18" s="26">
        <v>50448.69</v>
      </c>
      <c r="I18" s="26">
        <v>2203.71</v>
      </c>
      <c r="J18" s="26">
        <v>-162.69</v>
      </c>
      <c r="K18" s="26">
        <v>-88.73999999999999</v>
      </c>
      <c r="L18" s="26">
        <v>98.3498025</v>
      </c>
      <c r="M18" s="26">
        <v>0</v>
      </c>
      <c r="N18" s="26">
        <f>SUM(C15:C18)/4</f>
        <v>3500.16425</v>
      </c>
      <c r="O18" s="26"/>
      <c r="P18" s="16">
        <f>C18/C17-1</f>
        <v>-0.160904140623652</v>
      </c>
      <c r="Q18" s="16">
        <f>(E18+D18)/C18</f>
        <v>-0.807657657657658</v>
      </c>
      <c r="R18" s="16">
        <f>AVERAGE(Q15:Q18)</f>
        <v>-0.255387925176937</v>
      </c>
      <c r="S18" s="17"/>
      <c r="T18" s="26">
        <f>SUM(J15:K18)/4</f>
        <v>-225.635425</v>
      </c>
      <c r="U18" s="17"/>
      <c r="V18" s="26">
        <f>-(L18+M18)+V17</f>
        <v>-3687.743503</v>
      </c>
      <c r="W18" s="17"/>
      <c r="X18" s="26">
        <f>F18-G18</f>
        <v>-43556.55</v>
      </c>
      <c r="Y18" s="24"/>
      <c r="Z18" s="26">
        <v>50</v>
      </c>
      <c r="AA18" s="24"/>
      <c r="AB18" s="15">
        <v>14.79</v>
      </c>
    </row>
    <row r="19" ht="20.05" customHeight="1">
      <c r="B19" s="13"/>
      <c r="C19" s="67">
        <v>2853.84</v>
      </c>
      <c r="D19" s="26">
        <v>176.249999999999</v>
      </c>
      <c r="E19" s="26">
        <v>-1132.23</v>
      </c>
      <c r="F19" s="26">
        <v>789.6</v>
      </c>
      <c r="G19" s="26">
        <v>46473.6</v>
      </c>
      <c r="H19" s="26">
        <v>48348.9</v>
      </c>
      <c r="I19" s="26">
        <v>2395.59</v>
      </c>
      <c r="J19" s="26">
        <v>63.45</v>
      </c>
      <c r="K19" s="26">
        <v>282</v>
      </c>
      <c r="L19" s="26">
        <v>93.761475</v>
      </c>
      <c r="M19" s="26">
        <v>0</v>
      </c>
      <c r="N19" s="26">
        <f>SUM(C16:C19)/4</f>
        <v>2960.77375</v>
      </c>
      <c r="O19" s="26">
        <v>2728.35</v>
      </c>
      <c r="P19" s="16">
        <f>C19/C18-1</f>
        <v>0.303766240885916</v>
      </c>
      <c r="Q19" s="16">
        <f>(E19+D19)/C19</f>
        <v>-0.334980237154151</v>
      </c>
      <c r="R19" s="16">
        <f>AVERAGE(Q16:Q19)</f>
        <v>-0.370608053717552</v>
      </c>
      <c r="S19" s="17"/>
      <c r="T19" s="26">
        <f>SUM(J16:K19)/4</f>
        <v>-36.546125</v>
      </c>
      <c r="U19" s="17"/>
      <c r="V19" s="26">
        <f>-(L19+M19)+V18</f>
        <v>-3781.504978</v>
      </c>
      <c r="W19" s="17"/>
      <c r="X19" s="26">
        <f>F19-G19</f>
        <v>-45684</v>
      </c>
      <c r="Y19" s="24"/>
      <c r="Z19" s="26">
        <v>72</v>
      </c>
      <c r="AA19" s="24"/>
      <c r="AB19" s="15">
        <v>14.1</v>
      </c>
    </row>
    <row r="20" ht="20.05" customHeight="1">
      <c r="B20" s="21">
        <v>2021</v>
      </c>
      <c r="C20" s="67">
        <v>2792.6672</v>
      </c>
      <c r="D20" s="26">
        <v>1390.978066666670</v>
      </c>
      <c r="E20" s="26">
        <v>-103.7026</v>
      </c>
      <c r="F20" s="26">
        <v>759.5119999999999</v>
      </c>
      <c r="G20" s="26">
        <v>47980.71</v>
      </c>
      <c r="H20" s="26">
        <v>49821.066</v>
      </c>
      <c r="I20" s="26">
        <v>2453.808</v>
      </c>
      <c r="J20" s="26">
        <v>787.2634</v>
      </c>
      <c r="K20" s="26">
        <v>-1418.2426</v>
      </c>
      <c r="L20" s="26">
        <v>567.866674</v>
      </c>
      <c r="M20" s="26">
        <v>0</v>
      </c>
      <c r="N20" s="26">
        <f>SUM(C17:C20)/4</f>
        <v>2611.02305</v>
      </c>
      <c r="O20" s="26">
        <v>3012.876993333340</v>
      </c>
      <c r="P20" s="16">
        <f>C20/C19-1</f>
        <v>-0.0214352591595885</v>
      </c>
      <c r="Q20" s="16">
        <f>(E20+D20)/C20</f>
        <v>0.460948396094841</v>
      </c>
      <c r="R20" s="16">
        <f>AVERAGE(Q17:Q20)</f>
        <v>-0.247653704369588</v>
      </c>
      <c r="S20" s="17"/>
      <c r="T20" s="26">
        <f>SUM(J17:K20)/4</f>
        <v>-170.233675</v>
      </c>
      <c r="U20" s="17"/>
      <c r="V20" s="26">
        <f>-(L20+M20)+V19</f>
        <v>-4349.371652</v>
      </c>
      <c r="W20" s="17"/>
      <c r="X20" s="26">
        <f>F20-G20</f>
        <v>-47221.198</v>
      </c>
      <c r="Y20" s="26"/>
      <c r="Z20" s="26">
        <v>59</v>
      </c>
      <c r="AA20" s="17"/>
      <c r="AB20" s="15">
        <v>14.606</v>
      </c>
    </row>
    <row r="21" ht="20.05" customHeight="1">
      <c r="B21" s="13"/>
      <c r="C21" s="67">
        <v>3333.615</v>
      </c>
      <c r="D21" s="26">
        <v>1587.091666666670</v>
      </c>
      <c r="E21" s="26">
        <v>195.075</v>
      </c>
      <c r="F21" s="26">
        <v>1401.65</v>
      </c>
      <c r="G21" s="26">
        <v>47786.15</v>
      </c>
      <c r="H21" s="26">
        <v>50921.8</v>
      </c>
      <c r="I21" s="25">
        <v>2437.715</v>
      </c>
      <c r="J21" s="26">
        <v>-2017.22</v>
      </c>
      <c r="K21" s="26">
        <v>845.325</v>
      </c>
      <c r="L21" s="26">
        <v>718.5696</v>
      </c>
      <c r="M21" s="26">
        <v>1105.1938</v>
      </c>
      <c r="N21" s="26">
        <f>SUM(C18:C21)/4</f>
        <v>2792.26055</v>
      </c>
      <c r="O21" s="26">
        <v>3098.910875</v>
      </c>
      <c r="P21" s="16">
        <f>C21/C20-1</f>
        <v>0.193702923141003</v>
      </c>
      <c r="Q21" s="16">
        <f>(E21+D21)/C21</f>
        <v>0.534604825892213</v>
      </c>
      <c r="R21" s="16">
        <f>AVERAGE(Q18:Q21)</f>
        <v>-0.0367711682061888</v>
      </c>
      <c r="S21" s="17"/>
      <c r="T21" s="26">
        <f>SUM(J18:K21)/4</f>
        <v>-427.21355</v>
      </c>
      <c r="U21" s="17"/>
      <c r="V21" s="26">
        <f>-(L21+M21)+V20</f>
        <v>-6173.135052</v>
      </c>
      <c r="W21" s="17"/>
      <c r="X21" s="26">
        <f>F21-G21</f>
        <v>-46384.5</v>
      </c>
      <c r="Y21" s="26"/>
      <c r="Z21" s="26">
        <v>60</v>
      </c>
      <c r="AA21" s="17"/>
      <c r="AB21" s="15">
        <v>14.45</v>
      </c>
    </row>
    <row r="22" ht="20.05" customHeight="1">
      <c r="B22" s="13"/>
      <c r="C22" s="67">
        <v>3500.3304</v>
      </c>
      <c r="D22" s="26">
        <v>2148.2448</v>
      </c>
      <c r="E22" s="26">
        <v>929.8872</v>
      </c>
      <c r="F22" s="26">
        <v>1905.624</v>
      </c>
      <c r="G22" s="26">
        <v>49044.744</v>
      </c>
      <c r="H22" s="26">
        <v>53056.584</v>
      </c>
      <c r="I22" s="25">
        <v>2821.1832</v>
      </c>
      <c r="J22" s="26">
        <v>-396.8856</v>
      </c>
      <c r="K22" s="26">
        <v>-206.3232</v>
      </c>
      <c r="L22" s="26">
        <v>1114.833024</v>
      </c>
      <c r="M22" s="26">
        <v>0.9743039999999999</v>
      </c>
      <c r="N22" s="26">
        <f>SUM(C19:C22)/4</f>
        <v>3120.11315</v>
      </c>
      <c r="O22" s="26">
        <v>3426.824178</v>
      </c>
      <c r="P22" s="16">
        <f>C22/C21-1</f>
        <v>0.0500103941216967</v>
      </c>
      <c r="Q22" s="16">
        <f>(E22+D22)/C22</f>
        <v>0.879383271933415</v>
      </c>
      <c r="R22" s="16">
        <f>AVERAGE(Q19:Q22)</f>
        <v>0.38498906419158</v>
      </c>
      <c r="S22" s="17"/>
      <c r="T22" s="26">
        <f>SUM(J19:K22)/4</f>
        <v>-515.15825</v>
      </c>
      <c r="U22" s="17"/>
      <c r="V22" s="26">
        <f>-(L22+M22)+V21</f>
        <v>-7288.94238</v>
      </c>
      <c r="W22" s="17"/>
      <c r="X22" s="26">
        <f>F22-G22</f>
        <v>-47139.12</v>
      </c>
      <c r="Y22" s="26"/>
      <c r="Z22" s="26">
        <v>66</v>
      </c>
      <c r="AA22" s="17"/>
      <c r="AB22" s="15">
        <v>14.328</v>
      </c>
    </row>
    <row r="23" ht="20.05" customHeight="1">
      <c r="B23" s="13"/>
      <c r="C23" s="67">
        <v>4879.195</v>
      </c>
      <c r="D23" s="26">
        <v>2217.383333333330</v>
      </c>
      <c r="E23" s="26">
        <v>2165.5175</v>
      </c>
      <c r="F23" s="26">
        <v>3154.775</v>
      </c>
      <c r="G23" s="26">
        <v>51061.675</v>
      </c>
      <c r="H23" s="26">
        <v>60283.325</v>
      </c>
      <c r="I23" s="25">
        <v>3638.6975</v>
      </c>
      <c r="J23" s="26">
        <v>192.7125</v>
      </c>
      <c r="K23" s="26">
        <v>-1707.29</v>
      </c>
      <c r="L23" s="26">
        <v>-2960.849125</v>
      </c>
      <c r="M23" s="26">
        <v>2370.3352</v>
      </c>
      <c r="N23" s="26">
        <f>SUM(C20:C23)/4</f>
        <v>3626.4519</v>
      </c>
      <c r="O23" s="26">
        <v>4142.31593125</v>
      </c>
      <c r="P23" s="16">
        <f>C23/C22-1</f>
        <v>0.393924127848045</v>
      </c>
      <c r="Q23" s="16">
        <f>(E23+D23)/C23</f>
        <v>0.898283596645211</v>
      </c>
      <c r="R23" s="16">
        <f>AVERAGE(Q20:Q23)</f>
        <v>0.69330502264142</v>
      </c>
      <c r="S23" s="17"/>
      <c r="T23" s="26">
        <f>SUM(J20:K23)/4</f>
        <v>-980.165125</v>
      </c>
      <c r="U23" s="17"/>
      <c r="V23" s="26">
        <f>-(L23+M23)+V22</f>
        <v>-6698.428455</v>
      </c>
      <c r="W23" s="17"/>
      <c r="X23" s="26">
        <f>F23-G23</f>
        <v>-47906.9</v>
      </c>
      <c r="Y23" s="26"/>
      <c r="Z23" s="26">
        <v>68</v>
      </c>
      <c r="AA23" s="17"/>
      <c r="AB23" s="15">
        <v>14.275</v>
      </c>
    </row>
    <row r="24" ht="20.05" customHeight="1">
      <c r="B24" s="21">
        <v>2022</v>
      </c>
      <c r="C24" s="67">
        <v>5013.0173</v>
      </c>
      <c r="D24" s="26">
        <v>1863.465133333330</v>
      </c>
      <c r="E24" s="26">
        <v>669.0709000000001</v>
      </c>
      <c r="F24" s="26">
        <v>3194.921</v>
      </c>
      <c r="G24" s="26">
        <v>48912.378</v>
      </c>
      <c r="H24" s="26">
        <v>59729.263</v>
      </c>
      <c r="I24" s="25">
        <v>4312.427</v>
      </c>
      <c r="J24" s="26">
        <v>458.464</v>
      </c>
      <c r="K24" s="26">
        <v>-816.639</v>
      </c>
      <c r="L24" s="26">
        <v>-485.6853</v>
      </c>
      <c r="M24" s="26">
        <v>873.947</v>
      </c>
      <c r="N24" s="26">
        <f>SUM(C21:C24)/4</f>
        <v>4181.539425</v>
      </c>
      <c r="O24" s="26">
        <v>4600.26001175</v>
      </c>
      <c r="P24" s="16">
        <f>C24/C23-1</f>
        <v>0.0274271268108776</v>
      </c>
      <c r="Q24" s="16">
        <f>(E24+D24)/C24</f>
        <v>0.505191959607506</v>
      </c>
      <c r="R24" s="16">
        <f>AVERAGE(Q21:Q24)</f>
        <v>0.704365913519586</v>
      </c>
      <c r="S24" s="35"/>
      <c r="T24" s="26">
        <f>SUM(J21:K24)/4</f>
        <v>-911.964075</v>
      </c>
      <c r="U24" s="26">
        <v>542.058293236266</v>
      </c>
      <c r="V24" s="26">
        <f>-(L24+M24)+V23</f>
        <v>-7086.690155</v>
      </c>
      <c r="W24" s="26"/>
      <c r="X24" s="26">
        <f>F24-G24</f>
        <v>-45717.457</v>
      </c>
      <c r="Y24" s="26">
        <v>-45807.5962641718</v>
      </c>
      <c r="Z24" s="26">
        <v>57</v>
      </c>
      <c r="AA24" s="26">
        <v>56</v>
      </c>
      <c r="AB24" s="15">
        <v>14.327</v>
      </c>
    </row>
    <row r="25" ht="20.05" customHeight="1">
      <c r="B25" s="13"/>
      <c r="C25" s="67">
        <v>9076.005999999999</v>
      </c>
      <c r="D25" s="26">
        <v>3155.809333333330</v>
      </c>
      <c r="E25" s="26">
        <v>1924.858</v>
      </c>
      <c r="F25" s="26">
        <v>4354.02</v>
      </c>
      <c r="G25" s="26">
        <v>52380.18</v>
      </c>
      <c r="H25" s="26">
        <v>65398.26</v>
      </c>
      <c r="I25" s="25">
        <v>7549.9</v>
      </c>
      <c r="J25" s="25">
        <v>630.38</v>
      </c>
      <c r="K25" s="25">
        <v>1861.82</v>
      </c>
      <c r="L25" s="25">
        <v>672.894</v>
      </c>
      <c r="M25" s="25">
        <v>0</v>
      </c>
      <c r="N25" s="26">
        <f>SUM(C22:C25)/4</f>
        <v>5617.137175</v>
      </c>
      <c r="O25" s="26">
        <v>5164.926905</v>
      </c>
      <c r="P25" s="16">
        <f>C25/C24-1</f>
        <v>0.810487667776451</v>
      </c>
      <c r="Q25" s="16">
        <f>(E25+D25)/C25</f>
        <v>0.559791094599687</v>
      </c>
      <c r="R25" s="16">
        <f>AVERAGE(Q22:Q25)</f>
        <v>0.710662480696455</v>
      </c>
      <c r="S25" s="35"/>
      <c r="T25" s="26">
        <f>SUM(J22:K25)/4</f>
        <v>4.059675</v>
      </c>
      <c r="U25" s="26">
        <v>-24.5354471129977</v>
      </c>
      <c r="V25" s="25">
        <f>-(L25+M25)+V24</f>
        <v>-7759.584155</v>
      </c>
      <c r="W25" s="26"/>
      <c r="X25" s="26">
        <f>F25-G25</f>
        <v>-48026.16</v>
      </c>
      <c r="Y25" s="26">
        <v>-46907.5059112766</v>
      </c>
      <c r="Z25" s="26">
        <v>67</v>
      </c>
      <c r="AA25" s="26">
        <v>162.049940835795</v>
      </c>
      <c r="AB25" s="15">
        <v>14.66</v>
      </c>
    </row>
    <row r="26" ht="20.05" customHeight="1">
      <c r="B26" s="13"/>
      <c r="C26" s="67">
        <v>6690.33</v>
      </c>
      <c r="D26" s="26">
        <v>4203.705000000010</v>
      </c>
      <c r="E26" s="26">
        <v>3235.23</v>
      </c>
      <c r="F26" s="26">
        <v>6219.18</v>
      </c>
      <c r="G26" s="26">
        <v>54213.66</v>
      </c>
      <c r="H26" s="26">
        <v>71363.52</v>
      </c>
      <c r="I26" s="25">
        <v>8040.96</v>
      </c>
      <c r="J26" s="25">
        <v>-298.395</v>
      </c>
      <c r="K26" s="25">
        <v>-2402.865</v>
      </c>
      <c r="L26" s="25">
        <v>2041.65</v>
      </c>
      <c r="M26" s="25">
        <v>0</v>
      </c>
      <c r="N26" s="26">
        <f>SUM(C23:C26)/4</f>
        <v>6414.637075</v>
      </c>
      <c r="O26" s="26">
        <v>7091.87544</v>
      </c>
      <c r="P26" s="16">
        <f>C26/C25-1</f>
        <v>-0.26285526915694</v>
      </c>
      <c r="Q26" s="16">
        <f>(E26+D26)/C26</f>
        <v>1.11189358372457</v>
      </c>
      <c r="R26" s="16">
        <f>AVERAGE(Q23:Q26)</f>
        <v>0.768790058644244</v>
      </c>
      <c r="S26" s="35">
        <f>S27</f>
        <v>0.768790058644244</v>
      </c>
      <c r="T26" s="25">
        <f>SUM(J23:K26)/4</f>
        <v>-520.453125</v>
      </c>
      <c r="U26" s="26">
        <v>28.138040653680</v>
      </c>
      <c r="V26" s="25">
        <f>-(L26+M26)+V25</f>
        <v>-9801.234155</v>
      </c>
      <c r="W26" s="26">
        <f>W27</f>
        <v>255.060939625</v>
      </c>
      <c r="X26" s="26">
        <f>F26-G26</f>
        <v>-47994.48</v>
      </c>
      <c r="Y26" s="26">
        <v>-51337.0278373853</v>
      </c>
      <c r="Z26" s="26">
        <v>137</v>
      </c>
      <c r="AA26" s="26">
        <v>162.049940835795</v>
      </c>
      <c r="AB26" s="15">
        <v>15.705</v>
      </c>
    </row>
    <row r="27" ht="20.05" customHeight="1">
      <c r="B27" s="13"/>
      <c r="C27" s="67"/>
      <c r="D27" s="17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7728.240365847</v>
      </c>
      <c r="P27" s="17"/>
      <c r="Q27" s="17"/>
      <c r="R27" s="17"/>
      <c r="S27" s="35">
        <f>AE53</f>
        <v>0.768790058644244</v>
      </c>
      <c r="T27" s="17"/>
      <c r="U27" s="26">
        <f>SUM(AE55:AH55)/4</f>
        <v>5488.833030743</v>
      </c>
      <c r="V27" s="17"/>
      <c r="W27" s="26">
        <f>-SUM(AE76:AH76)+V26</f>
        <v>255.060939625</v>
      </c>
      <c r="X27" s="17"/>
      <c r="Y27" s="26">
        <f>AH75</f>
        <v>-26039.147877028</v>
      </c>
      <c r="Z27" s="26">
        <v>144</v>
      </c>
      <c r="AA27" s="26">
        <v>208</v>
      </c>
      <c r="AB27" s="17"/>
    </row>
    <row r="28" ht="20.05" customHeight="1">
      <c r="B28" s="21">
        <v>2023</v>
      </c>
      <c r="C28" s="6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SUM(N23:N26)</f>
        <v>19839.765575</v>
      </c>
      <c r="O28" s="26">
        <f>SUM(O23:O26)</f>
        <v>20999.378288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295.638159438812</v>
      </c>
      <c r="AB28" s="15"/>
    </row>
    <row r="29" ht="20.05" customHeight="1">
      <c r="B29" s="13"/>
      <c r="C29" s="6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6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67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67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67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67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67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67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67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67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67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67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6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6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6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301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0.242245913319608</v>
      </c>
      <c r="AF49" s="35"/>
      <c r="AG49" s="35"/>
      <c r="AH49" s="35">
        <f>AVERAGE(AE51:AH51)</f>
        <v>0.0475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0.393924127848045</v>
      </c>
      <c r="AF50" s="35">
        <f>P24</f>
        <v>0.0274271268108776</v>
      </c>
      <c r="AG50" s="35">
        <f>P25</f>
        <v>0.810487667776451</v>
      </c>
      <c r="AH50" s="35">
        <f>P26</f>
        <v>-0.26285526915694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-0.03</v>
      </c>
      <c r="AG51" s="35">
        <v>0.04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6690.33</v>
      </c>
      <c r="AE52" s="23">
        <f>C26*(1+AE51)</f>
        <v>7693.8795</v>
      </c>
      <c r="AF52" s="23">
        <f>AE52*(1+AF51)</f>
        <v>7463.063115</v>
      </c>
      <c r="AG52" s="23">
        <f>AF52*(1+AG51)</f>
        <v>7761.5856396</v>
      </c>
      <c r="AH52" s="23">
        <f>AG52*(1+AH51)</f>
        <v>7994.433208788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0.768790058644244</v>
      </c>
      <c r="AF53" s="35">
        <f>AE53</f>
        <v>0.768790058644244</v>
      </c>
      <c r="AG53" s="35">
        <f>AF53</f>
        <v>0.768790058644244</v>
      </c>
      <c r="AH53" s="35">
        <f>AG53</f>
        <v>0.768790058644244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-452.561333333333</v>
      </c>
      <c r="AF54" s="15">
        <f>AE54</f>
        <v>-452.561333333333</v>
      </c>
      <c r="AG54" s="15">
        <f>AF54</f>
        <v>-452.561333333333</v>
      </c>
      <c r="AH54" s="15">
        <f>AG54</f>
        <v>-452.561333333333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5462.416738673410</v>
      </c>
      <c r="AF55" s="15">
        <f>(AF52*AF53)+AF54</f>
        <v>5284.967396513210</v>
      </c>
      <c r="AG55" s="15">
        <f>(AG52*AG53)+AG54</f>
        <v>5514.468545707070</v>
      </c>
      <c r="AH55" s="15">
        <f>(AH52*AH53)+AH54</f>
        <v>5693.479442078290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-2710.683</v>
      </c>
      <c r="AF56" s="15">
        <f>-AE71/20</f>
        <v>-2575.14885</v>
      </c>
      <c r="AG56" s="15">
        <f>-AF71/20</f>
        <v>-2446.3914075</v>
      </c>
      <c r="AH56" s="15">
        <f>-AG71/20</f>
        <v>-2324.071837125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2751.733738673410</v>
      </c>
      <c r="AF59" s="15">
        <f>AF55+AF56+AF58</f>
        <v>2709.818546513210</v>
      </c>
      <c r="AG59" s="15">
        <f>AG55+AG56+AG58</f>
        <v>3068.077138207070</v>
      </c>
      <c r="AH59" s="15">
        <f>AH55+AH56+AH58</f>
        <v>3369.407604953290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6219.18</v>
      </c>
      <c r="AF61" s="15">
        <f>AE63</f>
        <v>8970.913738673409</v>
      </c>
      <c r="AG61" s="15">
        <f>AF63</f>
        <v>11680.7322851866</v>
      </c>
      <c r="AH61" s="15">
        <f>AG63</f>
        <v>14748.8094233937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2751.733738673410</v>
      </c>
      <c r="AF62" s="15">
        <f>AF55+AF56+AF58+AF60</f>
        <v>2709.818546513210</v>
      </c>
      <c r="AG62" s="15">
        <f>AG55+AG56+AG58+AG60</f>
        <v>3068.077138207070</v>
      </c>
      <c r="AH62" s="15">
        <f>AH55+AH56+AH58+AH60</f>
        <v>3369.407604953290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8970.913738673409</v>
      </c>
      <c r="AF63" s="15">
        <f>AF61+AF62</f>
        <v>11680.7322851866</v>
      </c>
      <c r="AG63" s="15">
        <f>AG61+AG62</f>
        <v>14748.8094233937</v>
      </c>
      <c r="AH63" s="15">
        <f>AH61+AH62</f>
        <v>18118.217028347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-3074.326488888890</v>
      </c>
      <c r="AF65" s="15">
        <f>AE65</f>
        <v>-3074.326488888890</v>
      </c>
      <c r="AG65" s="15">
        <f>AF65</f>
        <v>-3074.326488888890</v>
      </c>
      <c r="AH65" s="15">
        <f>AG65</f>
        <v>-3074.326488888890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2840.651583117860</v>
      </c>
      <c r="AF66" s="15">
        <f>(AF52*AF53)+AF65</f>
        <v>2663.202240957650</v>
      </c>
      <c r="AG66" s="15">
        <f>(AG52*AG53)+AG65</f>
        <v>2892.703390151520</v>
      </c>
      <c r="AH66" s="15">
        <f>(AH52*AH53)+AH65</f>
        <v>3071.714286522730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65596.9013333333</v>
      </c>
      <c r="AF68" s="15">
        <f>AE68-AF54</f>
        <v>66049.4626666666</v>
      </c>
      <c r="AG68" s="15">
        <f>AF68-AG54</f>
        <v>66502.0239999999</v>
      </c>
      <c r="AH68" s="15">
        <f>AG68-AH54</f>
        <v>66954.585333333205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3074.326488888890</v>
      </c>
      <c r="AF69" s="15">
        <f>AE69-AF65</f>
        <v>6148.652977777780</v>
      </c>
      <c r="AG69" s="15">
        <f>AF69-AG65</f>
        <v>9222.979466666669</v>
      </c>
      <c r="AH69" s="15">
        <f>AG69-AH65</f>
        <v>12297.3059555556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62522.5748444444</v>
      </c>
      <c r="AF70" s="15">
        <f>AF68-AF69</f>
        <v>59900.8096888888</v>
      </c>
      <c r="AG70" s="15">
        <f>AG68-AG69</f>
        <v>57279.0445333332</v>
      </c>
      <c r="AH70" s="15">
        <f>AH68-AH69</f>
        <v>54657.2793777776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51502.977</v>
      </c>
      <c r="AF71" s="15">
        <f>AE71+AF56</f>
        <v>48927.82815</v>
      </c>
      <c r="AG71" s="15">
        <f>AF71+AG56</f>
        <v>46481.4367425</v>
      </c>
      <c r="AH71" s="15">
        <f>AG71+AH56</f>
        <v>44157.364905375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19990.5115831179</v>
      </c>
      <c r="AF73" s="15">
        <f>AE73+AF66+AF58</f>
        <v>22653.7138240756</v>
      </c>
      <c r="AG73" s="15">
        <f>AF73+AG66+AG58</f>
        <v>25546.4172142271</v>
      </c>
      <c r="AH73" s="15">
        <f>AG73+AH66+AH58</f>
        <v>28618.1315007498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9e-11</v>
      </c>
      <c r="AF74" s="15">
        <f>AF71+AF72+AF73-AF63-AF70</f>
        <v>2e-10</v>
      </c>
      <c r="AG74" s="15">
        <f>AG71+AG72+AG73-AG63-AG70</f>
        <v>2e-10</v>
      </c>
      <c r="AH74" s="15">
        <f>AH71+AH72+AH73-AH63-AH70</f>
        <v>2e-10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-42532.0632613266</v>
      </c>
      <c r="AF75" s="15">
        <f>AF63-AF71-AF72</f>
        <v>-37247.0958648134</v>
      </c>
      <c r="AG75" s="15">
        <f>AG63-AG71-AG72</f>
        <v>-31732.6273191063</v>
      </c>
      <c r="AH75" s="15">
        <f>AH63-AH71-AH72</f>
        <v>-26039.147877028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-2710.683</v>
      </c>
      <c r="AF76" s="15">
        <f>AF56+AF58+AF60</f>
        <v>-2575.14885</v>
      </c>
      <c r="AG76" s="15">
        <f>AG56+AG58+AG60</f>
        <v>-2446.3914075</v>
      </c>
      <c r="AH76" s="15">
        <f>AH56+AH58+AH60</f>
        <v>-2324.071837125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518</v>
      </c>
      <c r="AD78" s="14"/>
      <c r="AE78" s="15"/>
      <c r="AF78" s="15"/>
      <c r="AG78" s="15"/>
      <c r="AH78" s="15">
        <v>144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518</v>
      </c>
      <c r="AD79" s="14"/>
      <c r="AE79" s="15"/>
      <c r="AF79" s="15"/>
      <c r="AG79" s="15"/>
      <c r="AH79" s="15">
        <v>53470225760256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53470.225760256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371.321012224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0.734728423724721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21955.332122972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2.48947631817372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2.43540956068297</v>
      </c>
      <c r="AH86" s="15">
        <v>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109776.66061486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295.638159438812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1.05304277388064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0.9113424264178031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0.0584489120406353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518</v>
      </c>
      <c r="AF94" t="s" s="44">
        <v>60</v>
      </c>
      <c r="AG94" s="15">
        <f>AH78</f>
        <v>144</v>
      </c>
      <c r="AH94" t="s" s="44">
        <v>61</v>
      </c>
      <c r="AI94" s="15">
        <f>AH88</f>
        <v>295.638159438812</v>
      </c>
      <c r="AJ94" t="s" s="44">
        <f>IF(AK94&gt;0,"+","")</f>
        <v>361</v>
      </c>
      <c r="AK94" s="16">
        <f>AI94/AG94-1</f>
        <v>1.05304277388064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0.9113424264178031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-0.0389340510611308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-0.0469848731565926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-0.897592619398924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-0.26285526915694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0.0500103941216967</v>
      </c>
      <c r="AF103" s="16">
        <f>P23</f>
        <v>0.393924127848045</v>
      </c>
      <c r="AG103" s="16">
        <f>P24</f>
        <v>0.0274271268108776</v>
      </c>
      <c r="AH103" s="16">
        <f>P25</f>
        <v>0.810487667776451</v>
      </c>
      <c r="AI103" s="16">
        <f>P26</f>
        <v>-0.26285526915694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3500.3304</v>
      </c>
      <c r="AF104" s="15">
        <f>C23</f>
        <v>4879.195</v>
      </c>
      <c r="AG104" s="15">
        <f>C24</f>
        <v>5013.0173</v>
      </c>
      <c r="AH104" s="15">
        <f>C25</f>
        <v>9076.005999999999</v>
      </c>
      <c r="AI104" s="15">
        <f>C26</f>
        <v>6690.33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AI104/AH104-1</f>
        <v>-0.26285526915694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6690.33</v>
      </c>
      <c r="AM105" t="s" s="44">
        <v>372</v>
      </c>
      <c r="AN105" t="s" s="44">
        <v>378</v>
      </c>
      <c r="AO105" s="16">
        <f>AH91</f>
        <v>0.0584489120406353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0.242245913319608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0.0475</v>
      </c>
      <c r="AG107" t="s" s="44">
        <v>82</v>
      </c>
      <c r="AH107" t="s" s="44">
        <v>83</v>
      </c>
      <c r="AI107" s="23">
        <f>AH52</f>
        <v>7994.433208788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0.879383271933415</v>
      </c>
      <c r="AF110" s="16">
        <f>(D23+E23)/C23</f>
        <v>0.898283596645211</v>
      </c>
      <c r="AG110" s="16">
        <f>((E24+D24)/C24)</f>
        <v>0.505191959607506</v>
      </c>
      <c r="AH110" s="16">
        <f>(D25+E25)/C25</f>
        <v>0.559791094599687</v>
      </c>
      <c r="AI110" s="16">
        <f>(D26+E26)/C26</f>
        <v>1.11189358372457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929.8872</v>
      </c>
      <c r="AF111" s="15">
        <f>E23</f>
        <v>2165.5175</v>
      </c>
      <c r="AG111" s="15">
        <f>E24</f>
        <v>669.0709000000001</v>
      </c>
      <c r="AH111" s="15">
        <f>E25</f>
        <v>1924.858</v>
      </c>
      <c r="AI111" s="15">
        <f>E26</f>
        <v>3235.23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0.559791094599687</v>
      </c>
      <c r="AG112" t="s" s="44">
        <v>76</v>
      </c>
      <c r="AH112" s="16">
        <f>AI110</f>
        <v>1.11189358372457</v>
      </c>
      <c r="AI112" t="s" s="44">
        <v>90</v>
      </c>
      <c r="AJ112" s="15">
        <f>AH111</f>
        <v>1924.858</v>
      </c>
      <c r="AK112" t="s" s="44">
        <v>76</v>
      </c>
      <c r="AL112" s="15">
        <f>AI111</f>
        <v>3235.23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0.768790058644244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0.768790058644244</v>
      </c>
      <c r="AG114" t="s" s="44">
        <v>94</v>
      </c>
      <c r="AH114" s="15">
        <f>AH66</f>
        <v>3071.714286522730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-396.8856</v>
      </c>
      <c r="AF117" s="15">
        <f>J23</f>
        <v>192.7125</v>
      </c>
      <c r="AG117" s="15">
        <f>J24</f>
        <v>458.464</v>
      </c>
      <c r="AH117" s="26">
        <f>J25</f>
        <v>630.38</v>
      </c>
      <c r="AI117" s="26">
        <f>J26</f>
        <v>-298.395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-206.3232</v>
      </c>
      <c r="AF118" s="15">
        <f>K23</f>
        <v>-1707.29</v>
      </c>
      <c r="AG118" s="15">
        <f>K24</f>
        <v>-816.639</v>
      </c>
      <c r="AH118" s="26">
        <f>K25</f>
        <v>1861.82</v>
      </c>
      <c r="AI118" s="26">
        <f>K26</f>
        <v>-2402.865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26">
        <f>AH117+AH118</f>
        <v>2492.2</v>
      </c>
      <c r="AG119" t="s" s="44">
        <v>76</v>
      </c>
      <c r="AH119" s="26">
        <f>AI117+AI118</f>
        <v>-2701.26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26">
        <f>AI118</f>
        <v>-2402.865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26">
        <f>SUM(AF117:AI118)/4</f>
        <v>-520.453125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-452.561333333333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5488.833030743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1905.624</v>
      </c>
      <c r="AF124" s="15">
        <f>F23</f>
        <v>3154.775</v>
      </c>
      <c r="AG124" s="15">
        <f>F24</f>
        <v>3194.921</v>
      </c>
      <c r="AH124" s="15">
        <f>F25</f>
        <v>4354.02</v>
      </c>
      <c r="AI124" s="15">
        <f>F26</f>
        <v>6219.18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49044.744</v>
      </c>
      <c r="AF125" s="15">
        <f>G23</f>
        <v>51061.675</v>
      </c>
      <c r="AG125" s="15">
        <f>G24</f>
        <v>48912.378</v>
      </c>
      <c r="AH125" s="15">
        <f>G25</f>
        <v>52380.18</v>
      </c>
      <c r="AI125" s="15">
        <f>G26</f>
        <v>54213.66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4354.02</v>
      </c>
      <c r="AH126" t="s" s="44">
        <v>76</v>
      </c>
      <c r="AI126" s="15">
        <f>AI124</f>
        <v>6219.18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52380.18</v>
      </c>
      <c r="AH127" t="s" s="44">
        <v>76</v>
      </c>
      <c r="AI127" s="15">
        <f>AI125</f>
        <v>54213.66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-48026.16</v>
      </c>
      <c r="AO127" t="s" s="44">
        <v>76</v>
      </c>
      <c r="AP127" s="15">
        <f>AI126-AI127</f>
        <v>-47994.48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-10056.295094625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-26039.147877028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-1114.833024</v>
      </c>
      <c r="AF131" s="15">
        <f>-L23</f>
        <v>2960.849125</v>
      </c>
      <c r="AG131" s="15">
        <f>-L24</f>
        <v>485.6853</v>
      </c>
      <c r="AH131" s="26">
        <f>-L25</f>
        <v>-672.894</v>
      </c>
      <c r="AI131" s="26">
        <f>-L26</f>
        <v>-2041.65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-0.9743039999999999</v>
      </c>
      <c r="AF132" s="15">
        <f>-M23</f>
        <v>-2370.3352</v>
      </c>
      <c r="AG132" s="15">
        <f>-M24</f>
        <v>-873.947</v>
      </c>
      <c r="AH132" s="26">
        <f>-M25</f>
        <v>0</v>
      </c>
      <c r="AI132" s="26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518</v>
      </c>
      <c r="AF133" t="s" s="44">
        <f>IF(AG133&gt;0,"paid","(raised)")</f>
        <v>121</v>
      </c>
      <c r="AG133" s="26">
        <f>SUM(AI131:AI132)</f>
        <v>-2041.65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26">
        <f>AI131</f>
        <v>-2041.65</v>
      </c>
      <c r="AM133" t="s" s="44">
        <f>AM105</f>
        <v>372</v>
      </c>
      <c r="AN133" t="s" s="44">
        <v>123</v>
      </c>
      <c r="AO133" s="26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10056.295094625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53470.225760256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0.734728423724721</v>
      </c>
      <c r="AK134" t="s" s="44">
        <v>130</v>
      </c>
      <c r="AL134" t="s" s="44">
        <v>131</v>
      </c>
      <c r="AM134" t="s" s="44">
        <v>132</v>
      </c>
      <c r="AN134" s="15">
        <f>AH85</f>
        <v>2.48947631817372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21955.332122972</v>
      </c>
      <c r="AG135" t="s" s="44">
        <f>AG134</f>
        <v>372</v>
      </c>
      <c r="AH135" t="s" s="44">
        <v>136</v>
      </c>
      <c r="AI135" s="15">
        <f>AF134/AF135</f>
        <v>2.43540956068297</v>
      </c>
      <c r="AJ135" t="s" s="44">
        <v>130</v>
      </c>
      <c r="AK135" t="s" s="44">
        <v>137</v>
      </c>
      <c r="AL135" t="s" s="44">
        <v>138</v>
      </c>
      <c r="AM135" s="15">
        <f>AH86</f>
        <v>5</v>
      </c>
      <c r="AN135" t="s" s="44">
        <v>139</v>
      </c>
      <c r="AO135" t="s" s="44">
        <v>140</v>
      </c>
      <c r="AP135" t="s" s="44">
        <v>141</v>
      </c>
      <c r="AQ135" s="16">
        <f>AK94</f>
        <v>1.05304277388064</v>
      </c>
      <c r="AR135" t="s" s="44">
        <f>IF(AQ135&gt;0,"higher","lower")</f>
        <v>363</v>
      </c>
      <c r="AS135" t="s" s="44">
        <v>142</v>
      </c>
      <c r="AT135" s="15">
        <f>AI94</f>
        <v>295.638159438812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3500.3304</v>
      </c>
      <c r="AE137" s="15">
        <f>AF104</f>
        <v>4879.195</v>
      </c>
      <c r="AF137" s="15">
        <f>AG104</f>
        <v>5013.0173</v>
      </c>
      <c r="AG137" s="15">
        <f>AH104</f>
        <v>9076.005999999999</v>
      </c>
      <c r="AH137" s="15">
        <f>AI104</f>
        <v>6690.33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-603.2088</v>
      </c>
      <c r="AE138" s="15">
        <f>SUM(AF117:AF118)</f>
        <v>-1514.5775</v>
      </c>
      <c r="AF138" s="15">
        <f>SUM(AG117:AG118)</f>
        <v>-358.175</v>
      </c>
      <c r="AG138" s="26">
        <f>SUM(AH117:AH118)</f>
        <v>2492.2</v>
      </c>
      <c r="AH138" s="26">
        <f>SUM(AI117:AI118)</f>
        <v>-2701.26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-1115.807328</v>
      </c>
      <c r="AE139" s="15">
        <f>SUM(AF131:AF132)</f>
        <v>590.513925</v>
      </c>
      <c r="AF139" s="15">
        <f>SUM(AG131:AG132)</f>
        <v>-388.2617</v>
      </c>
      <c r="AG139" s="26">
        <f>SUM(AH131:AH132)</f>
        <v>-672.894</v>
      </c>
      <c r="AH139" s="26">
        <f>SUM(AI131:AI132)</f>
        <v>-2041.65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-47139.12</v>
      </c>
      <c r="AE140" s="15">
        <f>(AF124-AF125)</f>
        <v>-47906.9</v>
      </c>
      <c r="AF140" s="15">
        <f>(AG124-AG125)</f>
        <v>-45717.457</v>
      </c>
      <c r="AG140" s="15">
        <f>(AH124-AH125)</f>
        <v>-48026.16</v>
      </c>
      <c r="AH140" s="15">
        <f>(AI124-AI125)</f>
        <v>-47994.48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295.638159438812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58" customWidth="1"/>
    <col min="2" max="26" width="10.4844" style="58" customWidth="1"/>
    <col min="27" max="27" width="18.9766" style="61" customWidth="1"/>
    <col min="28" max="46" width="9" style="61" customWidth="1"/>
    <col min="47" max="16384" width="16.3516" style="61" customWidth="1"/>
  </cols>
  <sheetData>
    <row r="1" ht="11.65" customHeight="1"/>
    <row r="2" ht="27.65" customHeight="1">
      <c r="B2" t="s" s="2">
        <v>358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243</v>
      </c>
      <c r="W3" t="s" s="3">
        <v>18</v>
      </c>
      <c r="X3" t="s" s="3">
        <v>243</v>
      </c>
      <c r="Y3" t="s" s="3">
        <v>19</v>
      </c>
      <c r="Z3" t="s" s="3">
        <v>20</v>
      </c>
    </row>
    <row r="4" ht="20.25" customHeight="1">
      <c r="B4" s="6">
        <v>2017</v>
      </c>
      <c r="C4" s="7">
        <v>4490.7</v>
      </c>
      <c r="D4" s="59">
        <v>265</v>
      </c>
      <c r="E4" s="59">
        <v>825.1</v>
      </c>
      <c r="F4" s="59">
        <v>577.8</v>
      </c>
      <c r="G4" s="59">
        <v>6748</v>
      </c>
      <c r="H4" s="59">
        <v>25180.2</v>
      </c>
      <c r="I4" s="59">
        <v>4417</v>
      </c>
      <c r="J4" s="59">
        <v>781.2</v>
      </c>
      <c r="K4" s="59">
        <v>-478.2</v>
      </c>
      <c r="L4" s="59">
        <v>-51</v>
      </c>
      <c r="M4" s="59">
        <v>-268.25</v>
      </c>
      <c r="N4" s="8"/>
      <c r="O4" s="59"/>
      <c r="P4" s="9"/>
      <c r="Q4" s="9"/>
      <c r="R4" s="9"/>
      <c r="S4" s="9"/>
      <c r="T4" s="59">
        <f>J4+K4</f>
        <v>303</v>
      </c>
      <c r="U4" s="59">
        <f>-(L4+M4)</f>
        <v>319.25</v>
      </c>
      <c r="V4" s="59">
        <v>15253.1686304</v>
      </c>
      <c r="W4" s="59">
        <f>F4-G4</f>
        <v>-6170.2</v>
      </c>
      <c r="X4" s="59">
        <v>14900</v>
      </c>
      <c r="Y4" s="11"/>
      <c r="Z4" s="12">
        <v>13.3</v>
      </c>
    </row>
    <row r="5" ht="20.05" customHeight="1">
      <c r="B5" s="13"/>
      <c r="C5" s="14">
        <v>4055.4</v>
      </c>
      <c r="D5" s="26">
        <v>275</v>
      </c>
      <c r="E5" s="26">
        <v>245.6</v>
      </c>
      <c r="F5" s="26">
        <v>511.5</v>
      </c>
      <c r="G5" s="26">
        <v>6727</v>
      </c>
      <c r="H5" s="26">
        <v>24626.2</v>
      </c>
      <c r="I5" s="26">
        <v>3664</v>
      </c>
      <c r="J5" s="26">
        <v>591</v>
      </c>
      <c r="K5" s="26">
        <v>-358.1</v>
      </c>
      <c r="L5" s="26">
        <v>-51</v>
      </c>
      <c r="M5" s="26">
        <v>-268.25</v>
      </c>
      <c r="N5" s="15"/>
      <c r="O5" s="26"/>
      <c r="P5" s="16"/>
      <c r="Q5" s="17"/>
      <c r="R5" s="17"/>
      <c r="S5" s="17"/>
      <c r="T5" s="26">
        <f>J5+K5+T4</f>
        <v>535.9</v>
      </c>
      <c r="U5" s="26">
        <f>-(L5+M5)+U4</f>
        <v>638.5</v>
      </c>
      <c r="V5" s="26">
        <f>V4</f>
        <v>15253.1686304</v>
      </c>
      <c r="W5" s="26">
        <f>F5-G5</f>
        <v>-6215.5</v>
      </c>
      <c r="X5" s="26">
        <v>14700</v>
      </c>
      <c r="Y5" s="19"/>
      <c r="Z5" s="20">
        <v>13.327</v>
      </c>
    </row>
    <row r="6" ht="20.05" customHeight="1">
      <c r="B6" s="13"/>
      <c r="C6" s="14">
        <v>3946.7</v>
      </c>
      <c r="D6" s="26">
        <v>279</v>
      </c>
      <c r="E6" s="26">
        <v>374.1</v>
      </c>
      <c r="F6" s="26">
        <v>388.5</v>
      </c>
      <c r="G6" s="26">
        <v>6957</v>
      </c>
      <c r="H6" s="26">
        <v>24955.4</v>
      </c>
      <c r="I6" s="26">
        <v>4279</v>
      </c>
      <c r="J6" s="26">
        <v>675.9</v>
      </c>
      <c r="K6" s="26">
        <v>-342</v>
      </c>
      <c r="L6" s="26">
        <v>-51</v>
      </c>
      <c r="M6" s="26">
        <v>-268.25</v>
      </c>
      <c r="N6" s="15"/>
      <c r="O6" s="26"/>
      <c r="P6" s="16"/>
      <c r="Q6" s="17"/>
      <c r="R6" s="17"/>
      <c r="S6" s="17"/>
      <c r="T6" s="26">
        <f>J6+K6+T5</f>
        <v>869.8</v>
      </c>
      <c r="U6" s="26">
        <f>-(L6+M6)+U5</f>
        <v>957.75</v>
      </c>
      <c r="V6" s="26">
        <f>V5</f>
        <v>15253.1686304</v>
      </c>
      <c r="W6" s="26">
        <f>F6-G6</f>
        <v>-6568.5</v>
      </c>
      <c r="X6" s="26">
        <v>14875</v>
      </c>
      <c r="Y6" s="19"/>
      <c r="Z6" s="20">
        <v>13.305</v>
      </c>
    </row>
    <row r="7" ht="20.05" customHeight="1">
      <c r="B7" s="13"/>
      <c r="C7" s="14">
        <v>4812.9</v>
      </c>
      <c r="D7" s="26">
        <v>308</v>
      </c>
      <c r="E7" s="26">
        <v>625</v>
      </c>
      <c r="F7" s="26">
        <v>262.3</v>
      </c>
      <c r="G7" s="26">
        <v>6399</v>
      </c>
      <c r="H7" s="26">
        <v>24935.3</v>
      </c>
      <c r="I7" s="26">
        <v>4658</v>
      </c>
      <c r="J7" s="26">
        <v>708.7</v>
      </c>
      <c r="K7" s="26">
        <v>-575.2</v>
      </c>
      <c r="L7" s="26">
        <v>-51</v>
      </c>
      <c r="M7" s="26">
        <v>-268.25</v>
      </c>
      <c r="N7" s="15"/>
      <c r="O7" s="26"/>
      <c r="P7" s="16"/>
      <c r="Q7" s="17"/>
      <c r="R7" s="17"/>
      <c r="S7" s="17"/>
      <c r="T7" s="26">
        <f>J7+K7+T6</f>
        <v>1003.3</v>
      </c>
      <c r="U7" s="26">
        <f>-(L7+M7)+U6</f>
        <v>1277</v>
      </c>
      <c r="V7" s="26">
        <f>V6</f>
        <v>15253.1686304</v>
      </c>
      <c r="W7" s="26">
        <f>F7-G7</f>
        <v>-6136.7</v>
      </c>
      <c r="X7" s="26">
        <v>13150</v>
      </c>
      <c r="Y7" s="19"/>
      <c r="Z7" s="20">
        <v>13.557</v>
      </c>
    </row>
    <row r="8" ht="20.05" customHeight="1">
      <c r="B8" s="21">
        <v>2018</v>
      </c>
      <c r="C8" s="14">
        <v>4446.4</v>
      </c>
      <c r="D8" s="26">
        <v>296</v>
      </c>
      <c r="E8" s="26">
        <v>373.4</v>
      </c>
      <c r="F8" s="26">
        <v>294.2</v>
      </c>
      <c r="G8" s="26">
        <v>6408</v>
      </c>
      <c r="H8" s="26">
        <v>25465</v>
      </c>
      <c r="I8" s="26">
        <v>4678</v>
      </c>
      <c r="J8" s="26">
        <v>632.6</v>
      </c>
      <c r="K8" s="26">
        <v>-304.5</v>
      </c>
      <c r="L8" s="26">
        <v>-299.8</v>
      </c>
      <c r="M8" s="26">
        <v>0</v>
      </c>
      <c r="N8" s="26">
        <f>SUM(C5:C8)/4</f>
        <v>4315.35</v>
      </c>
      <c r="O8" s="26"/>
      <c r="P8" s="16"/>
      <c r="Q8" s="16"/>
      <c r="R8" s="16"/>
      <c r="S8" s="26">
        <f>SUM(J5:K8)/4</f>
        <v>257.1</v>
      </c>
      <c r="T8" s="26">
        <f>J8+K8+T7</f>
        <v>1331.4</v>
      </c>
      <c r="U8" s="26">
        <f>-(L8+M8)+U7</f>
        <v>1576.8</v>
      </c>
      <c r="V8" s="26">
        <f>V7</f>
        <v>15253.1686304</v>
      </c>
      <c r="W8" s="26">
        <f>F8-G8</f>
        <v>-6113.8</v>
      </c>
      <c r="X8" s="26">
        <v>13475</v>
      </c>
      <c r="Y8" s="22"/>
      <c r="Z8" s="20">
        <v>13.761</v>
      </c>
    </row>
    <row r="9" ht="20.05" customHeight="1">
      <c r="B9" s="13"/>
      <c r="C9" s="14">
        <v>4575.1</v>
      </c>
      <c r="D9" s="26">
        <v>300</v>
      </c>
      <c r="E9" s="26">
        <v>441.8</v>
      </c>
      <c r="F9" s="26">
        <v>106.9</v>
      </c>
      <c r="G9" s="26">
        <v>7915</v>
      </c>
      <c r="H9" s="26">
        <v>26836</v>
      </c>
      <c r="I9" s="26">
        <v>4465</v>
      </c>
      <c r="J9" s="26">
        <v>61.1</v>
      </c>
      <c r="K9" s="26">
        <v>-406.7</v>
      </c>
      <c r="L9" s="26">
        <v>849.9</v>
      </c>
      <c r="M9" s="26">
        <v>-694.4</v>
      </c>
      <c r="N9" s="26">
        <f>SUM(C6:C9)/4</f>
        <v>4445.275</v>
      </c>
      <c r="O9" s="26"/>
      <c r="P9" s="16"/>
      <c r="Q9" s="16"/>
      <c r="R9" s="16"/>
      <c r="S9" s="26">
        <f>SUM(J6:K9)/4</f>
        <v>112.475</v>
      </c>
      <c r="T9" s="26">
        <f>J9+K9+T8</f>
        <v>985.8</v>
      </c>
      <c r="U9" s="26">
        <f>-(L9+M9)+U8</f>
        <v>1421.3</v>
      </c>
      <c r="V9" s="26">
        <f>V8</f>
        <v>15253.1686304</v>
      </c>
      <c r="W9" s="26">
        <f>F13-G9</f>
        <v>-7540</v>
      </c>
      <c r="X9" s="26">
        <v>11200</v>
      </c>
      <c r="Y9" s="22"/>
      <c r="Z9" s="20">
        <v>14</v>
      </c>
    </row>
    <row r="10" ht="20.05" customHeight="1">
      <c r="B10" s="13"/>
      <c r="C10" s="14">
        <v>4739.8</v>
      </c>
      <c r="D10" s="26">
        <v>303</v>
      </c>
      <c r="E10" s="26">
        <v>366.7</v>
      </c>
      <c r="F10" s="26">
        <v>194.6</v>
      </c>
      <c r="G10" s="26">
        <v>8180</v>
      </c>
      <c r="H10" s="26">
        <v>27319</v>
      </c>
      <c r="I10" s="26">
        <v>5016</v>
      </c>
      <c r="J10" s="26">
        <v>741.7</v>
      </c>
      <c r="K10" s="26">
        <v>-415.9</v>
      </c>
      <c r="L10" s="26">
        <v>-249.6</v>
      </c>
      <c r="M10" s="26">
        <v>0</v>
      </c>
      <c r="N10" s="26">
        <f>SUM(C7:C10)/4</f>
        <v>4643.55</v>
      </c>
      <c r="O10" s="26"/>
      <c r="P10" s="16"/>
      <c r="Q10" s="16"/>
      <c r="R10" s="16"/>
      <c r="S10" s="26">
        <f>SUM(J7:K10)/4</f>
        <v>110.45</v>
      </c>
      <c r="T10" s="26">
        <f>J10+K10+T9</f>
        <v>1311.6</v>
      </c>
      <c r="U10" s="26">
        <f>-(L10+M10)+U9</f>
        <v>1670.9</v>
      </c>
      <c r="V10" s="26">
        <f>V9</f>
        <v>15253.1686304</v>
      </c>
      <c r="W10" s="26">
        <f>F10-G10</f>
        <v>-7985.4</v>
      </c>
      <c r="X10" s="26">
        <v>12400</v>
      </c>
      <c r="Y10" s="22"/>
      <c r="Z10" s="20">
        <v>14.902</v>
      </c>
    </row>
    <row r="11" ht="20.05" customHeight="1">
      <c r="B11" s="13"/>
      <c r="C11" s="14">
        <v>5322.7</v>
      </c>
      <c r="D11" s="26">
        <v>320</v>
      </c>
      <c r="E11" s="26">
        <v>338.8</v>
      </c>
      <c r="F11" s="26">
        <v>49.1</v>
      </c>
      <c r="G11" s="26">
        <v>7383</v>
      </c>
      <c r="H11" s="26">
        <v>26857.3</v>
      </c>
      <c r="I11" s="26">
        <v>4959</v>
      </c>
      <c r="J11" s="26">
        <v>385.8</v>
      </c>
      <c r="K11" s="26">
        <v>-551.7</v>
      </c>
      <c r="L11" s="26">
        <v>224.1</v>
      </c>
      <c r="M11" s="26">
        <v>-215.5</v>
      </c>
      <c r="N11" s="26">
        <f>SUM(C8:C11)/4</f>
        <v>4771</v>
      </c>
      <c r="O11" s="26"/>
      <c r="P11" s="16"/>
      <c r="Q11" s="16"/>
      <c r="R11" s="16"/>
      <c r="S11" s="26">
        <f>SUM(J8:K11)/4</f>
        <v>35.6</v>
      </c>
      <c r="T11" s="26">
        <f>J11+K11+T10</f>
        <v>1145.7</v>
      </c>
      <c r="U11" s="26">
        <f>-(L11+M11)+U10</f>
        <v>1662.3</v>
      </c>
      <c r="V11" s="26">
        <f>V10</f>
        <v>15253.1686304</v>
      </c>
      <c r="W11" s="26">
        <f>F11-G11</f>
        <v>-7333.9</v>
      </c>
      <c r="X11" s="26">
        <v>11825</v>
      </c>
      <c r="Y11" s="22"/>
      <c r="Z11" s="20">
        <v>14.38</v>
      </c>
    </row>
    <row r="12" ht="20.05" customHeight="1">
      <c r="B12" s="21">
        <v>2019</v>
      </c>
      <c r="C12" s="14">
        <v>4233</v>
      </c>
      <c r="D12" s="26">
        <v>317</v>
      </c>
      <c r="E12" s="26">
        <v>40</v>
      </c>
      <c r="F12" s="26">
        <v>42.8</v>
      </c>
      <c r="G12" s="26">
        <v>7418</v>
      </c>
      <c r="H12" s="26">
        <v>26900.6</v>
      </c>
      <c r="I12" s="26">
        <v>4375</v>
      </c>
      <c r="J12" s="26">
        <v>156</v>
      </c>
      <c r="K12" s="26">
        <v>-292.5</v>
      </c>
      <c r="L12" s="26">
        <v>125.1</v>
      </c>
      <c r="M12" s="26">
        <v>0</v>
      </c>
      <c r="N12" s="26">
        <f>SUM(C9:C12)/4</f>
        <v>4717.65</v>
      </c>
      <c r="O12" s="23"/>
      <c r="P12" s="16"/>
      <c r="Q12" s="16">
        <f>(E12+D12)/C12</f>
        <v>0.0843373493975904</v>
      </c>
      <c r="R12" s="16">
        <f>AVERAGE(Q9:Q12)</f>
        <v>0.0843373493975904</v>
      </c>
      <c r="S12" s="26">
        <f>SUM(J9:K12)/4</f>
        <v>-80.55</v>
      </c>
      <c r="T12" s="26">
        <f>J12+K12+T11</f>
        <v>1009.2</v>
      </c>
      <c r="U12" s="26">
        <f>-(L12+M12)+U11</f>
        <v>1537.2</v>
      </c>
      <c r="V12" s="26">
        <f>V11</f>
        <v>15253.1686304</v>
      </c>
      <c r="W12" s="26">
        <f>F12-G12</f>
        <v>-7375.2</v>
      </c>
      <c r="X12" s="26">
        <v>11225</v>
      </c>
      <c r="Y12" s="22"/>
      <c r="Z12" s="20">
        <v>14.24</v>
      </c>
    </row>
    <row r="13" ht="20.05" customHeight="1">
      <c r="B13" s="13"/>
      <c r="C13" s="14">
        <v>4293</v>
      </c>
      <c r="D13" s="26">
        <v>314</v>
      </c>
      <c r="E13" s="26">
        <v>13</v>
      </c>
      <c r="F13" s="26">
        <v>375</v>
      </c>
      <c r="G13" s="26">
        <v>8201</v>
      </c>
      <c r="H13" s="26">
        <v>27162</v>
      </c>
      <c r="I13" s="26">
        <v>4125</v>
      </c>
      <c r="J13" s="26">
        <v>367</v>
      </c>
      <c r="K13" s="26">
        <v>-296.5</v>
      </c>
      <c r="L13" s="26">
        <v>749.6</v>
      </c>
      <c r="M13" s="26">
        <v>-490.7</v>
      </c>
      <c r="N13" s="26">
        <f>SUM(C10:C13)/4</f>
        <v>4647.125</v>
      </c>
      <c r="O13" s="23"/>
      <c r="P13" s="16">
        <f>C13/C12-1</f>
        <v>0.0141743444365698</v>
      </c>
      <c r="Q13" s="16">
        <f>(E13+D13)/C13</f>
        <v>0.0761705101327743</v>
      </c>
      <c r="R13" s="16">
        <f>AVERAGE(Q10:Q13)</f>
        <v>0.08025392976518241</v>
      </c>
      <c r="S13" s="26">
        <f>SUM(J10:K13)/4</f>
        <v>23.475</v>
      </c>
      <c r="T13" s="26">
        <f>J13+K13+T12</f>
        <v>1079.7</v>
      </c>
      <c r="U13" s="26">
        <f>-(L13+M13)+U12</f>
        <v>1278.3</v>
      </c>
      <c r="V13" s="26">
        <f>V12</f>
        <v>15253.1686304</v>
      </c>
      <c r="W13" s="26">
        <f>F13-G13</f>
        <v>-7826</v>
      </c>
      <c r="X13" s="26">
        <v>10400</v>
      </c>
      <c r="Y13" s="24"/>
      <c r="Z13" s="15">
        <v>14.127</v>
      </c>
    </row>
    <row r="14" ht="20.05" customHeight="1">
      <c r="B14" s="13"/>
      <c r="C14" s="14">
        <v>3861</v>
      </c>
      <c r="D14" s="26">
        <v>317</v>
      </c>
      <c r="E14" s="26">
        <v>76</v>
      </c>
      <c r="F14" s="26">
        <v>464</v>
      </c>
      <c r="G14" s="26">
        <v>8654</v>
      </c>
      <c r="H14" s="26">
        <v>27651</v>
      </c>
      <c r="I14" s="26">
        <v>4021</v>
      </c>
      <c r="J14" s="26">
        <v>39</v>
      </c>
      <c r="K14" s="26">
        <v>-335</v>
      </c>
      <c r="L14" s="26">
        <v>386</v>
      </c>
      <c r="M14" s="26">
        <v>0</v>
      </c>
      <c r="N14" s="26">
        <f>SUM(C11:C14)/4</f>
        <v>4427.425</v>
      </c>
      <c r="O14" s="23"/>
      <c r="P14" s="16">
        <f>C14/C13-1</f>
        <v>-0.10062893081761</v>
      </c>
      <c r="Q14" s="16">
        <f>(E14+D14)/C14</f>
        <v>0.101787101787102</v>
      </c>
      <c r="R14" s="16">
        <f>AVERAGE(Q11:Q14)</f>
        <v>0.0874316537724889</v>
      </c>
      <c r="S14" s="26">
        <f>SUM(J11:K14)/4</f>
        <v>-131.975</v>
      </c>
      <c r="T14" s="26">
        <f>J14+K14+T13</f>
        <v>783.7</v>
      </c>
      <c r="U14" s="26">
        <f>-(L14+M14)+U13</f>
        <v>892.3</v>
      </c>
      <c r="V14" s="26">
        <f>V13</f>
        <v>15253.1686304</v>
      </c>
      <c r="W14" s="26">
        <f>F14-G14</f>
        <v>-8190</v>
      </c>
      <c r="X14" s="26">
        <v>10775</v>
      </c>
      <c r="Y14" s="24"/>
      <c r="Z14" s="15">
        <v>14.195</v>
      </c>
    </row>
    <row r="15" ht="20.05" customHeight="1">
      <c r="B15" s="13"/>
      <c r="C15" s="14">
        <v>5066</v>
      </c>
      <c r="D15" s="26">
        <v>318</v>
      </c>
      <c r="E15" s="26">
        <v>115</v>
      </c>
      <c r="F15" s="26">
        <v>383</v>
      </c>
      <c r="G15" s="26">
        <v>7996</v>
      </c>
      <c r="H15" s="26">
        <v>26974</v>
      </c>
      <c r="I15" s="26">
        <v>4893</v>
      </c>
      <c r="J15" s="26">
        <v>394.6</v>
      </c>
      <c r="K15" s="26">
        <v>-383.3</v>
      </c>
      <c r="L15" s="26">
        <v>-100.3</v>
      </c>
      <c r="M15" s="26">
        <v>0</v>
      </c>
      <c r="N15" s="26">
        <f>SUM(C12:C15)/4</f>
        <v>4363.25</v>
      </c>
      <c r="O15" s="26"/>
      <c r="P15" s="16">
        <f>C15/C14-1</f>
        <v>0.312095312095312</v>
      </c>
      <c r="Q15" s="16">
        <f>(E15+D15)/C15</f>
        <v>0.0854717726016581</v>
      </c>
      <c r="R15" s="16">
        <f>AVERAGE(Q12:Q15)</f>
        <v>0.08694168347978121</v>
      </c>
      <c r="S15" s="26">
        <f>SUM(J12:K15)/4</f>
        <v>-87.675</v>
      </c>
      <c r="T15" s="26">
        <f>J15+K15+T14</f>
        <v>795</v>
      </c>
      <c r="U15" s="26">
        <f>-(L15+M15)+U14</f>
        <v>992.6</v>
      </c>
      <c r="V15" s="26">
        <f>V14</f>
        <v>15253.1686304</v>
      </c>
      <c r="W15" s="26">
        <f>F15-G15</f>
        <v>-7613</v>
      </c>
      <c r="X15" s="60">
        <v>14575</v>
      </c>
      <c r="Y15" s="24"/>
      <c r="Z15" s="15">
        <v>13.882</v>
      </c>
    </row>
    <row r="16" ht="20.05" customHeight="1">
      <c r="B16" s="21">
        <v>2020</v>
      </c>
      <c r="C16" s="14">
        <v>4796</v>
      </c>
      <c r="D16" s="26">
        <v>312</v>
      </c>
      <c r="E16" s="26">
        <v>382</v>
      </c>
      <c r="F16" s="26">
        <v>1471</v>
      </c>
      <c r="G16" s="26">
        <v>9855</v>
      </c>
      <c r="H16" s="26">
        <v>29219</v>
      </c>
      <c r="I16" s="26">
        <v>4737</v>
      </c>
      <c r="J16" s="26">
        <v>553</v>
      </c>
      <c r="K16" s="26">
        <v>-188</v>
      </c>
      <c r="L16" s="26">
        <v>550</v>
      </c>
      <c r="M16" s="26">
        <v>-1</v>
      </c>
      <c r="N16" s="26">
        <f>SUM(C13:C16)/4</f>
        <v>4504</v>
      </c>
      <c r="O16" s="26"/>
      <c r="P16" s="16">
        <f>C16/C15-1</f>
        <v>-0.0532964863797868</v>
      </c>
      <c r="Q16" s="16">
        <f>(E16+D16)/C16</f>
        <v>0.144703919933278</v>
      </c>
      <c r="R16" s="16">
        <f>AVERAGE(Q13:Q16)</f>
        <v>0.102033326113703</v>
      </c>
      <c r="S16" s="26">
        <f>SUM(J13:K16)/4</f>
        <v>37.7</v>
      </c>
      <c r="T16" s="26">
        <f>J16+K16+T15</f>
        <v>1160</v>
      </c>
      <c r="U16" s="26">
        <f>-(L16+M16)+U15</f>
        <v>443.6</v>
      </c>
      <c r="V16" s="26">
        <f>V15</f>
        <v>15253.1686304</v>
      </c>
      <c r="W16" s="26">
        <f>F16-G16</f>
        <v>-8384</v>
      </c>
      <c r="X16" s="60">
        <v>5400</v>
      </c>
      <c r="Y16" s="24"/>
      <c r="Z16" s="15">
        <v>16.31</v>
      </c>
    </row>
    <row r="17" ht="20.05" customHeight="1">
      <c r="B17" s="13"/>
      <c r="C17" s="14">
        <v>4285</v>
      </c>
      <c r="D17" s="26">
        <v>309</v>
      </c>
      <c r="E17" s="26">
        <v>26</v>
      </c>
      <c r="F17" s="26">
        <v>1152</v>
      </c>
      <c r="G17" s="26">
        <v>8062</v>
      </c>
      <c r="H17" s="26">
        <v>27381</v>
      </c>
      <c r="I17" s="26">
        <v>4113</v>
      </c>
      <c r="J17" s="26">
        <v>807</v>
      </c>
      <c r="K17" s="26">
        <v>-193</v>
      </c>
      <c r="L17" s="26">
        <v>-700.2</v>
      </c>
      <c r="M17" s="26">
        <v>-21.8</v>
      </c>
      <c r="N17" s="26">
        <f>SUM(C14:C17)/4</f>
        <v>4502</v>
      </c>
      <c r="O17" s="26"/>
      <c r="P17" s="16">
        <f>C17/C16-1</f>
        <v>-0.106547122602168</v>
      </c>
      <c r="Q17" s="16">
        <f>(E17+D17)/C17</f>
        <v>0.0781796966161027</v>
      </c>
      <c r="R17" s="16">
        <f>AVERAGE(Q14:Q17)</f>
        <v>0.102535622734535</v>
      </c>
      <c r="S17" s="26">
        <f>SUM(J14:K17)/4</f>
        <v>173.575</v>
      </c>
      <c r="T17" s="26">
        <f>J17+K17+T16</f>
        <v>1774</v>
      </c>
      <c r="U17" s="26">
        <f>-(L17+M17)+U16</f>
        <v>1165.6</v>
      </c>
      <c r="V17" s="26">
        <f>V16</f>
        <v>15253.1686304</v>
      </c>
      <c r="W17" s="26">
        <f>F17-G17</f>
        <v>-6910</v>
      </c>
      <c r="X17" s="60">
        <v>8325</v>
      </c>
      <c r="Y17" s="24"/>
      <c r="Z17" s="15">
        <v>14.255</v>
      </c>
    </row>
    <row r="18" ht="20.05" customHeight="1">
      <c r="B18" s="13"/>
      <c r="C18" s="14">
        <v>4243</v>
      </c>
      <c r="D18" s="26">
        <v>307</v>
      </c>
      <c r="E18" s="26">
        <v>211</v>
      </c>
      <c r="F18" s="26">
        <v>1745</v>
      </c>
      <c r="G18" s="26">
        <v>8719</v>
      </c>
      <c r="H18" s="26">
        <v>28114</v>
      </c>
      <c r="I18" s="26">
        <v>4466</v>
      </c>
      <c r="J18" s="26">
        <v>899</v>
      </c>
      <c r="K18" s="26">
        <v>-236</v>
      </c>
      <c r="L18" s="26">
        <v>0.3</v>
      </c>
      <c r="M18" s="26">
        <v>-94.3</v>
      </c>
      <c r="N18" s="26">
        <f>SUM(C15:C18)/4</f>
        <v>4597.5</v>
      </c>
      <c r="O18" s="26"/>
      <c r="P18" s="16">
        <f>C18/C17-1</f>
        <v>-0.009801633605600929</v>
      </c>
      <c r="Q18" s="16">
        <f>(E18+D18)/C18</f>
        <v>0.122083431534292</v>
      </c>
      <c r="R18" s="16">
        <f>AVERAGE(Q15:Q18)</f>
        <v>0.107609705171333</v>
      </c>
      <c r="S18" s="26">
        <f>SUM(J15:K18)/4</f>
        <v>413.325</v>
      </c>
      <c r="T18" s="26">
        <f>J18+K18+T17</f>
        <v>2437</v>
      </c>
      <c r="U18" s="26">
        <f>-(L18+M18)+U17</f>
        <v>1259.6</v>
      </c>
      <c r="V18" s="26">
        <f>V17</f>
        <v>15253.1686304</v>
      </c>
      <c r="W18" s="26">
        <f>F18-G18</f>
        <v>-6974</v>
      </c>
      <c r="X18" s="26">
        <v>10550</v>
      </c>
      <c r="Y18" s="24"/>
      <c r="Z18" s="15">
        <v>14.79</v>
      </c>
    </row>
    <row r="19" ht="20.05" customHeight="1">
      <c r="B19" s="13"/>
      <c r="C19" s="14">
        <v>5483</v>
      </c>
      <c r="D19" s="26">
        <v>322</v>
      </c>
      <c r="E19" s="26">
        <v>275</v>
      </c>
      <c r="F19" s="26">
        <v>979</v>
      </c>
      <c r="G19" s="26">
        <v>8533</v>
      </c>
      <c r="H19" s="26">
        <v>27781</v>
      </c>
      <c r="I19" s="26">
        <v>5061</v>
      </c>
      <c r="J19" s="26">
        <v>-357</v>
      </c>
      <c r="K19" s="26">
        <v>-382</v>
      </c>
      <c r="L19" s="26">
        <v>-0.2</v>
      </c>
      <c r="M19" s="26">
        <v>-80.8</v>
      </c>
      <c r="N19" s="26">
        <f>SUM(C16:C19)/4</f>
        <v>4701.75</v>
      </c>
      <c r="O19" s="26"/>
      <c r="P19" s="16">
        <f>C19/C18-1</f>
        <v>0.292246052321471</v>
      </c>
      <c r="Q19" s="16">
        <f>(E19+D19)/C19</f>
        <v>0.108881998905709</v>
      </c>
      <c r="R19" s="16">
        <f>AVERAGE(Q16:Q19)</f>
        <v>0.113462261747345</v>
      </c>
      <c r="S19" s="26">
        <f>SUM(J16:K19)/4</f>
        <v>225.75</v>
      </c>
      <c r="T19" s="26">
        <f>J19+K19+T18</f>
        <v>1698</v>
      </c>
      <c r="U19" s="26">
        <f>-(L19+M19)+U18</f>
        <v>1340.6</v>
      </c>
      <c r="V19" s="26">
        <f>V18</f>
        <v>15253.1686304</v>
      </c>
      <c r="W19" s="26">
        <f>F19-G19</f>
        <v>-7554</v>
      </c>
      <c r="X19" s="26">
        <v>12325</v>
      </c>
      <c r="Y19" s="24"/>
      <c r="Z19" s="15">
        <v>14.1</v>
      </c>
    </row>
    <row r="20" ht="20.05" customHeight="1">
      <c r="B20" s="21">
        <v>2021</v>
      </c>
      <c r="C20" s="14">
        <v>5035.2</v>
      </c>
      <c r="D20" s="26">
        <v>301</v>
      </c>
      <c r="E20" s="26">
        <v>182.2</v>
      </c>
      <c r="F20" s="26">
        <v>1811</v>
      </c>
      <c r="G20" s="26">
        <v>8821</v>
      </c>
      <c r="H20" s="26">
        <v>28469</v>
      </c>
      <c r="I20" s="26">
        <v>5273.6</v>
      </c>
      <c r="J20" s="26">
        <v>904.2</v>
      </c>
      <c r="K20" s="26">
        <v>-141.1</v>
      </c>
      <c r="L20" s="26">
        <v>0</v>
      </c>
      <c r="M20" s="26">
        <v>0</v>
      </c>
      <c r="N20" s="26">
        <f>SUM(C17:C20)/4</f>
        <v>4761.55</v>
      </c>
      <c r="O20" s="26"/>
      <c r="P20" s="16">
        <f>C20/C19-1</f>
        <v>-0.08167061827466721</v>
      </c>
      <c r="Q20" s="16">
        <f>(E20+D20)/C20</f>
        <v>0.0959644105497299</v>
      </c>
      <c r="R20" s="16">
        <f>AVERAGE(Q17:Q20)</f>
        <v>0.101277384401458</v>
      </c>
      <c r="S20" s="26">
        <f>SUM(J17:K20)/4</f>
        <v>325.275</v>
      </c>
      <c r="T20" s="26">
        <f>J20+K20+T19</f>
        <v>2461.1</v>
      </c>
      <c r="U20" s="26">
        <f>-(L20+M20)+U19</f>
        <v>1340.6</v>
      </c>
      <c r="V20" s="26">
        <f>V19</f>
        <v>15253.1686304</v>
      </c>
      <c r="W20" s="26">
        <f>F20-G20</f>
        <v>-7010</v>
      </c>
      <c r="X20" s="26">
        <v>9863.119140999999</v>
      </c>
      <c r="Y20" s="26"/>
      <c r="Z20" s="15">
        <v>14.606</v>
      </c>
    </row>
    <row r="21" ht="20.05" customHeight="1">
      <c r="B21" s="13"/>
      <c r="C21" s="14">
        <v>5796.8</v>
      </c>
      <c r="D21" s="26">
        <v>301</v>
      </c>
      <c r="E21" s="26">
        <v>512.8</v>
      </c>
      <c r="F21" s="26">
        <v>2532</v>
      </c>
      <c r="G21" s="26">
        <v>8742</v>
      </c>
      <c r="H21" s="26">
        <v>28689</v>
      </c>
      <c r="I21" s="26">
        <v>5923.4</v>
      </c>
      <c r="J21" s="26">
        <v>1297.8</v>
      </c>
      <c r="K21" s="26">
        <v>-240.9</v>
      </c>
      <c r="L21" s="26">
        <v>-1</v>
      </c>
      <c r="M21" s="26">
        <v>-334</v>
      </c>
      <c r="N21" s="26">
        <f>SUM(C18:C21)/4</f>
        <v>5139.5</v>
      </c>
      <c r="O21" s="26"/>
      <c r="P21" s="16">
        <f>C21/C20-1</f>
        <v>0.151255163647919</v>
      </c>
      <c r="Q21" s="16">
        <f>(E21+D21)/C21</f>
        <v>0.140387800165609</v>
      </c>
      <c r="R21" s="16">
        <f>AVERAGE(Q18:Q21)</f>
        <v>0.116829410288835</v>
      </c>
      <c r="S21" s="26">
        <f>SUM(J18:K21)/4</f>
        <v>436</v>
      </c>
      <c r="T21" s="26">
        <f>J21+K21+T20</f>
        <v>3518</v>
      </c>
      <c r="U21" s="26">
        <f>-(L21+M21)+U20</f>
        <v>1675.6</v>
      </c>
      <c r="V21" s="26">
        <f>V20</f>
        <v>15253.1686304</v>
      </c>
      <c r="W21" s="26">
        <f>F21-G21</f>
        <v>-6210</v>
      </c>
      <c r="X21" s="26">
        <v>7600</v>
      </c>
      <c r="Y21" s="26"/>
      <c r="Z21" s="15">
        <v>14.45</v>
      </c>
    </row>
    <row r="22" ht="20.05" customHeight="1">
      <c r="B22" s="13"/>
      <c r="C22" s="14">
        <v>7182.5</v>
      </c>
      <c r="D22" s="26">
        <v>337.7</v>
      </c>
      <c r="E22" s="26">
        <v>849.1</v>
      </c>
      <c r="F22" s="26">
        <v>3874</v>
      </c>
      <c r="G22" s="26">
        <v>9114</v>
      </c>
      <c r="H22" s="26">
        <v>29694</v>
      </c>
      <c r="I22" s="26">
        <v>6952.2</v>
      </c>
      <c r="J22" s="26">
        <v>1638.2</v>
      </c>
      <c r="K22" s="26">
        <v>-298.7</v>
      </c>
      <c r="L22" s="26">
        <v>1</v>
      </c>
      <c r="M22" s="26">
        <v>-0.3</v>
      </c>
      <c r="N22" s="26">
        <f>SUM(C19:C22)/4</f>
        <v>5874.375</v>
      </c>
      <c r="O22" s="26"/>
      <c r="P22" s="16">
        <f>C22/C21-1</f>
        <v>0.23904568037538</v>
      </c>
      <c r="Q22" s="16">
        <f>(E22+D22)/C22</f>
        <v>0.165234946049426</v>
      </c>
      <c r="R22" s="16">
        <f>AVERAGE(Q19:Q22)</f>
        <v>0.127617288917618</v>
      </c>
      <c r="S22" s="26">
        <f>SUM(J19:K22)/4</f>
        <v>605.125</v>
      </c>
      <c r="T22" s="26">
        <f>J22+K22+T21</f>
        <v>4857.5</v>
      </c>
      <c r="U22" s="26">
        <f>-(L22+M22)+U21</f>
        <v>1674.9</v>
      </c>
      <c r="V22" s="26">
        <f>V21</f>
        <v>15253.1686304</v>
      </c>
      <c r="W22" s="26">
        <f>F22-G22</f>
        <v>-5240</v>
      </c>
      <c r="X22" s="26">
        <v>10000</v>
      </c>
      <c r="Y22" s="26"/>
      <c r="Z22" s="15">
        <v>14.328</v>
      </c>
    </row>
    <row r="23" ht="20.05" customHeight="1">
      <c r="B23" s="13"/>
      <c r="C23" s="14">
        <v>6307.5</v>
      </c>
      <c r="D23" s="26">
        <v>331.5</v>
      </c>
      <c r="E23" s="26">
        <v>523.3</v>
      </c>
      <c r="F23" s="26">
        <v>3896</v>
      </c>
      <c r="G23" s="26">
        <v>9229</v>
      </c>
      <c r="H23" s="26">
        <v>30400</v>
      </c>
      <c r="I23" s="26">
        <v>6760.5</v>
      </c>
      <c r="J23" s="26">
        <v>656.4</v>
      </c>
      <c r="K23" s="26">
        <v>-506</v>
      </c>
      <c r="L23" s="26">
        <v>0</v>
      </c>
      <c r="M23" s="26">
        <v>-158.5</v>
      </c>
      <c r="N23" s="26">
        <f>SUM(C20:C23)/4</f>
        <v>6080.5</v>
      </c>
      <c r="O23" s="26"/>
      <c r="P23" s="16">
        <f>C23/C22-1</f>
        <v>-0.121823877479986</v>
      </c>
      <c r="Q23" s="16">
        <f>(E23+D23)/C23</f>
        <v>0.135521204914784</v>
      </c>
      <c r="R23" s="16">
        <f>AVERAGE(Q20:Q23)</f>
        <v>0.134277090419887</v>
      </c>
      <c r="S23" s="26">
        <f>SUM(J20:K23)/4</f>
        <v>827.475</v>
      </c>
      <c r="T23" s="26">
        <f>J23+K23+T22</f>
        <v>5007.9</v>
      </c>
      <c r="U23" s="26">
        <f>-(L23+M23)+U22</f>
        <v>1833.4</v>
      </c>
      <c r="V23" s="26">
        <f>V22</f>
        <v>15253.1686304</v>
      </c>
      <c r="W23" s="26">
        <f>F23-G23</f>
        <v>-5333</v>
      </c>
      <c r="X23" s="26">
        <v>9500</v>
      </c>
      <c r="Y23" s="26"/>
      <c r="Z23" s="15">
        <v>14.275</v>
      </c>
    </row>
    <row r="24" ht="20.05" customHeight="1">
      <c r="B24" s="21">
        <v>2022</v>
      </c>
      <c r="C24" s="14">
        <v>6581</v>
      </c>
      <c r="D24" s="26">
        <v>317</v>
      </c>
      <c r="E24" s="26">
        <v>506</v>
      </c>
      <c r="F24" s="26">
        <v>3937</v>
      </c>
      <c r="G24" s="26">
        <v>9525</v>
      </c>
      <c r="H24" s="26">
        <v>31233</v>
      </c>
      <c r="I24" s="26">
        <v>6441</v>
      </c>
      <c r="J24" s="26">
        <v>223</v>
      </c>
      <c r="K24" s="26">
        <v>-182</v>
      </c>
      <c r="L24" s="26">
        <v>0</v>
      </c>
      <c r="M24" s="26">
        <v>0</v>
      </c>
      <c r="N24" s="26">
        <f>SUM(C21:C24)/4</f>
        <v>6466.95</v>
      </c>
      <c r="O24" s="26"/>
      <c r="P24" s="16">
        <f>C24/C23-1</f>
        <v>0.0433610780816488</v>
      </c>
      <c r="Q24" s="16">
        <f>(E24+D24)/C24</f>
        <v>0.125056982221547</v>
      </c>
      <c r="R24" s="16">
        <f>AVERAGE(Q21:Q24)</f>
        <v>0.141550233337842</v>
      </c>
      <c r="S24" s="26">
        <f>SUM(J21:K24)/4</f>
        <v>646.95</v>
      </c>
      <c r="T24" s="26">
        <f>J24+K24+T23</f>
        <v>5048.9</v>
      </c>
      <c r="U24" s="26">
        <f>-(L24+M24)+U23</f>
        <v>1833.4</v>
      </c>
      <c r="V24" s="26">
        <f>V23</f>
        <v>15253.1686304</v>
      </c>
      <c r="W24" s="26">
        <f>F24-G24</f>
        <v>-5588</v>
      </c>
      <c r="X24" s="26">
        <v>12550</v>
      </c>
      <c r="Y24" s="26"/>
      <c r="Z24" s="15">
        <v>14.327</v>
      </c>
    </row>
    <row r="25" ht="20.05" customHeight="1">
      <c r="B25" s="13"/>
      <c r="C25" s="14">
        <v>4384</v>
      </c>
      <c r="D25" s="26">
        <v>298</v>
      </c>
      <c r="E25" s="26">
        <v>332</v>
      </c>
      <c r="F25" s="26">
        <v>1957</v>
      </c>
      <c r="G25" s="26">
        <v>8885</v>
      </c>
      <c r="H25" s="26">
        <v>30234</v>
      </c>
      <c r="I25" s="26">
        <v>4365</v>
      </c>
      <c r="J25" s="26">
        <v>-1005</v>
      </c>
      <c r="K25" s="26">
        <v>-291</v>
      </c>
      <c r="L25" s="26">
        <v>0</v>
      </c>
      <c r="M25" s="26">
        <v>-750</v>
      </c>
      <c r="N25" s="26">
        <f>SUM(C22:C25)/4</f>
        <v>6113.75</v>
      </c>
      <c r="O25" s="26"/>
      <c r="P25" s="16">
        <f>C25/C24-1</f>
        <v>-0.333839841969306</v>
      </c>
      <c r="Q25" s="16">
        <f>(E25+D25)/C25</f>
        <v>0.143704379562044</v>
      </c>
      <c r="R25" s="16">
        <f>AVERAGE(Q22:Q25)</f>
        <v>0.14237937818695</v>
      </c>
      <c r="S25" s="26">
        <f>SUM(J22:K25)/4</f>
        <v>58.725</v>
      </c>
      <c r="T25" s="26">
        <f>J25+K25+T24</f>
        <v>3752.9</v>
      </c>
      <c r="U25" s="26">
        <f>-(L25+M25)+U24</f>
        <v>2583.4</v>
      </c>
      <c r="V25" s="26">
        <f>V24</f>
        <v>15253.1686304</v>
      </c>
      <c r="W25" s="26">
        <f>F25-G25</f>
        <v>-6928</v>
      </c>
      <c r="X25" s="26">
        <v>9800</v>
      </c>
      <c r="Y25" s="26"/>
      <c r="Z25" s="15">
        <v>14.66</v>
      </c>
    </row>
    <row r="26" ht="20.05" customHeight="1">
      <c r="B26" s="13"/>
      <c r="C26" s="14">
        <v>5552</v>
      </c>
      <c r="D26" s="26">
        <v>312</v>
      </c>
      <c r="E26" s="26">
        <v>428</v>
      </c>
      <c r="F26" s="26">
        <v>4874</v>
      </c>
      <c r="G26" s="26">
        <v>10986</v>
      </c>
      <c r="H26" s="26">
        <v>32639</v>
      </c>
      <c r="I26" s="26">
        <v>5480</v>
      </c>
      <c r="J26" s="26">
        <v>2235</v>
      </c>
      <c r="K26" s="26">
        <v>-338</v>
      </c>
      <c r="L26" s="26">
        <v>999</v>
      </c>
      <c r="M26" s="26">
        <v>0</v>
      </c>
      <c r="N26" s="26">
        <f>SUM(C23:C26)/4</f>
        <v>5706.125</v>
      </c>
      <c r="O26" s="26"/>
      <c r="P26" s="16">
        <f>C26/C25-1</f>
        <v>0.266423357664234</v>
      </c>
      <c r="Q26" s="16">
        <f>(E26+D26)/C26</f>
        <v>0.13328530259366</v>
      </c>
      <c r="R26" s="16">
        <f>AVERAGE(Q23:Q26)</f>
        <v>0.134391967323009</v>
      </c>
      <c r="S26" s="26">
        <f>SUM(J23:K26)/4</f>
        <v>198.1</v>
      </c>
      <c r="T26" s="26">
        <f>J26+K26+T25</f>
        <v>5649.9</v>
      </c>
      <c r="U26" s="26">
        <f>-(L26+M26)+U25</f>
        <v>1584.4</v>
      </c>
      <c r="V26" s="26">
        <f>V25</f>
        <v>15253.1686304</v>
      </c>
      <c r="W26" s="26">
        <f>F26-G26</f>
        <v>-6112</v>
      </c>
      <c r="X26" s="26">
        <v>8250</v>
      </c>
      <c r="Y26" s="26"/>
      <c r="Z26" s="15">
        <v>15.705</v>
      </c>
    </row>
    <row r="27" ht="20.05" customHeight="1">
      <c r="B27" s="13"/>
      <c r="C27" s="14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15"/>
      <c r="O27" s="23">
        <f>AVERAGE(AC41:AF41)</f>
        <v>5663.44660072</v>
      </c>
      <c r="P27" s="17"/>
      <c r="Q27" s="17"/>
      <c r="R27" s="17"/>
      <c r="S27" s="26"/>
      <c r="T27" s="17"/>
      <c r="U27" s="17"/>
      <c r="V27" s="17"/>
      <c r="W27" s="26"/>
      <c r="X27" s="17"/>
      <c r="Y27" s="26">
        <v>2477.746202942560</v>
      </c>
      <c r="Z27" s="17"/>
    </row>
    <row r="28" ht="20.05" customHeight="1">
      <c r="B28" s="21">
        <v>2023</v>
      </c>
      <c r="C28" s="14"/>
      <c r="D28" s="26"/>
      <c r="E28" s="26"/>
      <c r="F28" s="26"/>
      <c r="G28" s="26"/>
      <c r="H28" s="26"/>
      <c r="I28" s="26"/>
      <c r="J28" s="16"/>
      <c r="K28" s="26"/>
      <c r="L28" s="26"/>
      <c r="M28" s="26"/>
      <c r="N28" s="26">
        <f>SUM(N17:N26)</f>
        <v>53944</v>
      </c>
      <c r="O28" s="26">
        <f>SUM(O17:O26)</f>
        <v>0</v>
      </c>
      <c r="P28" s="17"/>
      <c r="Q28" s="17"/>
      <c r="R28" s="17"/>
      <c r="S28" s="17"/>
      <c r="T28" s="17"/>
      <c r="U28" s="17"/>
      <c r="V28" s="17"/>
      <c r="W28" s="26"/>
      <c r="X28" s="26">
        <v>7925</v>
      </c>
      <c r="Y28" s="26">
        <f>AF76</f>
        <v>5744.369365734260</v>
      </c>
      <c r="Z28" s="15"/>
    </row>
    <row r="29" ht="20.05" customHeight="1">
      <c r="B29" s="13"/>
      <c r="C29" s="14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26"/>
      <c r="Y29" s="26"/>
      <c r="Z29" s="15"/>
    </row>
    <row r="30" ht="20.05" customHeight="1">
      <c r="B30" s="13"/>
      <c r="C30" s="14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26"/>
      <c r="Y30" s="26"/>
      <c r="Z30" s="15"/>
    </row>
    <row r="31" ht="20.05" customHeight="1">
      <c r="B31" s="13"/>
      <c r="C31" s="14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17"/>
      <c r="P31" s="17"/>
      <c r="Q31" s="17"/>
      <c r="R31" s="17"/>
      <c r="S31" s="17"/>
      <c r="T31" s="17"/>
      <c r="U31" s="17"/>
      <c r="V31" s="17"/>
      <c r="W31" s="26"/>
      <c r="X31" s="26"/>
      <c r="Y31" s="26"/>
      <c r="Z31" s="15"/>
    </row>
    <row r="32" ht="20.05" customHeight="1">
      <c r="B32" s="13"/>
      <c r="C32" s="14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26"/>
      <c r="Y32" s="26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5" ht="27.65" customHeight="1">
      <c r="AA35" t="s" s="2">
        <v>243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ht="20.25" customHeight="1">
      <c r="AA36" t="s" s="28">
        <f>B$3</f>
        <v>22</v>
      </c>
      <c r="AB36" t="s" s="29">
        <v>23</v>
      </c>
      <c r="AC36" t="s" s="29">
        <v>24</v>
      </c>
      <c r="AD36" t="s" s="29">
        <v>25</v>
      </c>
      <c r="AE36" t="s" s="29">
        <v>26</v>
      </c>
      <c r="AF36" t="s" s="29">
        <v>23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</row>
    <row r="37" ht="20.25" customHeight="1">
      <c r="AA37" t="s" s="31">
        <v>15</v>
      </c>
      <c r="AB37" s="32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ht="20.05" customHeight="1">
      <c r="AA38" t="s" s="33">
        <v>27</v>
      </c>
      <c r="AB38" s="34"/>
      <c r="AC38" s="16">
        <f>AVERAGE(P23:P26)</f>
        <v>-0.0364698209258523</v>
      </c>
      <c r="AD38" s="35"/>
      <c r="AE38" s="35"/>
      <c r="AF38" s="35">
        <f>AVERAGE(AC40:AF40)</f>
        <v>0.0125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A39" s="36"/>
      <c r="AB39" s="37"/>
      <c r="AC39" s="35">
        <f>P23</f>
        <v>-0.121823877479986</v>
      </c>
      <c r="AD39" s="35">
        <f>P24</f>
        <v>0.0433610780816488</v>
      </c>
      <c r="AE39" s="35">
        <f>P25</f>
        <v>-0.333839841969306</v>
      </c>
      <c r="AF39" s="35">
        <f>P26</f>
        <v>0.266423357664234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A40" t="s" s="33">
        <v>13</v>
      </c>
      <c r="AB40" s="37">
        <f>C26/C25-1</f>
        <v>0.266423357664234</v>
      </c>
      <c r="AC40" s="35">
        <v>0.01</v>
      </c>
      <c r="AD40" s="35">
        <v>-0.01</v>
      </c>
      <c r="AE40" s="35">
        <v>0.02</v>
      </c>
      <c r="AF40" s="35">
        <v>0.03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A41" t="s" s="33">
        <v>28</v>
      </c>
      <c r="AB41" s="38">
        <f>C26</f>
        <v>5552</v>
      </c>
      <c r="AC41" s="23">
        <f>C26*(1+AC40)</f>
        <v>5607.52</v>
      </c>
      <c r="AD41" s="23">
        <f>AC41*(1+AD40)</f>
        <v>5551.4448</v>
      </c>
      <c r="AE41" s="23">
        <f>AD41*(1+AE40)</f>
        <v>5662.473696</v>
      </c>
      <c r="AF41" s="23">
        <f>AE41*(1+AF40)</f>
        <v>5832.34790688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A42" t="s" s="33">
        <v>14</v>
      </c>
      <c r="AB42" s="37">
        <f>(E26+D26)/C26</f>
        <v>0.13328530259366</v>
      </c>
      <c r="AC42" s="35">
        <f>AVERAGE(R23:R26)</f>
        <v>0.138149667316922</v>
      </c>
      <c r="AD42" s="35">
        <f>AC42</f>
        <v>0.138149667316922</v>
      </c>
      <c r="AE42" s="35">
        <f>AD42</f>
        <v>0.138149667316922</v>
      </c>
      <c r="AF42" s="35">
        <f>AE42</f>
        <v>0.138149667316922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A43" t="s" s="33">
        <v>29</v>
      </c>
      <c r="AB43" s="14">
        <f>AVERAGE(K23:K26)</f>
        <v>-329.25</v>
      </c>
      <c r="AC43" s="15">
        <f>AVERAGE(K23)</f>
        <v>-506</v>
      </c>
      <c r="AD43" s="15">
        <f>AC43</f>
        <v>-506</v>
      </c>
      <c r="AE43" s="15">
        <f>AD43</f>
        <v>-506</v>
      </c>
      <c r="AF43" s="15">
        <f>AE43</f>
        <v>-506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A44" t="s" s="33">
        <v>30</v>
      </c>
      <c r="AB44" s="14"/>
      <c r="AC44" s="15">
        <f>(AC41*AC42)+AC43</f>
        <v>268.677022472986</v>
      </c>
      <c r="AD44" s="15">
        <f>(AD41*AD42)+AD43</f>
        <v>260.930252248257</v>
      </c>
      <c r="AE44" s="15">
        <f>(AE41*AE42)+AE43</f>
        <v>276.268857293222</v>
      </c>
      <c r="AF44" s="15">
        <f>(AF41*AF42)+AF43</f>
        <v>299.736923012018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A45" t="s" s="33">
        <v>31</v>
      </c>
      <c r="AB45" s="14"/>
      <c r="AC45" s="15">
        <f>-G26/20</f>
        <v>-549.3</v>
      </c>
      <c r="AD45" s="15">
        <f>-AC60/20</f>
        <v>-521.835</v>
      </c>
      <c r="AE45" s="15">
        <f>-AD60/20</f>
        <v>-495.74325</v>
      </c>
      <c r="AF45" s="15">
        <f>-AE60/20</f>
        <v>-470.9560875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A46" t="s" s="33">
        <v>32</v>
      </c>
      <c r="AB46" s="39"/>
      <c r="AC46" s="40">
        <v>0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A47" t="s" s="33">
        <v>33</v>
      </c>
      <c r="AB47" s="14"/>
      <c r="AC47" s="15">
        <f>IF(AC55&gt;0,AC55*$AC$46,0)</f>
        <v>0</v>
      </c>
      <c r="AD47" s="15">
        <f>IF(AD55&gt;0,AD55*$AC$46,0)</f>
        <v>0</v>
      </c>
      <c r="AE47" s="15">
        <f>IF(AE55&gt;0,AE55*$AC$46,0)</f>
        <v>0</v>
      </c>
      <c r="AF47" s="15">
        <f>IF(AF55&gt;0,AF55*$AC$46,0)</f>
        <v>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A48" t="s" s="33">
        <v>34</v>
      </c>
      <c r="AB48" s="14"/>
      <c r="AC48" s="15">
        <f>AC44+AC45+AC47</f>
        <v>-280.622977527014</v>
      </c>
      <c r="AD48" s="15">
        <f>AD44+AD45+AD47</f>
        <v>-260.904747751743</v>
      </c>
      <c r="AE48" s="15">
        <f>AE44+AE45+AE47</f>
        <v>-219.474392706778</v>
      </c>
      <c r="AF48" s="15">
        <f>AF44+AF45+AF47</f>
        <v>-171.219164487982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A49" t="s" s="33">
        <v>35</v>
      </c>
      <c r="AB49" s="14"/>
      <c r="AC49" s="15">
        <f>-MIN(0,AC48)</f>
        <v>280.622977527014</v>
      </c>
      <c r="AD49" s="15">
        <f>-MIN(AC61,AD48)</f>
        <v>260.904747751743</v>
      </c>
      <c r="AE49" s="15">
        <f>-MIN(AD61,AE48)</f>
        <v>219.474392706778</v>
      </c>
      <c r="AF49" s="15">
        <f>-MIN(AE61,AF48)</f>
        <v>171.219164487982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A50" t="s" s="33">
        <v>36</v>
      </c>
      <c r="AB50" s="14"/>
      <c r="AC50" s="15">
        <f>F26</f>
        <v>4874</v>
      </c>
      <c r="AD50" s="15">
        <f>AC52</f>
        <v>4874</v>
      </c>
      <c r="AE50" s="15">
        <f>AD52</f>
        <v>4874</v>
      </c>
      <c r="AF50" s="15">
        <f>AE52</f>
        <v>4874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A51" t="s" s="33">
        <v>37</v>
      </c>
      <c r="AB51" s="14"/>
      <c r="AC51" s="15">
        <f>AC44+AC45+AC47+AC49</f>
        <v>0</v>
      </c>
      <c r="AD51" s="15">
        <f>AD44+AD45+AD47+AD49</f>
        <v>0</v>
      </c>
      <c r="AE51" s="15">
        <f>AE44+AE45+AE47+AE49</f>
        <v>0</v>
      </c>
      <c r="AF51" s="15">
        <f>AF44+AF45+AF47+AF49</f>
        <v>0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A52" t="s" s="33">
        <v>38</v>
      </c>
      <c r="AB52" s="14"/>
      <c r="AC52" s="15">
        <f>AC50+AC51</f>
        <v>4874</v>
      </c>
      <c r="AD52" s="15">
        <f>AD50+AD51</f>
        <v>4874</v>
      </c>
      <c r="AE52" s="15">
        <f>AE50+AE51</f>
        <v>4874</v>
      </c>
      <c r="AF52" s="15">
        <f>AF50+AF51</f>
        <v>4874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A53" t="s" s="41">
        <v>4</v>
      </c>
      <c r="AB53" s="14"/>
      <c r="AC53" s="15"/>
      <c r="AD53" s="15"/>
      <c r="AE53" s="1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ht="20.05" customHeight="1">
      <c r="AA54" t="s" s="33">
        <v>3</v>
      </c>
      <c r="AB54" s="14"/>
      <c r="AC54" s="15">
        <f>-AVERAGE(D24:D26)</f>
        <v>-309</v>
      </c>
      <c r="AD54" s="15">
        <f>AC54</f>
        <v>-309</v>
      </c>
      <c r="AE54" s="15">
        <f>AD54</f>
        <v>-309</v>
      </c>
      <c r="AF54" s="15">
        <f>AE54</f>
        <v>-309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4</v>
      </c>
      <c r="AB55" s="14"/>
      <c r="AC55" s="15">
        <f>(AC41*AC42)+AC54</f>
        <v>465.677022472986</v>
      </c>
      <c r="AD55" s="15">
        <f>(AD41*AD42)+AD54</f>
        <v>457.930252248257</v>
      </c>
      <c r="AE55" s="15">
        <f>(AE41*AE42)+AE54</f>
        <v>473.268857293222</v>
      </c>
      <c r="AF55" s="15">
        <f>(AF41*AF42)+AF54</f>
        <v>496.736923012018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40</v>
      </c>
      <c r="AB57" s="14"/>
      <c r="AC57" s="15">
        <f>H26-F26-AC43</f>
        <v>28271</v>
      </c>
      <c r="AD57" s="15">
        <f>AC57-AD43</f>
        <v>28777</v>
      </c>
      <c r="AE57" s="15">
        <f>AD57-AE43</f>
        <v>29283</v>
      </c>
      <c r="AF57" s="15">
        <f>AE57-AF43</f>
        <v>29789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41</v>
      </c>
      <c r="AB58" s="14"/>
      <c r="AC58" s="15">
        <f>0-AC54</f>
        <v>309</v>
      </c>
      <c r="AD58" s="15">
        <f>AC58-AD54</f>
        <v>618</v>
      </c>
      <c r="AE58" s="15">
        <f>AD58-AE54</f>
        <v>927</v>
      </c>
      <c r="AF58" s="15">
        <f>AE58-AF54</f>
        <v>1236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42</v>
      </c>
      <c r="AB59" s="14"/>
      <c r="AC59" s="15">
        <f>AC57-AC58</f>
        <v>27962</v>
      </c>
      <c r="AD59" s="15">
        <f>AD57-AD58</f>
        <v>28159</v>
      </c>
      <c r="AE59" s="15">
        <f>AE57-AE58</f>
        <v>28356</v>
      </c>
      <c r="AF59" s="15">
        <f>AF57-AF58</f>
        <v>28553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6</v>
      </c>
      <c r="AB60" s="14"/>
      <c r="AC60" s="15">
        <f>G26+AC45</f>
        <v>10436.7</v>
      </c>
      <c r="AD60" s="15">
        <f>AC60+AD45</f>
        <v>9914.865</v>
      </c>
      <c r="AE60" s="15">
        <f>AD60+AE45</f>
        <v>9419.12175</v>
      </c>
      <c r="AF60" s="15">
        <f>AE60+AF45</f>
        <v>8948.1656625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35</v>
      </c>
      <c r="AB61" s="14"/>
      <c r="AC61" s="15">
        <f>AC49</f>
        <v>280.622977527014</v>
      </c>
      <c r="AD61" s="15">
        <f>AC61+AD49</f>
        <v>541.527725278757</v>
      </c>
      <c r="AE61" s="15">
        <f>AD61+AE49</f>
        <v>761.0021179855351</v>
      </c>
      <c r="AF61" s="15">
        <f>AE61+AF49</f>
        <v>932.221282473517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11</v>
      </c>
      <c r="AB62" s="14"/>
      <c r="AC62" s="15">
        <f>(H26-G26)+AC55+AC47</f>
        <v>22118.677022473</v>
      </c>
      <c r="AD62" s="15">
        <f>AC62+AD55+AD47</f>
        <v>22576.6072747213</v>
      </c>
      <c r="AE62" s="15">
        <f>AD62+AE55+AE47</f>
        <v>23049.8761320145</v>
      </c>
      <c r="AF62" s="15">
        <f>AE62+AF55+AF47</f>
        <v>23546.6130550265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43</v>
      </c>
      <c r="AB63" s="14"/>
      <c r="AC63" s="15">
        <f>AC60+AC61+AC62-AC52-AC59</f>
        <v>1.4e-11</v>
      </c>
      <c r="AD63" s="15">
        <f>AD60+AD61+AD62-AD52-AD59</f>
        <v>5.7e-11</v>
      </c>
      <c r="AE63" s="15">
        <f>AE60+AE61+AE62-AE52-AE59</f>
        <v>3.5e-11</v>
      </c>
      <c r="AF63" s="15">
        <f>AF60+AF61+AF62-AF52-AF59</f>
        <v>1.7e-11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18</v>
      </c>
      <c r="AB64" s="14"/>
      <c r="AC64" s="15">
        <f>AC52-AC60-AC61</f>
        <v>-5843.322977527010</v>
      </c>
      <c r="AD64" s="15">
        <f>AD52-AD60-AD61</f>
        <v>-5582.392725278760</v>
      </c>
      <c r="AE64" s="15">
        <f>AE52-AE60-AE61</f>
        <v>-5306.123867985540</v>
      </c>
      <c r="AF64" s="15">
        <f>AF52-AF60-AF61</f>
        <v>-5006.386944973520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44</v>
      </c>
      <c r="AB65" s="14"/>
      <c r="AC65" s="15">
        <f>AC45+AC47+AC49</f>
        <v>-268.677022472986</v>
      </c>
      <c r="AD65" s="15">
        <f>AD45+AD47+AD49</f>
        <v>-260.930252248257</v>
      </c>
      <c r="AE65" s="15">
        <f>AE45+AE47+AE49</f>
        <v>-276.268857293222</v>
      </c>
      <c r="AF65" s="15">
        <f>AF45+AF47+AF49</f>
        <v>-299.736923012018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33">
        <f>X$3</f>
        <v>359</v>
      </c>
      <c r="AB67" s="14"/>
      <c r="AC67" s="15"/>
      <c r="AD67" s="15"/>
      <c r="AE67" s="15"/>
      <c r="AF67" s="15">
        <v>7925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46</v>
      </c>
      <c r="AB68" s="14"/>
      <c r="AC68" s="15"/>
      <c r="AD68" s="15"/>
      <c r="AE68" s="15"/>
      <c r="AF68" s="15">
        <v>15253.1686304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47</v>
      </c>
      <c r="AB69" s="14"/>
      <c r="AC69" s="15"/>
      <c r="AD69" s="15"/>
      <c r="AE69" s="15"/>
      <c r="AF69" s="15">
        <f>AF68/AF67</f>
        <v>1.924690048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48</v>
      </c>
      <c r="AB70" s="14"/>
      <c r="AC70" s="15"/>
      <c r="AD70" s="15"/>
      <c r="AE70" s="15"/>
      <c r="AF70" s="43">
        <f>AF68/(AF52+AF59)</f>
        <v>0.456312819888114</v>
      </c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</row>
    <row r="71" ht="20.05" customHeight="1">
      <c r="AA71" t="s" s="33">
        <v>49</v>
      </c>
      <c r="AB71" s="14"/>
      <c r="AC71" s="15"/>
      <c r="AD71" s="15"/>
      <c r="AE71" s="15"/>
      <c r="AF71" s="16">
        <f>-(AC47+AD47+AE47+AF47)/AF68</f>
        <v>0</v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ht="20.05" customHeight="1">
      <c r="AA72" t="s" s="33">
        <v>50</v>
      </c>
      <c r="AB72" s="14"/>
      <c r="AC72" s="15"/>
      <c r="AD72" s="15"/>
      <c r="AE72" s="15">
        <f>SUM(J23:K26)</f>
        <v>792.4</v>
      </c>
      <c r="AF72" s="15">
        <f>SUM(AC44:AF44)</f>
        <v>1105.613055026480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51</v>
      </c>
      <c r="AB73" s="14"/>
      <c r="AC73" s="15"/>
      <c r="AD73" s="15"/>
      <c r="AE73" s="15"/>
      <c r="AF73" s="15">
        <f>AF59/AF72</f>
        <v>25.8254909981288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52</v>
      </c>
      <c r="AB74" s="14"/>
      <c r="AC74" s="15"/>
      <c r="AD74" s="15"/>
      <c r="AE74" s="15">
        <f>AF68/AF72</f>
        <v>13.7961184168856</v>
      </c>
      <c r="AF74" s="15">
        <v>10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53</v>
      </c>
      <c r="AB75" s="14"/>
      <c r="AC75" s="15"/>
      <c r="AD75" s="15"/>
      <c r="AE75" s="15"/>
      <c r="AF75" s="15">
        <f>AF72*AF74</f>
        <v>11056.1305502648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54</v>
      </c>
      <c r="AB76" s="14"/>
      <c r="AC76" s="15"/>
      <c r="AD76" s="15"/>
      <c r="AE76" s="15"/>
      <c r="AF76" s="15">
        <f>(AF75/AF69)</f>
        <v>5744.369365734260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55</v>
      </c>
      <c r="AB77" s="38"/>
      <c r="AC77" s="23"/>
      <c r="AD77" s="23"/>
      <c r="AE77" s="23"/>
      <c r="AF77" s="16">
        <f>AF76/AF67-1</f>
        <v>-0.275158439654983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A78" t="s" s="33">
        <v>56</v>
      </c>
      <c r="AB78" s="38"/>
      <c r="AC78" s="23"/>
      <c r="AD78" s="23"/>
      <c r="AE78" s="23"/>
      <c r="AF78" s="16">
        <f>C26/C22-1</f>
        <v>-0.22701009397842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A79" t="s" s="33">
        <v>57</v>
      </c>
      <c r="AB79" s="38"/>
      <c r="AC79" s="23"/>
      <c r="AD79" s="23"/>
      <c r="AE79" s="23"/>
      <c r="AF79" s="16">
        <f>O28/N28-1</f>
        <v>-1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A80" s="36"/>
      <c r="AB80" s="38"/>
      <c r="AC80" s="23"/>
      <c r="AD80" s="23"/>
      <c r="AE80" s="23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A81" s="36"/>
      <c r="AB81" s="38"/>
      <c r="AC81" t="s" s="44">
        <f>$AA67</f>
        <v>359</v>
      </c>
      <c r="AD81" t="s" s="44">
        <f>AC103</f>
        <v>15</v>
      </c>
      <c r="AE81" t="s" s="44">
        <f>AD103</f>
        <v>360</v>
      </c>
      <c r="AF81" t="s" s="44">
        <f>AE103</f>
        <v>59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ht="20.05" customHeight="1">
      <c r="AA82" s="36"/>
      <c r="AB82" s="45"/>
      <c r="AC82" t="s" s="44">
        <v>60</v>
      </c>
      <c r="AD82" s="15">
        <f>AF67</f>
        <v>7925</v>
      </c>
      <c r="AE82" t="s" s="44">
        <v>61</v>
      </c>
      <c r="AF82" s="15">
        <f>AF76</f>
        <v>5744.369365734260</v>
      </c>
      <c r="AG82" t="s" s="44">
        <f>IF(AH82&gt;0,"+","")</f>
      </c>
      <c r="AH82" s="16">
        <f>AF82/AD82-1</f>
        <v>-0.275158439654983</v>
      </c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20.05" customHeight="1">
      <c r="AA83" s="36"/>
      <c r="AB83" s="46"/>
      <c r="AC83" s="47">
        <f>TODAY()</f>
        <v>44942</v>
      </c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32.05" customHeight="1">
      <c r="AA84" s="36"/>
      <c r="AB84" s="34"/>
      <c r="AC84" t="s" s="44">
        <v>62</v>
      </c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32.05" customHeight="1">
      <c r="AA85" s="36"/>
      <c r="AB85" s="34"/>
      <c r="AC85" t="s" s="44">
        <v>63</v>
      </c>
      <c r="AD85" t="s" s="44">
        <v>64</v>
      </c>
      <c r="AE85" t="s" s="44">
        <f>IF(AF85&gt;0,"+","")</f>
      </c>
      <c r="AF85" s="16">
        <f>AK92/AC92-1</f>
        <v>-0.22701009397842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32.05" customHeight="1">
      <c r="AA86" s="36"/>
      <c r="AB86" s="34"/>
      <c r="AC86" t="s" s="44">
        <v>63</v>
      </c>
      <c r="AD86" t="s" s="44">
        <v>65</v>
      </c>
      <c r="AE86" t="s" s="44">
        <f>IF(AF86&gt;0,"+","")</f>
        <v>361</v>
      </c>
      <c r="AF86" s="16">
        <f>(AE107+AE108+AG107+AG108+AI107+AI108+AK107+AK108)/AD124</f>
        <v>0.0519498616451879</v>
      </c>
      <c r="AG86" t="s" s="44">
        <v>66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68.05" customHeight="1">
      <c r="AA87" s="36"/>
      <c r="AB87" s="34"/>
      <c r="AC87" t="s" s="44">
        <v>63</v>
      </c>
      <c r="AD87" t="s" s="44">
        <v>67</v>
      </c>
      <c r="AE87" t="s" s="44">
        <f>IF(AF87&gt;0,"+","")</f>
      </c>
      <c r="AF87" s="16">
        <f>(AE121+AE122+AG121+AG122+AI121+AI122+AK121+AK122)/AD124</f>
        <v>-0.00593319343625631</v>
      </c>
      <c r="AG87" t="s" s="44">
        <f>AG86</f>
        <v>66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44.05" customHeight="1">
      <c r="AA88" s="36"/>
      <c r="AB88" s="34"/>
      <c r="AC88" t="s" s="44">
        <v>68</v>
      </c>
      <c r="AD88" t="s" s="44">
        <v>69</v>
      </c>
      <c r="AE88" s="16">
        <f>AN117/AD124</f>
        <v>-0.400703627429819</v>
      </c>
      <c r="AF88" t="s" s="44">
        <f>AG87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A89" s="36"/>
      <c r="AB89" s="34"/>
      <c r="AC89" t="s" s="44">
        <v>28</v>
      </c>
      <c r="AD89" t="s" s="44">
        <f>AD93</f>
        <v>362</v>
      </c>
      <c r="AE89" s="16">
        <f>AE93</f>
        <v>0.266423357664234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68.05" customHeight="1">
      <c r="AA90" s="36"/>
      <c r="AB90" s="34"/>
      <c r="AC90" t="s" s="44">
        <v>70</v>
      </c>
      <c r="AD90" t="s" s="44">
        <v>71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20.05" customHeight="1">
      <c r="AA91" s="36"/>
      <c r="AB91" s="34"/>
      <c r="AC91" s="16">
        <f>P22</f>
        <v>0.23904568037538</v>
      </c>
      <c r="AD91" s="16">
        <f>P23</f>
        <v>-0.121823877479986</v>
      </c>
      <c r="AE91" s="16">
        <f>P24</f>
        <v>0.0433610780816488</v>
      </c>
      <c r="AF91" s="16">
        <f>P25</f>
        <v>-0.333839841969306</v>
      </c>
      <c r="AG91" s="16">
        <f>P26</f>
        <v>0.266423357664234</v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32.05" customHeight="1">
      <c r="AA92" s="36"/>
      <c r="AB92" s="34"/>
      <c r="AC92" s="15">
        <f>C22</f>
        <v>7182.5</v>
      </c>
      <c r="AD92" t="s" s="44">
        <v>72</v>
      </c>
      <c r="AE92" s="15">
        <f>C23</f>
        <v>6307.5</v>
      </c>
      <c r="AF92" t="s" s="44">
        <v>72</v>
      </c>
      <c r="AG92" s="15">
        <f>C24</f>
        <v>6581</v>
      </c>
      <c r="AH92" t="s" s="44">
        <v>72</v>
      </c>
      <c r="AI92" s="15">
        <f>C25</f>
        <v>4384</v>
      </c>
      <c r="AJ92" t="s" s="44">
        <v>72</v>
      </c>
      <c r="AK92" s="15">
        <f>C26</f>
        <v>5552</v>
      </c>
      <c r="AL92" t="s" s="48">
        <f>AA$36</f>
        <v>22</v>
      </c>
      <c r="AM92" s="17"/>
      <c r="AN92" s="17"/>
      <c r="AO92" s="17"/>
      <c r="AP92" s="17"/>
      <c r="AQ92" s="17"/>
      <c r="AR92" s="17"/>
      <c r="AS92" s="17"/>
      <c r="AT92" s="17"/>
    </row>
    <row r="93" ht="56.05" customHeight="1">
      <c r="AA93" s="36"/>
      <c r="AB93" s="34"/>
      <c r="AC93" t="s" s="44">
        <v>2</v>
      </c>
      <c r="AD93" t="s" s="44">
        <f>IF(AE93&lt;0,"declined","grew")</f>
        <v>362</v>
      </c>
      <c r="AE93" s="16">
        <f>AK92/AI92-1</f>
        <v>0.266423357664234</v>
      </c>
      <c r="AF93" t="s" s="44">
        <v>73</v>
      </c>
      <c r="AG93" t="s" s="44">
        <v>74</v>
      </c>
      <c r="AH93" t="s" s="44">
        <v>75</v>
      </c>
      <c r="AI93" t="s" s="44">
        <v>76</v>
      </c>
      <c r="AJ93" s="15">
        <f>AK92</f>
        <v>5552</v>
      </c>
      <c r="AK93" t="s" s="48">
        <f>AL92</f>
        <v>22</v>
      </c>
      <c r="AL93" t="s" s="44">
        <v>77</v>
      </c>
      <c r="AM93" t="s" s="44">
        <f>IF(AN93&gt;0,"+","")</f>
      </c>
      <c r="AN93" s="16">
        <f>AF79</f>
        <v>-1</v>
      </c>
      <c r="AO93" t="s" s="44">
        <v>78</v>
      </c>
      <c r="AP93" s="17"/>
      <c r="AQ93" s="17"/>
      <c r="AR93" s="17"/>
      <c r="AS93" s="17"/>
      <c r="AT93" s="17"/>
    </row>
    <row r="94" ht="56.05" customHeight="1">
      <c r="AA94" s="36"/>
      <c r="AB94" s="34"/>
      <c r="AC94" t="s" s="44">
        <v>79</v>
      </c>
      <c r="AD94" s="16">
        <f>AVERAGE(AD91:AG91)</f>
        <v>-0.0364698209258523</v>
      </c>
      <c r="AE94" t="s" s="44">
        <v>80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56.05" customHeight="1">
      <c r="AA95" s="36"/>
      <c r="AB95" s="34"/>
      <c r="AC95" t="s" s="44">
        <v>81</v>
      </c>
      <c r="AD95" s="35">
        <f>AF38</f>
        <v>0.0125</v>
      </c>
      <c r="AE95" t="s" s="44">
        <v>82</v>
      </c>
      <c r="AF95" t="s" s="44">
        <v>83</v>
      </c>
      <c r="AG95" s="23">
        <f>AF41</f>
        <v>5832.34790688</v>
      </c>
      <c r="AH95" t="s" s="48">
        <f>AL92</f>
        <v>22</v>
      </c>
      <c r="AI95" t="s" s="44">
        <v>84</v>
      </c>
      <c r="AJ95" t="s" s="44">
        <f>AG93</f>
        <v>74</v>
      </c>
      <c r="AK95" t="s" s="44">
        <f>AH93</f>
        <v>75</v>
      </c>
      <c r="AL95" t="s" s="44">
        <v>85</v>
      </c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A96" s="36"/>
      <c r="AB96" s="34"/>
      <c r="AC96" t="s" s="44">
        <v>14</v>
      </c>
      <c r="AD96" t="s" s="44">
        <f>IF(AF100&lt;AD100,"down","up")</f>
        <v>87</v>
      </c>
      <c r="AE96" t="s" s="44">
        <v>86</v>
      </c>
      <c r="AF96" t="s" s="44">
        <f>IF(AJ100&gt;AH100,"up","down")</f>
        <v>108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44.05" customHeight="1">
      <c r="AA97" s="36"/>
      <c r="AB97" s="34"/>
      <c r="AC97" t="s" s="44">
        <f>AC90</f>
        <v>70</v>
      </c>
      <c r="AD97" t="s" s="44">
        <v>88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20.05" customHeight="1">
      <c r="AA98" s="36"/>
      <c r="AB98" s="34"/>
      <c r="AC98" s="16">
        <f>(D22+E22)/C22</f>
        <v>0.165234946049426</v>
      </c>
      <c r="AD98" s="16">
        <f>(D23+E23)/C23</f>
        <v>0.135521204914784</v>
      </c>
      <c r="AE98" s="16">
        <f>((E24+D24)/C24)</f>
        <v>0.125056982221547</v>
      </c>
      <c r="AF98" s="16">
        <f>(D25+E25)/C25</f>
        <v>0.143704379562044</v>
      </c>
      <c r="AG98" s="16">
        <f>(D26+E26)/C26</f>
        <v>0.13328530259366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s="15">
        <f>E22</f>
        <v>849.1</v>
      </c>
      <c r="AD99" t="s" s="44">
        <v>72</v>
      </c>
      <c r="AE99" s="15">
        <f>E23</f>
        <v>523.3</v>
      </c>
      <c r="AF99" t="s" s="44">
        <v>72</v>
      </c>
      <c r="AG99" s="15">
        <f>E24</f>
        <v>506</v>
      </c>
      <c r="AH99" t="s" s="44">
        <v>72</v>
      </c>
      <c r="AI99" s="15">
        <f>E25</f>
        <v>332</v>
      </c>
      <c r="AJ99" t="s" s="44">
        <v>72</v>
      </c>
      <c r="AK99" s="15">
        <f>E26</f>
        <v>428</v>
      </c>
      <c r="AL99" t="s" s="48">
        <f>AL92</f>
        <v>22</v>
      </c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89</v>
      </c>
      <c r="AD100" s="16">
        <f>AF98</f>
        <v>0.143704379562044</v>
      </c>
      <c r="AE100" t="s" s="44">
        <v>76</v>
      </c>
      <c r="AF100" s="16">
        <f>AG98</f>
        <v>0.13328530259366</v>
      </c>
      <c r="AG100" t="s" s="44">
        <v>90</v>
      </c>
      <c r="AH100" s="15">
        <f>AI99</f>
        <v>332</v>
      </c>
      <c r="AI100" t="s" s="44">
        <v>76</v>
      </c>
      <c r="AJ100" s="15">
        <f>AK99</f>
        <v>428</v>
      </c>
      <c r="AK100" t="s" s="48">
        <f>AH95</f>
        <v>22</v>
      </c>
      <c r="AL100" t="s" s="44">
        <v>73</v>
      </c>
      <c r="AM100" t="s" s="44">
        <f>AJ95</f>
        <v>74</v>
      </c>
      <c r="AN100" t="s" s="44">
        <v>91</v>
      </c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92</v>
      </c>
      <c r="AD101" s="16">
        <f>AVERAGE(AD98:AG98)</f>
        <v>0.134391967323009</v>
      </c>
      <c r="AE101" t="s" s="44">
        <v>78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44.05" customHeight="1">
      <c r="AA102" s="36"/>
      <c r="AB102" s="34"/>
      <c r="AC102" t="s" s="44">
        <v>93</v>
      </c>
      <c r="AD102" s="35">
        <f>AC42</f>
        <v>0.138149667316922</v>
      </c>
      <c r="AE102" t="s" s="44">
        <v>94</v>
      </c>
      <c r="AF102" s="15">
        <f>AF55</f>
        <v>496.736923012018</v>
      </c>
      <c r="AG102" t="s" s="48">
        <f>AK100</f>
        <v>22</v>
      </c>
      <c r="AH102" t="s" s="44">
        <v>95</v>
      </c>
      <c r="AI102" t="s" s="44">
        <f>AM100</f>
        <v>74</v>
      </c>
      <c r="AJ102" t="s" s="44">
        <f>AH93</f>
        <v>75</v>
      </c>
      <c r="AK102" t="s" s="44">
        <f>AL95</f>
        <v>85</v>
      </c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t="s" s="44">
        <v>15</v>
      </c>
      <c r="AD103" t="s" s="44">
        <f>IF(AD105&gt;AC105,"more","less")</f>
        <v>360</v>
      </c>
      <c r="AE103" t="s" s="44">
        <f>IF(AF109&lt;0,"negative","positive")</f>
        <v>59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A104" s="36"/>
      <c r="AB104" s="34"/>
      <c r="AC104" s="17"/>
      <c r="AD104" s="15">
        <f>ABS(AD109)</f>
        <v>1296</v>
      </c>
      <c r="AE104" s="15">
        <f>ABS(AF109)</f>
        <v>1897</v>
      </c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A105" s="36"/>
      <c r="AB105" s="34"/>
      <c r="AC105" s="15">
        <f>ABS(AD109)</f>
        <v>1296</v>
      </c>
      <c r="AD105" s="15">
        <f>ABS(AF109)</f>
        <v>1897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f>AC97</f>
        <v>70</v>
      </c>
      <c r="AD106" t="s" s="44">
        <v>96</v>
      </c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32.05" customHeight="1">
      <c r="AA107" s="36"/>
      <c r="AB107" s="34"/>
      <c r="AC107" s="15">
        <f>J22</f>
        <v>1638.2</v>
      </c>
      <c r="AD107" t="s" s="44">
        <v>72</v>
      </c>
      <c r="AE107" s="15">
        <f>J23</f>
        <v>656.4</v>
      </c>
      <c r="AF107" t="s" s="44">
        <v>72</v>
      </c>
      <c r="AG107" s="15">
        <f>J24</f>
        <v>223</v>
      </c>
      <c r="AH107" t="s" s="44">
        <v>72</v>
      </c>
      <c r="AI107" s="15">
        <f>J25</f>
        <v>-1005</v>
      </c>
      <c r="AJ107" t="s" s="44">
        <v>72</v>
      </c>
      <c r="AK107" s="15">
        <f>J26</f>
        <v>2235</v>
      </c>
      <c r="AL107" t="s" s="48">
        <f>AL92</f>
        <v>22</v>
      </c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A108" s="36"/>
      <c r="AB108" s="34"/>
      <c r="AC108" s="15">
        <f>K22</f>
        <v>-298.7</v>
      </c>
      <c r="AD108" t="s" s="44">
        <v>72</v>
      </c>
      <c r="AE108" s="15">
        <f>K23</f>
        <v>-506</v>
      </c>
      <c r="AF108" t="s" s="44">
        <v>72</v>
      </c>
      <c r="AG108" s="15">
        <f>K24</f>
        <v>-182</v>
      </c>
      <c r="AH108" t="s" s="44">
        <v>72</v>
      </c>
      <c r="AI108" s="15">
        <f>K25</f>
        <v>-291</v>
      </c>
      <c r="AJ108" t="s" s="44">
        <v>72</v>
      </c>
      <c r="AK108" s="15">
        <f>K26</f>
        <v>-338</v>
      </c>
      <c r="AL108" t="s" s="48">
        <f>AL107</f>
        <v>22</v>
      </c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v>97</v>
      </c>
      <c r="AD109" s="15">
        <f>AI107+AI108</f>
        <v>-1296</v>
      </c>
      <c r="AE109" t="s" s="44">
        <v>76</v>
      </c>
      <c r="AF109" s="15">
        <f>AK107+AK108</f>
        <v>1897</v>
      </c>
      <c r="AG109" t="s" s="48">
        <f>AG102</f>
        <v>22</v>
      </c>
      <c r="AH109" t="s" s="44">
        <v>84</v>
      </c>
      <c r="AI109" t="s" s="44">
        <f>AI102</f>
        <v>74</v>
      </c>
      <c r="AJ109" t="s" s="44">
        <v>98</v>
      </c>
      <c r="AK109" s="15">
        <f>AK108</f>
        <v>-338</v>
      </c>
      <c r="AL109" t="s" s="48">
        <f>AL92</f>
        <v>22</v>
      </c>
      <c r="AM109" t="s" s="44">
        <v>99</v>
      </c>
      <c r="AN109" s="17"/>
      <c r="AO109" s="17"/>
      <c r="AP109" s="17"/>
      <c r="AQ109" s="17"/>
      <c r="AR109" s="17"/>
      <c r="AS109" s="17"/>
      <c r="AT109" s="17"/>
    </row>
    <row r="110" ht="56.05" customHeight="1">
      <c r="AA110" s="36"/>
      <c r="AB110" s="34"/>
      <c r="AC110" t="s" s="44">
        <v>100</v>
      </c>
      <c r="AD110" s="15">
        <f>(AE107+AE108+AG107+AG108+AI107+AI108+AK107+AK108)/4</f>
        <v>198.1</v>
      </c>
      <c r="AE110" t="s" s="48">
        <f>AL92</f>
        <v>22</v>
      </c>
      <c r="AF110" t="s" s="44">
        <v>78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101</v>
      </c>
      <c r="AD111" s="15">
        <f>AC43</f>
        <v>-506</v>
      </c>
      <c r="AE111" t="s" s="48">
        <f>AE110</f>
        <v>22</v>
      </c>
      <c r="AF111" t="s" s="44">
        <v>102</v>
      </c>
      <c r="AG111" t="s" s="44">
        <v>103</v>
      </c>
      <c r="AH111" t="s" s="44">
        <f>IF(AG95&gt;AJ93,"higher","lower")</f>
        <v>363</v>
      </c>
      <c r="AI111" t="s" s="44">
        <v>105</v>
      </c>
      <c r="AJ111" s="15">
        <f>SUM(AC44:AF44)/4</f>
        <v>276.403263756621</v>
      </c>
      <c r="AK111" t="s" s="48">
        <f>AE111</f>
        <v>22</v>
      </c>
      <c r="AL111" t="s" s="44">
        <v>106</v>
      </c>
      <c r="AM111" t="s" s="44">
        <v>107</v>
      </c>
      <c r="AN111" s="17"/>
      <c r="AO111" s="17"/>
      <c r="AP111" s="17"/>
      <c r="AQ111" s="17"/>
      <c r="AR111" s="17"/>
      <c r="AS111" s="17"/>
      <c r="AT111" s="17"/>
    </row>
    <row r="112" ht="20.05" customHeight="1">
      <c r="AA112" s="36"/>
      <c r="AB112" s="34"/>
      <c r="AC112" t="s" s="44">
        <v>18</v>
      </c>
      <c r="AD112" t="s" s="44">
        <f>AK117</f>
        <v>108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32.05" customHeight="1">
      <c r="AA113" s="36"/>
      <c r="AB113" s="34"/>
      <c r="AC113" t="s" s="44">
        <f>AC90</f>
        <v>70</v>
      </c>
      <c r="AD113" t="s" s="44">
        <v>109</v>
      </c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F22</f>
        <v>3874</v>
      </c>
      <c r="AD114" t="s" s="44">
        <v>72</v>
      </c>
      <c r="AE114" s="15">
        <f>F23</f>
        <v>3896</v>
      </c>
      <c r="AF114" t="s" s="44">
        <v>72</v>
      </c>
      <c r="AG114" s="15">
        <f>F24</f>
        <v>3937</v>
      </c>
      <c r="AH114" t="s" s="44">
        <v>72</v>
      </c>
      <c r="AI114" s="15">
        <f>F25</f>
        <v>1957</v>
      </c>
      <c r="AJ114" t="s" s="44">
        <v>72</v>
      </c>
      <c r="AK114" s="15">
        <f>F26</f>
        <v>4874</v>
      </c>
      <c r="AL114" t="s" s="48">
        <f>AL92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32.05" customHeight="1">
      <c r="AA115" s="36"/>
      <c r="AB115" s="34"/>
      <c r="AC115" s="15">
        <f>G22</f>
        <v>9114</v>
      </c>
      <c r="AD115" t="s" s="44">
        <v>72</v>
      </c>
      <c r="AE115" s="15">
        <f>G23</f>
        <v>9229</v>
      </c>
      <c r="AF115" t="s" s="44">
        <v>72</v>
      </c>
      <c r="AG115" s="15">
        <f>G24</f>
        <v>9525</v>
      </c>
      <c r="AH115" t="s" s="44">
        <v>72</v>
      </c>
      <c r="AI115" s="15">
        <f>G25</f>
        <v>8885</v>
      </c>
      <c r="AJ115" t="s" s="44">
        <v>72</v>
      </c>
      <c r="AK115" s="15">
        <f>G26</f>
        <v>10986</v>
      </c>
      <c r="AL115" t="s" s="48">
        <f>AL114</f>
        <v>22</v>
      </c>
      <c r="AM115" s="17"/>
      <c r="AN115" s="17"/>
      <c r="AO115" s="17"/>
      <c r="AP115" s="17"/>
      <c r="AQ115" s="17"/>
      <c r="AR115" s="17"/>
      <c r="AS115" s="17"/>
      <c r="AT115" s="17"/>
    </row>
    <row r="116" ht="32.05" customHeight="1">
      <c r="AA116" s="36"/>
      <c r="AB116" s="34"/>
      <c r="AC116" t="s" s="44">
        <v>110</v>
      </c>
      <c r="AD116" t="s" s="44">
        <f>IF(AG116&lt;AE116,"declined","increased")</f>
        <v>111</v>
      </c>
      <c r="AE116" s="15">
        <f>AI114</f>
        <v>1957</v>
      </c>
      <c r="AF116" t="s" s="44">
        <v>76</v>
      </c>
      <c r="AG116" s="15">
        <f>AK114</f>
        <v>4874</v>
      </c>
      <c r="AH116" t="s" s="48">
        <f>AK111</f>
        <v>22</v>
      </c>
      <c r="AI116" t="s" s="44">
        <v>84</v>
      </c>
      <c r="AJ116" t="s" s="44">
        <f>AG93</f>
        <v>74</v>
      </c>
      <c r="AK116" t="s" s="44">
        <f>AN100</f>
        <v>91</v>
      </c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32.05" customHeight="1">
      <c r="AA117" s="36"/>
      <c r="AB117" s="34"/>
      <c r="AC117" t="s" s="44">
        <v>112</v>
      </c>
      <c r="AD117" t="s" s="44">
        <f>IF(AG117&lt;AE117,"declined","increased")</f>
        <v>111</v>
      </c>
      <c r="AE117" s="15">
        <f>AI115</f>
        <v>8885</v>
      </c>
      <c r="AF117" t="s" s="44">
        <v>76</v>
      </c>
      <c r="AG117" s="15">
        <f>AK115</f>
        <v>10986</v>
      </c>
      <c r="AH117" t="s" s="48">
        <f>AH116</f>
        <v>22</v>
      </c>
      <c r="AI117" t="s" s="44">
        <v>113</v>
      </c>
      <c r="AJ117" t="s" s="44">
        <v>114</v>
      </c>
      <c r="AK117" t="s" s="44">
        <f>IF(AN117&lt;AL117,"down","up")</f>
        <v>108</v>
      </c>
      <c r="AL117" s="15">
        <f>AE116-AE117</f>
        <v>-6928</v>
      </c>
      <c r="AM117" t="s" s="44">
        <v>76</v>
      </c>
      <c r="AN117" s="15">
        <f>AG116-AG117</f>
        <v>-6112</v>
      </c>
      <c r="AO117" t="s" s="48">
        <f>AH117</f>
        <v>22</v>
      </c>
      <c r="AP117" t="s" s="44">
        <v>115</v>
      </c>
      <c r="AQ117" s="17"/>
      <c r="AR117" s="17"/>
      <c r="AS117" s="17"/>
      <c r="AT117" s="17"/>
    </row>
    <row r="118" ht="56.05" customHeight="1">
      <c r="AA118" s="36"/>
      <c r="AB118" s="34"/>
      <c r="AC118" t="s" s="44">
        <v>116</v>
      </c>
      <c r="AD118" s="15">
        <f>SUM(AC47:AF47)</f>
        <v>0</v>
      </c>
      <c r="AE118" t="s" s="48">
        <f>AH117</f>
        <v>22</v>
      </c>
      <c r="AF118" t="s" s="44">
        <v>117</v>
      </c>
      <c r="AG118" t="s" s="44">
        <f>IF(AH118&gt;0,"+","")</f>
      </c>
      <c r="AH118" s="15">
        <f>AC45+AD45+AE45+AF45+AC49+AD49+AE49+AF49</f>
        <v>-1105.613055026480</v>
      </c>
      <c r="AI118" t="s" s="48">
        <f>AO117</f>
        <v>22</v>
      </c>
      <c r="AJ118" t="s" s="44">
        <v>118</v>
      </c>
      <c r="AK118" t="s" s="44">
        <v>119</v>
      </c>
      <c r="AL118" s="15">
        <f>AF64</f>
        <v>-5006.386944973520</v>
      </c>
      <c r="AM118" t="s" s="48">
        <f>AH117</f>
        <v>22</v>
      </c>
      <c r="AN118" t="s" s="44">
        <v>120</v>
      </c>
      <c r="AO118" s="17"/>
      <c r="AP118" s="17"/>
      <c r="AQ118" s="17"/>
      <c r="AR118" s="17"/>
      <c r="AS118" s="17"/>
      <c r="AT118" s="17"/>
    </row>
    <row r="119" ht="20.05" customHeight="1">
      <c r="AA119" s="36"/>
      <c r="AB119" s="34"/>
      <c r="AC119" t="s" s="44">
        <v>17</v>
      </c>
      <c r="AD119" t="s" s="44">
        <f>AD123</f>
        <v>121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68.05" customHeight="1">
      <c r="AA120" s="36"/>
      <c r="AB120" s="34"/>
      <c r="AC120" t="s" s="44">
        <f>AC90</f>
        <v>70</v>
      </c>
      <c r="AD120" t="s" s="44">
        <v>122</v>
      </c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-L22</f>
        <v>-1</v>
      </c>
      <c r="AD121" t="s" s="44">
        <v>72</v>
      </c>
      <c r="AE121" s="15">
        <f>-L23</f>
        <v>0</v>
      </c>
      <c r="AF121" t="s" s="44">
        <v>72</v>
      </c>
      <c r="AG121" s="15">
        <f>-L24</f>
        <v>0</v>
      </c>
      <c r="AH121" t="s" s="44">
        <v>72</v>
      </c>
      <c r="AI121" s="15">
        <f>-L25</f>
        <v>0</v>
      </c>
      <c r="AJ121" t="s" s="44">
        <v>72</v>
      </c>
      <c r="AK121" s="15">
        <f>-L26</f>
        <v>-999</v>
      </c>
      <c r="AL121" t="s" s="48">
        <f>AL92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s="15">
        <f>-M22</f>
        <v>0.3</v>
      </c>
      <c r="AD122" t="s" s="44">
        <v>72</v>
      </c>
      <c r="AE122" s="15">
        <f>-M23</f>
        <v>158.5</v>
      </c>
      <c r="AF122" t="s" s="44">
        <v>72</v>
      </c>
      <c r="AG122" s="15">
        <f>-M24</f>
        <v>0</v>
      </c>
      <c r="AH122" t="s" s="44">
        <v>72</v>
      </c>
      <c r="AI122" s="15">
        <f>-M25</f>
        <v>750</v>
      </c>
      <c r="AJ122" t="s" s="44">
        <v>72</v>
      </c>
      <c r="AK122" s="15">
        <f>-M26</f>
        <v>0</v>
      </c>
      <c r="AL122" t="s" s="48">
        <f>AL121</f>
        <v>22</v>
      </c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f>AC81</f>
        <v>359</v>
      </c>
      <c r="AD123" t="s" s="44">
        <f>IF(AE123&gt;0,"paid","(raised)")</f>
        <v>121</v>
      </c>
      <c r="AE123" s="15">
        <f>SUM(AK121:AK122)</f>
        <v>-999</v>
      </c>
      <c r="AF123" t="s" s="48">
        <f>AL92</f>
        <v>22</v>
      </c>
      <c r="AG123" t="s" s="44">
        <f>AF93</f>
        <v>73</v>
      </c>
      <c r="AH123" t="s" s="44">
        <f>AG93</f>
        <v>74</v>
      </c>
      <c r="AI123" t="s" s="44">
        <f>AH93</f>
        <v>75</v>
      </c>
      <c r="AJ123" s="15">
        <f>AK121</f>
        <v>-999</v>
      </c>
      <c r="AK123" t="s" s="48">
        <f>AL92</f>
        <v>22</v>
      </c>
      <c r="AL123" t="s" s="44">
        <v>123</v>
      </c>
      <c r="AM123" s="15">
        <f>AK122</f>
        <v>0</v>
      </c>
      <c r="AN123" t="s" s="48">
        <f>AL92</f>
        <v>22</v>
      </c>
      <c r="AO123" t="s" s="44">
        <v>124</v>
      </c>
      <c r="AP123" t="s" s="44">
        <v>125</v>
      </c>
      <c r="AQ123" t="s" s="44">
        <f>IF(AR123&gt;0,"pay","raise")</f>
        <v>364</v>
      </c>
      <c r="AR123" s="15">
        <f>-SUM(AC65:AF65)</f>
        <v>1105.613055026480</v>
      </c>
      <c r="AS123" t="s" s="48">
        <f>AL92</f>
        <v>22</v>
      </c>
      <c r="AT123" t="s" s="44">
        <v>126</v>
      </c>
    </row>
    <row r="124" ht="56.05" customHeight="1">
      <c r="AA124" s="36"/>
      <c r="AB124" s="34"/>
      <c r="AC124" t="s" s="44">
        <v>127</v>
      </c>
      <c r="AD124" s="15">
        <f>AF68</f>
        <v>15253.1686304</v>
      </c>
      <c r="AE124" t="s" s="48">
        <f>AL92</f>
        <v>22</v>
      </c>
      <c r="AF124" t="s" s="44">
        <v>128</v>
      </c>
      <c r="AG124" t="s" s="44">
        <v>129</v>
      </c>
      <c r="AH124" s="43">
        <f>AF70</f>
        <v>0.456312819888114</v>
      </c>
      <c r="AI124" t="s" s="44">
        <v>130</v>
      </c>
      <c r="AJ124" t="s" s="44">
        <v>131</v>
      </c>
      <c r="AK124" t="s" s="44">
        <v>132</v>
      </c>
      <c r="AL124" s="15">
        <f>AF73</f>
        <v>25.8254909981288</v>
      </c>
      <c r="AM124" t="s" s="44">
        <v>133</v>
      </c>
      <c r="AN124" s="16">
        <f>-AD118/AD124</f>
        <v>0</v>
      </c>
      <c r="AO124" t="s" s="44">
        <v>134</v>
      </c>
      <c r="AP124" s="17"/>
      <c r="AQ124" s="17"/>
      <c r="AR124" s="17"/>
      <c r="AS124" s="17"/>
      <c r="AT124" s="17"/>
    </row>
    <row r="125" ht="56.05" customHeight="1">
      <c r="AA125" s="36"/>
      <c r="AB125" s="34"/>
      <c r="AC125" t="s" s="44">
        <v>135</v>
      </c>
      <c r="AD125" s="15">
        <f>AF72</f>
        <v>1105.613055026480</v>
      </c>
      <c r="AE125" t="s" s="48">
        <f>AE124</f>
        <v>22</v>
      </c>
      <c r="AF125" t="s" s="44">
        <v>136</v>
      </c>
      <c r="AG125" s="15">
        <f>AD124/AD125</f>
        <v>13.7961184168856</v>
      </c>
      <c r="AH125" t="s" s="44">
        <v>130</v>
      </c>
      <c r="AI125" t="s" s="44">
        <v>137</v>
      </c>
      <c r="AJ125" t="s" s="44">
        <v>138</v>
      </c>
      <c r="AK125" s="15">
        <f>AF74</f>
        <v>10</v>
      </c>
      <c r="AL125" t="s" s="44">
        <v>139</v>
      </c>
      <c r="AM125" t="s" s="44">
        <v>140</v>
      </c>
      <c r="AN125" t="s" s="44">
        <v>141</v>
      </c>
      <c r="AO125" s="16">
        <f>AH82</f>
        <v>-0.275158439654983</v>
      </c>
      <c r="AP125" t="s" s="44">
        <f>IF(AO125&gt;0,"higher","lower")</f>
        <v>104</v>
      </c>
      <c r="AQ125" t="s" s="44">
        <v>142</v>
      </c>
      <c r="AR125" s="15">
        <f>AF82</f>
        <v>5744.369365734260</v>
      </c>
      <c r="AS125" t="s" s="44">
        <v>143</v>
      </c>
      <c r="AT125" s="17"/>
    </row>
    <row r="126" ht="20.05" customHeight="1">
      <c r="AA126" s="36"/>
      <c r="AB126" s="34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A127" t="s" s="33">
        <v>28</v>
      </c>
      <c r="AB127" s="14">
        <f>AC92</f>
        <v>7182.5</v>
      </c>
      <c r="AC127" s="15">
        <f>AE92</f>
        <v>6307.5</v>
      </c>
      <c r="AD127" s="15">
        <f>AG92</f>
        <v>6581</v>
      </c>
      <c r="AE127" s="15">
        <f>AI92</f>
        <v>4384</v>
      </c>
      <c r="AF127" s="15">
        <f>AK92</f>
        <v>5552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20.05" customHeight="1">
      <c r="AA128" t="s" s="33">
        <v>144</v>
      </c>
      <c r="AB128" s="14">
        <f>SUM(AC107:AC108)</f>
        <v>1339.5</v>
      </c>
      <c r="AC128" s="15">
        <f>SUM(AE107:AE108)</f>
        <v>150.4</v>
      </c>
      <c r="AD128" s="15">
        <f>SUM(AG107:AG108)</f>
        <v>41</v>
      </c>
      <c r="AE128" s="15">
        <f>SUM(AI107:AI108)</f>
        <v>-1296</v>
      </c>
      <c r="AF128" s="15">
        <f>SUM(AK107:AK108)</f>
        <v>1897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20.05" customHeight="1">
      <c r="AA129" t="s" s="33">
        <v>145</v>
      </c>
      <c r="AB129" s="14">
        <f>SUM(AC121:AC122)</f>
        <v>-0.7</v>
      </c>
      <c r="AC129" s="15">
        <f>SUM(AE121:AE122)</f>
        <v>158.5</v>
      </c>
      <c r="AD129" s="15">
        <f>SUM(AG121:AG122)</f>
        <v>0</v>
      </c>
      <c r="AE129" s="15">
        <f>SUM(AI121:AI122)</f>
        <v>750</v>
      </c>
      <c r="AF129" s="15">
        <f>SUM(AK121:AK122)</f>
        <v>-999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20.05" customHeight="1">
      <c r="AA130" t="s" s="33">
        <v>146</v>
      </c>
      <c r="AB130" s="14">
        <f>(AC114-AC115)</f>
        <v>-5240</v>
      </c>
      <c r="AC130" s="15">
        <f>(AE114-AE115)</f>
        <v>-5333</v>
      </c>
      <c r="AD130" s="15">
        <f>(AG114-AG115)</f>
        <v>-5588</v>
      </c>
      <c r="AE130" s="15">
        <f>(AI114-AI115)</f>
        <v>-6928</v>
      </c>
      <c r="AF130" s="15">
        <f>(AK114-AK115)</f>
        <v>-6112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s="17"/>
      <c r="AD131" s="17"/>
      <c r="AE131" s="17"/>
      <c r="AF131" s="15">
        <f>AR125</f>
        <v>5744.369365734260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20.05" customHeight="1">
      <c r="AA132" s="36"/>
      <c r="AB132" s="34"/>
      <c r="AC132" s="17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A133" s="36"/>
      <c r="AB133" s="34"/>
      <c r="AC133" s="17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20.05" customHeight="1">
      <c r="AA134" s="36"/>
      <c r="AB134" s="34"/>
      <c r="AC134" s="17"/>
      <c r="AD134" s="17"/>
      <c r="AE134" s="17"/>
      <c r="AF134" s="17"/>
      <c r="AG134" s="15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20.05" customHeight="1">
      <c r="AA135" s="36"/>
      <c r="AB135" s="34"/>
      <c r="AC135" s="17"/>
      <c r="AD135" s="17"/>
      <c r="AE135" s="17"/>
      <c r="AF135" s="17"/>
      <c r="AG135" s="15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20.05" customHeight="1">
      <c r="AA136" s="36"/>
      <c r="AB136" s="34"/>
      <c r="AC136" s="17"/>
      <c r="AD136" s="17"/>
      <c r="AE136" s="17"/>
      <c r="AF136" s="17"/>
      <c r="AG136" s="15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20.05" customHeight="1">
      <c r="AA137" s="36"/>
      <c r="AB137" s="34"/>
      <c r="AC137" s="17"/>
      <c r="AD137" s="17"/>
      <c r="AE137" s="17"/>
      <c r="AF137" s="17"/>
      <c r="AG137" s="15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s="36"/>
      <c r="AB138" s="34"/>
      <c r="AC138" s="17"/>
      <c r="AD138" s="17"/>
      <c r="AE138" s="17"/>
      <c r="AF138" s="17"/>
      <c r="AG138" s="15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</sheetData>
  <mergeCells count="2">
    <mergeCell ref="B2:Z2"/>
    <mergeCell ref="AA35:AT3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dimension ref="A3:Z31"/>
  <sheetViews>
    <sheetView workbookViewId="0" showGridLines="0" defaultGridColor="1">
      <pane topLeftCell="B4" xSplit="1" ySplit="3" activePane="bottomRight" state="frozen"/>
    </sheetView>
  </sheetViews>
  <sheetFormatPr defaultColWidth="16.3333" defaultRowHeight="19.9" customHeight="1" outlineLevelRow="0" outlineLevelCol="0"/>
  <cols>
    <col min="1" max="26" width="10.4844" style="146" customWidth="1"/>
    <col min="27" max="16384" width="16.3516" style="146" customWidth="1"/>
  </cols>
  <sheetData>
    <row r="1" ht="136.3" customHeight="1"/>
    <row r="2" ht="27.65" customHeight="1">
      <c r="A2" t="s" s="2">
        <v>519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A3" t="s" s="3">
        <v>366</v>
      </c>
      <c r="B3" t="s" s="3">
        <v>2</v>
      </c>
      <c r="C3" t="s" s="3">
        <v>3</v>
      </c>
      <c r="D3" t="s" s="3">
        <v>4</v>
      </c>
      <c r="E3" t="s" s="3">
        <v>5</v>
      </c>
      <c r="F3" t="s" s="3">
        <v>6</v>
      </c>
      <c r="G3" t="s" s="3">
        <v>7</v>
      </c>
      <c r="H3" t="s" s="3">
        <v>8</v>
      </c>
      <c r="I3" t="s" s="3">
        <v>9</v>
      </c>
      <c r="J3" t="s" s="3">
        <v>10</v>
      </c>
      <c r="K3" t="s" s="3">
        <v>6</v>
      </c>
      <c r="L3" t="s" s="3">
        <v>11</v>
      </c>
      <c r="M3" t="s" s="3">
        <v>2</v>
      </c>
      <c r="N3" t="s" s="3">
        <v>12</v>
      </c>
      <c r="O3" t="s" s="3">
        <v>13</v>
      </c>
      <c r="P3" t="s" s="3">
        <v>493</v>
      </c>
      <c r="Q3" t="s" s="3">
        <v>12</v>
      </c>
      <c r="R3" t="s" s="3">
        <v>15</v>
      </c>
      <c r="S3" t="s" s="3">
        <v>12</v>
      </c>
      <c r="T3" t="s" s="3">
        <v>17</v>
      </c>
      <c r="U3" t="s" s="3">
        <v>12</v>
      </c>
      <c r="V3" t="s" s="3">
        <v>18</v>
      </c>
      <c r="W3" t="s" s="3">
        <v>12</v>
      </c>
      <c r="X3" t="s" s="3">
        <v>223</v>
      </c>
      <c r="Y3" t="s" s="3">
        <v>19</v>
      </c>
      <c r="Z3" t="s" s="3">
        <v>20</v>
      </c>
    </row>
    <row r="4" ht="20.25" customHeight="1">
      <c r="A4" s="6">
        <v>2017</v>
      </c>
      <c r="B4" s="87">
        <v>2487.1</v>
      </c>
      <c r="C4" s="88">
        <v>123.025</v>
      </c>
      <c r="D4" s="88">
        <v>744.8</v>
      </c>
      <c r="E4" s="8">
        <v>1423.1</v>
      </c>
      <c r="F4" s="8">
        <v>7940.1</v>
      </c>
      <c r="G4" s="8">
        <v>11185.3</v>
      </c>
      <c r="H4" s="8">
        <v>2699.9</v>
      </c>
      <c r="I4" s="8">
        <v>1542.8</v>
      </c>
      <c r="J4" s="8">
        <v>-39.9</v>
      </c>
      <c r="K4" s="8">
        <v>-1277.534825</v>
      </c>
      <c r="L4" s="8">
        <v>-40.328925</v>
      </c>
      <c r="M4" s="9"/>
      <c r="N4" s="9"/>
      <c r="O4" s="9"/>
      <c r="P4" s="9"/>
      <c r="Q4" s="9"/>
      <c r="R4" s="9"/>
      <c r="S4" s="9"/>
      <c r="T4" s="8">
        <v>1317.86375</v>
      </c>
      <c r="U4" s="9"/>
      <c r="V4" s="9"/>
      <c r="W4" s="9"/>
      <c r="X4" s="8"/>
      <c r="Y4" s="11"/>
      <c r="Z4" s="12">
        <v>13.3</v>
      </c>
    </row>
    <row r="5" ht="20.05" customHeight="1">
      <c r="A5" s="13"/>
      <c r="B5" s="38">
        <v>3145.172</v>
      </c>
      <c r="C5" s="23">
        <v>123.27475</v>
      </c>
      <c r="D5" s="23">
        <v>972.871</v>
      </c>
      <c r="E5" s="15">
        <v>1919.088</v>
      </c>
      <c r="F5" s="15">
        <v>7862.93</v>
      </c>
      <c r="G5" s="15">
        <v>12020.954</v>
      </c>
      <c r="H5" s="15">
        <v>2878.632</v>
      </c>
      <c r="I5" s="15">
        <v>919.563</v>
      </c>
      <c r="J5" s="15">
        <v>-119.943</v>
      </c>
      <c r="K5" s="15">
        <v>-1280.12831675</v>
      </c>
      <c r="L5" s="15">
        <v>-40.41079575</v>
      </c>
      <c r="M5" s="17"/>
      <c r="N5" s="17"/>
      <c r="O5" s="17"/>
      <c r="P5" s="17"/>
      <c r="Q5" s="17"/>
      <c r="R5" s="17"/>
      <c r="S5" s="17"/>
      <c r="T5" s="15">
        <v>2638.4028625</v>
      </c>
      <c r="U5" s="17"/>
      <c r="V5" s="17"/>
      <c r="W5" s="17"/>
      <c r="X5" s="15"/>
      <c r="Y5" s="19"/>
      <c r="Z5" s="20">
        <v>13.327</v>
      </c>
    </row>
    <row r="6" ht="20.05" customHeight="1">
      <c r="A6" s="13"/>
      <c r="B6" s="38">
        <v>3924.975</v>
      </c>
      <c r="C6" s="23">
        <v>123.07125</v>
      </c>
      <c r="D6" s="23">
        <v>1317.195</v>
      </c>
      <c r="E6" s="15">
        <v>1277.28</v>
      </c>
      <c r="F6" s="15">
        <v>6918.6</v>
      </c>
      <c r="G6" s="15">
        <v>12347.04</v>
      </c>
      <c r="H6" s="15">
        <v>3419.385</v>
      </c>
      <c r="I6" s="15">
        <v>1330.5</v>
      </c>
      <c r="J6" s="15">
        <v>-119.745</v>
      </c>
      <c r="K6" s="15">
        <v>-1278.01510125</v>
      </c>
      <c r="L6" s="15">
        <v>-40.34408625</v>
      </c>
      <c r="M6" s="17"/>
      <c r="N6" s="17"/>
      <c r="O6" s="17"/>
      <c r="P6" s="17"/>
      <c r="Q6" s="17"/>
      <c r="R6" s="17"/>
      <c r="S6" s="17"/>
      <c r="T6" s="15">
        <v>3956.76205</v>
      </c>
      <c r="U6" s="17"/>
      <c r="V6" s="17"/>
      <c r="W6" s="17"/>
      <c r="X6" s="15"/>
      <c r="Y6" s="19"/>
      <c r="Z6" s="20">
        <v>13.305</v>
      </c>
    </row>
    <row r="7" ht="20.05" customHeight="1">
      <c r="A7" s="13"/>
      <c r="B7" s="38">
        <v>4731.393</v>
      </c>
      <c r="C7" s="23">
        <v>125.40225</v>
      </c>
      <c r="D7" s="23">
        <v>1491.27</v>
      </c>
      <c r="E7" s="15">
        <v>799.8630000000001</v>
      </c>
      <c r="F7" s="15">
        <v>5056.761</v>
      </c>
      <c r="G7" s="15">
        <v>12052.173</v>
      </c>
      <c r="H7" s="15">
        <v>5016.09</v>
      </c>
      <c r="I7" s="15">
        <v>1992.879</v>
      </c>
      <c r="J7" s="15">
        <v>-203.355</v>
      </c>
      <c r="K7" s="15">
        <v>-1302.22102425</v>
      </c>
      <c r="L7" s="15">
        <v>-41.10821325</v>
      </c>
      <c r="M7" s="17"/>
      <c r="N7" s="17"/>
      <c r="O7" s="17"/>
      <c r="P7" s="17"/>
      <c r="Q7" s="17"/>
      <c r="R7" s="17"/>
      <c r="S7" s="17"/>
      <c r="T7" s="15">
        <v>5300.0912875</v>
      </c>
      <c r="U7" s="17"/>
      <c r="V7" s="17"/>
      <c r="W7" s="17"/>
      <c r="X7" s="15"/>
      <c r="Y7" s="19"/>
      <c r="Z7" s="20">
        <v>13.557</v>
      </c>
    </row>
    <row r="8" ht="20.05" customHeight="1">
      <c r="A8" s="21">
        <v>2018</v>
      </c>
      <c r="B8" s="38">
        <v>5614.488</v>
      </c>
      <c r="C8" s="23">
        <v>137.61</v>
      </c>
      <c r="D8" s="23">
        <v>1761.408</v>
      </c>
      <c r="E8" s="15">
        <v>2353.131</v>
      </c>
      <c r="F8" s="15">
        <v>5036.526</v>
      </c>
      <c r="G8" s="15">
        <v>13884.849</v>
      </c>
      <c r="H8" s="15">
        <v>4857.633</v>
      </c>
      <c r="I8" s="15">
        <v>2380.653</v>
      </c>
      <c r="J8" s="15">
        <v>-220.176</v>
      </c>
      <c r="K8" s="15">
        <v>103.2075</v>
      </c>
      <c r="L8" s="15">
        <v>-576.87832125</v>
      </c>
      <c r="M8" s="23">
        <v>4354.007</v>
      </c>
      <c r="N8" s="17"/>
      <c r="O8" s="16">
        <v>0.186645877863031</v>
      </c>
      <c r="P8" s="16">
        <v>-0.652498132754495</v>
      </c>
      <c r="Q8" s="17"/>
      <c r="R8" s="15">
        <v>1490.094</v>
      </c>
      <c r="S8" s="17"/>
      <c r="T8" s="15">
        <v>5773.76210875</v>
      </c>
      <c r="U8" s="17"/>
      <c r="V8" s="15">
        <v>-2683.395</v>
      </c>
      <c r="W8" s="24"/>
      <c r="X8" s="15">
        <v>9462.037109000001</v>
      </c>
      <c r="Y8" s="22"/>
      <c r="Z8" s="20">
        <v>13.761</v>
      </c>
    </row>
    <row r="9" ht="20.05" customHeight="1">
      <c r="A9" s="13"/>
      <c r="B9" s="38">
        <v>6006</v>
      </c>
      <c r="C9" s="23">
        <v>140</v>
      </c>
      <c r="D9" s="23">
        <v>2240</v>
      </c>
      <c r="E9" s="15">
        <v>1890</v>
      </c>
      <c r="F9" s="15">
        <v>5684</v>
      </c>
      <c r="G9" s="15">
        <v>14658</v>
      </c>
      <c r="H9" s="15">
        <v>5432</v>
      </c>
      <c r="I9" s="15">
        <v>1274</v>
      </c>
      <c r="J9" s="15">
        <v>-350</v>
      </c>
      <c r="K9" s="15">
        <v>105</v>
      </c>
      <c r="L9" s="15">
        <v>-586.8975</v>
      </c>
      <c r="M9" s="23">
        <v>5069.214</v>
      </c>
      <c r="N9" s="17"/>
      <c r="O9" s="16">
        <v>0.06973244933464991</v>
      </c>
      <c r="P9" s="16">
        <v>-0.638210356674625</v>
      </c>
      <c r="Q9" s="17"/>
      <c r="R9" s="15">
        <v>1521.189</v>
      </c>
      <c r="S9" s="17"/>
      <c r="T9" s="15">
        <v>6255.65960875</v>
      </c>
      <c r="U9" s="17"/>
      <c r="V9" s="15">
        <v>-3794</v>
      </c>
      <c r="W9" s="24"/>
      <c r="X9" s="15">
        <v>18032.501953</v>
      </c>
      <c r="Y9" s="22"/>
      <c r="Z9" s="20">
        <v>14</v>
      </c>
    </row>
    <row r="10" ht="20.05" customHeight="1">
      <c r="A10" s="13"/>
      <c r="B10" s="38">
        <v>6035.31</v>
      </c>
      <c r="C10" s="23">
        <v>149.02</v>
      </c>
      <c r="D10" s="23">
        <v>1788.24</v>
      </c>
      <c r="E10" s="15">
        <v>2518.438</v>
      </c>
      <c r="F10" s="15">
        <v>5126.288</v>
      </c>
      <c r="G10" s="15">
        <v>16392.2</v>
      </c>
      <c r="H10" s="15">
        <v>6616.488</v>
      </c>
      <c r="I10" s="15">
        <v>2250.202</v>
      </c>
      <c r="J10" s="15">
        <v>-283.138</v>
      </c>
      <c r="K10" s="15">
        <v>111.765</v>
      </c>
      <c r="L10" s="15">
        <v>-624.7104675</v>
      </c>
      <c r="M10" s="23">
        <v>5596.79775</v>
      </c>
      <c r="N10" s="17"/>
      <c r="O10" s="16">
        <v>0.00488011988011988</v>
      </c>
      <c r="P10" s="16">
        <v>-0.650114645915157</v>
      </c>
      <c r="Q10" s="17"/>
      <c r="R10" s="15">
        <v>1710.26625</v>
      </c>
      <c r="S10" s="17"/>
      <c r="T10" s="15">
        <v>6768.60507625</v>
      </c>
      <c r="U10" s="17"/>
      <c r="V10" s="15">
        <v>-2607.85</v>
      </c>
      <c r="W10" s="24"/>
      <c r="X10" s="15">
        <v>17895.544922</v>
      </c>
      <c r="Y10" s="22"/>
      <c r="Z10" s="20">
        <v>14.902</v>
      </c>
    </row>
    <row r="11" ht="20.05" customHeight="1">
      <c r="A11" s="13"/>
      <c r="B11" s="38">
        <v>6269.68</v>
      </c>
      <c r="C11" s="23">
        <v>143.8</v>
      </c>
      <c r="D11" s="23">
        <v>1668.08</v>
      </c>
      <c r="E11" s="15">
        <v>3293.02</v>
      </c>
      <c r="F11" s="15">
        <v>6801.74</v>
      </c>
      <c r="G11" s="15">
        <v>16551.38</v>
      </c>
      <c r="H11" s="15">
        <v>6758.6</v>
      </c>
      <c r="I11" s="15">
        <v>2257.66</v>
      </c>
      <c r="J11" s="15">
        <v>-532.0599999999999</v>
      </c>
      <c r="K11" s="15">
        <v>107.85</v>
      </c>
      <c r="L11" s="15">
        <v>-602.827575</v>
      </c>
      <c r="M11" s="23">
        <v>5981.3695</v>
      </c>
      <c r="N11" s="17"/>
      <c r="O11" s="16">
        <v>0.0388331336749894</v>
      </c>
      <c r="P11" s="16">
        <v>-0.664451510644845</v>
      </c>
      <c r="Q11" s="17"/>
      <c r="R11" s="15">
        <v>1694.28525</v>
      </c>
      <c r="S11" s="17"/>
      <c r="T11" s="15">
        <v>7263.58265125</v>
      </c>
      <c r="U11" s="17"/>
      <c r="V11" s="15">
        <v>-3508.72</v>
      </c>
      <c r="W11" s="24"/>
      <c r="X11" s="15">
        <v>17347.720703</v>
      </c>
      <c r="Y11" s="22"/>
      <c r="Z11" s="20">
        <v>14.38</v>
      </c>
    </row>
    <row r="12" ht="20.05" customHeight="1">
      <c r="A12" s="21">
        <v>2019</v>
      </c>
      <c r="B12" s="38">
        <v>5197.6</v>
      </c>
      <c r="C12" s="23">
        <v>185.12</v>
      </c>
      <c r="D12" s="23">
        <v>1238.88</v>
      </c>
      <c r="E12" s="15">
        <v>4343.2</v>
      </c>
      <c r="F12" s="15">
        <v>5909.6</v>
      </c>
      <c r="G12" s="15">
        <v>17102.24</v>
      </c>
      <c r="H12" s="15">
        <v>5838.4</v>
      </c>
      <c r="I12" s="15">
        <v>1708.8</v>
      </c>
      <c r="J12" s="15">
        <v>-213.6</v>
      </c>
      <c r="K12" s="15">
        <v>836.6</v>
      </c>
      <c r="L12" s="15">
        <v>-1125.80728</v>
      </c>
      <c r="M12" s="23">
        <v>5877.1475</v>
      </c>
      <c r="N12" s="17"/>
      <c r="O12" s="16">
        <v>-0.170994372918554</v>
      </c>
      <c r="P12" s="16">
        <v>-0.678707229995504</v>
      </c>
      <c r="Q12" s="17"/>
      <c r="R12" s="15">
        <v>1527.966</v>
      </c>
      <c r="S12" s="17"/>
      <c r="T12" s="15">
        <v>7552.78993125</v>
      </c>
      <c r="U12" s="17"/>
      <c r="V12" s="15">
        <v>-1566.4</v>
      </c>
      <c r="W12" s="24"/>
      <c r="X12" s="15">
        <v>17347.720703</v>
      </c>
      <c r="Y12" s="22"/>
      <c r="Z12" s="20">
        <v>14.24</v>
      </c>
    </row>
    <row r="13" ht="20.05" customHeight="1">
      <c r="A13" s="13"/>
      <c r="B13" s="38">
        <v>6978.738</v>
      </c>
      <c r="C13" s="23">
        <v>183.651</v>
      </c>
      <c r="D13" s="23">
        <v>1412.7</v>
      </c>
      <c r="E13" s="15">
        <v>5735.562</v>
      </c>
      <c r="F13" s="15">
        <v>11386.362</v>
      </c>
      <c r="G13" s="15">
        <v>19650.657</v>
      </c>
      <c r="H13" s="15">
        <v>5509.53</v>
      </c>
      <c r="I13" s="15">
        <v>-84.762</v>
      </c>
      <c r="J13" s="15">
        <v>-42.381</v>
      </c>
      <c r="K13" s="15">
        <v>829.9612499999999</v>
      </c>
      <c r="L13" s="15">
        <v>-1116.8735565</v>
      </c>
      <c r="M13" s="23">
        <v>6120.332</v>
      </c>
      <c r="N13" s="17"/>
      <c r="O13" s="16">
        <v>0.34268470063106</v>
      </c>
      <c r="P13" s="16">
        <v>-0.723483505469965</v>
      </c>
      <c r="Q13" s="17"/>
      <c r="R13" s="15">
        <v>1265.18025</v>
      </c>
      <c r="S13" s="17"/>
      <c r="T13" s="15">
        <v>7839.70223775</v>
      </c>
      <c r="U13" s="17"/>
      <c r="V13" s="15">
        <v>-5650.8</v>
      </c>
      <c r="W13" s="24"/>
      <c r="X13" s="15">
        <v>16505.783203</v>
      </c>
      <c r="Y13" s="24"/>
      <c r="Z13" s="15">
        <v>14.127</v>
      </c>
    </row>
    <row r="14" ht="20.05" customHeight="1">
      <c r="A14" s="13"/>
      <c r="B14" s="38">
        <v>4017.185</v>
      </c>
      <c r="C14" s="23">
        <v>184.535</v>
      </c>
      <c r="D14" s="23">
        <v>454.24</v>
      </c>
      <c r="E14" s="15">
        <v>1064.625</v>
      </c>
      <c r="F14" s="15">
        <v>6884.575</v>
      </c>
      <c r="G14" s="15">
        <v>15415.77</v>
      </c>
      <c r="H14" s="15">
        <v>5181.175</v>
      </c>
      <c r="I14" s="15">
        <v>241.315</v>
      </c>
      <c r="J14" s="15">
        <v>-156.145</v>
      </c>
      <c r="K14" s="15">
        <v>833.95625</v>
      </c>
      <c r="L14" s="15">
        <v>-1122.2496025</v>
      </c>
      <c r="M14" s="23">
        <v>5615.80075</v>
      </c>
      <c r="N14" s="17"/>
      <c r="O14" s="16">
        <v>-0.42436798744988</v>
      </c>
      <c r="P14" s="16">
        <v>-0.7564458639313369</v>
      </c>
      <c r="Q14" s="17"/>
      <c r="R14" s="15">
        <v>794.7067500000001</v>
      </c>
      <c r="S14" s="17"/>
      <c r="T14" s="15">
        <v>8127.99559025</v>
      </c>
      <c r="U14" s="17"/>
      <c r="V14" s="15">
        <v>-5819.95</v>
      </c>
      <c r="W14" s="24"/>
      <c r="X14" s="15">
        <v>13429.260742</v>
      </c>
      <c r="Y14" s="24"/>
      <c r="Z14" s="15">
        <v>14.195</v>
      </c>
    </row>
    <row r="15" ht="20.05" customHeight="1">
      <c r="A15" s="13"/>
      <c r="B15" s="38">
        <v>3470.5</v>
      </c>
      <c r="C15" s="23">
        <v>180.466</v>
      </c>
      <c r="D15" s="23">
        <v>208.23</v>
      </c>
      <c r="E15" s="15">
        <v>2429.35</v>
      </c>
      <c r="F15" s="15">
        <v>9148.237999999999</v>
      </c>
      <c r="G15" s="15">
        <v>17741.196</v>
      </c>
      <c r="H15" s="15">
        <v>3081.804</v>
      </c>
      <c r="I15" s="15">
        <v>-1124.442</v>
      </c>
      <c r="J15" s="15">
        <v>83.292</v>
      </c>
      <c r="K15" s="15">
        <v>815.5675</v>
      </c>
      <c r="L15" s="15">
        <v>-1097.503979</v>
      </c>
      <c r="M15" s="23">
        <v>4916.00575</v>
      </c>
      <c r="N15" s="17"/>
      <c r="O15" s="16">
        <v>-0.136086587996321</v>
      </c>
      <c r="P15" s="16">
        <v>-0.794150871365437</v>
      </c>
      <c r="Q15" s="17"/>
      <c r="R15" s="15">
        <v>103.01925</v>
      </c>
      <c r="S15" s="17"/>
      <c r="T15" s="15">
        <v>8409.93206925</v>
      </c>
      <c r="U15" s="17"/>
      <c r="V15" s="15">
        <v>-6718.888</v>
      </c>
      <c r="W15" s="24"/>
      <c r="X15" s="15">
        <v>14845.4375</v>
      </c>
      <c r="Y15" s="24"/>
      <c r="Z15" s="15">
        <v>13.882</v>
      </c>
    </row>
    <row r="16" ht="20.05" customHeight="1">
      <c r="A16" s="21">
        <v>2020</v>
      </c>
      <c r="B16" s="38">
        <v>5317.06</v>
      </c>
      <c r="C16" s="23">
        <v>244.65</v>
      </c>
      <c r="D16" s="23">
        <v>652.4</v>
      </c>
      <c r="E16" s="15">
        <v>4273.22</v>
      </c>
      <c r="F16" s="15">
        <v>12917.52</v>
      </c>
      <c r="G16" s="15">
        <v>22148.98</v>
      </c>
      <c r="H16" s="15">
        <v>5904.22</v>
      </c>
      <c r="I16" s="15">
        <v>1353.73</v>
      </c>
      <c r="J16" s="15">
        <v>-342.51</v>
      </c>
      <c r="K16" s="15">
        <v>142.7125</v>
      </c>
      <c r="L16" s="15">
        <v>-308.854315</v>
      </c>
      <c r="M16" s="23">
        <v>4945.87075</v>
      </c>
      <c r="N16" s="15"/>
      <c r="O16" s="16">
        <v>0.532073188301397</v>
      </c>
      <c r="P16" s="16">
        <v>-0.822029720449124</v>
      </c>
      <c r="Q16" s="17"/>
      <c r="R16" s="15">
        <v>-17.97575</v>
      </c>
      <c r="S16" s="17"/>
      <c r="T16" s="15">
        <v>8576.07388425</v>
      </c>
      <c r="U16" s="17"/>
      <c r="V16" s="15">
        <v>-8644.299999999999</v>
      </c>
      <c r="W16" s="24"/>
      <c r="X16" s="15">
        <v>14161.766602</v>
      </c>
      <c r="Y16" s="24"/>
      <c r="Z16" s="15">
        <v>16.31</v>
      </c>
    </row>
    <row r="17" ht="20.05" customHeight="1">
      <c r="A17" s="13"/>
      <c r="B17" s="38">
        <v>5274.35</v>
      </c>
      <c r="C17" s="23">
        <v>213.825</v>
      </c>
      <c r="D17" s="23">
        <v>513.1799999999999</v>
      </c>
      <c r="E17" s="15">
        <v>4476.07</v>
      </c>
      <c r="F17" s="15">
        <v>10819.545</v>
      </c>
      <c r="G17" s="15">
        <v>19771.685</v>
      </c>
      <c r="H17" s="15">
        <v>4490.325</v>
      </c>
      <c r="I17" s="15">
        <v>1083.38</v>
      </c>
      <c r="J17" s="15">
        <v>-356.375</v>
      </c>
      <c r="K17" s="15">
        <v>124.73125</v>
      </c>
      <c r="L17" s="15">
        <v>-269.9398075</v>
      </c>
      <c r="M17" s="23">
        <v>4519.77375</v>
      </c>
      <c r="N17" s="15"/>
      <c r="O17" s="16">
        <v>-0.00803263457625079</v>
      </c>
      <c r="P17" s="16">
        <v>-0.853337459646072</v>
      </c>
      <c r="Q17" s="17"/>
      <c r="R17" s="15">
        <v>195.56125</v>
      </c>
      <c r="S17" s="17"/>
      <c r="T17" s="15">
        <v>8721.28244175</v>
      </c>
      <c r="U17" s="17"/>
      <c r="V17" s="15">
        <v>-6343.475</v>
      </c>
      <c r="W17" s="24"/>
      <c r="X17" s="15">
        <v>12232.835938</v>
      </c>
      <c r="Y17" s="24"/>
      <c r="Z17" s="15">
        <v>14.255</v>
      </c>
    </row>
    <row r="18" ht="20.05" customHeight="1">
      <c r="A18" s="13"/>
      <c r="B18" s="38">
        <v>4540.53</v>
      </c>
      <c r="C18" s="23">
        <v>221.85</v>
      </c>
      <c r="D18" s="23">
        <v>621.1799999999999</v>
      </c>
      <c r="E18" s="15">
        <v>5220.87</v>
      </c>
      <c r="F18" s="15">
        <v>11240.4</v>
      </c>
      <c r="G18" s="15">
        <v>20084.82</v>
      </c>
      <c r="H18" s="15">
        <v>5191.29</v>
      </c>
      <c r="I18" s="15">
        <v>1804.38</v>
      </c>
      <c r="J18" s="15">
        <v>-221.85</v>
      </c>
      <c r="K18" s="15">
        <v>129.4125</v>
      </c>
      <c r="L18" s="15">
        <v>-280.070835</v>
      </c>
      <c r="M18" s="23">
        <v>4650.61</v>
      </c>
      <c r="N18" s="15"/>
      <c r="O18" s="16">
        <v>-0.139129940182203</v>
      </c>
      <c r="P18" s="16">
        <v>-0.846483525817043</v>
      </c>
      <c r="Q18" s="17"/>
      <c r="R18" s="15">
        <v>569.90125</v>
      </c>
      <c r="S18" s="17"/>
      <c r="T18" s="15">
        <v>8871.94077675</v>
      </c>
      <c r="U18" s="17"/>
      <c r="V18" s="15">
        <v>-6019.53</v>
      </c>
      <c r="W18" s="24"/>
      <c r="X18" s="15">
        <v>12650</v>
      </c>
      <c r="Y18" s="24"/>
      <c r="Z18" s="15">
        <v>14.79</v>
      </c>
    </row>
    <row r="19" ht="20.05" customHeight="1">
      <c r="A19" s="13"/>
      <c r="B19" s="38">
        <v>5528.61</v>
      </c>
      <c r="C19" s="23">
        <v>2564.79</v>
      </c>
      <c r="D19" s="23">
        <v>3193.65</v>
      </c>
      <c r="E19" s="15">
        <v>5555.4</v>
      </c>
      <c r="F19" s="15">
        <v>10687.8</v>
      </c>
      <c r="G19" s="15">
        <v>22842</v>
      </c>
      <c r="H19" s="15">
        <v>4538.79</v>
      </c>
      <c r="I19" s="15">
        <v>1128</v>
      </c>
      <c r="J19" s="15">
        <v>-558.36</v>
      </c>
      <c r="K19" s="15">
        <v>123.375</v>
      </c>
      <c r="L19" s="15">
        <v>-267.00465</v>
      </c>
      <c r="M19" s="23">
        <v>5165.1375</v>
      </c>
      <c r="N19" s="15"/>
      <c r="O19" s="16">
        <v>0.217613362316734</v>
      </c>
      <c r="P19" s="16">
        <v>-0.601872893025597</v>
      </c>
      <c r="Q19" s="17"/>
      <c r="R19" s="15">
        <v>972.59875</v>
      </c>
      <c r="S19" s="17"/>
      <c r="T19" s="15">
        <v>9015.57042675</v>
      </c>
      <c r="U19" s="17"/>
      <c r="V19" s="15">
        <v>-5132.4</v>
      </c>
      <c r="W19" s="24"/>
      <c r="X19" s="15">
        <v>15475</v>
      </c>
      <c r="Y19" s="24"/>
      <c r="Z19" s="15">
        <v>14.1</v>
      </c>
    </row>
    <row r="20" ht="20.05" customHeight="1">
      <c r="A20" s="21">
        <v>2021</v>
      </c>
      <c r="B20" s="38">
        <v>7317.606</v>
      </c>
      <c r="C20" s="23">
        <v>219.09</v>
      </c>
      <c r="D20" s="23">
        <v>2589.6438</v>
      </c>
      <c r="E20" s="15">
        <v>8836.629999999999</v>
      </c>
      <c r="F20" s="15">
        <v>11129.772</v>
      </c>
      <c r="G20" s="15">
        <v>26728.98</v>
      </c>
      <c r="H20" s="15">
        <v>7489.08044</v>
      </c>
      <c r="I20" s="15">
        <v>3640.39944</v>
      </c>
      <c r="J20" s="15">
        <v>-391.4408</v>
      </c>
      <c r="K20" s="15">
        <v>-14.606</v>
      </c>
      <c r="L20" s="15">
        <v>0</v>
      </c>
      <c r="M20" s="23">
        <v>5665.274</v>
      </c>
      <c r="N20" s="15">
        <v>5482.895219</v>
      </c>
      <c r="O20" s="16">
        <v>0.323588750156007</v>
      </c>
      <c r="P20" s="16">
        <v>-0.552660259680291</v>
      </c>
      <c r="Q20" s="17"/>
      <c r="R20" s="15">
        <v>1532.03341</v>
      </c>
      <c r="S20" s="17"/>
      <c r="T20" s="15">
        <v>9030.17642675</v>
      </c>
      <c r="U20" s="17"/>
      <c r="V20" s="15">
        <v>-2293.142</v>
      </c>
      <c r="W20" s="15"/>
      <c r="X20" s="15">
        <v>12475</v>
      </c>
      <c r="Y20" s="17"/>
      <c r="Z20" s="15">
        <v>14.606</v>
      </c>
    </row>
    <row r="21" ht="20.05" customHeight="1">
      <c r="A21" s="13"/>
      <c r="B21" s="38">
        <v>7553.015</v>
      </c>
      <c r="C21" s="23">
        <v>216.75</v>
      </c>
      <c r="D21" s="23">
        <v>2625.565</v>
      </c>
      <c r="E21" s="15">
        <v>4710.7</v>
      </c>
      <c r="F21" s="15">
        <v>8438.799999999999</v>
      </c>
      <c r="G21" s="15">
        <v>22094.05</v>
      </c>
      <c r="H21" s="15">
        <v>7406.492</v>
      </c>
      <c r="I21" s="15">
        <v>4298.297</v>
      </c>
      <c r="J21" s="15">
        <v>-690.71</v>
      </c>
      <c r="K21" s="15">
        <v>-3275.10695</v>
      </c>
      <c r="L21" s="15">
        <v>-4485.8002</v>
      </c>
      <c r="M21" s="23">
        <v>6234.94025</v>
      </c>
      <c r="N21" s="15">
        <v>6108.718233333340</v>
      </c>
      <c r="O21" s="16">
        <v>0.0321702206978621</v>
      </c>
      <c r="P21" s="16">
        <v>-0.5087154684441439</v>
      </c>
      <c r="Q21" s="17"/>
      <c r="R21" s="15">
        <v>2252.17891</v>
      </c>
      <c r="S21" s="17"/>
      <c r="T21" s="15">
        <v>16791.08357675</v>
      </c>
      <c r="U21" s="17"/>
      <c r="V21" s="15">
        <v>-3728.1</v>
      </c>
      <c r="W21" s="15"/>
      <c r="X21" s="15">
        <v>13600</v>
      </c>
      <c r="Y21" s="15">
        <v>25722.7605831</v>
      </c>
      <c r="Z21" s="15">
        <v>14.45</v>
      </c>
    </row>
    <row r="22" ht="20.05" customHeight="1">
      <c r="A22" s="13"/>
      <c r="B22" s="38">
        <v>10393.5312</v>
      </c>
      <c r="C22" s="23">
        <v>220.6512</v>
      </c>
      <c r="D22" s="23">
        <v>4600.7208</v>
      </c>
      <c r="E22" s="15">
        <v>7593.84</v>
      </c>
      <c r="F22" s="15">
        <v>8510.832</v>
      </c>
      <c r="G22" s="15">
        <v>26779.032</v>
      </c>
      <c r="H22" s="15">
        <v>9624.1176</v>
      </c>
      <c r="I22" s="15">
        <v>4258.2816</v>
      </c>
      <c r="J22" s="15">
        <v>-492.8832</v>
      </c>
      <c r="K22" s="15">
        <v>-573.9653520000001</v>
      </c>
      <c r="L22" s="15">
        <v>-145.314576</v>
      </c>
      <c r="M22" s="23">
        <v>7698.19055</v>
      </c>
      <c r="N22" s="23">
        <v>6396.445458</v>
      </c>
      <c r="O22" s="16">
        <v>0.376077129464194</v>
      </c>
      <c r="P22" s="16">
        <v>-0.472900134954441</v>
      </c>
      <c r="Q22" s="17"/>
      <c r="R22" s="15">
        <v>2797.89601</v>
      </c>
      <c r="S22" s="17"/>
      <c r="T22" s="15">
        <v>17510.36350475</v>
      </c>
      <c r="U22" s="17"/>
      <c r="V22" s="15">
        <v>-916.992</v>
      </c>
      <c r="W22" s="15"/>
      <c r="X22" s="15">
        <v>29450</v>
      </c>
      <c r="Y22" s="15">
        <v>52230.0151556808</v>
      </c>
      <c r="Z22" s="15">
        <v>14.328</v>
      </c>
    </row>
    <row r="23" ht="20.05" customHeight="1">
      <c r="A23" s="13"/>
      <c r="B23" s="38">
        <v>15743.8975</v>
      </c>
      <c r="C23" s="23">
        <v>214.125</v>
      </c>
      <c r="D23" s="23">
        <v>8363.7225</v>
      </c>
      <c r="E23" s="15">
        <v>13993.7825</v>
      </c>
      <c r="F23" s="15">
        <v>8151.025</v>
      </c>
      <c r="G23" s="15">
        <v>34745.35</v>
      </c>
      <c r="H23" s="15">
        <v>15602.575</v>
      </c>
      <c r="I23" s="15">
        <v>9508.577499999999</v>
      </c>
      <c r="J23" s="15">
        <v>-785.125</v>
      </c>
      <c r="K23" s="15">
        <v>-1888.43975</v>
      </c>
      <c r="L23" s="15">
        <v>0</v>
      </c>
      <c r="M23" s="23">
        <v>10252.012425</v>
      </c>
      <c r="N23" s="23">
        <v>7852.95943125</v>
      </c>
      <c r="O23" s="16">
        <v>0.514778490297888</v>
      </c>
      <c r="P23" s="16">
        <v>-0.535450516682338</v>
      </c>
      <c r="Q23" s="17"/>
      <c r="R23" s="15">
        <v>4836.349135</v>
      </c>
      <c r="S23" s="17"/>
      <c r="T23" s="15">
        <v>19398.80325475</v>
      </c>
      <c r="U23" s="17"/>
      <c r="V23" s="15">
        <v>5842.7575</v>
      </c>
      <c r="W23" s="15"/>
      <c r="X23" s="15">
        <v>26350</v>
      </c>
      <c r="Y23" s="15">
        <v>50199.9694590066</v>
      </c>
      <c r="Z23" s="15">
        <v>14.275</v>
      </c>
    </row>
    <row r="24" ht="20.05" customHeight="1">
      <c r="A24" s="21">
        <v>2022</v>
      </c>
      <c r="B24" s="38">
        <v>11232.368</v>
      </c>
      <c r="C24" s="23">
        <v>214.905</v>
      </c>
      <c r="D24" s="23">
        <v>5444.26</v>
      </c>
      <c r="E24" s="15">
        <v>19084.9967</v>
      </c>
      <c r="F24" s="15">
        <v>9355.531000000001</v>
      </c>
      <c r="G24" s="15">
        <v>42121.38</v>
      </c>
      <c r="H24" s="15">
        <v>10501.691</v>
      </c>
      <c r="I24" s="15">
        <v>6050.2921</v>
      </c>
      <c r="J24" s="15">
        <v>-1004.3227</v>
      </c>
      <c r="K24" s="15">
        <v>0</v>
      </c>
      <c r="L24" s="15">
        <v>0</v>
      </c>
      <c r="M24" s="23">
        <v>11230.702925</v>
      </c>
      <c r="N24" s="23">
        <v>10545.947103</v>
      </c>
      <c r="O24" s="16">
        <v>-0.28655734706098</v>
      </c>
      <c r="P24" s="16">
        <v>-0.512481550659484</v>
      </c>
      <c r="Q24" s="35">
        <v>-0.55778351048974</v>
      </c>
      <c r="R24" s="15">
        <v>5285.601825</v>
      </c>
      <c r="S24" s="15">
        <v>7268.156574973370</v>
      </c>
      <c r="T24" s="15">
        <v>19398.80325475</v>
      </c>
      <c r="U24" s="15"/>
      <c r="V24" s="15">
        <v>9729.465700000001</v>
      </c>
      <c r="W24" s="15">
        <v>4374.0331</v>
      </c>
      <c r="X24" s="15">
        <v>43350</v>
      </c>
      <c r="Y24" s="15">
        <v>55927.6639737032</v>
      </c>
      <c r="Z24" s="15">
        <v>14.327</v>
      </c>
    </row>
    <row r="25" ht="20.05" customHeight="1">
      <c r="A25" s="13"/>
      <c r="B25" s="38">
        <v>17899.86</v>
      </c>
      <c r="C25" s="23">
        <v>243.356</v>
      </c>
      <c r="D25" s="23">
        <v>9206.48</v>
      </c>
      <c r="E25" s="15">
        <v>9081.870000000001</v>
      </c>
      <c r="F25" s="15">
        <v>10056.76</v>
      </c>
      <c r="G25" s="15">
        <v>36723.3</v>
      </c>
      <c r="H25" s="15">
        <v>15926.624</v>
      </c>
      <c r="I25" s="15">
        <v>4890.576</v>
      </c>
      <c r="J25" s="15">
        <v>-760.854</v>
      </c>
      <c r="K25" s="15">
        <v>1.466</v>
      </c>
      <c r="L25" s="15">
        <v>-14577.904</v>
      </c>
      <c r="M25" s="23">
        <v>13817.414175</v>
      </c>
      <c r="N25" s="23">
        <v>12342.558195</v>
      </c>
      <c r="O25" s="16">
        <v>0.593596292429165</v>
      </c>
      <c r="P25" s="16">
        <v>-0.48419761941456</v>
      </c>
      <c r="Q25" s="35">
        <v>-0.527784961669014</v>
      </c>
      <c r="R25" s="15">
        <v>5416.135575</v>
      </c>
      <c r="S25" s="15">
        <v>6896.915077726010</v>
      </c>
      <c r="T25" s="15">
        <v>33975.24125475</v>
      </c>
      <c r="U25" s="15"/>
      <c r="V25" s="15">
        <v>-974.89</v>
      </c>
      <c r="W25" s="15">
        <v>5016.458623334420</v>
      </c>
      <c r="X25" s="15">
        <v>77950</v>
      </c>
      <c r="Y25" s="15">
        <v>106719.429352938</v>
      </c>
      <c r="Z25" s="15">
        <v>14.66</v>
      </c>
    </row>
    <row r="26" ht="20.05" customHeight="1">
      <c r="A26" s="13"/>
      <c r="B26" s="38">
        <v>21093.3855</v>
      </c>
      <c r="C26" s="23">
        <v>254.421</v>
      </c>
      <c r="D26" s="23">
        <v>10987.218</v>
      </c>
      <c r="E26" s="15">
        <v>20801.2725</v>
      </c>
      <c r="F26" s="15">
        <v>12626.82</v>
      </c>
      <c r="G26" s="15">
        <v>51166.89</v>
      </c>
      <c r="H26" s="15">
        <v>21763.989</v>
      </c>
      <c r="I26" s="15">
        <v>12044.1645</v>
      </c>
      <c r="J26" s="15">
        <v>-391.0545</v>
      </c>
      <c r="K26" s="15">
        <v>0</v>
      </c>
      <c r="L26" s="15">
        <v>-527.688</v>
      </c>
      <c r="M26" s="23">
        <v>16492.37775</v>
      </c>
      <c r="N26" s="23">
        <v>18787.5087553296</v>
      </c>
      <c r="O26" s="16">
        <v>0.178410641200546</v>
      </c>
      <c r="P26" s="16">
        <v>-0.470535904078476</v>
      </c>
      <c r="Q26" s="35">
        <v>-0.516230558228047</v>
      </c>
      <c r="R26" s="15">
        <v>7388.063475</v>
      </c>
      <c r="S26" s="15">
        <v>8130.817622851480</v>
      </c>
      <c r="T26" s="15">
        <v>34502.92925475</v>
      </c>
      <c r="U26" s="15">
        <v>34502.92925475</v>
      </c>
      <c r="V26" s="15">
        <v>8174.4525</v>
      </c>
      <c r="W26" s="15">
        <v>-302.342650859403</v>
      </c>
      <c r="X26" s="15">
        <v>67000</v>
      </c>
      <c r="Y26" s="15">
        <v>106719.429352938</v>
      </c>
      <c r="Z26" s="15">
        <v>15.705</v>
      </c>
    </row>
    <row r="27" ht="20.05" customHeight="1">
      <c r="A27" s="13"/>
      <c r="B27" s="14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7"/>
      <c r="N27" s="23">
        <v>21741.471859468</v>
      </c>
      <c r="O27" s="17"/>
      <c r="P27" s="17"/>
      <c r="Q27" s="35">
        <v>-0.48419761941456</v>
      </c>
      <c r="R27" s="17"/>
      <c r="S27" s="15">
        <v>10495.5592092116</v>
      </c>
      <c r="T27" s="17"/>
      <c r="U27" s="15">
        <v>76361.3976402866</v>
      </c>
      <c r="V27" s="17"/>
      <c r="W27" s="15">
        <v>10640.4171436849</v>
      </c>
      <c r="X27" s="15">
        <v>86300</v>
      </c>
      <c r="Y27" s="15">
        <v>106719.429352938</v>
      </c>
      <c r="Z27" s="17"/>
    </row>
    <row r="28" ht="20.05" customHeight="1">
      <c r="A28" s="21">
        <v>2023</v>
      </c>
      <c r="B28" s="14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7"/>
      <c r="N28" s="15">
        <v>67517.032394912894</v>
      </c>
      <c r="O28" s="17"/>
      <c r="P28" s="17"/>
      <c r="Q28" s="17"/>
      <c r="R28" s="17"/>
      <c r="S28" s="17"/>
      <c r="T28" s="17"/>
      <c r="U28" s="17"/>
      <c r="V28" s="17"/>
      <c r="W28" s="15"/>
      <c r="X28" s="15"/>
      <c r="Y28" s="15">
        <v>100757.471129296</v>
      </c>
      <c r="Z28" s="15"/>
    </row>
    <row r="29" ht="20.05" customHeight="1">
      <c r="A29" s="13"/>
      <c r="B29" s="14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5"/>
      <c r="X29" s="15"/>
      <c r="Y29" s="15"/>
      <c r="Z29" s="15"/>
    </row>
    <row r="30" ht="20.05" customHeight="1">
      <c r="A30" s="13"/>
      <c r="B30" s="14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5"/>
      <c r="X30" s="15">
        <v>671665978880000</v>
      </c>
      <c r="Y30" s="15"/>
      <c r="Z30" s="15"/>
    </row>
    <row r="31" ht="20.05" customHeight="1">
      <c r="A31" s="13"/>
      <c r="B31" s="14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5"/>
      <c r="X31" s="15">
        <f>X30/1000000000</f>
        <v>671665.97888</v>
      </c>
      <c r="Y31" s="15"/>
      <c r="Z31" s="15"/>
    </row>
  </sheetData>
  <mergeCells count="1">
    <mergeCell ref="A2:Z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47" customWidth="1"/>
    <col min="2" max="28" width="10.4844" style="147" customWidth="1"/>
    <col min="29" max="29" width="18.9766" style="149" customWidth="1"/>
    <col min="30" max="48" width="9" style="149" customWidth="1"/>
    <col min="49" max="16384" width="16.3516" style="149" customWidth="1"/>
  </cols>
  <sheetData>
    <row r="1" ht="11.65" customHeight="1"/>
    <row r="2" ht="27.65" customHeight="1">
      <c r="B2" t="s" s="2">
        <v>520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306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25">
        <v>327.9375</v>
      </c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2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2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2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2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2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25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25"/>
      <c r="AA15" s="24"/>
      <c r="AB15" s="15">
        <v>13.882</v>
      </c>
    </row>
    <row r="16" ht="20.05" customHeight="1">
      <c r="B16" s="21">
        <v>2020</v>
      </c>
      <c r="C16" s="14">
        <v>54.5</v>
      </c>
      <c r="D16" s="15">
        <v>2.9</v>
      </c>
      <c r="E16" s="15">
        <v>-0.7</v>
      </c>
      <c r="F16" s="15">
        <v>0</v>
      </c>
      <c r="G16" s="15">
        <v>0</v>
      </c>
      <c r="H16" s="15">
        <v>0</v>
      </c>
      <c r="I16" s="15">
        <v>61.5</v>
      </c>
      <c r="J16" s="15">
        <v>15.9</v>
      </c>
      <c r="K16" s="15">
        <v>9.1</v>
      </c>
      <c r="L16" s="15">
        <v>-28.3</v>
      </c>
      <c r="M16" s="15">
        <v>1003.3</v>
      </c>
      <c r="N16" s="15">
        <f>SUM(C13:C16)/4</f>
        <v>13.625</v>
      </c>
      <c r="O16" s="15"/>
      <c r="P16" s="16"/>
      <c r="Q16" s="16">
        <f>J16/I16</f>
        <v>0.258536585365854</v>
      </c>
      <c r="R16" s="16">
        <f>AVERAGE(Q13:Q16)</f>
        <v>0.258536585365854</v>
      </c>
      <c r="S16" s="17"/>
      <c r="T16" s="15">
        <f>SUM(J13:K16)/4</f>
        <v>6.25</v>
      </c>
      <c r="U16" s="25"/>
      <c r="V16" s="15">
        <f>-(L16+M16)+V15</f>
        <v>-975</v>
      </c>
      <c r="W16" s="17"/>
      <c r="X16" s="15">
        <f>F16-G16</f>
        <v>0</v>
      </c>
      <c r="Y16" s="24"/>
      <c r="Z16" s="148">
        <v>326</v>
      </c>
      <c r="AA16" s="24"/>
      <c r="AB16" s="15">
        <v>16.31</v>
      </c>
    </row>
    <row r="17" ht="20.05" customHeight="1">
      <c r="B17" s="13"/>
      <c r="C17" s="14">
        <v>49.9</v>
      </c>
      <c r="D17" s="15">
        <v>2.9</v>
      </c>
      <c r="E17" s="15">
        <v>7</v>
      </c>
      <c r="F17" s="15">
        <v>1207</v>
      </c>
      <c r="G17" s="15">
        <v>149</v>
      </c>
      <c r="H17" s="15">
        <v>3432</v>
      </c>
      <c r="I17" s="15">
        <v>47.9</v>
      </c>
      <c r="J17" s="15">
        <v>-0.6</v>
      </c>
      <c r="K17" s="15">
        <v>-2.9</v>
      </c>
      <c r="L17" s="15">
        <v>3.4</v>
      </c>
      <c r="M17" s="15">
        <v>0</v>
      </c>
      <c r="N17" s="15">
        <f>SUM(C14:C17)/4</f>
        <v>26.1</v>
      </c>
      <c r="O17" s="15"/>
      <c r="P17" s="16">
        <f>C17/C16-1</f>
        <v>-0.08440366972477061</v>
      </c>
      <c r="Q17" s="16">
        <f>J17/I17</f>
        <v>-0.0125260960334029</v>
      </c>
      <c r="R17" s="16">
        <f>AVERAGE(Q14:Q17)</f>
        <v>0.123005244666226</v>
      </c>
      <c r="S17" s="17"/>
      <c r="T17" s="25">
        <f>SUM(J14:K17)/4</f>
        <v>5.375</v>
      </c>
      <c r="U17" s="25"/>
      <c r="V17" s="15">
        <f>-(L17+M17)+V16</f>
        <v>-978.4</v>
      </c>
      <c r="W17" s="17"/>
      <c r="X17" s="15">
        <f>F17-G17</f>
        <v>1058</v>
      </c>
      <c r="Y17" s="24"/>
      <c r="Z17" s="148">
        <v>320</v>
      </c>
      <c r="AA17" s="24"/>
      <c r="AB17" s="15">
        <v>14.255</v>
      </c>
    </row>
    <row r="18" ht="20.05" customHeight="1">
      <c r="B18" s="13"/>
      <c r="C18" s="14">
        <v>55.4</v>
      </c>
      <c r="D18" s="15">
        <v>3.2</v>
      </c>
      <c r="E18" s="15">
        <v>4.6</v>
      </c>
      <c r="F18" s="15">
        <v>1219</v>
      </c>
      <c r="G18" s="15">
        <v>159</v>
      </c>
      <c r="H18" s="15">
        <v>3446</v>
      </c>
      <c r="I18" s="15">
        <v>56.4</v>
      </c>
      <c r="J18" s="15">
        <v>25.4</v>
      </c>
      <c r="K18" s="15">
        <v>-11.9</v>
      </c>
      <c r="L18" s="15">
        <v>-10.9</v>
      </c>
      <c r="M18" s="15">
        <v>0</v>
      </c>
      <c r="N18" s="15">
        <f>SUM(C15:C18)/4</f>
        <v>39.95</v>
      </c>
      <c r="O18" s="15"/>
      <c r="P18" s="16">
        <f>C18/C17-1</f>
        <v>0.110220440881764</v>
      </c>
      <c r="Q18" s="16">
        <f>J18/I18</f>
        <v>0.450354609929078</v>
      </c>
      <c r="R18" s="16">
        <f>AVERAGE(Q15:Q18)</f>
        <v>0.232121699753843</v>
      </c>
      <c r="S18" s="17"/>
      <c r="T18" s="25">
        <f>SUM(J15:K18)/4</f>
        <v>8.75</v>
      </c>
      <c r="U18" s="25"/>
      <c r="V18" s="15">
        <f>-(L18+M18)+V17</f>
        <v>-967.5</v>
      </c>
      <c r="W18" s="17"/>
      <c r="X18" s="15">
        <f>F18-G18</f>
        <v>1060</v>
      </c>
      <c r="Y18" s="24"/>
      <c r="Z18" s="148">
        <v>374</v>
      </c>
      <c r="AA18" s="24"/>
      <c r="AB18" s="15">
        <v>14.79</v>
      </c>
    </row>
    <row r="19" ht="20.05" customHeight="1">
      <c r="B19" s="13"/>
      <c r="C19" s="14">
        <v>56.5</v>
      </c>
      <c r="D19" s="15">
        <v>3.1</v>
      </c>
      <c r="E19" s="15">
        <v>3.3</v>
      </c>
      <c r="F19" s="15">
        <v>725</v>
      </c>
      <c r="G19" s="15">
        <v>155</v>
      </c>
      <c r="H19" s="15">
        <v>3446</v>
      </c>
      <c r="I19" s="15">
        <v>58.8</v>
      </c>
      <c r="J19" s="15">
        <v>9.6</v>
      </c>
      <c r="K19" s="15">
        <v>-496.6</v>
      </c>
      <c r="L19" s="15">
        <v>3</v>
      </c>
      <c r="M19" s="15">
        <v>0</v>
      </c>
      <c r="N19" s="15">
        <f>SUM(C16:C19)/4</f>
        <v>54.075</v>
      </c>
      <c r="O19" s="15"/>
      <c r="P19" s="16">
        <f>C19/C18-1</f>
        <v>0.01985559566787</v>
      </c>
      <c r="Q19" s="16">
        <f>J19/I19</f>
        <v>0.163265306122449</v>
      </c>
      <c r="R19" s="16">
        <f>AVERAGE(Q16:Q19)</f>
        <v>0.214907601345995</v>
      </c>
      <c r="S19" s="17"/>
      <c r="T19" s="25">
        <f>SUM(J16:K19)/4</f>
        <v>-113</v>
      </c>
      <c r="U19" s="25"/>
      <c r="V19" s="15">
        <f>-(L19+M19)+V18</f>
        <v>-970.5</v>
      </c>
      <c r="W19" s="17"/>
      <c r="X19" s="15">
        <f>F19-G19</f>
        <v>570</v>
      </c>
      <c r="Y19" s="24"/>
      <c r="Z19" s="148">
        <v>322</v>
      </c>
      <c r="AA19" s="24"/>
      <c r="AB19" s="15">
        <v>14.1</v>
      </c>
    </row>
    <row r="20" ht="20.05" customHeight="1">
      <c r="B20" s="21">
        <v>2021</v>
      </c>
      <c r="C20" s="14">
        <v>72.90000000000001</v>
      </c>
      <c r="D20" s="15">
        <v>3.4</v>
      </c>
      <c r="E20" s="15">
        <v>9.6</v>
      </c>
      <c r="F20" s="15">
        <v>728</v>
      </c>
      <c r="G20" s="15">
        <v>160</v>
      </c>
      <c r="H20" s="15">
        <v>3461</v>
      </c>
      <c r="I20" s="15">
        <v>60.4</v>
      </c>
      <c r="J20" s="15">
        <v>3.8</v>
      </c>
      <c r="K20" s="15">
        <v>-2.5</v>
      </c>
      <c r="L20" s="15">
        <v>0.8</v>
      </c>
      <c r="M20" s="15">
        <v>0</v>
      </c>
      <c r="N20" s="15">
        <f>SUM(C17:C20)/4</f>
        <v>58.675</v>
      </c>
      <c r="O20" s="15"/>
      <c r="P20" s="16">
        <f>C20/C19-1</f>
        <v>0.290265486725664</v>
      </c>
      <c r="Q20" s="16">
        <f>J20/I20</f>
        <v>0.0629139072847682</v>
      </c>
      <c r="R20" s="16">
        <f>AVERAGE(Q17:Q20)</f>
        <v>0.166001931825723</v>
      </c>
      <c r="S20" s="17"/>
      <c r="T20" s="25">
        <f>SUM(J17:K20)/4</f>
        <v>-118.925</v>
      </c>
      <c r="U20" s="25"/>
      <c r="V20" s="15">
        <f>-(L20+M20)+V19</f>
        <v>-971.3</v>
      </c>
      <c r="W20" s="17"/>
      <c r="X20" s="15">
        <f>F20-G20</f>
        <v>568</v>
      </c>
      <c r="Y20" s="15"/>
      <c r="Z20" s="148">
        <v>338</v>
      </c>
      <c r="AA20" s="15"/>
      <c r="AB20" s="15">
        <v>14.606</v>
      </c>
    </row>
    <row r="21" ht="20.05" customHeight="1">
      <c r="B21" s="13"/>
      <c r="C21" s="14">
        <v>73.40000000000001</v>
      </c>
      <c r="D21" s="15">
        <v>3.4</v>
      </c>
      <c r="E21" s="15">
        <v>5.4</v>
      </c>
      <c r="F21" s="15">
        <v>615</v>
      </c>
      <c r="G21" s="15">
        <v>166</v>
      </c>
      <c r="H21" s="15">
        <v>3473</v>
      </c>
      <c r="I21" s="15">
        <v>60.5</v>
      </c>
      <c r="J21" s="15">
        <v>-0.7</v>
      </c>
      <c r="K21" s="15">
        <v>85.90000000000001</v>
      </c>
      <c r="L21" s="15">
        <v>1.8</v>
      </c>
      <c r="M21" s="15">
        <v>0</v>
      </c>
      <c r="N21" s="15">
        <f>SUM(C18:C21)/4</f>
        <v>64.55</v>
      </c>
      <c r="O21" s="15"/>
      <c r="P21" s="16">
        <f>C21/C20-1</f>
        <v>0.00685871056241427</v>
      </c>
      <c r="Q21" s="16">
        <f>J21/I21</f>
        <v>-0.0115702479338843</v>
      </c>
      <c r="R21" s="16">
        <f>AVERAGE(Q18:Q21)</f>
        <v>0.166240893850603</v>
      </c>
      <c r="S21" s="17"/>
      <c r="T21" s="25">
        <f>SUM(J18:K21)/4</f>
        <v>-96.75</v>
      </c>
      <c r="U21" s="25"/>
      <c r="V21" s="15">
        <f>-(L21+M21)+V20</f>
        <v>-973.1</v>
      </c>
      <c r="W21" s="17"/>
      <c r="X21" s="15">
        <f>F21-G21</f>
        <v>449</v>
      </c>
      <c r="Y21" s="15"/>
      <c r="Z21" s="148">
        <v>350</v>
      </c>
      <c r="AA21" s="15"/>
      <c r="AB21" s="15">
        <v>14.45</v>
      </c>
    </row>
    <row r="22" ht="20.05" customHeight="1">
      <c r="B22" s="13"/>
      <c r="C22" s="14">
        <v>87</v>
      </c>
      <c r="D22" s="15">
        <v>4.8</v>
      </c>
      <c r="E22" s="15">
        <v>3.9</v>
      </c>
      <c r="F22" s="15">
        <v>544</v>
      </c>
      <c r="G22" s="15">
        <v>270</v>
      </c>
      <c r="H22" s="15">
        <v>3580</v>
      </c>
      <c r="I22" s="15">
        <v>81.2</v>
      </c>
      <c r="J22" s="15">
        <v>18.6</v>
      </c>
      <c r="K22" s="15">
        <v>-115.8</v>
      </c>
      <c r="L22" s="15">
        <v>26.6</v>
      </c>
      <c r="M22" s="15">
        <v>0</v>
      </c>
      <c r="N22" s="15">
        <f>SUM(C19:C22)/4</f>
        <v>72.45</v>
      </c>
      <c r="O22" s="15"/>
      <c r="P22" s="16">
        <f>C22/C21-1</f>
        <v>0.185286103542234</v>
      </c>
      <c r="Q22" s="16">
        <f>J22/I22</f>
        <v>0.229064039408867</v>
      </c>
      <c r="R22" s="16">
        <f>AVERAGE(Q19:Q22)</f>
        <v>0.11091825122055</v>
      </c>
      <c r="S22" s="17"/>
      <c r="T22" s="25">
        <f>SUM(J19:K22)/4</f>
        <v>-124.425</v>
      </c>
      <c r="U22" s="25"/>
      <c r="V22" s="15">
        <f>-(L22+M22)+V21</f>
        <v>-999.7</v>
      </c>
      <c r="W22" s="17"/>
      <c r="X22" s="15">
        <f>F22-G22</f>
        <v>274</v>
      </c>
      <c r="Y22" s="15"/>
      <c r="Z22" s="18">
        <v>432</v>
      </c>
      <c r="AA22" s="15"/>
      <c r="AB22" s="15">
        <v>14.328</v>
      </c>
    </row>
    <row r="23" ht="20.05" customHeight="1">
      <c r="B23" s="13"/>
      <c r="C23" s="14">
        <v>57.6</v>
      </c>
      <c r="D23" s="15">
        <v>44.5</v>
      </c>
      <c r="E23" s="15">
        <v>2.3</v>
      </c>
      <c r="F23" s="15">
        <v>1192</v>
      </c>
      <c r="G23" s="15">
        <v>913</v>
      </c>
      <c r="H23" s="15">
        <v>4211</v>
      </c>
      <c r="I23" s="15">
        <v>90.59999999999999</v>
      </c>
      <c r="J23" s="15">
        <v>25.4</v>
      </c>
      <c r="K23" s="15">
        <v>-727.9</v>
      </c>
      <c r="L23" s="15">
        <v>698.2</v>
      </c>
      <c r="M23" s="15">
        <v>0</v>
      </c>
      <c r="N23" s="15">
        <f>SUM(C20:C23)/4</f>
        <v>72.72499999999999</v>
      </c>
      <c r="O23" s="15"/>
      <c r="P23" s="16">
        <f>C23/C22-1</f>
        <v>-0.337931034482759</v>
      </c>
      <c r="Q23" s="16">
        <f>J23/I23</f>
        <v>0.280353200883002</v>
      </c>
      <c r="R23" s="16">
        <f>AVERAGE(Q20:Q23)</f>
        <v>0.140190224910688</v>
      </c>
      <c r="S23" s="17"/>
      <c r="T23" s="25">
        <f>SUM(J20:K23)/4</f>
        <v>-178.3</v>
      </c>
      <c r="U23" s="25"/>
      <c r="V23" s="15">
        <f>-(L23+M23)+V22</f>
        <v>-1697.9</v>
      </c>
      <c r="W23" s="17"/>
      <c r="X23" s="15">
        <f>F23-G23</f>
        <v>279</v>
      </c>
      <c r="Y23" s="15"/>
      <c r="Z23" s="18">
        <v>515</v>
      </c>
      <c r="AA23" s="15"/>
      <c r="AB23" s="15">
        <v>14.275</v>
      </c>
    </row>
    <row r="24" ht="20.05" customHeight="1">
      <c r="B24" s="21">
        <v>2022</v>
      </c>
      <c r="C24" s="14">
        <v>60.7</v>
      </c>
      <c r="D24" s="15">
        <v>5.4</v>
      </c>
      <c r="E24" s="15">
        <v>-21.5</v>
      </c>
      <c r="F24" s="15">
        <v>1142</v>
      </c>
      <c r="G24" s="15">
        <v>914</v>
      </c>
      <c r="H24" s="15">
        <v>4191</v>
      </c>
      <c r="I24" s="15">
        <v>53.2</v>
      </c>
      <c r="J24" s="15">
        <v>-43.2</v>
      </c>
      <c r="K24" s="15">
        <v>-17</v>
      </c>
      <c r="L24" s="15">
        <v>10</v>
      </c>
      <c r="M24" s="15">
        <v>0</v>
      </c>
      <c r="N24" s="15">
        <f>SUM(C21:C24)/4</f>
        <v>69.675</v>
      </c>
      <c r="O24" s="15">
        <v>89.61</v>
      </c>
      <c r="P24" s="16">
        <f>C24/C23-1</f>
        <v>0.0538194444444444</v>
      </c>
      <c r="Q24" s="16">
        <f>J24/I24</f>
        <v>-0.81203007518797</v>
      </c>
      <c r="R24" s="16">
        <f>AVERAGE(Q21:Q24)</f>
        <v>-0.0785457707074963</v>
      </c>
      <c r="S24" s="35"/>
      <c r="T24" s="25">
        <f>SUM(J21:K24)/4</f>
        <v>-193.675</v>
      </c>
      <c r="U24" s="15"/>
      <c r="V24" s="15">
        <f>-(L24+M24)+V23</f>
        <v>-1707.9</v>
      </c>
      <c r="W24" s="15"/>
      <c r="X24" s="15">
        <f>F24-G24</f>
        <v>228</v>
      </c>
      <c r="Y24" s="15"/>
      <c r="Z24" s="18">
        <v>530</v>
      </c>
      <c r="AA24" s="17"/>
      <c r="AB24" s="15">
        <v>14.327</v>
      </c>
    </row>
    <row r="25" ht="20.05" customHeight="1">
      <c r="B25" s="13"/>
      <c r="C25" s="14">
        <v>52</v>
      </c>
      <c r="D25" s="15">
        <v>5.6</v>
      </c>
      <c r="E25" s="15">
        <v>-30.4</v>
      </c>
      <c r="F25" s="15">
        <v>1113</v>
      </c>
      <c r="G25" s="15">
        <v>906</v>
      </c>
      <c r="H25" s="15">
        <v>4153</v>
      </c>
      <c r="I25" s="15">
        <v>73.09999999999999</v>
      </c>
      <c r="J25" s="15">
        <v>-15.3</v>
      </c>
      <c r="K25" s="15">
        <v>-11.3</v>
      </c>
      <c r="L25" s="15">
        <v>-2.6</v>
      </c>
      <c r="M25" s="15">
        <v>0</v>
      </c>
      <c r="N25" s="15">
        <f>SUM(C22:C25)/4</f>
        <v>64.325</v>
      </c>
      <c r="O25" s="15">
        <v>89.61</v>
      </c>
      <c r="P25" s="16">
        <f>C25/C24-1</f>
        <v>-0.14332784184514</v>
      </c>
      <c r="Q25" s="16">
        <f>J25/I25</f>
        <v>-0.209302325581395</v>
      </c>
      <c r="R25" s="16">
        <f>AVERAGE(Q22:Q25)</f>
        <v>-0.127978790119374</v>
      </c>
      <c r="S25" s="35"/>
      <c r="T25" s="25">
        <f>SUM(J22:K25)/4</f>
        <v>-221.625</v>
      </c>
      <c r="U25" s="15"/>
      <c r="V25" s="15">
        <f>-(L25+M25)+V24</f>
        <v>-1705.3</v>
      </c>
      <c r="W25" s="15"/>
      <c r="X25" s="15">
        <f>F25-G25</f>
        <v>207</v>
      </c>
      <c r="Y25" s="15"/>
      <c r="Z25" s="18">
        <v>500</v>
      </c>
      <c r="AA25" s="17"/>
      <c r="AB25" s="15">
        <v>14.66</v>
      </c>
    </row>
    <row r="26" ht="20.05" customHeight="1">
      <c r="B26" s="13"/>
      <c r="C26" s="14">
        <v>59.8</v>
      </c>
      <c r="D26" s="15">
        <v>5.6</v>
      </c>
      <c r="E26" s="15">
        <v>-28.1</v>
      </c>
      <c r="F26" s="15">
        <v>1114</v>
      </c>
      <c r="G26" s="15">
        <v>915</v>
      </c>
      <c r="H26" s="15">
        <v>4133</v>
      </c>
      <c r="I26" s="15">
        <v>60.9</v>
      </c>
      <c r="J26" s="15">
        <v>4.7</v>
      </c>
      <c r="K26" s="15">
        <v>-5.6</v>
      </c>
      <c r="L26" s="15">
        <v>1.8</v>
      </c>
      <c r="M26" s="15">
        <v>0</v>
      </c>
      <c r="N26" s="15">
        <f>SUM(C23:C26)/4</f>
        <v>57.525</v>
      </c>
      <c r="O26" s="15">
        <v>89.61</v>
      </c>
      <c r="P26" s="16">
        <f>C26/C25-1</f>
        <v>0.15</v>
      </c>
      <c r="Q26" s="16">
        <f>J26/I26</f>
        <v>0.077175697865353</v>
      </c>
      <c r="R26" s="16">
        <f>AVERAGE(Q23:Q26)</f>
        <v>-0.165950875505253</v>
      </c>
      <c r="S26" s="35">
        <f>S27</f>
        <v>0.077175697865353</v>
      </c>
      <c r="T26" s="25">
        <f>SUM(J23:K26)/4</f>
        <v>-197.55</v>
      </c>
      <c r="U26" s="15"/>
      <c r="V26" s="15">
        <f>-(L26+M26)+V25</f>
        <v>-1707.1</v>
      </c>
      <c r="W26" s="15">
        <f>W27</f>
        <v>-1698.274143612170</v>
      </c>
      <c r="X26" s="15">
        <f>F26-G26</f>
        <v>199</v>
      </c>
      <c r="Y26" s="15">
        <v>255.197351567586</v>
      </c>
      <c r="Z26" s="18">
        <v>505</v>
      </c>
      <c r="AA26" s="15">
        <v>105.441625190446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60.9837581925</v>
      </c>
      <c r="P27" s="17"/>
      <c r="Q27" s="17"/>
      <c r="R27" s="17"/>
      <c r="S27" s="35">
        <f>AE53</f>
        <v>0.077175697865353</v>
      </c>
      <c r="T27" s="25"/>
      <c r="U27" s="15">
        <f>SUM(AE55:AH55)/4</f>
        <v>2.20646409695813</v>
      </c>
      <c r="V27" s="17"/>
      <c r="W27" s="15">
        <f>-SUM(AE76:AH76)+V26</f>
        <v>-1698.274143612170</v>
      </c>
      <c r="X27" s="26"/>
      <c r="Y27" s="15">
        <f>AH75</f>
        <v>207.825856387833</v>
      </c>
      <c r="Z27" s="15">
        <v>468</v>
      </c>
      <c r="AA27" s="15">
        <v>458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191.525</v>
      </c>
      <c r="O28" s="15">
        <f>SUM(O24:O26)</f>
        <v>268.83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265.439282706734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306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-0.06935985797086371</v>
      </c>
      <c r="AF49" s="35"/>
      <c r="AG49" s="35"/>
      <c r="AH49" s="35">
        <f>AVERAGE(AE51:AH51)</f>
        <v>0.015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-0.337931034482759</v>
      </c>
      <c r="AF50" s="35">
        <f>P24</f>
        <v>0.0538194444444444</v>
      </c>
      <c r="AG50" s="35">
        <f>P25</f>
        <v>-0.14332784184514</v>
      </c>
      <c r="AH50" s="35">
        <f>P26</f>
        <v>0.15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-0.01</v>
      </c>
      <c r="AF51" s="35">
        <v>0.03</v>
      </c>
      <c r="AG51" s="35">
        <v>-0.01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59.8</v>
      </c>
      <c r="AE52" s="23">
        <f>C26*(1+AE51)</f>
        <v>59.202</v>
      </c>
      <c r="AF52" s="23">
        <f>AE52*(1+AF51)</f>
        <v>60.97806</v>
      </c>
      <c r="AG52" s="23">
        <f>AF52*(1+AG51)</f>
        <v>60.3682794</v>
      </c>
      <c r="AH52" s="23">
        <f>AG52*(1+AH51)</f>
        <v>63.38669337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0.077175697865353</v>
      </c>
      <c r="AF53" s="35">
        <f>AE53</f>
        <v>0.077175697865353</v>
      </c>
      <c r="AG53" s="35">
        <f>AF53</f>
        <v>0.077175697865353</v>
      </c>
      <c r="AH53" s="35">
        <f>AG53</f>
        <v>0.077175697865353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AVERAGE(K20)</f>
        <v>-2.5</v>
      </c>
      <c r="AF54" s="15">
        <f>AE54</f>
        <v>-2.5</v>
      </c>
      <c r="AG54" s="15">
        <f>AF54</f>
        <v>-2.5</v>
      </c>
      <c r="AH54" s="15">
        <f>AG54</f>
        <v>-2.5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2.06895566502463</v>
      </c>
      <c r="AF55" s="15">
        <f>(AF52*AF53)+AF54</f>
        <v>2.20602433497537</v>
      </c>
      <c r="AG55" s="15">
        <f>(AG52*AG53)+AG54</f>
        <v>2.15896409162561</v>
      </c>
      <c r="AH55" s="15">
        <f>(AH52*AH53)+AH54</f>
        <v>2.39191229620689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-45.75</v>
      </c>
      <c r="AF56" s="15">
        <f>-AE71/20</f>
        <v>-43.4625</v>
      </c>
      <c r="AG56" s="15">
        <f>-AF71/20</f>
        <v>-41.289375</v>
      </c>
      <c r="AH56" s="15">
        <f>-AG71/20</f>
        <v>-39.22490625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-43.6810443349754</v>
      </c>
      <c r="AF59" s="15">
        <f>AF55+AF56+AF58</f>
        <v>-41.2564756650246</v>
      </c>
      <c r="AG59" s="15">
        <f>AG55+AG56+AG58</f>
        <v>-39.1304109083744</v>
      </c>
      <c r="AH59" s="15">
        <f>AH55+AH56+AH58</f>
        <v>-36.8329939537931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43.6810443349754</v>
      </c>
      <c r="AF60" s="15">
        <f>-MIN(AE72,AF59)</f>
        <v>41.2564756650246</v>
      </c>
      <c r="AG60" s="15">
        <f>-MIN(AF72,AG59)</f>
        <v>39.1304109083744</v>
      </c>
      <c r="AH60" s="15">
        <f>-MIN(AG72,AH59)</f>
        <v>36.8329939537931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1114</v>
      </c>
      <c r="AF61" s="15">
        <f>AE63</f>
        <v>1114</v>
      </c>
      <c r="AG61" s="15">
        <f>AF63</f>
        <v>1114</v>
      </c>
      <c r="AH61" s="15">
        <f>AG63</f>
        <v>1114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3e-14</v>
      </c>
      <c r="AF62" s="15">
        <f>AF55+AF56+AF58+AF60</f>
        <v>-3e-14</v>
      </c>
      <c r="AG62" s="15">
        <f>AG55+AG56+AG58+AG60</f>
        <v>1e-14</v>
      </c>
      <c r="AH62" s="15">
        <f>AH55+AH56+AH58+AH60</f>
        <v>-1e-14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1114</v>
      </c>
      <c r="AF63" s="15">
        <f>AF61+AF62</f>
        <v>1114</v>
      </c>
      <c r="AG63" s="15">
        <f>AG61+AG62</f>
        <v>1114</v>
      </c>
      <c r="AH63" s="15">
        <f>AH61+AH62</f>
        <v>1114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-5.53333333333333</v>
      </c>
      <c r="AF65" s="15">
        <f>AE65</f>
        <v>-5.53333333333333</v>
      </c>
      <c r="AG65" s="15">
        <f>AF65</f>
        <v>-5.53333333333333</v>
      </c>
      <c r="AH65" s="15">
        <f>AG65</f>
        <v>-5.53333333333333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-0.964377668308702</v>
      </c>
      <c r="AF66" s="15">
        <f>(AF52*AF53)+AF65</f>
        <v>-0.827308998357963</v>
      </c>
      <c r="AG66" s="15">
        <f>(AG52*AG53)+AG65</f>
        <v>-0.874369241707717</v>
      </c>
      <c r="AH66" s="15">
        <f>(AH52*AH53)+AH65</f>
        <v>-0.6414210371264361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3021.5</v>
      </c>
      <c r="AF68" s="15">
        <f>AE68-AF54</f>
        <v>3024</v>
      </c>
      <c r="AG68" s="15">
        <f>AF68-AG54</f>
        <v>3026.5</v>
      </c>
      <c r="AH68" s="15">
        <f>AG68-AH54</f>
        <v>3029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5.53333333333333</v>
      </c>
      <c r="AF69" s="15">
        <f>AE69-AF65</f>
        <v>11.0666666666667</v>
      </c>
      <c r="AG69" s="15">
        <f>AF69-AG65</f>
        <v>16.6</v>
      </c>
      <c r="AH69" s="15">
        <f>AG69-AH65</f>
        <v>22.1333333333333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3015.966666666670</v>
      </c>
      <c r="AF70" s="15">
        <f>AF68-AF69</f>
        <v>3012.933333333330</v>
      </c>
      <c r="AG70" s="15">
        <f>AG68-AG69</f>
        <v>3009.9</v>
      </c>
      <c r="AH70" s="15">
        <f>AH68-AH69</f>
        <v>3006.866666666670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869.25</v>
      </c>
      <c r="AF71" s="15">
        <f>AE71+AF56</f>
        <v>825.7875</v>
      </c>
      <c r="AG71" s="15">
        <f>AF71+AG56</f>
        <v>784.498125</v>
      </c>
      <c r="AH71" s="15">
        <f>AG71+AH56</f>
        <v>745.27321875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43.6810443349754</v>
      </c>
      <c r="AF72" s="15">
        <f>AE72+AF60</f>
        <v>84.93752000000001</v>
      </c>
      <c r="AG72" s="15">
        <f>AF72+AG60</f>
        <v>124.067930908374</v>
      </c>
      <c r="AH72" s="15">
        <f>AG72+AH60</f>
        <v>160.900924862167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3217.035622331690</v>
      </c>
      <c r="AF73" s="15">
        <f>AE73+AF66+AF58</f>
        <v>3216.208313333330</v>
      </c>
      <c r="AG73" s="15">
        <f>AF73+AG66+AG58</f>
        <v>3215.333944091620</v>
      </c>
      <c r="AH73" s="15">
        <f>AG73+AH66+AH58</f>
        <v>3214.692523054490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-4.6e-12</v>
      </c>
      <c r="AF74" s="15">
        <f>AF71+AF72+AF73-AF63-AF70</f>
        <v>0</v>
      </c>
      <c r="AG74" s="15">
        <f>AG71+AG72+AG73-AG63-AG70</f>
        <v>-6e-12</v>
      </c>
      <c r="AH74" s="15">
        <f>AH71+AH72+AH73-AH63-AH70</f>
        <v>-1.3e-11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201.068955665025</v>
      </c>
      <c r="AF75" s="15">
        <f>AF63-AF71-AF72</f>
        <v>203.27498</v>
      </c>
      <c r="AG75" s="15">
        <f>AG63-AG71-AG72</f>
        <v>205.433944091626</v>
      </c>
      <c r="AH75" s="15">
        <f>AH63-AH71-AH72</f>
        <v>207.825856387833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-2.0689556650246</v>
      </c>
      <c r="AF76" s="15">
        <f>AF56+AF58+AF60</f>
        <v>-2.2060243349754</v>
      </c>
      <c r="AG76" s="15">
        <f>AG56+AG58+AG60</f>
        <v>-2.1589640916256</v>
      </c>
      <c r="AH76" s="15">
        <f>AH56+AH58+AH60</f>
        <v>-2.3919122962069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521</v>
      </c>
      <c r="AD78" s="14"/>
      <c r="AE78" s="15"/>
      <c r="AF78" s="15"/>
      <c r="AG78" s="15"/>
      <c r="AH78" s="15">
        <v>468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521</v>
      </c>
      <c r="AD79" s="14"/>
      <c r="AE79" s="15"/>
      <c r="AF79" s="15"/>
      <c r="AG79" s="15"/>
      <c r="AH79" s="15">
        <v>15561000419328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15561.000419328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33.250000896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3.77614751411386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8.8258563878325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340.688374536889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1763.115071845120</v>
      </c>
      <c r="AH86" s="15">
        <v>1000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8825.8563878325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265.439282706734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-0.432822045498432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-0.31264367816092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0.403628769090197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521</v>
      </c>
      <c r="AF94" t="s" s="44">
        <v>60</v>
      </c>
      <c r="AG94" s="15">
        <f>AH78</f>
        <v>468</v>
      </c>
      <c r="AH94" t="s" s="44">
        <v>61</v>
      </c>
      <c r="AI94" s="15">
        <f>AH88</f>
        <v>265.439282706734</v>
      </c>
      <c r="AJ94" t="s" s="44">
        <f>IF(AK94&gt;0,"+","")</f>
      </c>
      <c r="AK94" s="16">
        <f>AI94/AG94-1</f>
        <v>-0.432822045498432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-0.31264367816092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-0.0507807967808104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-0.0454598021295182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0.0127883808648206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0.185286103542234</v>
      </c>
      <c r="AF103" s="16">
        <f>P23</f>
        <v>-0.337931034482759</v>
      </c>
      <c r="AG103" s="16">
        <f>P24</f>
        <v>0.0538194444444444</v>
      </c>
      <c r="AH103" s="16">
        <f>P25</f>
        <v>-0.14332784184514</v>
      </c>
      <c r="AI103" s="16">
        <f>P26</f>
        <v>0.15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87</v>
      </c>
      <c r="AF104" t="s" s="44">
        <v>72</v>
      </c>
      <c r="AG104" s="15">
        <f>C23</f>
        <v>57.6</v>
      </c>
      <c r="AH104" t="s" s="44">
        <v>72</v>
      </c>
      <c r="AI104" s="15">
        <f>C24</f>
        <v>60.7</v>
      </c>
      <c r="AJ104" t="s" s="44">
        <v>72</v>
      </c>
      <c r="AK104" s="15">
        <f>C25</f>
        <v>52</v>
      </c>
      <c r="AL104" t="s" s="44">
        <v>72</v>
      </c>
      <c r="AM104" s="15">
        <f>C26</f>
        <v>59.8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59.8</v>
      </c>
      <c r="AM105" t="s" s="44">
        <v>372</v>
      </c>
      <c r="AN105" t="s" s="44">
        <v>373</v>
      </c>
      <c r="AO105" s="16">
        <f>AH91</f>
        <v>0.403628769090197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-0.06935985797086371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0.015</v>
      </c>
      <c r="AG107" t="s" s="44">
        <v>82</v>
      </c>
      <c r="AH107" t="s" s="44">
        <v>83</v>
      </c>
      <c r="AI107" s="23">
        <f>AH52</f>
        <v>63.38669337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</v>
      </c>
      <c r="AF110" s="16">
        <f>(D23+E23)/C23</f>
        <v>0.8125</v>
      </c>
      <c r="AG110" s="16">
        <f>((E24+D24)/C24)</f>
        <v>-0.265238879736409</v>
      </c>
      <c r="AH110" s="16">
        <f>(D25+E25)/C25</f>
        <v>-0.476923076923077</v>
      </c>
      <c r="AI110" s="16">
        <f>(D26+E26)/C26</f>
        <v>-0.376254180602007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3.9</v>
      </c>
      <c r="AF111" t="s" s="44">
        <v>72</v>
      </c>
      <c r="AG111" s="15">
        <f>E23</f>
        <v>2.3</v>
      </c>
      <c r="AH111" t="s" s="44">
        <v>72</v>
      </c>
      <c r="AI111" s="15">
        <f>E24</f>
        <v>-21.5</v>
      </c>
      <c r="AJ111" t="s" s="44">
        <v>72</v>
      </c>
      <c r="AK111" s="15">
        <f>E25</f>
        <v>-30.4</v>
      </c>
      <c r="AL111" t="s" s="44">
        <v>72</v>
      </c>
      <c r="AM111" s="15">
        <f>E26</f>
        <v>-28.1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-0.476923076923077</v>
      </c>
      <c r="AG112" t="s" s="44">
        <v>76</v>
      </c>
      <c r="AH112" s="16">
        <f>AI110</f>
        <v>-0.376254180602007</v>
      </c>
      <c r="AI112" t="s" s="44">
        <v>90</v>
      </c>
      <c r="AJ112" s="15">
        <f>AK111</f>
        <v>-30.4</v>
      </c>
      <c r="AK112" t="s" s="44">
        <v>76</v>
      </c>
      <c r="AL112" s="15">
        <f>AM111</f>
        <v>-28.1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-0.0764790343153733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0.077175697865353</v>
      </c>
      <c r="AG114" t="s" s="44">
        <v>94</v>
      </c>
      <c r="AH114" s="15">
        <f>AH66</f>
        <v>-0.6414210371264361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18.6</v>
      </c>
      <c r="AF117" t="s" s="44">
        <v>72</v>
      </c>
      <c r="AG117" s="15">
        <f>J23</f>
        <v>25.4</v>
      </c>
      <c r="AH117" t="s" s="44">
        <v>72</v>
      </c>
      <c r="AI117" s="15">
        <f>J24</f>
        <v>-43.2</v>
      </c>
      <c r="AJ117" t="s" s="44">
        <v>72</v>
      </c>
      <c r="AK117" s="15">
        <f>J25</f>
        <v>-15.3</v>
      </c>
      <c r="AL117" t="s" s="44">
        <v>72</v>
      </c>
      <c r="AM117" s="15">
        <f>J26</f>
        <v>4.7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-115.8</v>
      </c>
      <c r="AF118" t="s" s="44">
        <v>72</v>
      </c>
      <c r="AG118" s="15">
        <f>K23</f>
        <v>-727.9</v>
      </c>
      <c r="AH118" t="s" s="44">
        <v>72</v>
      </c>
      <c r="AI118" s="15">
        <f>K24</f>
        <v>-17</v>
      </c>
      <c r="AJ118" t="s" s="44">
        <v>72</v>
      </c>
      <c r="AK118" s="15">
        <f>K25</f>
        <v>-11.3</v>
      </c>
      <c r="AL118" t="s" s="44">
        <v>72</v>
      </c>
      <c r="AM118" s="15">
        <f>K26</f>
        <v>-5.6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-26.6</v>
      </c>
      <c r="AG119" t="s" s="44">
        <v>76</v>
      </c>
      <c r="AH119" s="15">
        <f>AM117+AM118</f>
        <v>-0.9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-5.6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-197.55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-2.5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2.20646409695813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544</v>
      </c>
      <c r="AF124" t="s" s="44">
        <v>72</v>
      </c>
      <c r="AG124" s="15">
        <f>F23</f>
        <v>1192</v>
      </c>
      <c r="AH124" t="s" s="44">
        <v>72</v>
      </c>
      <c r="AI124" s="15">
        <f>F24</f>
        <v>1142</v>
      </c>
      <c r="AJ124" t="s" s="44">
        <v>72</v>
      </c>
      <c r="AK124" s="15">
        <f>F25</f>
        <v>1113</v>
      </c>
      <c r="AL124" t="s" s="44">
        <v>72</v>
      </c>
      <c r="AM124" s="15">
        <f>F26</f>
        <v>1114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270</v>
      </c>
      <c r="AF125" t="s" s="44">
        <v>72</v>
      </c>
      <c r="AG125" s="15">
        <f>G23</f>
        <v>913</v>
      </c>
      <c r="AH125" t="s" s="44">
        <v>72</v>
      </c>
      <c r="AI125" s="15">
        <f>G24</f>
        <v>914</v>
      </c>
      <c r="AJ125" t="s" s="44">
        <v>72</v>
      </c>
      <c r="AK125" s="15">
        <f>G25</f>
        <v>906</v>
      </c>
      <c r="AL125" t="s" s="44">
        <v>72</v>
      </c>
      <c r="AM125" s="15">
        <f>G26</f>
        <v>915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1113</v>
      </c>
      <c r="AH126" t="s" s="44">
        <v>76</v>
      </c>
      <c r="AI126" s="15">
        <f>AM124</f>
        <v>1114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906</v>
      </c>
      <c r="AH127" t="s" s="44">
        <v>76</v>
      </c>
      <c r="AI127" s="15">
        <f>AM125</f>
        <v>915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207</v>
      </c>
      <c r="AO127" t="s" s="44">
        <v>76</v>
      </c>
      <c r="AP127" s="15">
        <f>AI126-AI127</f>
        <v>199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-8.8258563878325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207.825856387833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-26.6</v>
      </c>
      <c r="AF131" t="s" s="44">
        <v>72</v>
      </c>
      <c r="AG131" s="15">
        <f>-L23</f>
        <v>-698.2</v>
      </c>
      <c r="AH131" t="s" s="44">
        <v>72</v>
      </c>
      <c r="AI131" s="15">
        <f>-L24</f>
        <v>-10</v>
      </c>
      <c r="AJ131" t="s" s="44">
        <v>72</v>
      </c>
      <c r="AK131" s="15">
        <f>-L25</f>
        <v>2.6</v>
      </c>
      <c r="AL131" t="s" s="44">
        <v>72</v>
      </c>
      <c r="AM131" s="15">
        <f>-L26</f>
        <v>-1.8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521</v>
      </c>
      <c r="AF133" t="s" s="44">
        <f>IF(AG133&gt;0,"paid","(raised)")</f>
        <v>121</v>
      </c>
      <c r="AG133" s="15">
        <f>SUM(AM131:AM132)</f>
        <v>-1.8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-1.8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8.8258563878325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15561.000419328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3.77614751411386</v>
      </c>
      <c r="AK134" t="s" s="44">
        <v>130</v>
      </c>
      <c r="AL134" t="s" s="44">
        <v>131</v>
      </c>
      <c r="AM134" t="s" s="44">
        <v>132</v>
      </c>
      <c r="AN134" s="15">
        <f>AH85</f>
        <v>340.688374536889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8.8258563878325</v>
      </c>
      <c r="AG135" t="s" s="44">
        <f>AG134</f>
        <v>372</v>
      </c>
      <c r="AH135" t="s" s="44">
        <v>136</v>
      </c>
      <c r="AI135" s="15">
        <f>AF134/AF135</f>
        <v>1763.115071845120</v>
      </c>
      <c r="AJ135" t="s" s="44">
        <v>130</v>
      </c>
      <c r="AK135" t="s" s="44">
        <v>137</v>
      </c>
      <c r="AL135" t="s" s="44">
        <v>138</v>
      </c>
      <c r="AM135" s="15">
        <f>AH86</f>
        <v>1000</v>
      </c>
      <c r="AN135" t="s" s="44">
        <v>139</v>
      </c>
      <c r="AO135" t="s" s="44">
        <v>140</v>
      </c>
      <c r="AP135" t="s" s="44">
        <v>141</v>
      </c>
      <c r="AQ135" s="16">
        <f>AK94</f>
        <v>-0.432822045498432</v>
      </c>
      <c r="AR135" t="s" s="44">
        <f>IF(AQ135&gt;0,"higher","lower")</f>
        <v>104</v>
      </c>
      <c r="AS135" t="s" s="44">
        <v>142</v>
      </c>
      <c r="AT135" s="15">
        <f>AI94</f>
        <v>265.439282706734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87</v>
      </c>
      <c r="AE137" s="15">
        <f>AG104</f>
        <v>57.6</v>
      </c>
      <c r="AF137" s="15">
        <f>AI104</f>
        <v>60.7</v>
      </c>
      <c r="AG137" s="15">
        <f>AK104</f>
        <v>52</v>
      </c>
      <c r="AH137" s="15">
        <f>AM104</f>
        <v>59.8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-97.2</v>
      </c>
      <c r="AE138" s="15">
        <f>SUM(AG117:AG118)</f>
        <v>-702.5</v>
      </c>
      <c r="AF138" s="15">
        <f>SUM(AI117:AI118)</f>
        <v>-60.2</v>
      </c>
      <c r="AG138" s="15">
        <f>SUM(AK117:AK118)</f>
        <v>-26.6</v>
      </c>
      <c r="AH138" s="15">
        <f>SUM(AM117:AM118)</f>
        <v>-0.9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-26.6</v>
      </c>
      <c r="AE139" s="15">
        <f>SUM(AG131:AG132)</f>
        <v>-698.2</v>
      </c>
      <c r="AF139" s="15">
        <f>SUM(AI131:AI132)</f>
        <v>-10</v>
      </c>
      <c r="AG139" s="15">
        <f>SUM(AK131:AK132)</f>
        <v>2.6</v>
      </c>
      <c r="AH139" s="15">
        <f>SUM(AM131:AM132)</f>
        <v>-1.8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274</v>
      </c>
      <c r="AE140" s="15">
        <f>(AG124-AG125)</f>
        <v>279</v>
      </c>
      <c r="AF140" s="15">
        <f>(AI124-AI125)</f>
        <v>228</v>
      </c>
      <c r="AG140" s="15">
        <f>(AK124-AK125)</f>
        <v>207</v>
      </c>
      <c r="AH140" s="15">
        <f>(AM124-AM125)</f>
        <v>199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265.439282706734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50" customWidth="1"/>
    <col min="2" max="28" width="10.4844" style="150" customWidth="1"/>
    <col min="29" max="29" width="18.9766" style="153" customWidth="1"/>
    <col min="30" max="48" width="9" style="153" customWidth="1"/>
    <col min="49" max="16384" width="16.3516" style="153" customWidth="1"/>
  </cols>
  <sheetData>
    <row r="1" ht="11.65" customHeight="1"/>
    <row r="2" ht="27.65" customHeight="1">
      <c r="B2" t="s" s="2">
        <v>522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372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288</v>
      </c>
      <c r="AA3" t="s" s="3">
        <v>19</v>
      </c>
      <c r="AB3" t="s" s="3">
        <v>20</v>
      </c>
    </row>
    <row r="4" ht="20.25" customHeight="1">
      <c r="B4" s="6">
        <v>2017</v>
      </c>
      <c r="C4" s="7">
        <v>138.972</v>
      </c>
      <c r="D4" s="8">
        <v>11.9</v>
      </c>
      <c r="E4" s="8">
        <v>8.69</v>
      </c>
      <c r="F4" s="8"/>
      <c r="G4" s="8"/>
      <c r="H4" s="8"/>
      <c r="I4" s="8">
        <v>139.618</v>
      </c>
      <c r="J4" s="8">
        <v>30.015</v>
      </c>
      <c r="K4" s="8">
        <v>-18.597</v>
      </c>
      <c r="L4" s="8">
        <v>17.75</v>
      </c>
      <c r="M4" s="8">
        <v>12.25</v>
      </c>
      <c r="N4" s="8"/>
      <c r="O4" s="8"/>
      <c r="P4" s="9"/>
      <c r="Q4" s="9"/>
      <c r="R4" s="9"/>
      <c r="S4" s="9"/>
      <c r="T4" s="9"/>
      <c r="U4" s="9"/>
      <c r="V4" s="8">
        <f>-(L4+M4)</f>
        <v>-30</v>
      </c>
      <c r="W4" s="9"/>
      <c r="X4" s="8">
        <f>F4-G4</f>
        <v>0</v>
      </c>
      <c r="Y4" s="9"/>
      <c r="Z4" s="151"/>
      <c r="AA4" s="11"/>
      <c r="AB4" s="12">
        <v>13.3</v>
      </c>
    </row>
    <row r="5" ht="20.05" customHeight="1">
      <c r="B5" s="13"/>
      <c r="C5" s="14">
        <v>146.397</v>
      </c>
      <c r="D5" s="15">
        <v>12.4</v>
      </c>
      <c r="E5" s="15">
        <v>8.587999999999999</v>
      </c>
      <c r="F5" s="15">
        <v>48</v>
      </c>
      <c r="G5" s="15">
        <v>316</v>
      </c>
      <c r="H5" s="15">
        <v>581</v>
      </c>
      <c r="I5" s="15">
        <v>139.609</v>
      </c>
      <c r="J5" s="15">
        <v>6.982</v>
      </c>
      <c r="K5" s="15">
        <v>-58.4</v>
      </c>
      <c r="L5" s="15">
        <v>17.75</v>
      </c>
      <c r="M5" s="15">
        <v>12.25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-60</v>
      </c>
      <c r="W5" s="17"/>
      <c r="X5" s="15">
        <f>F5-G5</f>
        <v>-268</v>
      </c>
      <c r="Y5" s="17"/>
      <c r="Z5" s="60">
        <v>79</v>
      </c>
      <c r="AA5" s="19"/>
      <c r="AB5" s="20">
        <v>13.327</v>
      </c>
    </row>
    <row r="6" ht="20.05" customHeight="1">
      <c r="B6" s="13"/>
      <c r="C6" s="14">
        <v>155.403</v>
      </c>
      <c r="D6" s="15">
        <v>14</v>
      </c>
      <c r="E6" s="15">
        <v>20.861</v>
      </c>
      <c r="F6" s="15">
        <v>7</v>
      </c>
      <c r="G6" s="15">
        <v>342</v>
      </c>
      <c r="H6" s="15">
        <v>628</v>
      </c>
      <c r="I6" s="15">
        <v>157.459</v>
      </c>
      <c r="J6" s="15">
        <v>43.075</v>
      </c>
      <c r="K6" s="15">
        <v>-83.893</v>
      </c>
      <c r="L6" s="15">
        <v>17.75</v>
      </c>
      <c r="M6" s="15">
        <v>12.25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-90</v>
      </c>
      <c r="W6" s="17"/>
      <c r="X6" s="15">
        <f>F6-G6</f>
        <v>-335</v>
      </c>
      <c r="Y6" s="17"/>
      <c r="Z6" s="152">
        <v>118</v>
      </c>
      <c r="AA6" s="19"/>
      <c r="AB6" s="20">
        <v>13.305</v>
      </c>
    </row>
    <row r="7" ht="20.05" customHeight="1">
      <c r="B7" s="13"/>
      <c r="C7" s="14">
        <v>173.905</v>
      </c>
      <c r="D7" s="15">
        <v>10.3</v>
      </c>
      <c r="E7" s="15">
        <v>12.034</v>
      </c>
      <c r="F7" s="15">
        <v>3</v>
      </c>
      <c r="G7" s="15">
        <v>363</v>
      </c>
      <c r="H7" s="15">
        <v>661</v>
      </c>
      <c r="I7" s="15">
        <v>159.241</v>
      </c>
      <c r="J7" s="15">
        <v>-1.586</v>
      </c>
      <c r="K7" s="15">
        <v>-35.911</v>
      </c>
      <c r="L7" s="15">
        <v>17.75</v>
      </c>
      <c r="M7" s="15">
        <v>12.25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-120</v>
      </c>
      <c r="W7" s="17"/>
      <c r="X7" s="15">
        <f>F7-G7</f>
        <v>-360</v>
      </c>
      <c r="Y7" s="17"/>
      <c r="Z7" s="152">
        <v>151</v>
      </c>
      <c r="AA7" s="19"/>
      <c r="AB7" s="20">
        <v>13.557</v>
      </c>
    </row>
    <row r="8" ht="20.05" customHeight="1">
      <c r="B8" s="21">
        <v>2018</v>
      </c>
      <c r="C8" s="14">
        <v>162.59</v>
      </c>
      <c r="D8" s="15">
        <v>12.8</v>
      </c>
      <c r="E8" s="15">
        <v>12.563</v>
      </c>
      <c r="F8" s="15">
        <v>3</v>
      </c>
      <c r="G8" s="15">
        <v>361</v>
      </c>
      <c r="H8" s="15">
        <v>671</v>
      </c>
      <c r="I8" s="15">
        <v>163.53</v>
      </c>
      <c r="J8" s="15">
        <v>35.016</v>
      </c>
      <c r="K8" s="15">
        <v>-20.251</v>
      </c>
      <c r="L8" s="15">
        <v>-56.75</v>
      </c>
      <c r="M8" s="15">
        <v>68.5</v>
      </c>
      <c r="N8" s="15">
        <f>SUM(C5:C8)/4</f>
        <v>159.57375</v>
      </c>
      <c r="O8" s="15"/>
      <c r="P8" s="16"/>
      <c r="Q8" s="16"/>
      <c r="R8" s="16"/>
      <c r="S8" s="17"/>
      <c r="T8" s="15">
        <f>SUM(J5:K8)/4</f>
        <v>-28.742</v>
      </c>
      <c r="U8" s="25"/>
      <c r="V8" s="15">
        <f>-(L8+M8)+V7</f>
        <v>-131.75</v>
      </c>
      <c r="W8" s="17"/>
      <c r="X8" s="15">
        <f>F8-G8</f>
        <v>-358</v>
      </c>
      <c r="Y8" s="24"/>
      <c r="Z8" s="152">
        <v>217</v>
      </c>
      <c r="AA8" s="22"/>
      <c r="AB8" s="20">
        <v>13.761</v>
      </c>
    </row>
    <row r="9" ht="20.05" customHeight="1">
      <c r="B9" s="13"/>
      <c r="C9" s="14">
        <v>199.624</v>
      </c>
      <c r="D9" s="15">
        <v>15.6</v>
      </c>
      <c r="E9" s="15">
        <v>15.17</v>
      </c>
      <c r="F9" s="15">
        <v>3</v>
      </c>
      <c r="G9" s="15">
        <v>404</v>
      </c>
      <c r="H9" s="15">
        <v>730</v>
      </c>
      <c r="I9" s="15">
        <v>196.563</v>
      </c>
      <c r="J9" s="15">
        <v>29.168</v>
      </c>
      <c r="K9" s="15">
        <v>-38.98</v>
      </c>
      <c r="L9" s="15">
        <v>-56.75</v>
      </c>
      <c r="M9" s="15">
        <v>68.5</v>
      </c>
      <c r="N9" s="15">
        <f>SUM(C6:C9)/4</f>
        <v>172.8805</v>
      </c>
      <c r="O9" s="15"/>
      <c r="P9" s="16"/>
      <c r="Q9" s="16"/>
      <c r="R9" s="16"/>
      <c r="S9" s="17"/>
      <c r="T9" s="15">
        <f>SUM(J6:K9)/4</f>
        <v>-18.3405</v>
      </c>
      <c r="U9" s="25"/>
      <c r="V9" s="15">
        <f>-(L9+M9)+V8</f>
        <v>-143.5</v>
      </c>
      <c r="W9" s="17"/>
      <c r="X9" s="15">
        <f>F13-G9</f>
        <v>-388</v>
      </c>
      <c r="Y9" s="24"/>
      <c r="Z9" s="152">
        <v>254</v>
      </c>
      <c r="AA9" s="22"/>
      <c r="AB9" s="20">
        <v>14</v>
      </c>
    </row>
    <row r="10" ht="20.05" customHeight="1">
      <c r="B10" s="13"/>
      <c r="C10" s="14">
        <v>231.55</v>
      </c>
      <c r="D10" s="15">
        <v>17.5</v>
      </c>
      <c r="E10" s="15">
        <v>19.107</v>
      </c>
      <c r="F10" s="15">
        <v>2</v>
      </c>
      <c r="G10" s="15">
        <v>443</v>
      </c>
      <c r="H10" s="15">
        <v>788</v>
      </c>
      <c r="I10" s="15">
        <v>234.738</v>
      </c>
      <c r="J10" s="15">
        <v>42.123</v>
      </c>
      <c r="K10" s="15">
        <v>-54.476</v>
      </c>
      <c r="L10" s="15">
        <v>-56.75</v>
      </c>
      <c r="M10" s="15">
        <v>68.5</v>
      </c>
      <c r="N10" s="15">
        <f>SUM(C7:C10)/4</f>
        <v>191.91725</v>
      </c>
      <c r="O10" s="15"/>
      <c r="P10" s="16"/>
      <c r="Q10" s="16"/>
      <c r="R10" s="16"/>
      <c r="S10" s="17"/>
      <c r="T10" s="15">
        <f>SUM(J7:K10)/4</f>
        <v>-11.22425</v>
      </c>
      <c r="U10" s="25"/>
      <c r="V10" s="15">
        <f>-(L10+M10)+V9</f>
        <v>-155.25</v>
      </c>
      <c r="W10" s="17"/>
      <c r="X10" s="15">
        <f>F10-G10</f>
        <v>-441</v>
      </c>
      <c r="Y10" s="24"/>
      <c r="Z10" s="152">
        <v>270</v>
      </c>
      <c r="AA10" s="22"/>
      <c r="AB10" s="20">
        <v>14.902</v>
      </c>
    </row>
    <row r="11" ht="20.05" customHeight="1">
      <c r="B11" s="13"/>
      <c r="C11" s="14">
        <v>237.34</v>
      </c>
      <c r="D11" s="15">
        <v>14.5</v>
      </c>
      <c r="E11" s="15">
        <v>16.421</v>
      </c>
      <c r="F11" s="15">
        <v>3</v>
      </c>
      <c r="G11" s="15">
        <v>198</v>
      </c>
      <c r="H11" s="15">
        <v>833</v>
      </c>
      <c r="I11" s="15">
        <v>221.191</v>
      </c>
      <c r="J11" s="15">
        <v>25.532</v>
      </c>
      <c r="K11" s="15">
        <v>-64.922</v>
      </c>
      <c r="L11" s="15">
        <v>-56.75</v>
      </c>
      <c r="M11" s="15">
        <v>68.5</v>
      </c>
      <c r="N11" s="15">
        <f>SUM(C8:C11)/4</f>
        <v>207.776</v>
      </c>
      <c r="O11" s="15"/>
      <c r="P11" s="16"/>
      <c r="Q11" s="16"/>
      <c r="R11" s="16"/>
      <c r="S11" s="17"/>
      <c r="T11" s="15">
        <f>SUM(J8:K11)/4</f>
        <v>-11.6975</v>
      </c>
      <c r="U11" s="25"/>
      <c r="V11" s="15">
        <f>-(L11+M11)+V10</f>
        <v>-167</v>
      </c>
      <c r="W11" s="17"/>
      <c r="X11" s="15">
        <f>F11-G11</f>
        <v>-195</v>
      </c>
      <c r="Y11" s="24"/>
      <c r="Z11" s="152">
        <v>284</v>
      </c>
      <c r="AA11" s="22"/>
      <c r="AB11" s="20">
        <v>14.38</v>
      </c>
    </row>
    <row r="12" ht="20.05" customHeight="1">
      <c r="B12" s="21">
        <v>2019</v>
      </c>
      <c r="C12" s="14">
        <v>223.5</v>
      </c>
      <c r="D12" s="15">
        <v>12.8</v>
      </c>
      <c r="E12" s="15">
        <v>25.287</v>
      </c>
      <c r="F12" s="15">
        <v>17</v>
      </c>
      <c r="G12" s="15">
        <v>287</v>
      </c>
      <c r="H12" s="15">
        <v>948</v>
      </c>
      <c r="I12" s="15">
        <v>206.829</v>
      </c>
      <c r="J12" s="15">
        <v>49.089</v>
      </c>
      <c r="K12" s="15">
        <v>-93.38</v>
      </c>
      <c r="L12" s="15">
        <v>57.25</v>
      </c>
      <c r="M12" s="15">
        <v>0</v>
      </c>
      <c r="N12" s="15">
        <f>SUM(C9:C12)/4</f>
        <v>223.0035</v>
      </c>
      <c r="O12" s="23"/>
      <c r="P12" s="16"/>
      <c r="Q12" s="16">
        <f>(E12+D12)/C12</f>
        <v>0.17041163310962</v>
      </c>
      <c r="R12" s="16">
        <f>AVERAGE(Q9:Q12)</f>
        <v>0.17041163310962</v>
      </c>
      <c r="S12" s="17"/>
      <c r="T12" s="15">
        <f>SUM(J9:K12)/4</f>
        <v>-26.4615</v>
      </c>
      <c r="U12" s="25"/>
      <c r="V12" s="15">
        <f>-(L12+M12)+V11</f>
        <v>-224.25</v>
      </c>
      <c r="W12" s="17"/>
      <c r="X12" s="15">
        <f>F12-G12</f>
        <v>-270</v>
      </c>
      <c r="Y12" s="24"/>
      <c r="Z12" s="152">
        <v>276</v>
      </c>
      <c r="AA12" s="22"/>
      <c r="AB12" s="20">
        <v>14.24</v>
      </c>
    </row>
    <row r="13" ht="20.05" customHeight="1">
      <c r="B13" s="13"/>
      <c r="C13" s="14">
        <v>268.483</v>
      </c>
      <c r="D13" s="15">
        <v>13.2</v>
      </c>
      <c r="E13" s="15">
        <v>38.651</v>
      </c>
      <c r="F13" s="15">
        <v>16</v>
      </c>
      <c r="G13" s="15">
        <v>367</v>
      </c>
      <c r="H13" s="15">
        <v>1066</v>
      </c>
      <c r="I13" s="15">
        <v>244.648</v>
      </c>
      <c r="J13" s="15">
        <v>17.909</v>
      </c>
      <c r="K13" s="15">
        <v>-89.098</v>
      </c>
      <c r="L13" s="15">
        <v>57.25</v>
      </c>
      <c r="M13" s="15">
        <v>0</v>
      </c>
      <c r="N13" s="15">
        <f>SUM(C10:C13)/4</f>
        <v>240.21825</v>
      </c>
      <c r="O13" s="23"/>
      <c r="P13" s="16">
        <f>C13/C12-1</f>
        <v>0.201266219239374</v>
      </c>
      <c r="Q13" s="16">
        <f>(E13+D13)/C13</f>
        <v>0.193125821746628</v>
      </c>
      <c r="R13" s="16">
        <f>AVERAGE(Q10:Q13)</f>
        <v>0.181768727428124</v>
      </c>
      <c r="S13" s="17"/>
      <c r="T13" s="15">
        <f>SUM(J10:K13)/4</f>
        <v>-41.80575</v>
      </c>
      <c r="U13" s="25"/>
      <c r="V13" s="15">
        <f>-(L13+M13)+V12</f>
        <v>-281.5</v>
      </c>
      <c r="W13" s="17"/>
      <c r="X13" s="15">
        <f>F13-G13</f>
        <v>-351</v>
      </c>
      <c r="Y13" s="24"/>
      <c r="Z13" s="152">
        <v>388</v>
      </c>
      <c r="AA13" s="24"/>
      <c r="AB13" s="15">
        <v>14.127</v>
      </c>
    </row>
    <row r="14" ht="20.05" customHeight="1">
      <c r="B14" s="13"/>
      <c r="C14" s="14">
        <v>283.711</v>
      </c>
      <c r="D14" s="15">
        <v>14.1</v>
      </c>
      <c r="E14" s="15">
        <v>30.082</v>
      </c>
      <c r="F14" s="15">
        <v>17</v>
      </c>
      <c r="G14" s="15">
        <v>488</v>
      </c>
      <c r="H14" s="15">
        <v>1218</v>
      </c>
      <c r="I14" s="15">
        <v>259.455</v>
      </c>
      <c r="J14" s="15">
        <v>53.972</v>
      </c>
      <c r="K14" s="15">
        <v>-154.964</v>
      </c>
      <c r="L14" s="15">
        <v>57.25</v>
      </c>
      <c r="M14" s="15">
        <v>0</v>
      </c>
      <c r="N14" s="15">
        <f>SUM(C11:C14)/4</f>
        <v>253.2585</v>
      </c>
      <c r="O14" s="23"/>
      <c r="P14" s="16">
        <f>C14/C13-1</f>
        <v>0.0567186749254143</v>
      </c>
      <c r="Q14" s="16">
        <f>(E14+D14)/C14</f>
        <v>0.155728893134211</v>
      </c>
      <c r="R14" s="16">
        <f>AVERAGE(Q11:Q14)</f>
        <v>0.173088782663486</v>
      </c>
      <c r="S14" s="17"/>
      <c r="T14" s="15">
        <f>SUM(J11:K14)/4</f>
        <v>-63.9655</v>
      </c>
      <c r="U14" s="25"/>
      <c r="V14" s="15">
        <f>-(L14+M14)+V13</f>
        <v>-338.75</v>
      </c>
      <c r="W14" s="17"/>
      <c r="X14" s="15">
        <f>F14-G14</f>
        <v>-471</v>
      </c>
      <c r="Y14" s="24"/>
      <c r="Z14" s="152">
        <v>540</v>
      </c>
      <c r="AA14" s="24"/>
      <c r="AB14" s="15">
        <v>14.195</v>
      </c>
    </row>
    <row r="15" ht="20.05" customHeight="1">
      <c r="B15" s="13"/>
      <c r="C15" s="14">
        <v>312.985</v>
      </c>
      <c r="D15" s="15">
        <v>16.8</v>
      </c>
      <c r="E15" s="15">
        <v>36.736</v>
      </c>
      <c r="F15" s="15">
        <v>7</v>
      </c>
      <c r="G15" s="15">
        <v>479</v>
      </c>
      <c r="H15" s="15">
        <v>1245</v>
      </c>
      <c r="I15" s="15">
        <v>349.357</v>
      </c>
      <c r="J15" s="15">
        <v>77.175</v>
      </c>
      <c r="K15" s="15">
        <v>-84.78700000000001</v>
      </c>
      <c r="L15" s="15">
        <v>57.25</v>
      </c>
      <c r="M15" s="15">
        <v>0</v>
      </c>
      <c r="N15" s="15">
        <f>SUM(C12:C15)/4</f>
        <v>272.16975</v>
      </c>
      <c r="O15" s="15"/>
      <c r="P15" s="16">
        <f>C15/C14-1</f>
        <v>0.103182463845251</v>
      </c>
      <c r="Q15" s="16">
        <f>(E15+D15)/C15</f>
        <v>0.171049730817771</v>
      </c>
      <c r="R15" s="16">
        <f>AVERAGE(Q12:Q15)</f>
        <v>0.172579019702058</v>
      </c>
      <c r="S15" s="17"/>
      <c r="T15" s="15">
        <f>SUM(J12:K15)/4</f>
        <v>-56.021</v>
      </c>
      <c r="U15" s="25"/>
      <c r="V15" s="15">
        <f>-(L15+M15)+V14</f>
        <v>-396</v>
      </c>
      <c r="W15" s="17"/>
      <c r="X15" s="15">
        <f>F15-G15</f>
        <v>-472</v>
      </c>
      <c r="Y15" s="24"/>
      <c r="Z15" s="152">
        <v>505</v>
      </c>
      <c r="AA15" s="24"/>
      <c r="AB15" s="15">
        <v>13.882</v>
      </c>
    </row>
    <row r="16" ht="20.05" customHeight="1">
      <c r="B16" s="21">
        <v>2020</v>
      </c>
      <c r="C16" s="14">
        <v>271.527</v>
      </c>
      <c r="D16" s="15">
        <v>18.5</v>
      </c>
      <c r="E16" s="15">
        <v>35.458</v>
      </c>
      <c r="F16" s="15">
        <v>23</v>
      </c>
      <c r="G16" s="15">
        <v>524</v>
      </c>
      <c r="H16" s="15">
        <v>1326</v>
      </c>
      <c r="I16" s="15">
        <v>263.346</v>
      </c>
      <c r="J16" s="15">
        <v>39.972</v>
      </c>
      <c r="K16" s="15">
        <v>-50.517</v>
      </c>
      <c r="L16" s="15">
        <v>28.776</v>
      </c>
      <c r="M16" s="15">
        <v>0</v>
      </c>
      <c r="N16" s="15">
        <f>SUM(C13:C16)/4</f>
        <v>284.1765</v>
      </c>
      <c r="O16" s="15"/>
      <c r="P16" s="16">
        <f>C16/C15-1</f>
        <v>-0.132460022045785</v>
      </c>
      <c r="Q16" s="16">
        <f>(E16+D16)/C16</f>
        <v>0.19872056922516</v>
      </c>
      <c r="R16" s="16">
        <f>AVERAGE(Q13:Q16)</f>
        <v>0.179656253730943</v>
      </c>
      <c r="S16" s="17"/>
      <c r="T16" s="15">
        <f>SUM(J13:K16)/4</f>
        <v>-47.5845</v>
      </c>
      <c r="U16" s="25"/>
      <c r="V16" s="15">
        <f>-(L16+M16)+V15</f>
        <v>-424.776</v>
      </c>
      <c r="W16" s="17"/>
      <c r="X16" s="15">
        <f>F16-G16</f>
        <v>-501</v>
      </c>
      <c r="Y16" s="24"/>
      <c r="Z16" s="152">
        <v>372</v>
      </c>
      <c r="AA16" s="24"/>
      <c r="AB16" s="15">
        <v>16.31</v>
      </c>
    </row>
    <row r="17" ht="20.05" customHeight="1">
      <c r="B17" s="13"/>
      <c r="C17" s="14">
        <v>222.413</v>
      </c>
      <c r="D17" s="15">
        <v>19.8</v>
      </c>
      <c r="E17" s="15">
        <v>29.244</v>
      </c>
      <c r="F17" s="15">
        <v>18</v>
      </c>
      <c r="G17" s="15">
        <v>512</v>
      </c>
      <c r="H17" s="15">
        <v>1340</v>
      </c>
      <c r="I17" s="15">
        <v>230.33</v>
      </c>
      <c r="J17" s="15">
        <v>31.106</v>
      </c>
      <c r="K17" s="15">
        <v>-72.816</v>
      </c>
      <c r="L17" s="15">
        <v>40.744</v>
      </c>
      <c r="M17" s="15">
        <v>-2.7</v>
      </c>
      <c r="N17" s="15">
        <f>SUM(C14:C17)/4</f>
        <v>272.659</v>
      </c>
      <c r="O17" s="15"/>
      <c r="P17" s="16">
        <f>C17/C16-1</f>
        <v>-0.18088072272739</v>
      </c>
      <c r="Q17" s="16">
        <f>(E17+D17)/C17</f>
        <v>0.220508693286813</v>
      </c>
      <c r="R17" s="16">
        <f>AVERAGE(Q14:Q17)</f>
        <v>0.186501971615989</v>
      </c>
      <c r="S17" s="17"/>
      <c r="T17" s="25">
        <f>SUM(J14:K17)/4</f>
        <v>-40.21475</v>
      </c>
      <c r="U17" s="25"/>
      <c r="V17" s="15">
        <f>-(L17+M17)+V16</f>
        <v>-462.82</v>
      </c>
      <c r="W17" s="17"/>
      <c r="X17" s="15">
        <f>F17-G17</f>
        <v>-494</v>
      </c>
      <c r="Y17" s="24"/>
      <c r="Z17" s="152">
        <v>466</v>
      </c>
      <c r="AA17" s="24"/>
      <c r="AB17" s="15">
        <v>14.255</v>
      </c>
    </row>
    <row r="18" ht="20.05" customHeight="1">
      <c r="B18" s="13"/>
      <c r="C18" s="14">
        <v>225.853</v>
      </c>
      <c r="D18" s="15">
        <v>21.185</v>
      </c>
      <c r="E18" s="15">
        <v>29.579</v>
      </c>
      <c r="F18" s="15">
        <v>14</v>
      </c>
      <c r="G18" s="15">
        <v>465</v>
      </c>
      <c r="H18" s="15">
        <v>1323</v>
      </c>
      <c r="I18" s="15">
        <v>227.744</v>
      </c>
      <c r="J18" s="15">
        <v>77.499</v>
      </c>
      <c r="K18" s="15">
        <v>-30.338</v>
      </c>
      <c r="L18" s="15">
        <v>-49.568</v>
      </c>
      <c r="M18" s="15">
        <v>0</v>
      </c>
      <c r="N18" s="15">
        <f>SUM(C15:C18)/4</f>
        <v>258.1945</v>
      </c>
      <c r="O18" s="15"/>
      <c r="P18" s="16">
        <f>C18/C17-1</f>
        <v>0.0154667218193181</v>
      </c>
      <c r="Q18" s="16">
        <f>(E18+D18)/C18</f>
        <v>0.224765666163389</v>
      </c>
      <c r="R18" s="16">
        <f>AVERAGE(Q15:Q18)</f>
        <v>0.203761164873283</v>
      </c>
      <c r="S18" s="17"/>
      <c r="T18" s="25">
        <f>SUM(J15:K18)/4</f>
        <v>-3.1765</v>
      </c>
      <c r="U18" s="25"/>
      <c r="V18" s="15">
        <f>-(L18+M18)+V17</f>
        <v>-413.252</v>
      </c>
      <c r="W18" s="17"/>
      <c r="X18" s="15">
        <f>F18-G18</f>
        <v>-451</v>
      </c>
      <c r="Y18" s="24"/>
      <c r="Z18" s="15">
        <v>446</v>
      </c>
      <c r="AA18" s="24"/>
      <c r="AB18" s="15">
        <v>14.79</v>
      </c>
    </row>
    <row r="19" ht="20.05" customHeight="1">
      <c r="B19" s="13"/>
      <c r="C19" s="14">
        <v>252.807</v>
      </c>
      <c r="D19" s="15">
        <v>21.515</v>
      </c>
      <c r="E19" s="15">
        <v>38.519</v>
      </c>
      <c r="F19" s="15">
        <v>23</v>
      </c>
      <c r="G19" s="15">
        <v>416</v>
      </c>
      <c r="H19" s="15">
        <v>1311</v>
      </c>
      <c r="I19" s="15">
        <v>259.98</v>
      </c>
      <c r="J19" s="15">
        <v>78.32299999999999</v>
      </c>
      <c r="K19" s="15">
        <v>-17.429</v>
      </c>
      <c r="L19" s="15">
        <v>-48.352</v>
      </c>
      <c r="M19" s="15">
        <v>0</v>
      </c>
      <c r="N19" s="15">
        <f>SUM(C16:C19)/4</f>
        <v>243.15</v>
      </c>
      <c r="O19" s="15">
        <v>258.08308</v>
      </c>
      <c r="P19" s="16">
        <f>C19/C18-1</f>
        <v>0.119343112555512</v>
      </c>
      <c r="Q19" s="16">
        <f>(E19+D19)/C19</f>
        <v>0.237469690317119</v>
      </c>
      <c r="R19" s="16">
        <f>AVERAGE(Q16:Q19)</f>
        <v>0.22036615474812</v>
      </c>
      <c r="S19" s="17"/>
      <c r="T19" s="25">
        <f>SUM(J16:K19)/4</f>
        <v>13.95</v>
      </c>
      <c r="U19" s="25"/>
      <c r="V19" s="15">
        <f>-(L19+M19)+V18</f>
        <v>-364.9</v>
      </c>
      <c r="W19" s="17"/>
      <c r="X19" s="15">
        <f>F19-G19</f>
        <v>-393</v>
      </c>
      <c r="Y19" s="24"/>
      <c r="Z19" s="15">
        <v>500</v>
      </c>
      <c r="AA19" s="24"/>
      <c r="AB19" s="15">
        <v>14.1</v>
      </c>
    </row>
    <row r="20" ht="20.05" customHeight="1">
      <c r="B20" s="21">
        <v>2021</v>
      </c>
      <c r="C20" s="14">
        <v>237</v>
      </c>
      <c r="D20" s="15">
        <v>22</v>
      </c>
      <c r="E20" s="15">
        <v>42</v>
      </c>
      <c r="F20" s="15">
        <v>57</v>
      </c>
      <c r="G20" s="15">
        <v>431</v>
      </c>
      <c r="H20" s="15">
        <v>1369</v>
      </c>
      <c r="I20" s="15">
        <v>231</v>
      </c>
      <c r="J20" s="15">
        <v>68</v>
      </c>
      <c r="K20" s="15">
        <v>-21</v>
      </c>
      <c r="L20" s="15">
        <v>-11.2</v>
      </c>
      <c r="M20" s="15">
        <v>0</v>
      </c>
      <c r="N20" s="15">
        <f>SUM(C17:C20)/4</f>
        <v>234.51825</v>
      </c>
      <c r="O20" s="15">
        <v>258.852456666667</v>
      </c>
      <c r="P20" s="16">
        <f>C20/C19-1</f>
        <v>-0.0625259585375405</v>
      </c>
      <c r="Q20" s="16">
        <f>(E20+D20)/C20</f>
        <v>0.270042194092827</v>
      </c>
      <c r="R20" s="16">
        <f>AVERAGE(Q17:Q20)</f>
        <v>0.238196560965037</v>
      </c>
      <c r="S20" s="17"/>
      <c r="T20" s="25">
        <f>SUM(J17:K20)/4</f>
        <v>28.33625</v>
      </c>
      <c r="U20" s="25"/>
      <c r="V20" s="15">
        <f>-(L20+M20)+V19</f>
        <v>-353.7</v>
      </c>
      <c r="W20" s="17"/>
      <c r="X20" s="15">
        <f>F20-G20</f>
        <v>-374</v>
      </c>
      <c r="Y20" s="15"/>
      <c r="Z20" s="25">
        <v>457.444427</v>
      </c>
      <c r="AA20" s="15"/>
      <c r="AB20" s="15">
        <v>14.606</v>
      </c>
    </row>
    <row r="21" ht="20.05" customHeight="1">
      <c r="B21" s="13"/>
      <c r="C21" s="14">
        <v>292.3</v>
      </c>
      <c r="D21" s="15">
        <v>22.4</v>
      </c>
      <c r="E21" s="15">
        <v>49.8</v>
      </c>
      <c r="F21" s="15">
        <v>91</v>
      </c>
      <c r="G21" s="15">
        <v>436</v>
      </c>
      <c r="H21" s="15">
        <v>1394</v>
      </c>
      <c r="I21" s="15">
        <v>353.3</v>
      </c>
      <c r="J21" s="15">
        <v>108.6</v>
      </c>
      <c r="K21" s="15">
        <v>-30.7</v>
      </c>
      <c r="L21" s="15">
        <v>-11.3</v>
      </c>
      <c r="M21" s="15">
        <v>-30</v>
      </c>
      <c r="N21" s="15">
        <f>SUM(C18:C21)/4</f>
        <v>251.99</v>
      </c>
      <c r="O21" s="15">
        <v>265.2393425</v>
      </c>
      <c r="P21" s="16">
        <f>C21/C20-1</f>
        <v>0.233333333333333</v>
      </c>
      <c r="Q21" s="16">
        <f>(E21+D21)/C21</f>
        <v>0.247006500171057</v>
      </c>
      <c r="R21" s="16">
        <f>AVERAGE(Q18:Q21)</f>
        <v>0.244821012686098</v>
      </c>
      <c r="S21" s="17"/>
      <c r="T21" s="25">
        <f>SUM(J18:K21)/4</f>
        <v>58.23875</v>
      </c>
      <c r="U21" s="25"/>
      <c r="V21" s="15">
        <f>-(L21+M21)+V20</f>
        <v>-312.4</v>
      </c>
      <c r="W21" s="17"/>
      <c r="X21" s="15">
        <f>F21-G21</f>
        <v>-345</v>
      </c>
      <c r="Y21" s="15"/>
      <c r="Z21" s="25">
        <v>414</v>
      </c>
      <c r="AA21" s="15"/>
      <c r="AB21" s="15">
        <v>14.45</v>
      </c>
    </row>
    <row r="22" ht="20.05" customHeight="1">
      <c r="B22" s="13"/>
      <c r="C22" s="14">
        <v>273.6</v>
      </c>
      <c r="D22" s="15">
        <v>22.1</v>
      </c>
      <c r="E22" s="15">
        <v>44.8</v>
      </c>
      <c r="F22" s="15">
        <v>15</v>
      </c>
      <c r="G22" s="15">
        <v>368</v>
      </c>
      <c r="H22" s="15">
        <v>1355</v>
      </c>
      <c r="I22" s="15">
        <v>298.7</v>
      </c>
      <c r="J22" s="15">
        <v>19.9</v>
      </c>
      <c r="K22" s="15">
        <v>-10</v>
      </c>
      <c r="L22" s="15">
        <v>-67.5</v>
      </c>
      <c r="M22" s="15">
        <v>-15.9</v>
      </c>
      <c r="N22" s="15">
        <f>SUM(C19:C22)/4</f>
        <v>263.92675</v>
      </c>
      <c r="O22" s="15">
        <v>275.832105</v>
      </c>
      <c r="P22" s="16">
        <f>C22/C21-1</f>
        <v>-0.06397536777283611</v>
      </c>
      <c r="Q22" s="16">
        <f>(E22+D22)/C22</f>
        <v>0.244517543859649</v>
      </c>
      <c r="R22" s="16">
        <f>AVERAGE(Q19:Q22)</f>
        <v>0.249758982110163</v>
      </c>
      <c r="S22" s="17"/>
      <c r="T22" s="25">
        <f>SUM(J19:K22)/4</f>
        <v>48.9235</v>
      </c>
      <c r="U22" s="25"/>
      <c r="V22" s="15">
        <f>-(L22+M22)+V21</f>
        <v>-229</v>
      </c>
      <c r="W22" s="17"/>
      <c r="X22" s="15">
        <f>F22-G22</f>
        <v>-353</v>
      </c>
      <c r="Y22" s="15"/>
      <c r="Z22" s="25">
        <v>456</v>
      </c>
      <c r="AA22" s="15"/>
      <c r="AB22" s="15">
        <v>14.328</v>
      </c>
    </row>
    <row r="23" ht="20.05" customHeight="1">
      <c r="B23" s="13"/>
      <c r="C23" s="14">
        <v>300.6</v>
      </c>
      <c r="D23" s="15">
        <v>22.9</v>
      </c>
      <c r="E23" s="15">
        <v>44.1</v>
      </c>
      <c r="F23" s="15">
        <v>5</v>
      </c>
      <c r="G23" s="15">
        <v>347</v>
      </c>
      <c r="H23" s="15">
        <v>1348</v>
      </c>
      <c r="I23" s="15">
        <v>218.2</v>
      </c>
      <c r="J23" s="15">
        <v>108.5</v>
      </c>
      <c r="K23" s="15">
        <v>-95.40000000000001</v>
      </c>
      <c r="L23" s="15">
        <v>8.5</v>
      </c>
      <c r="M23" s="15">
        <v>-29.9</v>
      </c>
      <c r="N23" s="15">
        <f>SUM(C20:C23)/4</f>
        <v>275.875</v>
      </c>
      <c r="O23" s="15">
        <v>287.3423025</v>
      </c>
      <c r="P23" s="16">
        <f>C23/C22-1</f>
        <v>0.0986842105263158</v>
      </c>
      <c r="Q23" s="16">
        <f>(E23+D23)/C23</f>
        <v>0.2228875582169</v>
      </c>
      <c r="R23" s="16">
        <f>AVERAGE(Q20:Q23)</f>
        <v>0.246113449085108</v>
      </c>
      <c r="S23" s="17"/>
      <c r="T23" s="25">
        <f>SUM(J20:K23)/4</f>
        <v>36.975</v>
      </c>
      <c r="U23" s="25"/>
      <c r="V23" s="15">
        <f>-(L23+M23)+V22</f>
        <v>-207.6</v>
      </c>
      <c r="W23" s="17"/>
      <c r="X23" s="15">
        <f>F23-G23</f>
        <v>-342</v>
      </c>
      <c r="Y23" s="15"/>
      <c r="Z23" s="25">
        <v>470</v>
      </c>
      <c r="AA23" s="15">
        <v>533.125598356305</v>
      </c>
      <c r="AB23" s="15">
        <v>14.275</v>
      </c>
    </row>
    <row r="24" ht="20.05" customHeight="1">
      <c r="B24" s="21">
        <v>2022</v>
      </c>
      <c r="C24" s="14">
        <v>307.7</v>
      </c>
      <c r="D24" s="15">
        <v>21.5</v>
      </c>
      <c r="E24" s="15">
        <v>45.8</v>
      </c>
      <c r="F24" s="15">
        <v>23</v>
      </c>
      <c r="G24" s="15">
        <v>386</v>
      </c>
      <c r="H24" s="15">
        <v>1433</v>
      </c>
      <c r="I24" s="15">
        <v>314.1</v>
      </c>
      <c r="J24" s="15">
        <v>134.2</v>
      </c>
      <c r="K24" s="15">
        <v>-80.5</v>
      </c>
      <c r="L24" s="15">
        <v>-33</v>
      </c>
      <c r="M24" s="15">
        <v>0</v>
      </c>
      <c r="N24" s="15">
        <f>SUM(C21:C24)/4</f>
        <v>293.55</v>
      </c>
      <c r="O24" s="15">
        <v>293.637</v>
      </c>
      <c r="P24" s="16">
        <f>C24/C23-1</f>
        <v>0.0236194278110446</v>
      </c>
      <c r="Q24" s="16">
        <f>(E24+D24)/C24</f>
        <v>0.2187195320117</v>
      </c>
      <c r="R24" s="16">
        <f>AVERAGE(Q21:Q24)</f>
        <v>0.233282783564827</v>
      </c>
      <c r="S24" s="35"/>
      <c r="T24" s="25">
        <f>SUM(J21:K24)/4</f>
        <v>38.65</v>
      </c>
      <c r="U24" s="15">
        <v>43.107542656250</v>
      </c>
      <c r="V24" s="15">
        <f>-(L24+M24)+V23</f>
        <v>-174.6</v>
      </c>
      <c r="W24" s="15"/>
      <c r="X24" s="15">
        <f>F24-G24</f>
        <v>-363</v>
      </c>
      <c r="Y24" s="15">
        <v>-258.251763734375</v>
      </c>
      <c r="Z24" s="25">
        <v>434</v>
      </c>
      <c r="AA24" s="15">
        <v>549</v>
      </c>
      <c r="AB24" s="15">
        <v>14.327</v>
      </c>
    </row>
    <row r="25" ht="20.05" customHeight="1">
      <c r="B25" s="13"/>
      <c r="C25" s="14">
        <v>347.4</v>
      </c>
      <c r="D25" s="15">
        <v>26.3</v>
      </c>
      <c r="E25" s="15">
        <v>57.1</v>
      </c>
      <c r="F25" s="15">
        <v>17</v>
      </c>
      <c r="G25" s="15">
        <v>474</v>
      </c>
      <c r="H25" s="15">
        <v>1566</v>
      </c>
      <c r="I25" s="15">
        <v>290.2</v>
      </c>
      <c r="J25" s="15">
        <v>10.5</v>
      </c>
      <c r="K25" s="15">
        <v>-101.2</v>
      </c>
      <c r="L25" s="15">
        <v>98.59999999999999</v>
      </c>
      <c r="M25" s="15">
        <v>-12</v>
      </c>
      <c r="N25" s="15">
        <f>SUM(C22:C25)/4</f>
        <v>307.325</v>
      </c>
      <c r="O25" s="15">
        <v>303.30825</v>
      </c>
      <c r="P25" s="16">
        <f>C25/C24-1</f>
        <v>0.129021774455639</v>
      </c>
      <c r="Q25" s="16">
        <f>(E25+D25)/C25</f>
        <v>0.24006908462867</v>
      </c>
      <c r="R25" s="16">
        <f>AVERAGE(Q22:Q25)</f>
        <v>0.23154842967923</v>
      </c>
      <c r="S25" s="35"/>
      <c r="T25" s="25">
        <f>SUM(J22:K25)/4</f>
        <v>-3.5</v>
      </c>
      <c r="U25" s="15">
        <v>43.107542656250</v>
      </c>
      <c r="V25" s="15">
        <f>-(L25+M25)+V24</f>
        <v>-261.2</v>
      </c>
      <c r="W25" s="15"/>
      <c r="X25" s="15">
        <f>F25-G25</f>
        <v>-457</v>
      </c>
      <c r="Y25" s="15">
        <v>-258.251763734375</v>
      </c>
      <c r="Z25" s="25">
        <v>476</v>
      </c>
      <c r="AA25" s="15">
        <v>371.040600246401</v>
      </c>
      <c r="AB25" s="15">
        <v>14.66</v>
      </c>
    </row>
    <row r="26" ht="20.05" customHeight="1">
      <c r="B26" s="13"/>
      <c r="C26" s="14">
        <v>359.4</v>
      </c>
      <c r="D26" s="15">
        <v>27.8</v>
      </c>
      <c r="E26" s="15">
        <v>48</v>
      </c>
      <c r="F26" s="15">
        <v>3</v>
      </c>
      <c r="G26" s="15">
        <v>505</v>
      </c>
      <c r="H26" s="15">
        <v>1646</v>
      </c>
      <c r="I26" s="15">
        <v>366.3</v>
      </c>
      <c r="J26" s="15">
        <v>48.7</v>
      </c>
      <c r="K26" s="15">
        <v>-138.4</v>
      </c>
      <c r="L26" s="15">
        <v>74.90000000000001</v>
      </c>
      <c r="M26" s="15">
        <v>0</v>
      </c>
      <c r="N26" s="15">
        <f>SUM(C23:C26)/4</f>
        <v>328.775</v>
      </c>
      <c r="O26" s="15">
        <v>309.543</v>
      </c>
      <c r="P26" s="16">
        <f>C26/C25-1</f>
        <v>0.0345423143350604</v>
      </c>
      <c r="Q26" s="16">
        <f>(E26+D26)/C26</f>
        <v>0.210907067334446</v>
      </c>
      <c r="R26" s="16">
        <f>AVERAGE(Q23:Q26)</f>
        <v>0.223145810547929</v>
      </c>
      <c r="S26" s="35">
        <f>S27</f>
        <v>0.223145810547929</v>
      </c>
      <c r="T26" s="25">
        <f>SUM(J23:K26)/4</f>
        <v>-28.4</v>
      </c>
      <c r="U26" s="15">
        <v>39.032045028051</v>
      </c>
      <c r="V26" s="15">
        <f>-(L26+M26)+V25</f>
        <v>-336.1</v>
      </c>
      <c r="W26" s="15">
        <f>W27</f>
        <v>-327.159582638933</v>
      </c>
      <c r="X26" s="15">
        <f>F26-G26</f>
        <v>-502</v>
      </c>
      <c r="Y26" s="15">
        <v>-291.550498804881</v>
      </c>
      <c r="Z26" s="25">
        <v>500</v>
      </c>
      <c r="AA26" s="15">
        <v>371.040600246401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404.1532490295</v>
      </c>
      <c r="P27" s="17"/>
      <c r="Q27" s="17"/>
      <c r="R27" s="17"/>
      <c r="S27" s="35">
        <f>AE53</f>
        <v>0.223145810547929</v>
      </c>
      <c r="T27" s="25"/>
      <c r="U27" s="15">
        <f>SUM(AE55:AH55)/4</f>
        <v>2.23510434026678</v>
      </c>
      <c r="V27" s="17"/>
      <c r="W27" s="15">
        <f>-SUM(AE76:AH76)+V26</f>
        <v>-327.159582638933</v>
      </c>
      <c r="X27" s="26"/>
      <c r="Y27" s="15">
        <f>AH75</f>
        <v>-493.059582638933</v>
      </c>
      <c r="Z27" s="15">
        <v>458</v>
      </c>
      <c r="AA27" s="15">
        <v>371.040600246401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2199.11</v>
      </c>
      <c r="O28" s="15">
        <f>SUM(O19:O26)</f>
        <v>2251.837536666670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336.386926442316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288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514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0.07146693178201501</v>
      </c>
      <c r="AF49" s="35"/>
      <c r="AG49" s="35"/>
      <c r="AH49" s="35">
        <f>AVERAGE(AE51:AH51)</f>
        <v>0.045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0.0986842105263158</v>
      </c>
      <c r="AF50" s="35">
        <f>P24</f>
        <v>0.0236194278110446</v>
      </c>
      <c r="AG50" s="35">
        <f>P25</f>
        <v>0.129021774455639</v>
      </c>
      <c r="AH50" s="35">
        <f>P26</f>
        <v>0.0345423143350604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0.01</v>
      </c>
      <c r="AG51" s="35">
        <v>0.07000000000000001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359.4</v>
      </c>
      <c r="AE52" s="23">
        <f>C26*(1+AE51)</f>
        <v>384.558</v>
      </c>
      <c r="AF52" s="23">
        <f>AE52*(1+AF51)</f>
        <v>388.40358</v>
      </c>
      <c r="AG52" s="23">
        <f>AF52*(1+AG51)</f>
        <v>415.5918306</v>
      </c>
      <c r="AH52" s="23">
        <f>AG52*(1+AH51)</f>
        <v>428.059585518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0.223145810547929</v>
      </c>
      <c r="AF53" s="35">
        <f>AE53</f>
        <v>0.223145810547929</v>
      </c>
      <c r="AG53" s="35">
        <f>AF53</f>
        <v>0.223145810547929</v>
      </c>
      <c r="AH53" s="35">
        <f>AG53</f>
        <v>0.223145810547929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AVERAGE(K23:K24)</f>
        <v>-87.95</v>
      </c>
      <c r="AF54" s="15">
        <f>AE54</f>
        <v>-87.95</v>
      </c>
      <c r="AG54" s="15">
        <f>AF54</f>
        <v>-87.95</v>
      </c>
      <c r="AH54" s="15">
        <f>AG54</f>
        <v>-87.95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-2.13749338730952</v>
      </c>
      <c r="AF55" s="15">
        <f>(AF52*AF53)+AF54</f>
        <v>-1.27936832118261</v>
      </c>
      <c r="AG55" s="15">
        <f>(AG52*AG53)+AG54</f>
        <v>4.7875758963346</v>
      </c>
      <c r="AH55" s="15">
        <f>(AH52*AH53)+AH54</f>
        <v>7.56970317322464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-25.25</v>
      </c>
      <c r="AF56" s="15">
        <f>-AE71/20</f>
        <v>-23.9875</v>
      </c>
      <c r="AG56" s="15">
        <f>-AF71/20</f>
        <v>-22.788125</v>
      </c>
      <c r="AH56" s="15">
        <f>-AG71/20</f>
        <v>-21.64871875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-27.3874933873095</v>
      </c>
      <c r="AF59" s="15">
        <f>AF55+AF56+AF58</f>
        <v>-25.2668683211826</v>
      </c>
      <c r="AG59" s="15">
        <f>AG55+AG56+AG58</f>
        <v>-18.0005491036654</v>
      </c>
      <c r="AH59" s="15">
        <f>AH55+AH56+AH58</f>
        <v>-14.0790155767754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27.3874933873095</v>
      </c>
      <c r="AF60" s="15">
        <f>-MIN(AE72,AF59)</f>
        <v>25.2668683211826</v>
      </c>
      <c r="AG60" s="15">
        <f>-MIN(AF72,AG59)</f>
        <v>18.0005491036654</v>
      </c>
      <c r="AH60" s="15">
        <f>-MIN(AG72,AH59)</f>
        <v>14.0790155767754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</v>
      </c>
      <c r="AF61" s="15">
        <f>AE63</f>
        <v>2.99999999999998</v>
      </c>
      <c r="AG61" s="15">
        <f>AF63</f>
        <v>2.99999999999997</v>
      </c>
      <c r="AH61" s="15">
        <f>AG63</f>
        <v>2.99999999999997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-2e-14</v>
      </c>
      <c r="AF62" s="15">
        <f>AF55+AF56+AF58+AF60</f>
        <v>-1e-14</v>
      </c>
      <c r="AG62" s="15">
        <f>AG55+AG56+AG58+AG60</f>
        <v>0</v>
      </c>
      <c r="AH62" s="15">
        <f>AH55+AH56+AH58+AH60</f>
        <v>4e-14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2.99999999999998</v>
      </c>
      <c r="AF63" s="15">
        <f>AF61+AF62</f>
        <v>2.99999999999997</v>
      </c>
      <c r="AG63" s="15">
        <f>AG61+AG62</f>
        <v>2.99999999999997</v>
      </c>
      <c r="AH63" s="15">
        <f>AH61+AH62</f>
        <v>3.00000000000001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-25.2</v>
      </c>
      <c r="AF65" s="15">
        <f>AE65</f>
        <v>-25.2</v>
      </c>
      <c r="AG65" s="15">
        <f>AF65</f>
        <v>-25.2</v>
      </c>
      <c r="AH65" s="15">
        <f>AG65</f>
        <v>-25.2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60.6125066126905</v>
      </c>
      <c r="AF66" s="15">
        <f>(AF52*AF53)+AF65</f>
        <v>61.4706316788174</v>
      </c>
      <c r="AG66" s="15">
        <f>(AG52*AG53)+AG65</f>
        <v>67.5375758963346</v>
      </c>
      <c r="AH66" s="15">
        <f>(AH52*AH53)+AH65</f>
        <v>70.3197031732246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1730.95</v>
      </c>
      <c r="AF68" s="15">
        <f>AE68-AF54</f>
        <v>1818.9</v>
      </c>
      <c r="AG68" s="15">
        <f>AF68-AG54</f>
        <v>1906.85</v>
      </c>
      <c r="AH68" s="15">
        <f>AG68-AH54</f>
        <v>1994.8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25.2</v>
      </c>
      <c r="AF69" s="15">
        <f>AE69-AF65</f>
        <v>50.4</v>
      </c>
      <c r="AG69" s="15">
        <f>AF69-AG65</f>
        <v>75.59999999999999</v>
      </c>
      <c r="AH69" s="15">
        <f>AG69-AH65</f>
        <v>100.8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1705.75</v>
      </c>
      <c r="AF70" s="15">
        <f>AF68-AF69</f>
        <v>1768.5</v>
      </c>
      <c r="AG70" s="15">
        <f>AG68-AG69</f>
        <v>1831.25</v>
      </c>
      <c r="AH70" s="15">
        <f>AH68-AH69</f>
        <v>1894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479.75</v>
      </c>
      <c r="AF71" s="15">
        <f>AE71+AF56</f>
        <v>455.7625</v>
      </c>
      <c r="AG71" s="15">
        <f>AF71+AG56</f>
        <v>432.974375</v>
      </c>
      <c r="AH71" s="15">
        <f>AG71+AH56</f>
        <v>411.32565625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27.3874933873095</v>
      </c>
      <c r="AF72" s="15">
        <f>AE72+AF60</f>
        <v>52.6543617084921</v>
      </c>
      <c r="AG72" s="15">
        <f>AF72+AG60</f>
        <v>70.6549108121575</v>
      </c>
      <c r="AH72" s="15">
        <f>AG72+AH60</f>
        <v>84.7339263889329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1201.612506612690</v>
      </c>
      <c r="AF73" s="15">
        <f>AE73+AF66+AF58</f>
        <v>1263.083138291510</v>
      </c>
      <c r="AG73" s="15">
        <f>AF73+AG66+AG58</f>
        <v>1330.620714187840</v>
      </c>
      <c r="AH73" s="15">
        <f>AG73+AH66+AH58</f>
        <v>1400.940417361060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-4.8e-13</v>
      </c>
      <c r="AF74" s="15">
        <f>AF71+AF72+AF73-AF63-AF70</f>
        <v>2.13e-12</v>
      </c>
      <c r="AG74" s="15">
        <f>AG71+AG72+AG73-AG63-AG70</f>
        <v>-2.47e-12</v>
      </c>
      <c r="AH74" s="15">
        <f>AH71+AH72+AH73-AH63-AH70</f>
        <v>-7.11e-12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-504.137493387310</v>
      </c>
      <c r="AF75" s="15">
        <f>AF63-AF71-AF72</f>
        <v>-505.416861708492</v>
      </c>
      <c r="AG75" s="15">
        <f>AG63-AG71-AG72</f>
        <v>-500.629285812158</v>
      </c>
      <c r="AH75" s="15">
        <f>AH63-AH71-AH72</f>
        <v>-493.059582638933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2.1374933873095</v>
      </c>
      <c r="AF76" s="15">
        <f>AF56+AF58+AF60</f>
        <v>1.2793683211826</v>
      </c>
      <c r="AG76" s="15">
        <f>AG56+AG58+AG60</f>
        <v>-4.7875758963346</v>
      </c>
      <c r="AH76" s="15">
        <f>AH56+AH58+AH60</f>
        <v>-7.5697031732246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523</v>
      </c>
      <c r="AD78" s="14"/>
      <c r="AE78" s="15"/>
      <c r="AF78" s="15"/>
      <c r="AG78" s="15"/>
      <c r="AH78" s="15">
        <v>458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523</v>
      </c>
      <c r="AD79" s="14"/>
      <c r="AE79" s="15"/>
      <c r="AF79" s="15"/>
      <c r="AG79" s="15"/>
      <c r="AH79" s="15">
        <v>5477680234496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5477.680234496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11.960000512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2.88754888481603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-113.6</v>
      </c>
      <c r="AH84" s="15">
        <f>SUM(AE55:AH55)</f>
        <v>8.94041736106711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211.846933259270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612.687306786111</v>
      </c>
      <c r="AH86" s="15">
        <v>450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4023.1878124802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336.386926442316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-0.265530728291886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0.31359649122807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0.0239767618112191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523</v>
      </c>
      <c r="AF93" t="s" s="44">
        <f>AE115</f>
        <v>15</v>
      </c>
      <c r="AG93" t="s" s="44">
        <f>AF115</f>
        <v>485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458</v>
      </c>
      <c r="AG94" t="s" s="44">
        <v>61</v>
      </c>
      <c r="AH94" s="15">
        <f>AH88</f>
        <v>336.386926442316</v>
      </c>
      <c r="AI94" t="s" s="44">
        <f>IF(AJ94&gt;0,"+","")</f>
      </c>
      <c r="AJ94" s="16">
        <f>AH94/AF94-1</f>
        <v>-0.265530728291886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0.31359649122807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(AG118+AG119+AI118+AI119+AK118+AK119+AM118+AM119)/AF135</f>
        <v>-0.0207387060099999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(AG132+AG133+AI132+AI133+AK132+AK133+AM132+AM133)/AF135</f>
        <v>-0.0195520723034418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-0.0916446339526405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0.0345423143350604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-0.06397536777283611</v>
      </c>
      <c r="AF103" s="16">
        <f>P23</f>
        <v>0.0986842105263158</v>
      </c>
      <c r="AG103" s="16">
        <f>P24</f>
        <v>0.0236194278110446</v>
      </c>
      <c r="AH103" s="16">
        <f>P25</f>
        <v>0.129021774455639</v>
      </c>
      <c r="AI103" s="16">
        <f>P26</f>
        <v>0.0345423143350604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273.6</v>
      </c>
      <c r="AF104" t="s" s="44">
        <v>72</v>
      </c>
      <c r="AG104" s="15">
        <f>C23</f>
        <v>300.6</v>
      </c>
      <c r="AH104" t="s" s="44">
        <v>72</v>
      </c>
      <c r="AI104" s="15">
        <f>C24</f>
        <v>307.7</v>
      </c>
      <c r="AJ104" t="s" s="44">
        <v>72</v>
      </c>
      <c r="AK104" s="15">
        <f>C25</f>
        <v>347.4</v>
      </c>
      <c r="AL104" t="s" s="44">
        <v>72</v>
      </c>
      <c r="AM104" s="15">
        <f>C26</f>
        <v>359.4</v>
      </c>
      <c r="AN104" t="s" s="48">
        <f>AC$47</f>
        <v>514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0.0345423143350604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359.4</v>
      </c>
      <c r="AM105" t="s" s="48">
        <f>AN104</f>
        <v>514</v>
      </c>
      <c r="AN105" t="s" s="44">
        <v>77</v>
      </c>
      <c r="AO105" t="s" s="44">
        <f>IF(AP105&gt;0,"+","")</f>
        <v>361</v>
      </c>
      <c r="AP105" s="16">
        <f>AH91</f>
        <v>0.0239767618112191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0.07146693178201501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0.045</v>
      </c>
      <c r="AG107" t="s" s="44">
        <v>82</v>
      </c>
      <c r="AH107" t="s" s="44">
        <v>83</v>
      </c>
      <c r="AI107" s="23">
        <f>AH52</f>
        <v>428.059585518</v>
      </c>
      <c r="AJ107" t="s" s="48">
        <f>AN104</f>
        <v>514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0.244517543859649</v>
      </c>
      <c r="AF110" s="16">
        <f>(D23+E23)/C23</f>
        <v>0.2228875582169</v>
      </c>
      <c r="AG110" s="16">
        <f>((E24+D24)/C24)</f>
        <v>0.2187195320117</v>
      </c>
      <c r="AH110" s="16">
        <f>(D25+E25)/C25</f>
        <v>0.24006908462867</v>
      </c>
      <c r="AI110" s="16">
        <f>(D26+E26)/C26</f>
        <v>0.210907067334446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44.8</v>
      </c>
      <c r="AF111" t="s" s="44">
        <v>72</v>
      </c>
      <c r="AG111" s="15">
        <f>E23</f>
        <v>44.1</v>
      </c>
      <c r="AH111" t="s" s="44">
        <v>72</v>
      </c>
      <c r="AI111" s="15">
        <f>E24</f>
        <v>45.8</v>
      </c>
      <c r="AJ111" t="s" s="44">
        <v>72</v>
      </c>
      <c r="AK111" s="15">
        <f>E25</f>
        <v>57.1</v>
      </c>
      <c r="AL111" t="s" s="44">
        <v>72</v>
      </c>
      <c r="AM111" s="15">
        <f>E26</f>
        <v>48</v>
      </c>
      <c r="AN111" t="s" s="48">
        <f>AN104</f>
        <v>514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0.24006908462867</v>
      </c>
      <c r="AG112" t="s" s="44">
        <v>76</v>
      </c>
      <c r="AH112" s="16">
        <f>AI110</f>
        <v>0.210907067334446</v>
      </c>
      <c r="AI112" t="s" s="44">
        <v>90</v>
      </c>
      <c r="AJ112" s="15">
        <f>AK111</f>
        <v>57.1</v>
      </c>
      <c r="AK112" t="s" s="44">
        <v>76</v>
      </c>
      <c r="AL112" s="15">
        <f>AM111</f>
        <v>48</v>
      </c>
      <c r="AM112" t="s" s="48">
        <f>AJ107</f>
        <v>514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0.223145810547929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0.223145810547929</v>
      </c>
      <c r="AG114" t="s" s="44">
        <v>94</v>
      </c>
      <c r="AH114" s="15">
        <f>AH66</f>
        <v>70.3197031732246</v>
      </c>
      <c r="AI114" t="s" s="48">
        <f>AM112</f>
        <v>514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485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90.7</v>
      </c>
      <c r="AG116" s="15">
        <f>ABS(AH120)</f>
        <v>89.7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19.9</v>
      </c>
      <c r="AF118" t="s" s="44">
        <v>72</v>
      </c>
      <c r="AG118" s="15">
        <f>J23</f>
        <v>108.5</v>
      </c>
      <c r="AH118" t="s" s="44">
        <v>72</v>
      </c>
      <c r="AI118" s="15">
        <f>J24</f>
        <v>134.2</v>
      </c>
      <c r="AJ118" t="s" s="44">
        <v>72</v>
      </c>
      <c r="AK118" s="15">
        <f>J25</f>
        <v>10.5</v>
      </c>
      <c r="AL118" t="s" s="44">
        <v>72</v>
      </c>
      <c r="AM118" s="15">
        <f>J26</f>
        <v>48.7</v>
      </c>
      <c r="AN118" t="s" s="48">
        <f>AN104</f>
        <v>514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-10</v>
      </c>
      <c r="AF119" t="s" s="44">
        <v>72</v>
      </c>
      <c r="AG119" s="15">
        <f>K23</f>
        <v>-95.40000000000001</v>
      </c>
      <c r="AH119" t="s" s="44">
        <v>72</v>
      </c>
      <c r="AI119" s="15">
        <f>K24</f>
        <v>-80.5</v>
      </c>
      <c r="AJ119" t="s" s="44">
        <v>72</v>
      </c>
      <c r="AK119" s="15">
        <f>K25</f>
        <v>-101.2</v>
      </c>
      <c r="AL119" t="s" s="44">
        <v>72</v>
      </c>
      <c r="AM119" s="15">
        <f>K26</f>
        <v>-138.4</v>
      </c>
      <c r="AN119" t="s" s="48">
        <f>AN118</f>
        <v>514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-90.7</v>
      </c>
      <c r="AG120" t="s" s="44">
        <v>76</v>
      </c>
      <c r="AH120" s="15">
        <f>AM118+AM119</f>
        <v>-89.7</v>
      </c>
      <c r="AI120" t="s" s="48">
        <f>AI114</f>
        <v>514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-138.4</v>
      </c>
      <c r="AN120" t="s" s="48">
        <f>AN104</f>
        <v>514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-28.4</v>
      </c>
      <c r="AG121" t="s" s="48">
        <f>AN104</f>
        <v>514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-87.95</v>
      </c>
      <c r="AG122" t="s" s="48">
        <f>AG121</f>
        <v>514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2.23510434026678</v>
      </c>
      <c r="AM122" t="s" s="48">
        <f>AG122</f>
        <v>514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15</v>
      </c>
      <c r="AF125" t="s" s="44">
        <v>72</v>
      </c>
      <c r="AG125" s="15">
        <f>F23</f>
        <v>5</v>
      </c>
      <c r="AH125" t="s" s="44">
        <v>72</v>
      </c>
      <c r="AI125" s="15">
        <f>F24</f>
        <v>23</v>
      </c>
      <c r="AJ125" t="s" s="44">
        <v>72</v>
      </c>
      <c r="AK125" s="15">
        <f>F25</f>
        <v>17</v>
      </c>
      <c r="AL125" t="s" s="44">
        <v>72</v>
      </c>
      <c r="AM125" s="15">
        <f>F26</f>
        <v>3</v>
      </c>
      <c r="AN125" t="s" s="48">
        <f>AN104</f>
        <v>514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368</v>
      </c>
      <c r="AF126" t="s" s="44">
        <v>72</v>
      </c>
      <c r="AG126" s="15">
        <f>G23</f>
        <v>347</v>
      </c>
      <c r="AH126" t="s" s="44">
        <v>72</v>
      </c>
      <c r="AI126" s="15">
        <f>G24</f>
        <v>386</v>
      </c>
      <c r="AJ126" t="s" s="44">
        <v>72</v>
      </c>
      <c r="AK126" s="15">
        <f>G25</f>
        <v>474</v>
      </c>
      <c r="AL126" t="s" s="44">
        <v>72</v>
      </c>
      <c r="AM126" s="15">
        <f>G26</f>
        <v>505</v>
      </c>
      <c r="AN126" t="s" s="48">
        <f>AN125</f>
        <v>514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17</v>
      </c>
      <c r="AH127" t="s" s="44">
        <v>76</v>
      </c>
      <c r="AI127" s="15">
        <f>AM125</f>
        <v>3</v>
      </c>
      <c r="AJ127" t="s" s="48">
        <f>AM122</f>
        <v>514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474</v>
      </c>
      <c r="AH128" t="s" s="44">
        <v>76</v>
      </c>
      <c r="AI128" s="15">
        <f>AM126</f>
        <v>505</v>
      </c>
      <c r="AJ128" t="s" s="48">
        <f>AJ127</f>
        <v>514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-457</v>
      </c>
      <c r="AO128" t="s" s="44">
        <v>76</v>
      </c>
      <c r="AP128" s="15">
        <f>AI127-AI128</f>
        <v>-502</v>
      </c>
      <c r="AQ128" t="s" s="48">
        <f>AJ128</f>
        <v>514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514</v>
      </c>
      <c r="AH129" t="s" s="44">
        <v>117</v>
      </c>
      <c r="AI129" t="s" s="44">
        <f>IF(AJ129&gt;0,"+","")</f>
      </c>
      <c r="AJ129" s="15">
        <f>AE56+AF56+AG56+AH56+AE60+AF60+AG60+AH60</f>
        <v>-8.9404173610671</v>
      </c>
      <c r="AK129" t="s" s="48">
        <f>AQ128</f>
        <v>514</v>
      </c>
      <c r="AL129" t="s" s="44">
        <v>118</v>
      </c>
      <c r="AM129" t="s" s="44">
        <v>119</v>
      </c>
      <c r="AN129" s="15">
        <f>AH75</f>
        <v>-493.059582638933</v>
      </c>
      <c r="AO129" t="s" s="48">
        <f>AJ128</f>
        <v>514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67.5</v>
      </c>
      <c r="AF132" t="s" s="44">
        <v>72</v>
      </c>
      <c r="AG132" s="15">
        <f>-L23</f>
        <v>-8.5</v>
      </c>
      <c r="AH132" t="s" s="44">
        <v>72</v>
      </c>
      <c r="AI132" s="15">
        <f>-L24</f>
        <v>33</v>
      </c>
      <c r="AJ132" t="s" s="44">
        <v>72</v>
      </c>
      <c r="AK132" s="15">
        <f>-L25</f>
        <v>-98.59999999999999</v>
      </c>
      <c r="AL132" t="s" s="44">
        <v>72</v>
      </c>
      <c r="AM132" s="15">
        <f>-L26</f>
        <v>-74.90000000000001</v>
      </c>
      <c r="AN132" t="s" s="48">
        <f>AN104</f>
        <v>514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15.9</v>
      </c>
      <c r="AF133" t="s" s="44">
        <v>72</v>
      </c>
      <c r="AG133" s="15">
        <f>-M23</f>
        <v>29.9</v>
      </c>
      <c r="AH133" t="s" s="44">
        <v>72</v>
      </c>
      <c r="AI133" s="15">
        <f>-M24</f>
        <v>0</v>
      </c>
      <c r="AJ133" t="s" s="44">
        <v>72</v>
      </c>
      <c r="AK133" s="15">
        <f>-M25</f>
        <v>12</v>
      </c>
      <c r="AL133" t="s" s="44">
        <v>72</v>
      </c>
      <c r="AM133" s="15">
        <f>-M26</f>
        <v>0</v>
      </c>
      <c r="AN133" t="s" s="48">
        <f>AN132</f>
        <v>514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523</v>
      </c>
      <c r="AF134" t="s" s="44">
        <f>IF(AG134&gt;0,"paid","(raised)")</f>
        <v>121</v>
      </c>
      <c r="AG134" s="15">
        <f>SUM(AM132:AM133)</f>
        <v>-74.90000000000001</v>
      </c>
      <c r="AH134" t="s" s="48">
        <f>AN104</f>
        <v>514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-74.90000000000001</v>
      </c>
      <c r="AM134" t="s" s="48">
        <f>AN104</f>
        <v>514</v>
      </c>
      <c r="AN134" t="s" s="44">
        <v>123</v>
      </c>
      <c r="AO134" s="15">
        <f>AM133</f>
        <v>0</v>
      </c>
      <c r="AP134" t="s" s="48">
        <f>AN104</f>
        <v>514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8.9404173610671</v>
      </c>
      <c r="AU134" t="s" s="48">
        <f>AN104</f>
        <v>514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5477.680234496</v>
      </c>
      <c r="AG135" t="s" s="48">
        <f>AN104</f>
        <v>514</v>
      </c>
      <c r="AH135" t="s" s="44">
        <v>128</v>
      </c>
      <c r="AI135" t="s" s="44">
        <v>129</v>
      </c>
      <c r="AJ135" s="43">
        <f>AH82</f>
        <v>2.88754888481603</v>
      </c>
      <c r="AK135" t="s" s="44">
        <v>130</v>
      </c>
      <c r="AL135" t="s" s="44">
        <v>131</v>
      </c>
      <c r="AM135" t="s" s="44">
        <v>132</v>
      </c>
      <c r="AN135" s="15">
        <f>AH85</f>
        <v>211.846933259270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8.94041736106711</v>
      </c>
      <c r="AG136" t="s" s="48">
        <f>AG135</f>
        <v>514</v>
      </c>
      <c r="AH136" t="s" s="44">
        <v>136</v>
      </c>
      <c r="AI136" s="15">
        <f>AF135/AF136</f>
        <v>612.687306786111</v>
      </c>
      <c r="AJ136" t="s" s="44">
        <v>130</v>
      </c>
      <c r="AK136" t="s" s="44">
        <v>137</v>
      </c>
      <c r="AL136" t="s" s="44">
        <v>138</v>
      </c>
      <c r="AM136" s="15">
        <f>AH86</f>
        <v>450</v>
      </c>
      <c r="AN136" t="s" s="44">
        <v>139</v>
      </c>
      <c r="AO136" t="s" s="44">
        <v>140</v>
      </c>
      <c r="AP136" t="s" s="44">
        <v>141</v>
      </c>
      <c r="AQ136" s="16">
        <f>AJ94</f>
        <v>-0.265530728291886</v>
      </c>
      <c r="AR136" t="s" s="44">
        <f>IF(AQ136&gt;0,"higher","lower")</f>
        <v>104</v>
      </c>
      <c r="AS136" t="s" s="44">
        <v>142</v>
      </c>
      <c r="AT136" s="15">
        <f>AH94</f>
        <v>336.386926442316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523</v>
      </c>
      <c r="AF138" t="s" s="44">
        <f>AE146</f>
        <v>394</v>
      </c>
      <c r="AG138" t="s" s="44">
        <f>AF146</f>
        <v>395</v>
      </c>
      <c r="AH138" s="16">
        <f>AG146</f>
        <v>0.0345423143350604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458</v>
      </c>
      <c r="AG139" t="s" s="44">
        <f>AG94</f>
        <v>61</v>
      </c>
      <c r="AH139" s="15">
        <f>AH94</f>
        <v>336.386926442316</v>
      </c>
      <c r="AI139" t="s" s="44">
        <f>AI94</f>
      </c>
      <c r="AJ139" s="16">
        <f>AJ94</f>
        <v>-0.265530728291886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0.31359649122807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</c>
      <c r="AH143" s="16">
        <f>AH98</f>
        <v>-0.0207387060099999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</c>
      <c r="AH144" s="16">
        <f>AH99</f>
        <v>-0.0195520723034418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-0.0916446339526405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0.0345423143350604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-0.06397536777283611</v>
      </c>
      <c r="AF148" s="16">
        <f>AF103</f>
        <v>0.0986842105263158</v>
      </c>
      <c r="AG148" s="16">
        <f>AG103</f>
        <v>0.0236194278110446</v>
      </c>
      <c r="AH148" s="16">
        <f>AH103</f>
        <v>0.129021774455639</v>
      </c>
      <c r="AI148" s="16">
        <f>AI103</f>
        <v>0.0345423143350604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273.6</v>
      </c>
      <c r="AF149" t="s" s="44">
        <f>AF104</f>
        <v>72</v>
      </c>
      <c r="AG149" s="15">
        <f>AG104</f>
        <v>300.6</v>
      </c>
      <c r="AH149" t="s" s="44">
        <f>AH104</f>
        <v>72</v>
      </c>
      <c r="AI149" s="15">
        <f>AI104</f>
        <v>307.7</v>
      </c>
      <c r="AJ149" t="s" s="44">
        <f>AJ104</f>
        <v>72</v>
      </c>
      <c r="AK149" s="15">
        <f>AK104</f>
        <v>347.4</v>
      </c>
      <c r="AL149" t="s" s="44">
        <f>AL104</f>
        <v>72</v>
      </c>
      <c r="AM149" s="15">
        <f>AM104</f>
        <v>359.4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0.0345423143350604</v>
      </c>
      <c r="AH150" t="s" s="44">
        <v>408</v>
      </c>
      <c r="AI150" t="s" s="44">
        <v>409</v>
      </c>
      <c r="AJ150" t="s" s="44">
        <v>410</v>
      </c>
      <c r="AK150" s="15">
        <f>AL105</f>
        <v>359.4</v>
      </c>
      <c r="AL150" t="s" s="44">
        <f>AN149</f>
        <v>407</v>
      </c>
      <c r="AM150" t="s" s="44">
        <v>411</v>
      </c>
      <c r="AN150" t="s" s="44">
        <f>AO105</f>
        <v>361</v>
      </c>
      <c r="AO150" s="16">
        <f>AP105</f>
        <v>0.0239767618112191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0.07146693178201501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0.045</v>
      </c>
      <c r="AG152" t="s" s="44">
        <v>415</v>
      </c>
      <c r="AH152" t="s" s="44">
        <v>416</v>
      </c>
      <c r="AI152" s="23">
        <f>AI107</f>
        <v>428.059585518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419</v>
      </c>
      <c r="AG153" t="s" s="44">
        <v>418</v>
      </c>
      <c r="AH153" t="s" s="44">
        <f>IF(AK156&lt;AI156,"turun","tumbuh")</f>
        <v>395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0.244517543859649</v>
      </c>
      <c r="AF155" s="16">
        <f>AF110</f>
        <v>0.2228875582169</v>
      </c>
      <c r="AG155" s="16">
        <f>AG110</f>
        <v>0.2187195320117</v>
      </c>
      <c r="AH155" s="16">
        <f>AH110</f>
        <v>0.24006908462867</v>
      </c>
      <c r="AI155" s="16">
        <f>AI110</f>
        <v>0.210907067334446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44.8</v>
      </c>
      <c r="AF156" t="s" s="44">
        <f>AF111</f>
        <v>72</v>
      </c>
      <c r="AG156" s="15">
        <f>AG111</f>
        <v>44.1</v>
      </c>
      <c r="AH156" t="s" s="44">
        <f>AH111</f>
        <v>72</v>
      </c>
      <c r="AI156" s="15">
        <f>AI111</f>
        <v>45.8</v>
      </c>
      <c r="AJ156" t="s" s="44">
        <f>AJ111</f>
        <v>72</v>
      </c>
      <c r="AK156" s="15">
        <f>AK111</f>
        <v>57.1</v>
      </c>
      <c r="AL156" t="s" s="44">
        <f>AL111</f>
        <v>72</v>
      </c>
      <c r="AM156" s="15">
        <f>AM111</f>
        <v>48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0.24006908462867</v>
      </c>
      <c r="AG157" t="s" s="85">
        <v>422</v>
      </c>
      <c r="AH157" s="16">
        <f>AH112</f>
        <v>0.210907067334446</v>
      </c>
      <c r="AI157" t="s" s="85">
        <v>423</v>
      </c>
      <c r="AJ157" s="15">
        <f>AJ112</f>
        <v>57.1</v>
      </c>
      <c r="AK157" t="s" s="44">
        <v>410</v>
      </c>
      <c r="AL157" s="15">
        <f>AL112</f>
        <v>48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0.223145810547929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0.223145810547929</v>
      </c>
      <c r="AG159" t="s" s="85">
        <v>427</v>
      </c>
      <c r="AH159" s="15">
        <f>AH114</f>
        <v>70.3197031732246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524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90.7</v>
      </c>
      <c r="AG161" s="15">
        <f>ABS(AH165)</f>
        <v>89.7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19.9</v>
      </c>
      <c r="AF163" t="s" s="44">
        <f>AF118</f>
        <v>72</v>
      </c>
      <c r="AG163" s="15">
        <f>AG118</f>
        <v>108.5</v>
      </c>
      <c r="AH163" t="s" s="44">
        <f>AH118</f>
        <v>72</v>
      </c>
      <c r="AI163" s="15">
        <f>AI118</f>
        <v>134.2</v>
      </c>
      <c r="AJ163" t="s" s="44">
        <f>AJ118</f>
        <v>72</v>
      </c>
      <c r="AK163" s="15">
        <f>AK118</f>
        <v>10.5</v>
      </c>
      <c r="AL163" t="s" s="44">
        <f>AL118</f>
        <v>72</v>
      </c>
      <c r="AM163" s="15">
        <f>AM118</f>
        <v>48.7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-10</v>
      </c>
      <c r="AF164" t="s" s="44">
        <f>AF119</f>
        <v>72</v>
      </c>
      <c r="AG164" s="15">
        <f>AG119</f>
        <v>-95.40000000000001</v>
      </c>
      <c r="AH164" t="s" s="44">
        <f>AH119</f>
        <v>72</v>
      </c>
      <c r="AI164" s="15">
        <f>AI119</f>
        <v>-80.5</v>
      </c>
      <c r="AJ164" t="s" s="44">
        <f>AJ119</f>
        <v>72</v>
      </c>
      <c r="AK164" s="15">
        <f>AK119</f>
        <v>-101.2</v>
      </c>
      <c r="AL164" t="s" s="44">
        <f>AL119</f>
        <v>72</v>
      </c>
      <c r="AM164" s="15">
        <f>AM119</f>
        <v>-138.4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-90.7</v>
      </c>
      <c r="AG165" t="s" s="44">
        <v>410</v>
      </c>
      <c r="AH165" s="15">
        <f>AH120</f>
        <v>-89.7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-138.4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-28.4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-87.95</v>
      </c>
      <c r="AG167" t="s" s="44">
        <f>AN149</f>
        <v>407</v>
      </c>
      <c r="AH167" t="s" s="85">
        <v>435</v>
      </c>
      <c r="AI167" s="15">
        <f>AL122</f>
        <v>2.23510434026678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419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15</v>
      </c>
      <c r="AF170" t="s" s="44">
        <f>AF125</f>
        <v>72</v>
      </c>
      <c r="AG170" s="15">
        <f>AG125</f>
        <v>5</v>
      </c>
      <c r="AH170" t="s" s="44">
        <f>AH125</f>
        <v>72</v>
      </c>
      <c r="AI170" s="15">
        <f>AI125</f>
        <v>23</v>
      </c>
      <c r="AJ170" t="s" s="44">
        <f>AJ125</f>
        <v>72</v>
      </c>
      <c r="AK170" s="15">
        <f>AK125</f>
        <v>17</v>
      </c>
      <c r="AL170" t="s" s="44">
        <f>AL125</f>
        <v>72</v>
      </c>
      <c r="AM170" s="15">
        <f>AM125</f>
        <v>3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368</v>
      </c>
      <c r="AF171" t="s" s="44">
        <f>AF126</f>
        <v>72</v>
      </c>
      <c r="AG171" s="15">
        <f>AG126</f>
        <v>347</v>
      </c>
      <c r="AH171" t="s" s="44">
        <f>AH126</f>
        <v>72</v>
      </c>
      <c r="AI171" s="15">
        <f>AI126</f>
        <v>386</v>
      </c>
      <c r="AJ171" t="s" s="44">
        <f>AJ126</f>
        <v>72</v>
      </c>
      <c r="AK171" s="15">
        <f>AK126</f>
        <v>474</v>
      </c>
      <c r="AL171" t="s" s="44">
        <f>AL126</f>
        <v>72</v>
      </c>
      <c r="AM171" s="15">
        <f>AM126</f>
        <v>505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516</v>
      </c>
      <c r="AG172" s="15">
        <f>AG127</f>
        <v>17</v>
      </c>
      <c r="AH172" t="s" s="44">
        <f>AG165</f>
        <v>410</v>
      </c>
      <c r="AI172" s="15">
        <f>AI127</f>
        <v>3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440</v>
      </c>
      <c r="AG173" s="15">
        <f>AG128</f>
        <v>474</v>
      </c>
      <c r="AH173" t="s" s="44">
        <f>AG165</f>
        <v>410</v>
      </c>
      <c r="AI173" s="15">
        <f>AI128</f>
        <v>505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516</v>
      </c>
      <c r="AN173" s="15">
        <f>AN128</f>
        <v>-457</v>
      </c>
      <c r="AO173" t="s" s="44">
        <f>AH173</f>
        <v>410</v>
      </c>
      <c r="AP173" s="15">
        <f>AP128</f>
        <v>-502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-8.9404173610671</v>
      </c>
      <c r="AJ174" t="s" s="44">
        <f>AG174</f>
        <v>407</v>
      </c>
      <c r="AK174" t="s" s="85">
        <v>446</v>
      </c>
      <c r="AL174" s="15">
        <f>AN129</f>
        <v>-493.059582638933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32.05" customHeight="1">
      <c r="AC175" s="36"/>
      <c r="AD175" s="38"/>
      <c r="AE175" t="s" s="44">
        <v>448</v>
      </c>
      <c r="AF175" t="s" s="44">
        <f>IF(AF130="(raised)","(yang dihimpun)","(yang dibayarkan)")</f>
        <v>525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67.5</v>
      </c>
      <c r="AF177" t="s" s="44">
        <f>AF132</f>
        <v>72</v>
      </c>
      <c r="AG177" s="15">
        <f>AG132</f>
        <v>-8.5</v>
      </c>
      <c r="AH177" t="s" s="44">
        <f>AH132</f>
        <v>72</v>
      </c>
      <c r="AI177" s="15">
        <f>AI132</f>
        <v>33</v>
      </c>
      <c r="AJ177" t="s" s="44">
        <f>AJ132</f>
        <v>72</v>
      </c>
      <c r="AK177" s="15">
        <f>AK132</f>
        <v>-98.59999999999999</v>
      </c>
      <c r="AL177" t="s" s="44">
        <f>AL132</f>
        <v>72</v>
      </c>
      <c r="AM177" s="15">
        <f>AM132</f>
        <v>-74.90000000000001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15.9</v>
      </c>
      <c r="AF178" t="s" s="44">
        <f>AF133</f>
        <v>72</v>
      </c>
      <c r="AG178" s="15">
        <f>AG133</f>
        <v>29.9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12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523</v>
      </c>
      <c r="AF179" t="s" s="44">
        <f>IF(AF175="(yang dihimpun)","(menghimpun)","(membayarkan)")</f>
        <v>526</v>
      </c>
      <c r="AG179" s="15">
        <f>AG134</f>
        <v>-74.90000000000001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-74.90000000000001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8.9404173610671</v>
      </c>
      <c r="AU179" t="s" s="44">
        <f>AN178</f>
        <v>407</v>
      </c>
      <c r="AV179" t="s" s="44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5477.680234496</v>
      </c>
      <c r="AG180" t="s" s="44">
        <f>AN149</f>
        <v>407</v>
      </c>
      <c r="AH180" t="s" s="85">
        <v>458</v>
      </c>
      <c r="AI180" s="40">
        <f>AJ135</f>
        <v>2.88754888481603</v>
      </c>
      <c r="AJ180" t="s" s="44">
        <v>459</v>
      </c>
      <c r="AK180" t="s" s="85">
        <v>460</v>
      </c>
      <c r="AL180" s="15">
        <f>AN135</f>
        <v>211.846933259270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8.94041736106711</v>
      </c>
      <c r="AG181" t="s" s="44">
        <f>AN149</f>
        <v>407</v>
      </c>
      <c r="AH181" t="s" s="85">
        <v>463</v>
      </c>
      <c r="AI181" s="15">
        <f>AI136</f>
        <v>612.687306786111</v>
      </c>
      <c r="AJ181" t="s" s="44">
        <v>464</v>
      </c>
      <c r="AK181" t="s" s="85">
        <v>465</v>
      </c>
      <c r="AL181" s="15">
        <f>AM136</f>
        <v>450</v>
      </c>
      <c r="AM181" t="s" s="44">
        <v>466</v>
      </c>
      <c r="AN181" t="s" s="85">
        <v>467</v>
      </c>
      <c r="AO181" t="s" s="44">
        <f>IF(AP181&gt;0,"+","")</f>
      </c>
      <c r="AP181" s="16">
        <f>AQ136</f>
        <v>-0.265530728291886</v>
      </c>
      <c r="AQ181" t="s" s="85">
        <v>468</v>
      </c>
      <c r="AR181" s="15">
        <f>AT136</f>
        <v>336.386926442316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273.6</v>
      </c>
      <c r="AE183" s="15">
        <f>AG104</f>
        <v>300.6</v>
      </c>
      <c r="AF183" s="15">
        <f>AI104</f>
        <v>307.7</v>
      </c>
      <c r="AG183" s="15">
        <f>AK104</f>
        <v>347.4</v>
      </c>
      <c r="AH183" s="15">
        <f>AM104</f>
        <v>359.4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9.9</v>
      </c>
      <c r="AE184" s="15">
        <f>SUM(AG118:AG119)</f>
        <v>13.1</v>
      </c>
      <c r="AF184" s="15">
        <f>SUM(AI118:AI119)</f>
        <v>53.7</v>
      </c>
      <c r="AG184" s="15">
        <f>SUM(AK118:AK119)</f>
        <v>-90.7</v>
      </c>
      <c r="AH184" s="15">
        <f>SUM(AM118:AM119)</f>
        <v>-89.7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83.40000000000001</v>
      </c>
      <c r="AE185" s="15">
        <f>SUM(AG132:AG133)</f>
        <v>21.4</v>
      </c>
      <c r="AF185" s="15">
        <f>SUM(AI132:AI133)</f>
        <v>33</v>
      </c>
      <c r="AG185" s="15">
        <f>SUM(AK132:AK133)</f>
        <v>-86.59999999999999</v>
      </c>
      <c r="AH185" s="15">
        <f>SUM(AM132:AM133)</f>
        <v>-74.90000000000001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-353</v>
      </c>
      <c r="AE186" s="15">
        <f>(AG125-AG126)</f>
        <v>-342</v>
      </c>
      <c r="AF186" s="15">
        <f>(AI125-AI126)</f>
        <v>-363</v>
      </c>
      <c r="AG186" s="15">
        <f>(AK125-AK126)</f>
        <v>-457</v>
      </c>
      <c r="AH186" s="15">
        <f>(AM125-AM126)</f>
        <v>-502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336.386926442316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54" customWidth="1"/>
    <col min="2" max="28" width="10.4844" style="154" customWidth="1"/>
    <col min="29" max="29" width="18.9766" style="155" customWidth="1"/>
    <col min="30" max="48" width="9" style="155" customWidth="1"/>
    <col min="49" max="16384" width="16.3516" style="155" customWidth="1"/>
  </cols>
  <sheetData>
    <row r="1" ht="11.65" customHeight="1"/>
    <row r="2" ht="27.65" customHeight="1">
      <c r="B2" t="s" s="2">
        <v>527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237</v>
      </c>
      <c r="AA3" t="s" s="3">
        <v>19</v>
      </c>
      <c r="AB3" t="s" s="3">
        <v>20</v>
      </c>
    </row>
    <row r="4" ht="20.25" customHeight="1">
      <c r="B4" s="6">
        <v>2017</v>
      </c>
      <c r="C4" s="32"/>
      <c r="D4" s="9"/>
      <c r="E4" s="9"/>
      <c r="F4" s="9"/>
      <c r="G4" s="9"/>
      <c r="H4" s="9"/>
      <c r="I4" s="9"/>
      <c r="J4" s="9"/>
      <c r="K4" s="9"/>
      <c r="L4" s="9"/>
      <c r="M4" s="9"/>
      <c r="N4" s="59"/>
      <c r="O4" s="8"/>
      <c r="P4" s="9"/>
      <c r="Q4" s="9"/>
      <c r="R4" s="9"/>
      <c r="S4" s="9"/>
      <c r="T4" s="9"/>
      <c r="U4" s="9"/>
      <c r="V4" s="59">
        <f>-(L4+M4)</f>
        <v>0</v>
      </c>
      <c r="W4" s="9"/>
      <c r="X4" s="59">
        <f>F4-G4</f>
        <v>0</v>
      </c>
      <c r="Y4" s="9"/>
      <c r="Z4" s="8"/>
      <c r="AA4" s="11"/>
      <c r="AB4" s="12">
        <v>13.3</v>
      </c>
    </row>
    <row r="5" ht="20.05" customHeight="1">
      <c r="B5" s="13"/>
      <c r="C5" s="34"/>
      <c r="D5" s="17"/>
      <c r="E5" s="17"/>
      <c r="F5" s="17"/>
      <c r="G5" s="17"/>
      <c r="H5" s="17"/>
      <c r="I5" s="17"/>
      <c r="J5" s="17"/>
      <c r="K5" s="17"/>
      <c r="L5" s="17"/>
      <c r="M5" s="17"/>
      <c r="N5" s="26"/>
      <c r="O5" s="15"/>
      <c r="P5" s="16"/>
      <c r="Q5" s="17"/>
      <c r="R5" s="17"/>
      <c r="S5" s="17"/>
      <c r="T5" s="17"/>
      <c r="U5" s="17"/>
      <c r="V5" s="26">
        <f>-(L5+M5)+V4</f>
        <v>0</v>
      </c>
      <c r="W5" s="17"/>
      <c r="X5" s="26">
        <f>F5-G5</f>
        <v>0</v>
      </c>
      <c r="Y5" s="17"/>
      <c r="Z5" s="15"/>
      <c r="AA5" s="19"/>
      <c r="AB5" s="20">
        <v>13.327</v>
      </c>
    </row>
    <row r="6" ht="20.05" customHeight="1">
      <c r="B6" s="13"/>
      <c r="C6" s="34"/>
      <c r="D6" s="17"/>
      <c r="E6" s="17"/>
      <c r="F6" s="17"/>
      <c r="G6" s="17"/>
      <c r="H6" s="17"/>
      <c r="I6" s="17"/>
      <c r="J6" s="17"/>
      <c r="K6" s="17"/>
      <c r="L6" s="17"/>
      <c r="M6" s="17"/>
      <c r="N6" s="26"/>
      <c r="O6" s="15"/>
      <c r="P6" s="16"/>
      <c r="Q6" s="17"/>
      <c r="R6" s="17"/>
      <c r="S6" s="17"/>
      <c r="T6" s="17"/>
      <c r="U6" s="17"/>
      <c r="V6" s="26">
        <f>-(L6+M6)+V5</f>
        <v>0</v>
      </c>
      <c r="W6" s="17"/>
      <c r="X6" s="26">
        <f>F6-G6</f>
        <v>0</v>
      </c>
      <c r="Y6" s="17"/>
      <c r="Z6" s="15"/>
      <c r="AA6" s="19"/>
      <c r="AB6" s="20">
        <v>13.305</v>
      </c>
    </row>
    <row r="7" ht="20.05" customHeight="1">
      <c r="B7" s="13"/>
      <c r="C7" s="34"/>
      <c r="D7" s="17"/>
      <c r="E7" s="17"/>
      <c r="F7" s="17"/>
      <c r="G7" s="17"/>
      <c r="H7" s="17"/>
      <c r="I7" s="17"/>
      <c r="J7" s="17"/>
      <c r="K7" s="17"/>
      <c r="L7" s="17"/>
      <c r="M7" s="17"/>
      <c r="N7" s="26"/>
      <c r="O7" s="15"/>
      <c r="P7" s="16"/>
      <c r="Q7" s="17"/>
      <c r="R7" s="17"/>
      <c r="S7" s="17"/>
      <c r="T7" s="17"/>
      <c r="U7" s="17"/>
      <c r="V7" s="26">
        <f>-(L7+M7)+V6</f>
        <v>0</v>
      </c>
      <c r="W7" s="17"/>
      <c r="X7" s="26">
        <f>F7-G7</f>
        <v>0</v>
      </c>
      <c r="Y7" s="17"/>
      <c r="Z7" s="15"/>
      <c r="AA7" s="19"/>
      <c r="AB7" s="20">
        <v>13.557</v>
      </c>
    </row>
    <row r="8" ht="20.05" customHeight="1">
      <c r="B8" s="21">
        <v>2018</v>
      </c>
      <c r="C8" s="67">
        <v>843.8</v>
      </c>
      <c r="D8" s="15">
        <v>41.1</v>
      </c>
      <c r="E8" s="15">
        <v>-218</v>
      </c>
      <c r="F8" s="15">
        <v>0</v>
      </c>
      <c r="G8" s="15">
        <v>0</v>
      </c>
      <c r="H8" s="15">
        <v>0</v>
      </c>
      <c r="I8" s="15">
        <v>892.6</v>
      </c>
      <c r="J8" s="15">
        <v>71.8</v>
      </c>
      <c r="K8" s="15">
        <v>-30.6</v>
      </c>
      <c r="L8" s="15">
        <v>0</v>
      </c>
      <c r="M8" s="15">
        <v>0</v>
      </c>
      <c r="N8" s="15">
        <f>SUM(C5:C8)/4</f>
        <v>210.95</v>
      </c>
      <c r="O8" s="15"/>
      <c r="P8" s="16"/>
      <c r="Q8" s="16"/>
      <c r="R8" s="16"/>
      <c r="S8" s="17"/>
      <c r="T8" s="26">
        <f>SUM(J5:K8)/4</f>
        <v>10.3</v>
      </c>
      <c r="U8" s="17"/>
      <c r="V8" s="26">
        <f>-(L8+M8)+V7</f>
        <v>0</v>
      </c>
      <c r="W8" s="17"/>
      <c r="X8" s="15">
        <f>F8-G8</f>
        <v>0</v>
      </c>
      <c r="Y8" s="24"/>
      <c r="Z8" s="15"/>
      <c r="AA8" s="22"/>
      <c r="AB8" s="20">
        <v>13.761</v>
      </c>
    </row>
    <row r="9" ht="20.05" customHeight="1">
      <c r="B9" s="13"/>
      <c r="C9" s="67">
        <v>992.6</v>
      </c>
      <c r="D9" s="15">
        <v>46.7</v>
      </c>
      <c r="E9" s="15">
        <v>-203.3</v>
      </c>
      <c r="F9" s="15">
        <v>0</v>
      </c>
      <c r="G9" s="15">
        <v>0</v>
      </c>
      <c r="H9" s="15">
        <v>0</v>
      </c>
      <c r="I9" s="15">
        <v>1053.6</v>
      </c>
      <c r="J9" s="15">
        <v>-136.2</v>
      </c>
      <c r="K9" s="15">
        <v>-34.3</v>
      </c>
      <c r="L9" s="15">
        <v>0</v>
      </c>
      <c r="M9" s="15">
        <v>0</v>
      </c>
      <c r="N9" s="15">
        <f>SUM(C6:C9)/4</f>
        <v>459.1</v>
      </c>
      <c r="O9" s="15"/>
      <c r="P9" s="16"/>
      <c r="Q9" s="16">
        <f>(E9+D9)/C9</f>
        <v>-0.157767479347169</v>
      </c>
      <c r="R9" s="16"/>
      <c r="S9" s="17"/>
      <c r="T9" s="15">
        <f>SUM(J6:K9)/4</f>
        <v>-32.325</v>
      </c>
      <c r="U9" s="17"/>
      <c r="V9" s="26">
        <f>-(L9+M9)+V8</f>
        <v>0</v>
      </c>
      <c r="W9" s="17"/>
      <c r="X9" s="15">
        <f>F9-G9</f>
        <v>0</v>
      </c>
      <c r="Y9" s="24"/>
      <c r="Z9" s="15"/>
      <c r="AA9" s="22"/>
      <c r="AB9" s="20">
        <v>14</v>
      </c>
    </row>
    <row r="10" ht="20.05" customHeight="1">
      <c r="B10" s="13"/>
      <c r="C10" s="67">
        <v>1066.8</v>
      </c>
      <c r="D10" s="15">
        <v>44.3</v>
      </c>
      <c r="E10" s="15">
        <v>-214</v>
      </c>
      <c r="F10" s="15">
        <v>0</v>
      </c>
      <c r="G10" s="15">
        <v>0</v>
      </c>
      <c r="H10" s="15">
        <v>0</v>
      </c>
      <c r="I10" s="15">
        <v>977.5</v>
      </c>
      <c r="J10" s="15">
        <v>-432.9</v>
      </c>
      <c r="K10" s="15">
        <v>-7.8</v>
      </c>
      <c r="L10" s="15">
        <v>400</v>
      </c>
      <c r="M10" s="15">
        <v>0</v>
      </c>
      <c r="N10" s="15">
        <f>SUM(C7:C10)/4</f>
        <v>725.8</v>
      </c>
      <c r="O10" s="15"/>
      <c r="P10" s="16">
        <f>C10/C9-1</f>
        <v>0.07475317348377999</v>
      </c>
      <c r="Q10" s="16">
        <f>(E10+D10)/C10</f>
        <v>-0.159073865766779</v>
      </c>
      <c r="R10" s="16"/>
      <c r="S10" s="17"/>
      <c r="T10" s="15">
        <f>SUM(J7:K10)/4</f>
        <v>-142.5</v>
      </c>
      <c r="U10" s="17"/>
      <c r="V10" s="26">
        <f>-(L10+M10)+V9</f>
        <v>-400</v>
      </c>
      <c r="W10" s="17"/>
      <c r="X10" s="15">
        <f>F10-G10</f>
        <v>0</v>
      </c>
      <c r="Y10" s="24"/>
      <c r="Z10" s="15"/>
      <c r="AA10" s="22"/>
      <c r="AB10" s="20">
        <v>14.902</v>
      </c>
    </row>
    <row r="11" ht="20.05" customHeight="1">
      <c r="B11" s="13"/>
      <c r="C11" s="67">
        <v>1329.6</v>
      </c>
      <c r="D11" s="15">
        <v>46</v>
      </c>
      <c r="E11" s="15">
        <v>-271.7</v>
      </c>
      <c r="F11" s="15">
        <v>140</v>
      </c>
      <c r="G11" s="15">
        <v>3647</v>
      </c>
      <c r="H11" s="15">
        <v>2845</v>
      </c>
      <c r="I11" s="15">
        <v>1574.3</v>
      </c>
      <c r="J11" s="15">
        <v>-142.5</v>
      </c>
      <c r="K11" s="15">
        <v>244.4</v>
      </c>
      <c r="L11" s="15">
        <v>-26.4</v>
      </c>
      <c r="M11" s="15">
        <v>0</v>
      </c>
      <c r="N11" s="15">
        <f>SUM(C8:C11)/4</f>
        <v>1058.2</v>
      </c>
      <c r="O11" s="15"/>
      <c r="P11" s="16">
        <f>C11/C10-1</f>
        <v>0.246344206974128</v>
      </c>
      <c r="Q11" s="16">
        <f>(E11+D11)/C11</f>
        <v>-0.169750300842359</v>
      </c>
      <c r="R11" s="16"/>
      <c r="S11" s="17"/>
      <c r="T11" s="15">
        <f>SUM(J8:K11)/4</f>
        <v>-117.025</v>
      </c>
      <c r="U11" s="17"/>
      <c r="V11" s="26">
        <f>-(L11+M11)+V10</f>
        <v>-373.6</v>
      </c>
      <c r="W11" s="17"/>
      <c r="X11" s="15">
        <f>F11-G11</f>
        <v>-3507</v>
      </c>
      <c r="Y11" s="24"/>
      <c r="Z11" s="15"/>
      <c r="AA11" s="22"/>
      <c r="AB11" s="20">
        <v>14.38</v>
      </c>
    </row>
    <row r="12" ht="20.05" customHeight="1">
      <c r="B12" s="21">
        <v>2019</v>
      </c>
      <c r="C12" s="67">
        <v>1332.6</v>
      </c>
      <c r="D12" s="15">
        <v>32.5</v>
      </c>
      <c r="E12" s="15">
        <v>-93.59999999999999</v>
      </c>
      <c r="F12" s="15">
        <v>328</v>
      </c>
      <c r="G12" s="15">
        <v>3040</v>
      </c>
      <c r="H12" s="15">
        <v>3271</v>
      </c>
      <c r="I12" s="15">
        <v>1422.6</v>
      </c>
      <c r="J12" s="15">
        <v>274.7</v>
      </c>
      <c r="K12" s="15">
        <v>-16.8</v>
      </c>
      <c r="L12" s="15">
        <v>-69.5</v>
      </c>
      <c r="M12" s="15">
        <v>0</v>
      </c>
      <c r="N12" s="15">
        <f>SUM(C9:C12)/4</f>
        <v>1180.4</v>
      </c>
      <c r="O12" s="23"/>
      <c r="P12" s="16">
        <f>C12/C11-1</f>
        <v>0.00225631768953069</v>
      </c>
      <c r="Q12" s="16">
        <f>(E12+D12)/C12</f>
        <v>-0.0458502176196908</v>
      </c>
      <c r="R12" s="16">
        <f>AVERAGE(Q9:Q12)</f>
        <v>-0.133110465893999</v>
      </c>
      <c r="S12" s="17"/>
      <c r="T12" s="15">
        <f>SUM(J9:K12)/4</f>
        <v>-62.85</v>
      </c>
      <c r="U12" s="17"/>
      <c r="V12" s="26">
        <f>-(L12+M12)+V11</f>
        <v>-304.1</v>
      </c>
      <c r="W12" s="17"/>
      <c r="X12" s="15">
        <f>F12-G12</f>
        <v>-2712</v>
      </c>
      <c r="Y12" s="24"/>
      <c r="Z12" s="18">
        <v>232</v>
      </c>
      <c r="AA12" s="22"/>
      <c r="AB12" s="20">
        <v>14.24</v>
      </c>
    </row>
    <row r="13" ht="20.05" customHeight="1">
      <c r="B13" s="13"/>
      <c r="C13" s="67">
        <v>1661.3</v>
      </c>
      <c r="D13" s="15">
        <v>38.1</v>
      </c>
      <c r="E13" s="15">
        <v>11</v>
      </c>
      <c r="F13" s="15">
        <v>319</v>
      </c>
      <c r="G13" s="15">
        <v>2915</v>
      </c>
      <c r="H13" s="15">
        <v>3179</v>
      </c>
      <c r="I13" s="15">
        <v>1681.3</v>
      </c>
      <c r="J13" s="15">
        <v>-1053</v>
      </c>
      <c r="K13" s="15">
        <v>-70.8</v>
      </c>
      <c r="L13" s="15">
        <v>1116.8</v>
      </c>
      <c r="M13" s="15">
        <v>0</v>
      </c>
      <c r="N13" s="15">
        <f>SUM(C10:C13)/4</f>
        <v>1347.575</v>
      </c>
      <c r="O13" s="23"/>
      <c r="P13" s="16">
        <f>C13/C12-1</f>
        <v>0.246660663364851</v>
      </c>
      <c r="Q13" s="16">
        <f>(E13+D13)/C13</f>
        <v>0.0295551676398002</v>
      </c>
      <c r="R13" s="16">
        <f>AVERAGE(Q10:Q13)</f>
        <v>-0.08627980414725719</v>
      </c>
      <c r="S13" s="17"/>
      <c r="T13" s="15">
        <f>SUM(J10:K13)/4</f>
        <v>-301.175</v>
      </c>
      <c r="U13" s="17"/>
      <c r="V13" s="26">
        <f>-(L13+M13)+V12</f>
        <v>-1420.9</v>
      </c>
      <c r="W13" s="17"/>
      <c r="X13" s="15">
        <f>F13-G13</f>
        <v>-2596</v>
      </c>
      <c r="Y13" s="24"/>
      <c r="Z13" s="18">
        <v>196</v>
      </c>
      <c r="AA13" s="24"/>
      <c r="AB13" s="15">
        <v>14.127</v>
      </c>
    </row>
    <row r="14" ht="20.05" customHeight="1">
      <c r="B14" s="13"/>
      <c r="C14" s="67">
        <v>1833</v>
      </c>
      <c r="D14" s="15">
        <v>1768.6</v>
      </c>
      <c r="E14" s="15">
        <v>83</v>
      </c>
      <c r="F14" s="15">
        <v>246</v>
      </c>
      <c r="G14" s="15">
        <v>2721</v>
      </c>
      <c r="H14" s="15">
        <v>3069</v>
      </c>
      <c r="I14" s="15">
        <v>1803.6</v>
      </c>
      <c r="J14" s="15">
        <v>-51</v>
      </c>
      <c r="K14" s="15">
        <v>-10.9</v>
      </c>
      <c r="L14" s="15">
        <v>-10.5</v>
      </c>
      <c r="M14" s="15">
        <v>0</v>
      </c>
      <c r="N14" s="15">
        <f>SUM(C11:C14)/4</f>
        <v>1539.125</v>
      </c>
      <c r="O14" s="23"/>
      <c r="P14" s="16">
        <f>C14/C13-1</f>
        <v>0.10335279600313</v>
      </c>
      <c r="Q14" s="16">
        <f>(E14+D14)/C14</f>
        <v>1.010147299509</v>
      </c>
      <c r="R14" s="16">
        <f>AVERAGE(Q11:Q14)</f>
        <v>0.206025487171688</v>
      </c>
      <c r="S14" s="17"/>
      <c r="T14" s="15">
        <f>SUM(J11:K14)/4</f>
        <v>-206.475</v>
      </c>
      <c r="U14" s="17"/>
      <c r="V14" s="26">
        <f>-(L14+M14)+V13</f>
        <v>-1410.4</v>
      </c>
      <c r="W14" s="17"/>
      <c r="X14" s="15">
        <f>F14-G14</f>
        <v>-2475</v>
      </c>
      <c r="Y14" s="24"/>
      <c r="Z14" s="18">
        <v>184</v>
      </c>
      <c r="AA14" s="24"/>
      <c r="AB14" s="15">
        <v>14.195</v>
      </c>
    </row>
    <row r="15" ht="20.05" customHeight="1">
      <c r="B15" s="13"/>
      <c r="C15" s="67">
        <v>1881.9</v>
      </c>
      <c r="D15" s="15">
        <v>690.6</v>
      </c>
      <c r="E15" s="15">
        <v>-157.8</v>
      </c>
      <c r="F15" s="15">
        <v>312</v>
      </c>
      <c r="G15" s="15">
        <v>2411</v>
      </c>
      <c r="H15" s="15">
        <v>2613</v>
      </c>
      <c r="I15" s="15">
        <v>1725</v>
      </c>
      <c r="J15" s="15">
        <v>-583.1</v>
      </c>
      <c r="K15" s="15">
        <v>662.3</v>
      </c>
      <c r="L15" s="15">
        <v>-10.5</v>
      </c>
      <c r="M15" s="15">
        <v>0</v>
      </c>
      <c r="N15" s="15">
        <f>SUM(C12:C15)/4</f>
        <v>1677.2</v>
      </c>
      <c r="O15" s="15"/>
      <c r="P15" s="16">
        <f>C15/C14-1</f>
        <v>0.0266775777414075</v>
      </c>
      <c r="Q15" s="16">
        <f>(E15+D15)/C15</f>
        <v>0.2831181252989</v>
      </c>
      <c r="R15" s="16">
        <f>AVERAGE(Q12:Q15)</f>
        <v>0.319242593707002</v>
      </c>
      <c r="S15" s="17"/>
      <c r="T15" s="15">
        <f>SUM(J12:K15)/4</f>
        <v>-212.15</v>
      </c>
      <c r="U15" s="17"/>
      <c r="V15" s="26">
        <f>-(L15+M15)+V14</f>
        <v>-1399.9</v>
      </c>
      <c r="W15" s="17"/>
      <c r="X15" s="15">
        <f>F15-G15</f>
        <v>-2099</v>
      </c>
      <c r="Y15" s="24"/>
      <c r="Z15" s="18">
        <v>184</v>
      </c>
      <c r="AA15" s="24"/>
      <c r="AB15" s="15">
        <v>13.882</v>
      </c>
    </row>
    <row r="16" ht="20.05" customHeight="1">
      <c r="B16" s="21">
        <v>2020</v>
      </c>
      <c r="C16" s="67">
        <v>1325</v>
      </c>
      <c r="D16" s="15">
        <v>615.9</v>
      </c>
      <c r="E16" s="15">
        <v>-343.3</v>
      </c>
      <c r="F16" s="15">
        <v>134</v>
      </c>
      <c r="G16" s="15">
        <v>8200</v>
      </c>
      <c r="H16" s="15">
        <v>7269</v>
      </c>
      <c r="I16" s="15">
        <v>1318.9</v>
      </c>
      <c r="J16" s="15">
        <v>-42.6</v>
      </c>
      <c r="K16" s="15">
        <v>-7.5</v>
      </c>
      <c r="L16" s="15">
        <v>-151.5</v>
      </c>
      <c r="M16" s="15">
        <v>0</v>
      </c>
      <c r="N16" s="15">
        <f>SUM(C13:C16)/4</f>
        <v>1675.3</v>
      </c>
      <c r="O16" s="15"/>
      <c r="P16" s="16">
        <f>C16/C15-1</f>
        <v>-0.295924331792338</v>
      </c>
      <c r="Q16" s="16">
        <f>(E16+D16)/C16</f>
        <v>0.205735849056604</v>
      </c>
      <c r="R16" s="16">
        <f>AVERAGE(Q13:Q16)</f>
        <v>0.382139110376076</v>
      </c>
      <c r="S16" s="17"/>
      <c r="T16" s="15">
        <f>SUM(J13:K16)/4</f>
        <v>-289.15</v>
      </c>
      <c r="U16" s="17"/>
      <c r="V16" s="26">
        <f>-(L16+M16)+V15</f>
        <v>-1248.4</v>
      </c>
      <c r="W16" s="17"/>
      <c r="X16" s="15">
        <f>F16-G16</f>
        <v>-8066</v>
      </c>
      <c r="Y16" s="24"/>
      <c r="Z16" s="18">
        <v>184</v>
      </c>
      <c r="AA16" s="24"/>
      <c r="AB16" s="15">
        <v>16.31</v>
      </c>
    </row>
    <row r="17" ht="20.05" customHeight="1">
      <c r="B17" s="13"/>
      <c r="C17" s="67">
        <v>17.5</v>
      </c>
      <c r="D17" s="15">
        <v>-47</v>
      </c>
      <c r="E17" s="15">
        <v>-566.3</v>
      </c>
      <c r="F17" s="15">
        <v>34</v>
      </c>
      <c r="G17" s="15">
        <v>8219</v>
      </c>
      <c r="H17" s="15">
        <v>6887</v>
      </c>
      <c r="I17" s="15">
        <v>184.7</v>
      </c>
      <c r="J17" s="15">
        <v>-80.3</v>
      </c>
      <c r="K17" s="15">
        <v>-5.1</v>
      </c>
      <c r="L17" s="15">
        <v>-3.6</v>
      </c>
      <c r="M17" s="15">
        <v>0</v>
      </c>
      <c r="N17" s="15">
        <f>SUM(C14:C17)/4</f>
        <v>1264.35</v>
      </c>
      <c r="O17" s="15"/>
      <c r="P17" s="16">
        <f>C17/C16-1</f>
        <v>-0.986792452830189</v>
      </c>
      <c r="Q17" s="16">
        <f>(E17+D17)/C17</f>
        <v>-35.0457142857143</v>
      </c>
      <c r="R17" s="16">
        <f>AVERAGE(Q14:Q17)</f>
        <v>-8.386678252962451</v>
      </c>
      <c r="S17" s="17"/>
      <c r="T17" s="15">
        <f>SUM(J14:K17)/4</f>
        <v>-29.55</v>
      </c>
      <c r="U17" s="17"/>
      <c r="V17" s="26">
        <f>-(L17+M17)+V16</f>
        <v>-1244.8</v>
      </c>
      <c r="W17" s="17"/>
      <c r="X17" s="15">
        <f>F17-G17</f>
        <v>-8185</v>
      </c>
      <c r="Y17" s="24"/>
      <c r="Z17" s="18">
        <v>184</v>
      </c>
      <c r="AA17" s="24"/>
      <c r="AB17" s="15">
        <v>14.255</v>
      </c>
    </row>
    <row r="18" ht="20.05" customHeight="1">
      <c r="B18" s="13"/>
      <c r="C18" s="67">
        <v>53.7</v>
      </c>
      <c r="D18" s="15">
        <v>286.5</v>
      </c>
      <c r="E18" s="15">
        <v>-805.6</v>
      </c>
      <c r="F18" s="15">
        <v>26</v>
      </c>
      <c r="G18" s="15">
        <v>8671</v>
      </c>
      <c r="H18" s="15">
        <v>6687</v>
      </c>
      <c r="I18" s="15">
        <v>108</v>
      </c>
      <c r="J18" s="15">
        <v>-67.09999999999999</v>
      </c>
      <c r="K18" s="15">
        <v>58</v>
      </c>
      <c r="L18" s="15">
        <v>0</v>
      </c>
      <c r="M18" s="15">
        <v>0</v>
      </c>
      <c r="N18" s="15">
        <f>SUM(C15:C18)/4</f>
        <v>819.525</v>
      </c>
      <c r="O18" s="15"/>
      <c r="P18" s="16">
        <f>C18/C17-1</f>
        <v>2.06857142857143</v>
      </c>
      <c r="Q18" s="16">
        <f>(E18+D18)/C18</f>
        <v>-9.66666666666667</v>
      </c>
      <c r="R18" s="16">
        <f>AVERAGE(Q15:Q18)</f>
        <v>-11.0558817445064</v>
      </c>
      <c r="S18" s="17"/>
      <c r="T18" s="15">
        <f>SUM(J15:K18)/4</f>
        <v>-16.35</v>
      </c>
      <c r="U18" s="17"/>
      <c r="V18" s="26">
        <f>-(L18+M18)+V17</f>
        <v>-1244.8</v>
      </c>
      <c r="W18" s="17"/>
      <c r="X18" s="15">
        <f>F18-G18</f>
        <v>-8645</v>
      </c>
      <c r="Y18" s="24"/>
      <c r="Z18" s="18">
        <v>184</v>
      </c>
      <c r="AA18" s="24"/>
      <c r="AB18" s="15">
        <v>14.79</v>
      </c>
    </row>
    <row r="19" ht="20.05" customHeight="1">
      <c r="B19" s="13"/>
      <c r="C19" s="67">
        <v>214.8</v>
      </c>
      <c r="D19" s="15">
        <v>290.6</v>
      </c>
      <c r="E19" s="15">
        <v>-1039.4</v>
      </c>
      <c r="F19" s="15">
        <v>19</v>
      </c>
      <c r="G19" s="15">
        <v>8991</v>
      </c>
      <c r="H19" s="15">
        <v>6080</v>
      </c>
      <c r="I19" s="15">
        <v>-57.3</v>
      </c>
      <c r="J19" s="15">
        <v>15.4</v>
      </c>
      <c r="K19" s="15">
        <v>-15.4</v>
      </c>
      <c r="L19" s="15">
        <v>-0.1</v>
      </c>
      <c r="M19" s="15">
        <v>0</v>
      </c>
      <c r="N19" s="15">
        <f>SUM(C16:C19)/4</f>
        <v>402.75</v>
      </c>
      <c r="O19" s="15"/>
      <c r="P19" s="16">
        <f>C19/C18-1</f>
        <v>3</v>
      </c>
      <c r="Q19" s="16">
        <f>(E19+D19)/C19</f>
        <v>-3.48603351955307</v>
      </c>
      <c r="R19" s="16">
        <f>AVERAGE(Q16:Q19)</f>
        <v>-11.9981696557194</v>
      </c>
      <c r="S19" s="17"/>
      <c r="T19" s="15">
        <f>SUM(J16:K19)/4</f>
        <v>-36.15</v>
      </c>
      <c r="U19" s="17"/>
      <c r="V19" s="26">
        <f>-(L19+M19)+V18</f>
        <v>-1244.7</v>
      </c>
      <c r="W19" s="17"/>
      <c r="X19" s="15">
        <f>F19-G19</f>
        <v>-8972</v>
      </c>
      <c r="Y19" s="24"/>
      <c r="Z19" s="18">
        <v>184</v>
      </c>
      <c r="AA19" s="24"/>
      <c r="AB19" s="15">
        <v>14.1</v>
      </c>
    </row>
    <row r="20" ht="20.05" customHeight="1">
      <c r="B20" s="21">
        <v>2021</v>
      </c>
      <c r="C20" s="67">
        <v>223.7</v>
      </c>
      <c r="D20" s="15">
        <v>282.9</v>
      </c>
      <c r="E20" s="15">
        <v>-749.7</v>
      </c>
      <c r="F20" s="15">
        <v>21</v>
      </c>
      <c r="G20" s="15">
        <v>9500</v>
      </c>
      <c r="H20" s="15">
        <v>5840</v>
      </c>
      <c r="I20" s="15">
        <v>197.7</v>
      </c>
      <c r="J20" s="15">
        <v>6.9</v>
      </c>
      <c r="K20" s="15">
        <v>-4.1</v>
      </c>
      <c r="L20" s="15">
        <v>0</v>
      </c>
      <c r="M20" s="15">
        <v>0</v>
      </c>
      <c r="N20" s="15">
        <f>SUM(C17:C20)/4</f>
        <v>127.425</v>
      </c>
      <c r="O20" s="15"/>
      <c r="P20" s="16">
        <f>C20/C19-1</f>
        <v>0.0414338919925512</v>
      </c>
      <c r="Q20" s="16">
        <f>(E20+D20)/C20</f>
        <v>-2.0867232901207</v>
      </c>
      <c r="R20" s="16">
        <f>AVERAGE(Q17:Q20)</f>
        <v>-12.5712844405137</v>
      </c>
      <c r="S20" s="17"/>
      <c r="T20" s="15">
        <f>SUM(J17:K20)/4</f>
        <v>-22.925</v>
      </c>
      <c r="U20" s="17"/>
      <c r="V20" s="26">
        <f>-(L20+M20)+V19</f>
        <v>-1244.7</v>
      </c>
      <c r="W20" s="17"/>
      <c r="X20" s="15">
        <f>F20-G20</f>
        <v>-9479</v>
      </c>
      <c r="Y20" s="15"/>
      <c r="Z20" s="18">
        <v>184</v>
      </c>
      <c r="AA20" s="17"/>
      <c r="AB20" s="15">
        <v>14.606</v>
      </c>
    </row>
    <row r="21" ht="20.05" customHeight="1">
      <c r="B21" s="13"/>
      <c r="C21" s="67">
        <v>229.7</v>
      </c>
      <c r="D21" s="15">
        <v>254.5</v>
      </c>
      <c r="E21" s="15">
        <v>-422.1</v>
      </c>
      <c r="F21" s="15">
        <v>16</v>
      </c>
      <c r="G21" s="15">
        <v>9624</v>
      </c>
      <c r="H21" s="15">
        <v>5577</v>
      </c>
      <c r="I21" s="15">
        <v>205.9</v>
      </c>
      <c r="J21" s="15">
        <v>-4.2</v>
      </c>
      <c r="K21" s="15">
        <v>-1.6</v>
      </c>
      <c r="L21" s="15">
        <v>0</v>
      </c>
      <c r="M21" s="15">
        <v>0</v>
      </c>
      <c r="N21" s="15">
        <f>SUM(C18:C21)/4</f>
        <v>180.475</v>
      </c>
      <c r="O21" s="15"/>
      <c r="P21" s="16">
        <f>C21/C20-1</f>
        <v>0.0268216361198033</v>
      </c>
      <c r="Q21" s="16">
        <f>(E21+D21)/C21</f>
        <v>-0.729647366129734</v>
      </c>
      <c r="R21" s="16">
        <f>AVERAGE(Q18:Q21)</f>
        <v>-3.99226771061754</v>
      </c>
      <c r="S21" s="17"/>
      <c r="T21" s="15">
        <f>SUM(J18:K21)/4</f>
        <v>-3.025</v>
      </c>
      <c r="U21" s="17"/>
      <c r="V21" s="26">
        <f>-(L21+M21)+V20</f>
        <v>-1244.7</v>
      </c>
      <c r="W21" s="17"/>
      <c r="X21" s="15">
        <f>F21-G21</f>
        <v>-9608</v>
      </c>
      <c r="Y21" s="15"/>
      <c r="Z21" s="18">
        <v>184</v>
      </c>
      <c r="AA21" s="17"/>
      <c r="AB21" s="15">
        <v>14.45</v>
      </c>
    </row>
    <row r="22" ht="20.05" customHeight="1">
      <c r="B22" s="13"/>
      <c r="C22" s="67">
        <v>34</v>
      </c>
      <c r="D22" s="15">
        <v>247</v>
      </c>
      <c r="E22" s="15">
        <v>-479.7</v>
      </c>
      <c r="F22" s="15">
        <v>24</v>
      </c>
      <c r="G22" s="15">
        <v>9864</v>
      </c>
      <c r="H22" s="15">
        <v>5338</v>
      </c>
      <c r="I22" s="15">
        <v>54.1</v>
      </c>
      <c r="J22" s="15">
        <v>11</v>
      </c>
      <c r="K22" s="15">
        <v>-2.4</v>
      </c>
      <c r="L22" s="15">
        <v>0</v>
      </c>
      <c r="M22" s="15">
        <v>0</v>
      </c>
      <c r="N22" s="15">
        <f>SUM(C19:C22)/4</f>
        <v>175.55</v>
      </c>
      <c r="O22" s="15"/>
      <c r="P22" s="16">
        <f>C22/C21-1</f>
        <v>-0.851980844579887</v>
      </c>
      <c r="Q22" s="16">
        <f>(E22+D22)/C22</f>
        <v>-6.84411764705882</v>
      </c>
      <c r="R22" s="16">
        <f>AVERAGE(Q19:Q22)</f>
        <v>-3.28663045571558</v>
      </c>
      <c r="S22" s="17"/>
      <c r="T22" s="15">
        <f>SUM(J19:K22)/4</f>
        <v>1.4</v>
      </c>
      <c r="U22" s="17"/>
      <c r="V22" s="26">
        <f>-(L22+M22)+V21</f>
        <v>-1244.7</v>
      </c>
      <c r="W22" s="17"/>
      <c r="X22" s="15">
        <f>F22-G22</f>
        <v>-9840</v>
      </c>
      <c r="Y22" s="15"/>
      <c r="Z22" s="18">
        <v>184</v>
      </c>
      <c r="AA22" s="17"/>
      <c r="AB22" s="15">
        <v>14.328</v>
      </c>
    </row>
    <row r="23" ht="20.05" customHeight="1">
      <c r="B23" s="13"/>
      <c r="C23" s="67">
        <v>138.6</v>
      </c>
      <c r="D23" s="15">
        <v>230.3</v>
      </c>
      <c r="E23" s="15">
        <v>-686.4</v>
      </c>
      <c r="F23" s="15">
        <v>21</v>
      </c>
      <c r="G23" s="15">
        <v>10354</v>
      </c>
      <c r="H23" s="15">
        <v>5149</v>
      </c>
      <c r="I23" s="15">
        <v>146</v>
      </c>
      <c r="J23" s="15">
        <v>2.5</v>
      </c>
      <c r="K23" s="15">
        <v>-1.5</v>
      </c>
      <c r="L23" s="15">
        <v>0</v>
      </c>
      <c r="M23" s="15">
        <v>0</v>
      </c>
      <c r="N23" s="15">
        <f>SUM(C20:C23)/4</f>
        <v>156.5</v>
      </c>
      <c r="O23" s="15"/>
      <c r="P23" s="16">
        <f>C23/C22-1</f>
        <v>3.07647058823529</v>
      </c>
      <c r="Q23" s="16">
        <f>(E23+D23)/C23</f>
        <v>-3.29076479076479</v>
      </c>
      <c r="R23" s="16">
        <f>AVERAGE(Q20:Q23)</f>
        <v>-3.23781327351851</v>
      </c>
      <c r="S23" s="17"/>
      <c r="T23" s="15">
        <f>SUM(J20:K23)/4</f>
        <v>1.65</v>
      </c>
      <c r="U23" s="17"/>
      <c r="V23" s="26">
        <f>-(L23+M23)+V22</f>
        <v>-1244.7</v>
      </c>
      <c r="W23" s="17"/>
      <c r="X23" s="15">
        <f>F23-G23</f>
        <v>-10333</v>
      </c>
      <c r="Y23" s="15"/>
      <c r="Z23" s="15">
        <v>184</v>
      </c>
      <c r="AA23" s="17"/>
      <c r="AB23" s="15">
        <v>14.275</v>
      </c>
    </row>
    <row r="24" ht="20.05" customHeight="1">
      <c r="B24" s="21">
        <v>2022</v>
      </c>
      <c r="C24" s="67">
        <v>223.7</v>
      </c>
      <c r="D24" s="15">
        <v>198.5</v>
      </c>
      <c r="E24" s="15">
        <v>-501.6</v>
      </c>
      <c r="F24" s="15">
        <v>63</v>
      </c>
      <c r="G24" s="15">
        <v>10691</v>
      </c>
      <c r="H24" s="15">
        <v>4984</v>
      </c>
      <c r="I24" s="15">
        <v>275.7</v>
      </c>
      <c r="J24" s="15">
        <v>44.1</v>
      </c>
      <c r="K24" s="15">
        <v>-1.8</v>
      </c>
      <c r="L24" s="15">
        <v>0</v>
      </c>
      <c r="M24" s="15">
        <v>0</v>
      </c>
      <c r="N24" s="15">
        <f>SUM(C21:C24)/4</f>
        <v>156.5</v>
      </c>
      <c r="O24" s="15"/>
      <c r="P24" s="16">
        <f>C24/C23-1</f>
        <v>0.613997113997114</v>
      </c>
      <c r="Q24" s="16">
        <f>(E24+D24)/C24</f>
        <v>-1.35493965131873</v>
      </c>
      <c r="R24" s="16">
        <f>AVERAGE(Q21:Q24)</f>
        <v>-3.05486736381802</v>
      </c>
      <c r="S24" s="35"/>
      <c r="T24" s="15">
        <f>SUM(J21:K24)/4</f>
        <v>11.525</v>
      </c>
      <c r="U24" s="15"/>
      <c r="V24" s="26">
        <f>-(L24+M24)+V23</f>
        <v>-1244.7</v>
      </c>
      <c r="W24" s="15"/>
      <c r="X24" s="15">
        <f>F24-G24</f>
        <v>-10628</v>
      </c>
      <c r="Y24" s="15"/>
      <c r="Z24" s="15">
        <v>760</v>
      </c>
      <c r="AA24" s="140"/>
      <c r="AB24" s="15">
        <v>14.327</v>
      </c>
    </row>
    <row r="25" ht="20.05" customHeight="1">
      <c r="B25" s="13"/>
      <c r="C25" s="67">
        <v>868.3</v>
      </c>
      <c r="D25" s="15">
        <v>196.5</v>
      </c>
      <c r="E25" s="15">
        <v>-555.4</v>
      </c>
      <c r="F25" s="15">
        <v>284</v>
      </c>
      <c r="G25" s="15">
        <v>11326</v>
      </c>
      <c r="H25" s="15">
        <v>5064</v>
      </c>
      <c r="I25" s="15">
        <v>1093.3</v>
      </c>
      <c r="J25" s="15">
        <v>226.5</v>
      </c>
      <c r="K25" s="15">
        <v>-5</v>
      </c>
      <c r="L25" s="15">
        <v>-2.7</v>
      </c>
      <c r="M25" s="15">
        <v>0</v>
      </c>
      <c r="N25" s="15">
        <f>SUM(C22:C25)/4</f>
        <v>316.15</v>
      </c>
      <c r="O25" s="15">
        <v>279.625</v>
      </c>
      <c r="P25" s="16">
        <f>C25/C24-1</f>
        <v>2.8815377738042</v>
      </c>
      <c r="Q25" s="16">
        <f>(E25+D25)/C25</f>
        <v>-0.413336404468502</v>
      </c>
      <c r="R25" s="16">
        <f>AVERAGE(Q22:Q25)</f>
        <v>-2.97578962340271</v>
      </c>
      <c r="S25" s="35"/>
      <c r="T25" s="15">
        <f>SUM(J22:K25)/4</f>
        <v>68.34999999999999</v>
      </c>
      <c r="U25" s="15">
        <v>30.796376507760</v>
      </c>
      <c r="V25" s="26">
        <f>-(L25+M25)+V24</f>
        <v>-1242</v>
      </c>
      <c r="W25" s="15"/>
      <c r="X25" s="15">
        <f>F25-G25</f>
        <v>-11042</v>
      </c>
      <c r="Y25" s="15">
        <v>-10504.814493969</v>
      </c>
      <c r="Z25" s="26">
        <v>214</v>
      </c>
      <c r="AA25" s="17"/>
      <c r="AB25" s="15">
        <v>14.66</v>
      </c>
    </row>
    <row r="26" ht="20.05" customHeight="1">
      <c r="B26" s="13"/>
      <c r="C26" s="67">
        <v>1362.8</v>
      </c>
      <c r="D26" s="15">
        <v>190.2</v>
      </c>
      <c r="E26" s="15">
        <v>-423.2</v>
      </c>
      <c r="F26" s="15">
        <v>132</v>
      </c>
      <c r="G26" s="15">
        <v>11470</v>
      </c>
      <c r="H26" s="15">
        <v>4785</v>
      </c>
      <c r="I26" s="15">
        <v>1479.1</v>
      </c>
      <c r="J26" s="15">
        <v>-139.6</v>
      </c>
      <c r="K26" s="15">
        <v>-6.9</v>
      </c>
      <c r="L26" s="15">
        <v>-2.7</v>
      </c>
      <c r="M26" s="15">
        <v>0</v>
      </c>
      <c r="N26" s="15">
        <f>AVERAGE(C26)</f>
        <v>1362.8</v>
      </c>
      <c r="O26" s="15">
        <v>543.572</v>
      </c>
      <c r="P26" s="16">
        <f>C26/C25-1</f>
        <v>0.569503627778418</v>
      </c>
      <c r="Q26" s="16">
        <f>(E26+D26)/C26</f>
        <v>-0.170971529204579</v>
      </c>
      <c r="R26" s="16">
        <f>AVERAGE(Q23:Q26)</f>
        <v>-1.30750309393915</v>
      </c>
      <c r="S26" s="35">
        <f>S27</f>
        <v>0.0295551676398002</v>
      </c>
      <c r="T26" s="15">
        <f>SUM(J23:K26)/4</f>
        <v>29.575</v>
      </c>
      <c r="U26" s="15">
        <v>86.15099129276879</v>
      </c>
      <c r="V26" s="26">
        <f>-(L26+M26)+V25</f>
        <v>-1239.3</v>
      </c>
      <c r="W26" s="15">
        <f>W27</f>
        <v>-1041.3621928222</v>
      </c>
      <c r="X26" s="15">
        <f>F26-G26</f>
        <v>-11338</v>
      </c>
      <c r="Y26" s="15">
        <v>-10918.9795589174</v>
      </c>
      <c r="Z26" s="26">
        <v>266</v>
      </c>
      <c r="AA26" s="15">
        <v>322.508880720860</v>
      </c>
      <c r="AB26" s="15">
        <v>15.705</v>
      </c>
    </row>
    <row r="27" ht="20.05" customHeight="1">
      <c r="B27" s="13"/>
      <c r="C27" s="67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1735.2109932</v>
      </c>
      <c r="P27" s="17"/>
      <c r="Q27" s="17"/>
      <c r="R27" s="17"/>
      <c r="S27" s="35">
        <f>AE53</f>
        <v>0.0295551676398002</v>
      </c>
      <c r="T27" s="17"/>
      <c r="U27" s="15">
        <f>SUM(AE55:AH55)/4</f>
        <v>49.4844517944502</v>
      </c>
      <c r="V27" s="17"/>
      <c r="W27" s="15">
        <f>-SUM(AE76:AH76)+V26</f>
        <v>-1041.3621928222</v>
      </c>
      <c r="X27" s="17"/>
      <c r="Y27" s="15">
        <f>AH75</f>
        <v>-11140.0621928222</v>
      </c>
      <c r="Z27" s="15">
        <v>174</v>
      </c>
      <c r="AA27" s="140">
        <v>230.574361797496</v>
      </c>
      <c r="AB27" s="17"/>
    </row>
    <row r="28" ht="20.05" customHeight="1">
      <c r="B28" s="21">
        <v>2023</v>
      </c>
      <c r="C28" s="67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SUM(N25:N26)</f>
        <v>1678.95</v>
      </c>
      <c r="O28" s="15">
        <f>SUM(O25:O26)</f>
        <v>823.197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213.033549122389</v>
      </c>
      <c r="AB28" s="15"/>
    </row>
    <row r="29" ht="20.05" customHeight="1">
      <c r="B29" s="13"/>
      <c r="C29" s="67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67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67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67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67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67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67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67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67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67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67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67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67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67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67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1.78537727595376</v>
      </c>
      <c r="AF49" s="35"/>
      <c r="AG49" s="35"/>
      <c r="AH49" s="35">
        <f>AVERAGE(AE51:AH51)</f>
        <v>0.09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3.07647058823529</v>
      </c>
      <c r="AF50" s="35">
        <f>P24</f>
        <v>0.613997113997114</v>
      </c>
      <c r="AG50" s="35">
        <f>P25</f>
        <v>2.8815377738042</v>
      </c>
      <c r="AH50" s="35">
        <f>P26</f>
        <v>0.569503627778418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0.2</v>
      </c>
      <c r="AF51" s="35">
        <v>-0.01</v>
      </c>
      <c r="AG51" s="35">
        <v>0.1</v>
      </c>
      <c r="AH51" s="35">
        <v>0.07000000000000001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1362.8</v>
      </c>
      <c r="AE52" s="23">
        <f>C26*(1+AE51)</f>
        <v>1635.36</v>
      </c>
      <c r="AF52" s="23">
        <f>AE52*(1+AF51)</f>
        <v>1619.0064</v>
      </c>
      <c r="AG52" s="23">
        <f>AF52*(1+AG51)</f>
        <v>1780.90704</v>
      </c>
      <c r="AH52" s="23">
        <f>AG52*(1+AH51)</f>
        <v>1905.5705328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AVERAGE(Q13)</f>
        <v>0.0295551676398002</v>
      </c>
      <c r="AF53" s="35">
        <f>AE53</f>
        <v>0.0295551676398002</v>
      </c>
      <c r="AG53" s="35">
        <f>AF53</f>
        <v>0.0295551676398002</v>
      </c>
      <c r="AH53" s="35">
        <f>AG53</f>
        <v>0.0295551676398002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AVERAGE(K24)</f>
        <v>-1.8</v>
      </c>
      <c r="AF54" s="15">
        <f>AE54</f>
        <v>-1.8</v>
      </c>
      <c r="AG54" s="15">
        <f>AF54</f>
        <v>-1.8</v>
      </c>
      <c r="AH54" s="15">
        <f>AG54</f>
        <v>-1.8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46.5333389514237</v>
      </c>
      <c r="AF55" s="15">
        <f>(AF52*AF53)+AF54</f>
        <v>46.0500055619094</v>
      </c>
      <c r="AG55" s="15">
        <f>(AG52*AG53)+AG54</f>
        <v>50.8350061181004</v>
      </c>
      <c r="AH55" s="15">
        <f>(AH52*AH53)+AH54</f>
        <v>54.5194565463674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-573.5</v>
      </c>
      <c r="AF56" s="15">
        <f>-AE71/20</f>
        <v>-544.825</v>
      </c>
      <c r="AG56" s="15">
        <f>-AF71/20</f>
        <v>-517.58375</v>
      </c>
      <c r="AH56" s="15">
        <f>-AG71/20</f>
        <v>-491.7045625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-526.966661048576</v>
      </c>
      <c r="AF59" s="15">
        <f>AF55+AF56+AF58</f>
        <v>-498.774994438091</v>
      </c>
      <c r="AG59" s="15">
        <f>AG55+AG56+AG58</f>
        <v>-466.7487438819</v>
      </c>
      <c r="AH59" s="15">
        <f>AH55+AH56+AH58</f>
        <v>-437.185105953633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526.966661048576</v>
      </c>
      <c r="AF60" s="15">
        <f>-MIN(AE72,AF59)</f>
        <v>498.774994438091</v>
      </c>
      <c r="AG60" s="15">
        <f>-MIN(AF72,AG59)</f>
        <v>466.7487438819</v>
      </c>
      <c r="AH60" s="15">
        <f>-MIN(AG72,AH59)</f>
        <v>437.185105953633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132</v>
      </c>
      <c r="AF61" s="15">
        <f>AE63</f>
        <v>132</v>
      </c>
      <c r="AG61" s="15">
        <f>AF63</f>
        <v>132</v>
      </c>
      <c r="AH61" s="15">
        <f>AG63</f>
        <v>132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-3e-13</v>
      </c>
      <c r="AF62" s="15">
        <f>AF55+AF56+AF58+AF60</f>
        <v>4e-13</v>
      </c>
      <c r="AG62" s="15">
        <f>AG55+AG56+AG58+AG60</f>
        <v>4e-13</v>
      </c>
      <c r="AH62" s="15">
        <f>AH55+AH56+AH58+AH60</f>
        <v>4e-13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132</v>
      </c>
      <c r="AF63" s="15">
        <f>AF61+AF62</f>
        <v>132</v>
      </c>
      <c r="AG63" s="15">
        <f>AG61+AG62</f>
        <v>132</v>
      </c>
      <c r="AH63" s="15">
        <f>AH61+AH62</f>
        <v>132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-195.066666666667</v>
      </c>
      <c r="AF65" s="15">
        <f>AE65</f>
        <v>-195.066666666667</v>
      </c>
      <c r="AG65" s="15">
        <f>AF65</f>
        <v>-195.066666666667</v>
      </c>
      <c r="AH65" s="15">
        <f>AG65</f>
        <v>-195.066666666667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-146.733327715243</v>
      </c>
      <c r="AF66" s="15">
        <f>(AF52*AF53)+AF65</f>
        <v>-147.216661104758</v>
      </c>
      <c r="AG66" s="15">
        <f>(AG52*AG53)+AG65</f>
        <v>-142.431660548567</v>
      </c>
      <c r="AH66" s="15">
        <f>(AH52*AH53)+AH65</f>
        <v>-138.7472101203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4654.8</v>
      </c>
      <c r="AF68" s="15">
        <f>AE68-AF54</f>
        <v>4656.6</v>
      </c>
      <c r="AG68" s="15">
        <f>AF68-AG54</f>
        <v>4658.4</v>
      </c>
      <c r="AH68" s="15">
        <f>AG68-AH54</f>
        <v>4660.2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195.066666666667</v>
      </c>
      <c r="AF69" s="15">
        <f>AE69-AF65</f>
        <v>390.133333333334</v>
      </c>
      <c r="AG69" s="15">
        <f>AF69-AG65</f>
        <v>585.200000000001</v>
      </c>
      <c r="AH69" s="15">
        <f>AG69-AH65</f>
        <v>780.266666666668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4459.733333333330</v>
      </c>
      <c r="AF70" s="15">
        <f>AF68-AF69</f>
        <v>4266.466666666670</v>
      </c>
      <c r="AG70" s="15">
        <f>AG68-AG69</f>
        <v>4073.2</v>
      </c>
      <c r="AH70" s="15">
        <f>AH68-AH69</f>
        <v>3879.933333333330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10896.5</v>
      </c>
      <c r="AF71" s="15">
        <f>AE71+AF56</f>
        <v>10351.675</v>
      </c>
      <c r="AG71" s="15">
        <f>AF71+AG56</f>
        <v>9834.091249999999</v>
      </c>
      <c r="AH71" s="15">
        <f>AG71+AH56</f>
        <v>9342.3866875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526.966661048576</v>
      </c>
      <c r="AF72" s="15">
        <f>AE72+AF60</f>
        <v>1025.741655486670</v>
      </c>
      <c r="AG72" s="15">
        <f>AF72+AG60</f>
        <v>1492.490399368570</v>
      </c>
      <c r="AH72" s="15">
        <f>AG72+AH60</f>
        <v>1929.6755053222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-6831.733327715240</v>
      </c>
      <c r="AF73" s="15">
        <f>AE73+AF66+AF58</f>
        <v>-6978.94998882</v>
      </c>
      <c r="AG73" s="15">
        <f>AF73+AG66+AG58</f>
        <v>-7121.381649368570</v>
      </c>
      <c r="AH73" s="15">
        <f>AG73+AH66+AH58</f>
        <v>-7260.128859488870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6e-12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-11291.4666610486</v>
      </c>
      <c r="AF75" s="15">
        <f>AF63-AF71-AF72</f>
        <v>-11245.4166554867</v>
      </c>
      <c r="AG75" s="15">
        <f>AG63-AG71-AG72</f>
        <v>-11194.5816493686</v>
      </c>
      <c r="AH75" s="15">
        <f>AH63-AH71-AH72</f>
        <v>-11140.0621928222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-46.533338951424</v>
      </c>
      <c r="AF76" s="15">
        <f>AF56+AF58+AF60</f>
        <v>-46.050005561909</v>
      </c>
      <c r="AG76" s="15">
        <f>AG56+AG58+AG60</f>
        <v>-50.8350061181</v>
      </c>
      <c r="AH76" s="15">
        <f>AH56+AH58+AH60</f>
        <v>-54.519456546367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528</v>
      </c>
      <c r="AD78" s="14"/>
      <c r="AE78" s="15"/>
      <c r="AF78" s="15"/>
      <c r="AG78" s="15"/>
      <c r="AH78" s="15">
        <v>174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528</v>
      </c>
      <c r="AD79" s="14"/>
      <c r="AE79" s="15"/>
      <c r="AF79" s="15"/>
      <c r="AG79" s="15"/>
      <c r="AH79" s="15">
        <v>1859207405568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1859.207405568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10.685100032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0.463419317095997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197.937807177801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19.601779915891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9.3928867459764</v>
      </c>
      <c r="AH86" s="15">
        <v>11.5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2276.284782544710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213.033549122389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0.224330742082695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39.0823529411765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-0.509695345305101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528</v>
      </c>
      <c r="AF94" t="s" s="44">
        <v>60</v>
      </c>
      <c r="AG94" s="15">
        <f>AH78</f>
        <v>174</v>
      </c>
      <c r="AH94" t="s" s="44">
        <v>61</v>
      </c>
      <c r="AI94" s="15">
        <f>AH88</f>
        <v>213.033549122389</v>
      </c>
      <c r="AJ94" t="s" s="44">
        <f>IF(AK94&gt;0,"+","")</f>
        <v>361</v>
      </c>
      <c r="AK94" s="16">
        <f>AI94/AG94-1</f>
        <v>0.224330742082695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39.0823529411765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0.0636292646241147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0.00290446347396635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-6.09829756811676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0.569503627778418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-0.851980844579887</v>
      </c>
      <c r="AF103" s="16">
        <f>P23</f>
        <v>3.07647058823529</v>
      </c>
      <c r="AG103" s="16">
        <f>P24</f>
        <v>0.613997113997114</v>
      </c>
      <c r="AH103" s="16">
        <f>P25</f>
        <v>2.8815377738042</v>
      </c>
      <c r="AI103" s="16">
        <f>P26</f>
        <v>0.569503627778418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34</v>
      </c>
      <c r="AF104" s="15">
        <f>C23</f>
        <v>138.6</v>
      </c>
      <c r="AG104" s="15">
        <f>C24</f>
        <v>223.7</v>
      </c>
      <c r="AH104" s="15">
        <f>C25</f>
        <v>868.3</v>
      </c>
      <c r="AI104" s="15">
        <f>C26</f>
        <v>1362.8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0.569503627778418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1362.8</v>
      </c>
      <c r="AM105" t="s" s="44">
        <v>372</v>
      </c>
      <c r="AN105" t="s" s="44">
        <v>378</v>
      </c>
      <c r="AO105" s="16">
        <f>AH91</f>
        <v>-0.509695345305101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1.78537727595376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0.09</v>
      </c>
      <c r="AG107" t="s" s="44">
        <v>82</v>
      </c>
      <c r="AH107" t="s" s="44">
        <v>83</v>
      </c>
      <c r="AI107" s="23">
        <f>AH52</f>
        <v>1905.5705328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-6.84411764705882</v>
      </c>
      <c r="AF110" s="16">
        <f>(D23+E23)/C23</f>
        <v>-3.29076479076479</v>
      </c>
      <c r="AG110" s="16">
        <f>((E24+D24)/C24)</f>
        <v>-1.35493965131873</v>
      </c>
      <c r="AH110" s="16">
        <f>(D25+E25)/C25</f>
        <v>-0.413336404468502</v>
      </c>
      <c r="AI110" s="16">
        <f>(D26+E26)/C26</f>
        <v>-0.170971529204579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-479.7</v>
      </c>
      <c r="AF111" s="15">
        <f>E23</f>
        <v>-686.4</v>
      </c>
      <c r="AG111" s="15">
        <f>E24</f>
        <v>-501.6</v>
      </c>
      <c r="AH111" s="15">
        <f>E25</f>
        <v>-555.4</v>
      </c>
      <c r="AI111" s="15">
        <f>E26</f>
        <v>-423.2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-0.413336404468502</v>
      </c>
      <c r="AG112" t="s" s="44">
        <v>76</v>
      </c>
      <c r="AH112" s="16">
        <f>AI110</f>
        <v>-0.170971529204579</v>
      </c>
      <c r="AI112" t="s" s="44">
        <v>90</v>
      </c>
      <c r="AJ112" s="15">
        <f>AH111</f>
        <v>-555.4</v>
      </c>
      <c r="AK112" t="s" s="44">
        <v>76</v>
      </c>
      <c r="AL112" s="15">
        <f>AI111</f>
        <v>-423.2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-1.30750309393915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0.0295551676398002</v>
      </c>
      <c r="AG114" t="s" s="44">
        <v>94</v>
      </c>
      <c r="AH114" s="15">
        <f>AH66</f>
        <v>-138.7472101203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11</v>
      </c>
      <c r="AF117" s="15">
        <f>J23</f>
        <v>2.5</v>
      </c>
      <c r="AG117" s="15">
        <f>J24</f>
        <v>44.1</v>
      </c>
      <c r="AH117" s="15">
        <f>J25</f>
        <v>226.5</v>
      </c>
      <c r="AI117" s="15">
        <f>J26</f>
        <v>-139.6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-2.4</v>
      </c>
      <c r="AF118" s="15">
        <f>K23</f>
        <v>-1.5</v>
      </c>
      <c r="AG118" s="15">
        <f>K24</f>
        <v>-1.8</v>
      </c>
      <c r="AH118" s="15">
        <f>K25</f>
        <v>-5</v>
      </c>
      <c r="AI118" s="15">
        <f>K26</f>
        <v>-6.9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221.5</v>
      </c>
      <c r="AG119" t="s" s="44">
        <v>76</v>
      </c>
      <c r="AH119" s="15">
        <f>AI117+AI118</f>
        <v>-146.5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-6.9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29.575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-1.8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49.4844517944502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24</v>
      </c>
      <c r="AF124" s="15">
        <f>F23</f>
        <v>21</v>
      </c>
      <c r="AG124" s="15">
        <f>F24</f>
        <v>63</v>
      </c>
      <c r="AH124" s="15">
        <f>F25</f>
        <v>284</v>
      </c>
      <c r="AI124" s="15">
        <f>F26</f>
        <v>132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9864</v>
      </c>
      <c r="AF125" s="15">
        <f>G23</f>
        <v>10354</v>
      </c>
      <c r="AG125" s="15">
        <f>G24</f>
        <v>10691</v>
      </c>
      <c r="AH125" s="15">
        <f>G25</f>
        <v>11326</v>
      </c>
      <c r="AI125" s="15">
        <f>G26</f>
        <v>11470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AH124</f>
        <v>284</v>
      </c>
      <c r="AH126" t="s" s="44">
        <v>76</v>
      </c>
      <c r="AI126" s="15">
        <f>AI124</f>
        <v>132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11326</v>
      </c>
      <c r="AH127" t="s" s="44">
        <v>76</v>
      </c>
      <c r="AI127" s="15">
        <f>AI125</f>
        <v>11470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-11042</v>
      </c>
      <c r="AO127" t="s" s="44">
        <v>76</v>
      </c>
      <c r="AP127" s="15">
        <f>AI126-AI127</f>
        <v>-11338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-197.9378071778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-11140.0621928222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s="15">
        <f>-L23</f>
        <v>0</v>
      </c>
      <c r="AG131" s="15">
        <f>-L24</f>
        <v>0</v>
      </c>
      <c r="AH131" s="15">
        <f>-L25</f>
        <v>2.7</v>
      </c>
      <c r="AI131" s="15">
        <f>-L26</f>
        <v>2.7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0</v>
      </c>
      <c r="AG132" s="15">
        <f>-M24</f>
        <v>0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528</v>
      </c>
      <c r="AF133" t="s" s="44">
        <f>IF(AG133&gt;0,"paid","(raised)")</f>
        <v>374</v>
      </c>
      <c r="AG133" s="15">
        <f>SUM(AI131:AI132)</f>
        <v>2.7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2.7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197.9378071778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1859.207405568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0.463419317095997</v>
      </c>
      <c r="AK134" t="s" s="44">
        <v>130</v>
      </c>
      <c r="AL134" t="s" s="44">
        <v>131</v>
      </c>
      <c r="AM134" t="s" s="44">
        <v>132</v>
      </c>
      <c r="AN134" s="15">
        <f>AH85</f>
        <v>19.601779915891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197.937807177801</v>
      </c>
      <c r="AG135" t="s" s="44">
        <f>AG134</f>
        <v>372</v>
      </c>
      <c r="AH135" t="s" s="44">
        <v>136</v>
      </c>
      <c r="AI135" s="15">
        <f>AF134/AF135</f>
        <v>9.3928867459764</v>
      </c>
      <c r="AJ135" t="s" s="44">
        <v>130</v>
      </c>
      <c r="AK135" t="s" s="44">
        <v>137</v>
      </c>
      <c r="AL135" t="s" s="44">
        <v>138</v>
      </c>
      <c r="AM135" s="15">
        <f>AH86</f>
        <v>11.5</v>
      </c>
      <c r="AN135" t="s" s="44">
        <v>139</v>
      </c>
      <c r="AO135" t="s" s="44">
        <v>140</v>
      </c>
      <c r="AP135" t="s" s="44">
        <v>141</v>
      </c>
      <c r="AQ135" s="16">
        <f>AK94</f>
        <v>0.224330742082695</v>
      </c>
      <c r="AR135" t="s" s="44">
        <f>IF(AQ135&gt;0,"higher","lower")</f>
        <v>363</v>
      </c>
      <c r="AS135" t="s" s="44">
        <v>142</v>
      </c>
      <c r="AT135" s="15">
        <f>AI94</f>
        <v>213.033549122389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34</v>
      </c>
      <c r="AE137" s="15">
        <f>AF104</f>
        <v>138.6</v>
      </c>
      <c r="AF137" s="15">
        <f>AG104</f>
        <v>223.7</v>
      </c>
      <c r="AG137" s="15">
        <f>AH104</f>
        <v>868.3</v>
      </c>
      <c r="AH137" s="15">
        <f>AI104</f>
        <v>1362.8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8.6</v>
      </c>
      <c r="AE138" s="15">
        <f>SUM(AF117:AF118)</f>
        <v>1</v>
      </c>
      <c r="AF138" s="15">
        <f>SUM(AG117:AG118)</f>
        <v>42.3</v>
      </c>
      <c r="AG138" s="15">
        <f>SUM(AH117:AH118)</f>
        <v>221.5</v>
      </c>
      <c r="AH138" s="15">
        <f>SUM(AI117:AI118)</f>
        <v>-146.5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0</v>
      </c>
      <c r="AE139" s="15">
        <f>SUM(AF131:AF132)</f>
        <v>0</v>
      </c>
      <c r="AF139" s="15">
        <f>SUM(AG131:AG132)</f>
        <v>0</v>
      </c>
      <c r="AG139" s="15">
        <f>SUM(AH131:AH132)</f>
        <v>2.7</v>
      </c>
      <c r="AH139" s="15">
        <f>SUM(AI131:AI132)</f>
        <v>2.7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-9840</v>
      </c>
      <c r="AE140" s="15">
        <f>(AF124-AF125)</f>
        <v>-10333</v>
      </c>
      <c r="AF140" s="15">
        <f>(AG124-AG125)</f>
        <v>-10628</v>
      </c>
      <c r="AG140" s="15">
        <f>(AH124-AH125)</f>
        <v>-11042</v>
      </c>
      <c r="AH140" s="15">
        <f>(AI124-AI125)</f>
        <v>-11338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213.033549122389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56" customWidth="1"/>
    <col min="2" max="28" width="10.4844" style="156" customWidth="1"/>
    <col min="29" max="29" width="18.9766" style="157" customWidth="1"/>
    <col min="30" max="48" width="9" style="157" customWidth="1"/>
    <col min="49" max="16384" width="16.3516" style="157" customWidth="1"/>
  </cols>
  <sheetData>
    <row r="1" ht="11.65" customHeight="1"/>
    <row r="2" ht="27.65" customHeight="1">
      <c r="B2" t="s" s="2">
        <v>529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287</v>
      </c>
      <c r="AA3" t="s" s="3">
        <v>19</v>
      </c>
      <c r="AB3" t="s" s="3">
        <v>20</v>
      </c>
    </row>
    <row r="4" ht="20.25" customHeight="1">
      <c r="B4" s="6">
        <v>2017</v>
      </c>
      <c r="C4" s="7">
        <v>726.675</v>
      </c>
      <c r="D4" s="8">
        <v>35.475</v>
      </c>
      <c r="E4" s="8">
        <v>173.275</v>
      </c>
      <c r="F4" s="8"/>
      <c r="G4" s="8"/>
      <c r="H4" s="8"/>
      <c r="I4" s="8">
        <v>708.875</v>
      </c>
      <c r="J4" s="8">
        <v>199.85</v>
      </c>
      <c r="K4" s="8">
        <v>-336.425</v>
      </c>
      <c r="L4" s="8">
        <v>357.9</v>
      </c>
      <c r="M4" s="8">
        <v>62.5</v>
      </c>
      <c r="N4" s="59"/>
      <c r="O4" s="8"/>
      <c r="P4" s="9"/>
      <c r="Q4" s="9"/>
      <c r="R4" s="9"/>
      <c r="S4" s="9"/>
      <c r="T4" s="9"/>
      <c r="U4" s="9"/>
      <c r="V4" s="8">
        <f>-(L4+M4)</f>
        <v>-420.4</v>
      </c>
      <c r="W4" s="9"/>
      <c r="X4" s="8">
        <f>F4-G4</f>
        <v>0</v>
      </c>
      <c r="Y4" s="9"/>
      <c r="Z4" s="8">
        <v>1440</v>
      </c>
      <c r="AA4" s="11"/>
      <c r="AB4" s="12">
        <v>13.3</v>
      </c>
    </row>
    <row r="5" ht="20.05" customHeight="1">
      <c r="B5" s="13"/>
      <c r="C5" s="14">
        <f>C4</f>
        <v>726.675</v>
      </c>
      <c r="D5" s="15">
        <f>D4</f>
        <v>35.475</v>
      </c>
      <c r="E5" s="15">
        <f>E4</f>
        <v>173.275</v>
      </c>
      <c r="F5" s="15"/>
      <c r="G5" s="15"/>
      <c r="H5" s="15"/>
      <c r="I5" s="15">
        <f>I4</f>
        <v>708.875</v>
      </c>
      <c r="J5" s="15">
        <f>J4</f>
        <v>199.85</v>
      </c>
      <c r="K5" s="15">
        <f>K4</f>
        <v>-336.425</v>
      </c>
      <c r="L5" s="15">
        <f>L4</f>
        <v>357.9</v>
      </c>
      <c r="M5" s="15">
        <f>M4</f>
        <v>62.5</v>
      </c>
      <c r="N5" s="26"/>
      <c r="O5" s="15"/>
      <c r="P5" s="16">
        <f>C5/C4-1</f>
        <v>0</v>
      </c>
      <c r="Q5" s="17"/>
      <c r="R5" s="17"/>
      <c r="S5" s="17"/>
      <c r="T5" s="17"/>
      <c r="U5" s="17"/>
      <c r="V5" s="15">
        <f>-(L5+M5)+V4</f>
        <v>-840.8</v>
      </c>
      <c r="W5" s="17"/>
      <c r="X5" s="15">
        <f>F5-G5</f>
        <v>0</v>
      </c>
      <c r="Y5" s="17"/>
      <c r="Z5" s="15">
        <v>1370</v>
      </c>
      <c r="AA5" s="19"/>
      <c r="AB5" s="20">
        <v>13.327</v>
      </c>
    </row>
    <row r="6" ht="20.05" customHeight="1">
      <c r="B6" s="13"/>
      <c r="C6" s="14">
        <f>C5</f>
        <v>726.675</v>
      </c>
      <c r="D6" s="15">
        <f>D5</f>
        <v>35.475</v>
      </c>
      <c r="E6" s="15">
        <f>E5</f>
        <v>173.275</v>
      </c>
      <c r="F6" s="15"/>
      <c r="G6" s="15"/>
      <c r="H6" s="15"/>
      <c r="I6" s="15">
        <f>I5</f>
        <v>708.875</v>
      </c>
      <c r="J6" s="15">
        <f>J5</f>
        <v>199.85</v>
      </c>
      <c r="K6" s="15">
        <f>K5</f>
        <v>-336.425</v>
      </c>
      <c r="L6" s="15">
        <f>L5</f>
        <v>357.9</v>
      </c>
      <c r="M6" s="15">
        <f>M5</f>
        <v>62.5</v>
      </c>
      <c r="N6" s="26"/>
      <c r="O6" s="15"/>
      <c r="P6" s="16">
        <f>C6/C5-1</f>
        <v>0</v>
      </c>
      <c r="Q6" s="17"/>
      <c r="R6" s="17"/>
      <c r="S6" s="17"/>
      <c r="T6" s="17"/>
      <c r="U6" s="17"/>
      <c r="V6" s="15">
        <f>-(L6+M6)+V5</f>
        <v>-1261.2</v>
      </c>
      <c r="W6" s="17"/>
      <c r="X6" s="15">
        <f>F6-G6</f>
        <v>0</v>
      </c>
      <c r="Y6" s="17"/>
      <c r="Z6" s="15">
        <v>1340</v>
      </c>
      <c r="AA6" s="19"/>
      <c r="AB6" s="20">
        <v>13.305</v>
      </c>
    </row>
    <row r="7" ht="20.05" customHeight="1">
      <c r="B7" s="13"/>
      <c r="C7" s="14">
        <f>C6</f>
        <v>726.675</v>
      </c>
      <c r="D7" s="15">
        <f>D6</f>
        <v>35.475</v>
      </c>
      <c r="E7" s="15">
        <f>E6</f>
        <v>173.275</v>
      </c>
      <c r="F7" s="15"/>
      <c r="G7" s="15"/>
      <c r="H7" s="15"/>
      <c r="I7" s="15">
        <f>I6</f>
        <v>708.875</v>
      </c>
      <c r="J7" s="15">
        <f>J6</f>
        <v>199.85</v>
      </c>
      <c r="K7" s="15">
        <f>K6</f>
        <v>-336.425</v>
      </c>
      <c r="L7" s="15">
        <f>L6</f>
        <v>357.9</v>
      </c>
      <c r="M7" s="15">
        <f>M6</f>
        <v>62.5</v>
      </c>
      <c r="N7" s="26"/>
      <c r="O7" s="15"/>
      <c r="P7" s="16">
        <f>C7/C6-1</f>
        <v>0</v>
      </c>
      <c r="Q7" s="17"/>
      <c r="R7" s="17"/>
      <c r="S7" s="17"/>
      <c r="T7" s="17"/>
      <c r="U7" s="17"/>
      <c r="V7" s="15">
        <f>-(L7+M7)+V6</f>
        <v>-1681.6</v>
      </c>
      <c r="W7" s="17"/>
      <c r="X7" s="15">
        <f>F7-G7</f>
        <v>0</v>
      </c>
      <c r="Y7" s="17"/>
      <c r="Z7" s="15">
        <v>1540</v>
      </c>
      <c r="AA7" s="19"/>
      <c r="AB7" s="20">
        <v>13.557</v>
      </c>
    </row>
    <row r="8" ht="20.05" customHeight="1">
      <c r="B8" s="21">
        <v>2018</v>
      </c>
      <c r="C8" s="14">
        <v>641.5</v>
      </c>
      <c r="D8" s="15">
        <v>47.1</v>
      </c>
      <c r="E8" s="15">
        <v>183.8</v>
      </c>
      <c r="F8" s="15"/>
      <c r="G8" s="15"/>
      <c r="H8" s="15"/>
      <c r="I8" s="15">
        <v>543.3</v>
      </c>
      <c r="J8" s="15">
        <v>127.1</v>
      </c>
      <c r="K8" s="15">
        <v>-219.9</v>
      </c>
      <c r="L8" s="15">
        <v>350</v>
      </c>
      <c r="M8" s="15">
        <v>0</v>
      </c>
      <c r="N8" s="15">
        <f>SUM(C5:C8)/4</f>
        <v>705.38125</v>
      </c>
      <c r="O8" s="15"/>
      <c r="P8" s="16">
        <f>C8/C7-1</f>
        <v>-0.117211958578457</v>
      </c>
      <c r="Q8" s="16">
        <f>((D8+E8)/C8)</f>
        <v>0.359937646141855</v>
      </c>
      <c r="R8" s="16"/>
      <c r="S8" s="17"/>
      <c r="T8" s="15">
        <f>SUM(J5:K8)/4</f>
        <v>-125.63125</v>
      </c>
      <c r="U8" s="17"/>
      <c r="V8" s="15">
        <f>-(L8+M8)+V7</f>
        <v>-2031.6</v>
      </c>
      <c r="W8" s="17"/>
      <c r="X8" s="15">
        <f>F8-G8</f>
        <v>0</v>
      </c>
      <c r="Y8" s="24"/>
      <c r="Z8" s="15">
        <v>1450</v>
      </c>
      <c r="AA8" s="22"/>
      <c r="AB8" s="20">
        <v>13.761</v>
      </c>
    </row>
    <row r="9" ht="20.05" customHeight="1">
      <c r="B9" s="13"/>
      <c r="C9" s="14">
        <v>804.5</v>
      </c>
      <c r="D9" s="15">
        <v>50.3</v>
      </c>
      <c r="E9" s="15">
        <v>93.59999999999999</v>
      </c>
      <c r="F9" s="15"/>
      <c r="G9" s="15"/>
      <c r="H9" s="15"/>
      <c r="I9" s="15">
        <v>854.9</v>
      </c>
      <c r="J9" s="15">
        <v>243.6</v>
      </c>
      <c r="K9" s="15">
        <v>-536.7</v>
      </c>
      <c r="L9" s="15">
        <v>252.9</v>
      </c>
      <c r="M9" s="15">
        <v>0</v>
      </c>
      <c r="N9" s="15">
        <f>SUM(C6:C9)/4</f>
        <v>724.8375</v>
      </c>
      <c r="O9" s="15"/>
      <c r="P9" s="16">
        <f>C9/C8-1</f>
        <v>0.254091971940764</v>
      </c>
      <c r="Q9" s="16">
        <f>((D9+E9)/C9)</f>
        <v>0.178868862647607</v>
      </c>
      <c r="R9" s="16"/>
      <c r="S9" s="17"/>
      <c r="T9" s="15">
        <f>SUM(J6:K9)/4</f>
        <v>-164.7625</v>
      </c>
      <c r="U9" s="17"/>
      <c r="V9" s="15">
        <f>-(L9+M9)+V8</f>
        <v>-2284.5</v>
      </c>
      <c r="W9" s="17"/>
      <c r="X9" s="15">
        <f>F9-G9</f>
        <v>0</v>
      </c>
      <c r="Y9" s="24"/>
      <c r="Z9" s="15">
        <v>1370</v>
      </c>
      <c r="AA9" s="22"/>
      <c r="AB9" s="20">
        <v>14</v>
      </c>
    </row>
    <row r="10" ht="20.05" customHeight="1">
      <c r="B10" s="13"/>
      <c r="C10" s="14">
        <v>763.9</v>
      </c>
      <c r="D10" s="15">
        <v>48.5</v>
      </c>
      <c r="E10" s="15">
        <v>252.9</v>
      </c>
      <c r="F10" s="15"/>
      <c r="G10" s="15"/>
      <c r="H10" s="15"/>
      <c r="I10" s="15">
        <v>221.8</v>
      </c>
      <c r="J10" s="15">
        <v>3.8</v>
      </c>
      <c r="K10" s="15">
        <v>-303.4</v>
      </c>
      <c r="L10" s="15">
        <v>266.1</v>
      </c>
      <c r="M10" s="15">
        <v>0</v>
      </c>
      <c r="N10" s="15">
        <f>SUM(C7:C10)/4</f>
        <v>734.14375</v>
      </c>
      <c r="O10" s="15"/>
      <c r="P10" s="16">
        <f>C10/C9-1</f>
        <v>-0.0504661280298322</v>
      </c>
      <c r="Q10" s="16">
        <f>((D10+E10)/C10)</f>
        <v>0.39455426102893</v>
      </c>
      <c r="R10" s="16"/>
      <c r="S10" s="17"/>
      <c r="T10" s="15">
        <f>SUM(J7:K10)/4</f>
        <v>-205.51875</v>
      </c>
      <c r="U10" s="17"/>
      <c r="V10" s="15">
        <f>-(L10+M10)+V9</f>
        <v>-2550.6</v>
      </c>
      <c r="W10" s="17"/>
      <c r="X10" s="15">
        <f>F10-G10</f>
        <v>0</v>
      </c>
      <c r="Y10" s="24"/>
      <c r="Z10" s="15">
        <v>1310</v>
      </c>
      <c r="AA10" s="22"/>
      <c r="AB10" s="20">
        <v>14.902</v>
      </c>
    </row>
    <row r="11" ht="20.05" customHeight="1">
      <c r="B11" s="13"/>
      <c r="C11" s="14">
        <v>1611.2</v>
      </c>
      <c r="D11" s="15">
        <v>42.7</v>
      </c>
      <c r="E11" s="15">
        <v>200.3</v>
      </c>
      <c r="F11" s="15">
        <v>2910</v>
      </c>
      <c r="G11" s="15">
        <v>7537</v>
      </c>
      <c r="H11" s="15">
        <v>15453</v>
      </c>
      <c r="I11" s="15">
        <v>990.5</v>
      </c>
      <c r="J11" s="15">
        <v>275.5</v>
      </c>
      <c r="K11" s="15">
        <v>-692.1</v>
      </c>
      <c r="L11" s="15">
        <v>265.6</v>
      </c>
      <c r="M11" s="15">
        <v>609.3</v>
      </c>
      <c r="N11" s="15">
        <f>SUM(C8:C11)/4</f>
        <v>955.275</v>
      </c>
      <c r="O11" s="15"/>
      <c r="P11" s="16">
        <f>C11/C10-1</f>
        <v>1.109176593795</v>
      </c>
      <c r="Q11" s="16">
        <f>((D11+E11)/C11)</f>
        <v>0.150819265143992</v>
      </c>
      <c r="R11" s="16"/>
      <c r="S11" s="17"/>
      <c r="T11" s="15">
        <f>SUM(J8:K11)/4</f>
        <v>-275.525</v>
      </c>
      <c r="U11" s="17"/>
      <c r="V11" s="15">
        <f>-(L11+M11)+V10</f>
        <v>-3425.5</v>
      </c>
      <c r="W11" s="17"/>
      <c r="X11" s="15">
        <f>F11-G11</f>
        <v>-4627</v>
      </c>
      <c r="Y11" s="24"/>
      <c r="Z11" s="15">
        <v>1280</v>
      </c>
      <c r="AA11" s="22"/>
      <c r="AB11" s="20">
        <v>14.38</v>
      </c>
    </row>
    <row r="12" ht="20.05" customHeight="1">
      <c r="B12" s="21">
        <v>2019</v>
      </c>
      <c r="C12" s="14">
        <v>772.8</v>
      </c>
      <c r="D12" s="15">
        <v>59.8</v>
      </c>
      <c r="E12" s="15">
        <v>209</v>
      </c>
      <c r="F12" s="15">
        <v>3064</v>
      </c>
      <c r="G12" s="15">
        <v>6766</v>
      </c>
      <c r="H12" s="15">
        <v>13813</v>
      </c>
      <c r="I12" s="15">
        <v>474.1</v>
      </c>
      <c r="J12" s="15">
        <v>206.7</v>
      </c>
      <c r="K12" s="15">
        <v>-873.6</v>
      </c>
      <c r="L12" s="15">
        <v>235.1</v>
      </c>
      <c r="M12" s="15">
        <v>28</v>
      </c>
      <c r="N12" s="15">
        <f>SUM(C9:C12)/4</f>
        <v>988.1</v>
      </c>
      <c r="O12" s="23"/>
      <c r="P12" s="16">
        <f>C12/C11-1</f>
        <v>-0.520357497517378</v>
      </c>
      <c r="Q12" s="16">
        <f>((D12+E12)/C12)</f>
        <v>0.347826086956522</v>
      </c>
      <c r="R12" s="16">
        <f>AVERAGE(Q9:Q12)</f>
        <v>0.268017118944263</v>
      </c>
      <c r="S12" s="17"/>
      <c r="T12" s="15">
        <f>SUM(J9:K12)/4</f>
        <v>-419.05</v>
      </c>
      <c r="U12" s="17"/>
      <c r="V12" s="15">
        <f>-(L12+M12)+V11</f>
        <v>-3688.6</v>
      </c>
      <c r="W12" s="17"/>
      <c r="X12" s="15">
        <f>F12-G12</f>
        <v>-3702</v>
      </c>
      <c r="Y12" s="24"/>
      <c r="Z12" s="15">
        <v>1240</v>
      </c>
      <c r="AA12" s="22"/>
      <c r="AB12" s="20">
        <v>14.24</v>
      </c>
    </row>
    <row r="13" ht="20.05" customHeight="1">
      <c r="B13" s="13"/>
      <c r="C13" s="14">
        <v>787.1</v>
      </c>
      <c r="D13" s="15">
        <v>59.5</v>
      </c>
      <c r="E13" s="15">
        <v>148.2</v>
      </c>
      <c r="F13" s="15">
        <v>2949</v>
      </c>
      <c r="G13" s="15">
        <v>7095</v>
      </c>
      <c r="H13" s="15">
        <v>14324</v>
      </c>
      <c r="I13" s="15">
        <v>608.6</v>
      </c>
      <c r="J13" s="15">
        <v>283.4</v>
      </c>
      <c r="K13" s="15">
        <v>-784</v>
      </c>
      <c r="L13" s="15">
        <v>324.4</v>
      </c>
      <c r="M13" s="15">
        <v>63.5</v>
      </c>
      <c r="N13" s="15">
        <f>SUM(C10:C13)/4</f>
        <v>983.75</v>
      </c>
      <c r="O13" s="23"/>
      <c r="P13" s="16">
        <f>C13/C12-1</f>
        <v>0.0185041407867495</v>
      </c>
      <c r="Q13" s="16">
        <f>((D13+E13)/C13)</f>
        <v>0.263880066065303</v>
      </c>
      <c r="R13" s="16">
        <f>AVERAGE(Q10:Q13)</f>
        <v>0.289269919798687</v>
      </c>
      <c r="S13" s="17"/>
      <c r="T13" s="15">
        <f>SUM(J10:K13)/4</f>
        <v>-470.925</v>
      </c>
      <c r="U13" s="17"/>
      <c r="V13" s="15">
        <f>-(L13+M13)+V12</f>
        <v>-4076.5</v>
      </c>
      <c r="W13" s="17"/>
      <c r="X13" s="15">
        <f>F13-G13</f>
        <v>-4146</v>
      </c>
      <c r="Y13" s="24"/>
      <c r="Z13" s="15">
        <v>1260</v>
      </c>
      <c r="AA13" s="24"/>
      <c r="AB13" s="15">
        <v>14.127</v>
      </c>
    </row>
    <row r="14" ht="20.05" customHeight="1">
      <c r="B14" s="13"/>
      <c r="C14" s="14">
        <v>835.8</v>
      </c>
      <c r="D14" s="15">
        <v>63.7</v>
      </c>
      <c r="E14" s="15">
        <v>114.7</v>
      </c>
      <c r="F14" s="15">
        <v>3083</v>
      </c>
      <c r="G14" s="15">
        <v>7385</v>
      </c>
      <c r="H14" s="15">
        <v>14787</v>
      </c>
      <c r="I14" s="15">
        <v>618</v>
      </c>
      <c r="J14" s="15">
        <v>173.5</v>
      </c>
      <c r="K14" s="15">
        <v>-519.7</v>
      </c>
      <c r="L14" s="15">
        <v>479.5</v>
      </c>
      <c r="M14" s="15">
        <v>0</v>
      </c>
      <c r="N14" s="15">
        <f>SUM(C11:C14)/4</f>
        <v>1001.725</v>
      </c>
      <c r="O14" s="23"/>
      <c r="P14" s="16">
        <f>C14/C13-1</f>
        <v>0.0618726972430441</v>
      </c>
      <c r="Q14" s="16">
        <f>((D14+E14)/C14)</f>
        <v>0.213448193347691</v>
      </c>
      <c r="R14" s="16">
        <f>AVERAGE(Q11:Q14)</f>
        <v>0.243993402878377</v>
      </c>
      <c r="S14" s="17"/>
      <c r="T14" s="15">
        <f>SUM(J11:K14)/4</f>
        <v>-482.575</v>
      </c>
      <c r="U14" s="17"/>
      <c r="V14" s="15">
        <f>-(L14+M14)+V13</f>
        <v>-4556</v>
      </c>
      <c r="W14" s="17"/>
      <c r="X14" s="15">
        <f>F14-G14</f>
        <v>-4302</v>
      </c>
      <c r="Y14" s="24"/>
      <c r="Z14" s="15">
        <v>2030</v>
      </c>
      <c r="AA14" s="24"/>
      <c r="AB14" s="15">
        <v>14.195</v>
      </c>
    </row>
    <row r="15" ht="20.05" customHeight="1">
      <c r="B15" s="13"/>
      <c r="C15" s="14">
        <v>1132.2</v>
      </c>
      <c r="D15" s="15">
        <v>-60.3</v>
      </c>
      <c r="E15" s="15">
        <v>217.9</v>
      </c>
      <c r="F15" s="15">
        <v>2910</v>
      </c>
      <c r="G15" s="15">
        <v>7537</v>
      </c>
      <c r="H15" s="15">
        <v>15453</v>
      </c>
      <c r="I15" s="15">
        <v>1786.3</v>
      </c>
      <c r="J15" s="15">
        <v>-220.3</v>
      </c>
      <c r="K15" s="15">
        <v>-71.09999999999999</v>
      </c>
      <c r="L15" s="15">
        <v>-36.9</v>
      </c>
      <c r="M15" s="15">
        <v>167.2</v>
      </c>
      <c r="N15" s="15">
        <f>SUM(C12:C15)/4</f>
        <v>881.975</v>
      </c>
      <c r="O15" s="15"/>
      <c r="P15" s="16">
        <f>C15/C14-1</f>
        <v>0.354630294328787</v>
      </c>
      <c r="Q15" s="16">
        <f>((D15+E15)/C15)</f>
        <v>0.139198021550963</v>
      </c>
      <c r="R15" s="16">
        <f>AVERAGE(Q12:Q15)</f>
        <v>0.24108809198012</v>
      </c>
      <c r="S15" s="17"/>
      <c r="T15" s="15">
        <f>SUM(J12:K15)/4</f>
        <v>-451.275</v>
      </c>
      <c r="U15" s="17"/>
      <c r="V15" s="15">
        <f>-(L15+M15)+V14</f>
        <v>-4686.3</v>
      </c>
      <c r="W15" s="17"/>
      <c r="X15" s="15">
        <f>F15-G15</f>
        <v>-4627</v>
      </c>
      <c r="Y15" s="24"/>
      <c r="Z15" s="15">
        <v>1855</v>
      </c>
      <c r="AA15" s="24"/>
      <c r="AB15" s="15">
        <v>13.882</v>
      </c>
    </row>
    <row r="16" ht="20.05" customHeight="1">
      <c r="B16" s="21">
        <v>2020</v>
      </c>
      <c r="C16" s="14">
        <v>788.4</v>
      </c>
      <c r="D16" s="15">
        <v>31.2</v>
      </c>
      <c r="E16" s="15">
        <v>165.2</v>
      </c>
      <c r="F16" s="15">
        <v>3122</v>
      </c>
      <c r="G16" s="15">
        <v>7247</v>
      </c>
      <c r="H16" s="15">
        <v>15477</v>
      </c>
      <c r="I16" s="15">
        <v>555.3</v>
      </c>
      <c r="J16" s="15">
        <v>150.3</v>
      </c>
      <c r="K16" s="15">
        <v>249.7</v>
      </c>
      <c r="L16" s="15">
        <v>-351.1</v>
      </c>
      <c r="M16" s="15">
        <v>148.6</v>
      </c>
      <c r="N16" s="15">
        <f>SUM(C13:C16)/4</f>
        <v>885.875</v>
      </c>
      <c r="O16" s="15"/>
      <c r="P16" s="16">
        <f>C16/C15-1</f>
        <v>-0.303656597774245</v>
      </c>
      <c r="Q16" s="16">
        <f>((D16+E16)/C16)</f>
        <v>0.249112125824455</v>
      </c>
      <c r="R16" s="16">
        <f>AVERAGE(Q13:Q16)</f>
        <v>0.216409601697103</v>
      </c>
      <c r="S16" s="17"/>
      <c r="T16" s="15">
        <f>SUM(J13:K16)/4</f>
        <v>-184.55</v>
      </c>
      <c r="U16" s="17"/>
      <c r="V16" s="15">
        <f>-(L16+M16)+V15</f>
        <v>-4483.8</v>
      </c>
      <c r="W16" s="17"/>
      <c r="X16" s="15">
        <f>F16-G16</f>
        <v>-4125</v>
      </c>
      <c r="Y16" s="24"/>
      <c r="Z16" s="15">
        <v>1431.7</v>
      </c>
      <c r="AA16" s="24"/>
      <c r="AB16" s="15">
        <v>16.31</v>
      </c>
    </row>
    <row r="17" ht="20.05" customHeight="1">
      <c r="B17" s="13"/>
      <c r="C17" s="14">
        <v>425.6</v>
      </c>
      <c r="D17" s="15">
        <v>16.4</v>
      </c>
      <c r="E17" s="15">
        <v>68.3</v>
      </c>
      <c r="F17" s="15">
        <v>2711</v>
      </c>
      <c r="G17" s="15">
        <v>7341</v>
      </c>
      <c r="H17" s="15">
        <v>15639</v>
      </c>
      <c r="I17" s="15">
        <v>664.6</v>
      </c>
      <c r="J17" s="15">
        <v>-29.7</v>
      </c>
      <c r="K17" s="15">
        <v>-280.4</v>
      </c>
      <c r="L17" s="15">
        <v>-68.09999999999999</v>
      </c>
      <c r="M17" s="15">
        <v>0</v>
      </c>
      <c r="N17" s="15">
        <f>SUM(C14:C17)/4</f>
        <v>795.5</v>
      </c>
      <c r="O17" s="15"/>
      <c r="P17" s="16">
        <f>C17/C16-1</f>
        <v>-0.460172501268392</v>
      </c>
      <c r="Q17" s="16">
        <f>((D17+E17)/C17)</f>
        <v>0.199013157894737</v>
      </c>
      <c r="R17" s="16">
        <f>AVERAGE(Q14:Q17)</f>
        <v>0.200192874654462</v>
      </c>
      <c r="S17" s="17"/>
      <c r="T17" s="15">
        <f>SUM(J14:K17)/4</f>
        <v>-136.925</v>
      </c>
      <c r="U17" s="17"/>
      <c r="V17" s="15">
        <f>-(L17+M17)+V16</f>
        <v>-4415.7</v>
      </c>
      <c r="W17" s="17"/>
      <c r="X17" s="15">
        <f>F17-G17</f>
        <v>-4630</v>
      </c>
      <c r="Y17" s="24"/>
      <c r="Z17" s="15">
        <v>1333.27</v>
      </c>
      <c r="AA17" s="24"/>
      <c r="AB17" s="15">
        <v>14.255</v>
      </c>
    </row>
    <row r="18" ht="20.05" customHeight="1">
      <c r="B18" s="13"/>
      <c r="C18" s="14">
        <v>480.8</v>
      </c>
      <c r="D18" s="15">
        <v>28.8</v>
      </c>
      <c r="E18" s="15">
        <v>85.3</v>
      </c>
      <c r="F18" s="15">
        <v>2808</v>
      </c>
      <c r="G18" s="15">
        <v>6766</v>
      </c>
      <c r="H18" s="15">
        <v>15159</v>
      </c>
      <c r="I18" s="15">
        <v>60</v>
      </c>
      <c r="J18" s="15">
        <v>-122.8</v>
      </c>
      <c r="K18" s="15">
        <v>246.9</v>
      </c>
      <c r="L18" s="15">
        <v>-72.3</v>
      </c>
      <c r="M18" s="15">
        <v>10</v>
      </c>
      <c r="N18" s="15">
        <f>SUM(C15:C18)/4</f>
        <v>706.75</v>
      </c>
      <c r="O18" s="15"/>
      <c r="P18" s="16">
        <f>C18/C17-1</f>
        <v>0.129699248120301</v>
      </c>
      <c r="Q18" s="16">
        <f>((D18+E18)/C18)</f>
        <v>0.237312811980033</v>
      </c>
      <c r="R18" s="16">
        <f>AVERAGE(Q15:Q18)</f>
        <v>0.206159029312547</v>
      </c>
      <c r="S18" s="17"/>
      <c r="T18" s="15">
        <f>SUM(J15:K18)/4</f>
        <v>-19.35</v>
      </c>
      <c r="U18" s="17"/>
      <c r="V18" s="15">
        <f>-(L18+M18)+V17</f>
        <v>-4353.4</v>
      </c>
      <c r="W18" s="17"/>
      <c r="X18" s="15">
        <f>F18-G18</f>
        <v>-3958</v>
      </c>
      <c r="Y18" s="24"/>
      <c r="Z18" s="15">
        <v>984.3</v>
      </c>
      <c r="AA18" s="24"/>
      <c r="AB18" s="15">
        <v>14.79</v>
      </c>
    </row>
    <row r="19" ht="20.05" customHeight="1">
      <c r="B19" s="13"/>
      <c r="C19" s="14">
        <v>893.7</v>
      </c>
      <c r="D19" s="15">
        <v>31.9</v>
      </c>
      <c r="E19" s="15">
        <v>56.3</v>
      </c>
      <c r="F19" s="15">
        <v>3763</v>
      </c>
      <c r="G19" s="15">
        <v>6689</v>
      </c>
      <c r="H19" s="15">
        <v>16498</v>
      </c>
      <c r="I19" s="15">
        <v>1328.4</v>
      </c>
      <c r="J19" s="15">
        <v>330.7</v>
      </c>
      <c r="K19" s="15">
        <v>-302.9</v>
      </c>
      <c r="L19" s="15">
        <v>-411.7</v>
      </c>
      <c r="M19" s="15">
        <v>1386.2</v>
      </c>
      <c r="N19" s="15">
        <f>SUM(C16:C19)/4</f>
        <v>647.125</v>
      </c>
      <c r="O19" s="15"/>
      <c r="P19" s="16">
        <f>C19/C18-1</f>
        <v>0.858777038269551</v>
      </c>
      <c r="Q19" s="16">
        <f>((D19+E19)/C19)</f>
        <v>0.0986908358509567</v>
      </c>
      <c r="R19" s="16">
        <f>AVERAGE(Q16:Q19)</f>
        <v>0.196032232887545</v>
      </c>
      <c r="S19" s="17"/>
      <c r="T19" s="15">
        <f>SUM(J16:K19)/4</f>
        <v>60.45</v>
      </c>
      <c r="U19" s="17"/>
      <c r="V19" s="15">
        <f>-(L19+M19)+V18</f>
        <v>-5327.9</v>
      </c>
      <c r="W19" s="17"/>
      <c r="X19" s="15">
        <f>F19-G19</f>
        <v>-2926</v>
      </c>
      <c r="Y19" s="24"/>
      <c r="Z19" s="15">
        <v>1540</v>
      </c>
      <c r="AA19" s="24"/>
      <c r="AB19" s="15">
        <v>14.1</v>
      </c>
    </row>
    <row r="20" ht="20.05" customHeight="1">
      <c r="B20" s="21">
        <v>2021</v>
      </c>
      <c r="C20" s="14">
        <v>493.8</v>
      </c>
      <c r="D20" s="15">
        <v>29.25</v>
      </c>
      <c r="E20" s="15">
        <v>129.9</v>
      </c>
      <c r="F20" s="15">
        <v>3321</v>
      </c>
      <c r="G20" s="15">
        <v>6184</v>
      </c>
      <c r="H20" s="15">
        <v>16246</v>
      </c>
      <c r="I20" s="15">
        <v>330.1</v>
      </c>
      <c r="J20" s="15">
        <v>192.3</v>
      </c>
      <c r="K20" s="15">
        <v>-82</v>
      </c>
      <c r="L20" s="15">
        <v>-623.4</v>
      </c>
      <c r="M20" s="15">
        <v>50</v>
      </c>
      <c r="N20" s="15">
        <f>SUM(C17:C20)/4</f>
        <v>573.475</v>
      </c>
      <c r="O20" s="15"/>
      <c r="P20" s="16">
        <f>C20/C19-1</f>
        <v>-0.447465592480698</v>
      </c>
      <c r="Q20" s="16">
        <f>((D20+E20)/C20)</f>
        <v>0.322296476306197</v>
      </c>
      <c r="R20" s="16">
        <f>AVERAGE(Q17:Q20)</f>
        <v>0.214328320507981</v>
      </c>
      <c r="S20" s="17"/>
      <c r="T20" s="15">
        <f>SUM(J17:K20)/4</f>
        <v>-11.975</v>
      </c>
      <c r="U20" s="17"/>
      <c r="V20" s="15">
        <f>-(L20+M20)+V19</f>
        <v>-4754.5</v>
      </c>
      <c r="W20" s="17"/>
      <c r="X20" s="15">
        <f>F20-G20</f>
        <v>-2863</v>
      </c>
      <c r="Y20" s="15"/>
      <c r="Z20" s="15">
        <v>2010</v>
      </c>
      <c r="AA20" s="15"/>
      <c r="AB20" s="15">
        <v>14.606</v>
      </c>
    </row>
    <row r="21" ht="20.05" customHeight="1">
      <c r="B21" s="13"/>
      <c r="C21" s="14">
        <v>739</v>
      </c>
      <c r="D21" s="15">
        <v>29.25</v>
      </c>
      <c r="E21" s="15">
        <v>175.3</v>
      </c>
      <c r="F21" s="15">
        <v>2554</v>
      </c>
      <c r="G21" s="15">
        <v>5055</v>
      </c>
      <c r="H21" s="15">
        <v>15323</v>
      </c>
      <c r="I21" s="15">
        <v>367.3</v>
      </c>
      <c r="J21" s="15">
        <v>202.4</v>
      </c>
      <c r="K21" s="15">
        <v>220.4</v>
      </c>
      <c r="L21" s="15">
        <v>-1286.6</v>
      </c>
      <c r="M21" s="15">
        <v>103.4</v>
      </c>
      <c r="N21" s="15">
        <f>SUM(C18:C21)/4</f>
        <v>651.825</v>
      </c>
      <c r="O21" s="15"/>
      <c r="P21" s="16">
        <f>C21/C20-1</f>
        <v>0.496557310652086</v>
      </c>
      <c r="Q21" s="16">
        <f>((D21+E21)/C21)</f>
        <v>0.276792963464141</v>
      </c>
      <c r="R21" s="16">
        <f>AVERAGE(Q18:Q21)</f>
        <v>0.233773271900332</v>
      </c>
      <c r="S21" s="17"/>
      <c r="T21" s="15">
        <f>SUM(J18:K21)/4</f>
        <v>171.25</v>
      </c>
      <c r="U21" s="17"/>
      <c r="V21" s="15">
        <f>-(L21+M21)+V20</f>
        <v>-3571.3</v>
      </c>
      <c r="W21" s="17"/>
      <c r="X21" s="15">
        <f>F21-G21</f>
        <v>-2501</v>
      </c>
      <c r="Y21" s="15"/>
      <c r="Z21" s="15">
        <v>1700</v>
      </c>
      <c r="AA21" s="15"/>
      <c r="AB21" s="15">
        <v>14.45</v>
      </c>
    </row>
    <row r="22" ht="20.05" customHeight="1">
      <c r="B22" s="13"/>
      <c r="C22" s="14">
        <v>691.8</v>
      </c>
      <c r="D22" s="15">
        <v>29.25</v>
      </c>
      <c r="E22" s="15">
        <v>176.4</v>
      </c>
      <c r="F22" s="15">
        <v>913</v>
      </c>
      <c r="G22" s="15">
        <v>4282</v>
      </c>
      <c r="H22" s="15">
        <v>14726</v>
      </c>
      <c r="I22" s="15">
        <v>573.7</v>
      </c>
      <c r="J22" s="15">
        <v>159.1</v>
      </c>
      <c r="K22" s="15">
        <v>-333.9</v>
      </c>
      <c r="L22" s="15">
        <v>-1456</v>
      </c>
      <c r="M22" s="15">
        <v>0.5</v>
      </c>
      <c r="N22" s="15">
        <f>SUM(C19:C22)/4</f>
        <v>704.575</v>
      </c>
      <c r="O22" s="15"/>
      <c r="P22" s="16">
        <f>C22/C21-1</f>
        <v>-0.06387009472259809</v>
      </c>
      <c r="Q22" s="16">
        <f>((D22+E22)/C22)</f>
        <v>0.297267996530789</v>
      </c>
      <c r="R22" s="16">
        <f>AVERAGE(Q19:Q22)</f>
        <v>0.248762068038021</v>
      </c>
      <c r="S22" s="17"/>
      <c r="T22" s="15">
        <f>SUM(J19:K22)/4</f>
        <v>96.52500000000001</v>
      </c>
      <c r="U22" s="17"/>
      <c r="V22" s="15">
        <f>-(L22+M22)+V21</f>
        <v>-2115.8</v>
      </c>
      <c r="W22" s="17"/>
      <c r="X22" s="15">
        <f>F22-G22</f>
        <v>-3369</v>
      </c>
      <c r="Y22" s="15"/>
      <c r="Z22" s="15">
        <v>1240</v>
      </c>
      <c r="AA22" s="15"/>
      <c r="AB22" s="15">
        <v>14.328</v>
      </c>
    </row>
    <row r="23" ht="20.05" customHeight="1">
      <c r="B23" s="13"/>
      <c r="C23" s="14">
        <v>2513.4</v>
      </c>
      <c r="D23" s="15">
        <v>29.25</v>
      </c>
      <c r="E23" s="15">
        <v>227.4</v>
      </c>
      <c r="F23" s="15">
        <v>1085</v>
      </c>
      <c r="G23" s="15">
        <v>4857</v>
      </c>
      <c r="H23" s="15">
        <v>15446</v>
      </c>
      <c r="I23" s="15">
        <v>3574.9</v>
      </c>
      <c r="J23" s="15">
        <v>795.2</v>
      </c>
      <c r="K23" s="15">
        <v>-299.2</v>
      </c>
      <c r="L23" s="15">
        <v>-250</v>
      </c>
      <c r="M23" s="15">
        <v>-72.90000000000001</v>
      </c>
      <c r="N23" s="15">
        <f>SUM(C20:C23)/4</f>
        <v>1109.5</v>
      </c>
      <c r="O23" s="15"/>
      <c r="P23" s="16">
        <f>C23/C22-1</f>
        <v>2.63313096270598</v>
      </c>
      <c r="Q23" s="16">
        <f>((D23+E23)/C23)</f>
        <v>0.102112676056338</v>
      </c>
      <c r="R23" s="16">
        <f>AVERAGE(Q20:Q23)</f>
        <v>0.249617528089366</v>
      </c>
      <c r="S23" s="17"/>
      <c r="T23" s="15">
        <f>SUM(J20:K23)/4</f>
        <v>213.575</v>
      </c>
      <c r="U23" s="17"/>
      <c r="V23" s="15">
        <f>-(L23+M23)+V22</f>
        <v>-1792.9</v>
      </c>
      <c r="W23" s="17"/>
      <c r="X23" s="15">
        <f>F23-G23</f>
        <v>-3772</v>
      </c>
      <c r="Y23" s="15"/>
      <c r="Z23" s="15">
        <v>2000</v>
      </c>
      <c r="AA23" s="15"/>
      <c r="AB23" s="15">
        <v>14.275</v>
      </c>
    </row>
    <row r="24" ht="20.05" customHeight="1">
      <c r="B24" s="21">
        <v>2022</v>
      </c>
      <c r="C24" s="14">
        <v>1223</v>
      </c>
      <c r="D24" s="15">
        <v>31</v>
      </c>
      <c r="E24" s="15">
        <v>206</v>
      </c>
      <c r="F24" s="15">
        <v>508</v>
      </c>
      <c r="G24" s="15">
        <v>4870</v>
      </c>
      <c r="H24" s="15">
        <v>15666</v>
      </c>
      <c r="I24" s="15">
        <v>427</v>
      </c>
      <c r="J24" s="15">
        <v>326.7</v>
      </c>
      <c r="K24" s="15">
        <v>-478.8</v>
      </c>
      <c r="L24" s="15">
        <v>-427</v>
      </c>
      <c r="M24" s="15">
        <v>2</v>
      </c>
      <c r="N24" s="15">
        <f>SUM(C21:C24)/4</f>
        <v>1291.8</v>
      </c>
      <c r="O24" s="15">
        <v>998.78625</v>
      </c>
      <c r="P24" s="16">
        <f>C24/C23-1</f>
        <v>-0.513408132410281</v>
      </c>
      <c r="Q24" s="16">
        <f>((D24+E24)/C24)</f>
        <v>0.193785772690106</v>
      </c>
      <c r="R24" s="16">
        <f>AVERAGE(Q21:Q24)</f>
        <v>0.217489852185344</v>
      </c>
      <c r="S24" s="35"/>
      <c r="T24" s="15">
        <f>SUM(J21:K24)/4</f>
        <v>147.975</v>
      </c>
      <c r="U24" s="15">
        <v>219.798700941930</v>
      </c>
      <c r="V24" s="15">
        <f>-(L24+M24)+V23</f>
        <v>-1367.9</v>
      </c>
      <c r="W24" s="15"/>
      <c r="X24" s="15">
        <f>F24-G24</f>
        <v>-4362</v>
      </c>
      <c r="Y24" s="15">
        <v>-2622.119217889230</v>
      </c>
      <c r="Z24" s="15">
        <v>1625</v>
      </c>
      <c r="AA24" s="15"/>
      <c r="AB24" s="15">
        <v>14.327</v>
      </c>
    </row>
    <row r="25" ht="20.05" customHeight="1">
      <c r="B25" s="13"/>
      <c r="C25" s="14">
        <v>511.5</v>
      </c>
      <c r="D25" s="15">
        <v>32.4</v>
      </c>
      <c r="E25" s="15">
        <v>262.8</v>
      </c>
      <c r="F25" s="15">
        <v>816</v>
      </c>
      <c r="G25" s="15">
        <v>5023</v>
      </c>
      <c r="H25" s="15">
        <v>16083</v>
      </c>
      <c r="I25" s="15">
        <v>436.1</v>
      </c>
      <c r="J25" s="15">
        <v>141.3</v>
      </c>
      <c r="K25" s="15">
        <v>-281.4</v>
      </c>
      <c r="L25" s="15">
        <v>452.7</v>
      </c>
      <c r="M25" s="15">
        <v>1</v>
      </c>
      <c r="N25" s="15">
        <f>SUM(C22:C25)/4</f>
        <v>1234.925</v>
      </c>
      <c r="O25" s="15">
        <v>1081.6775</v>
      </c>
      <c r="P25" s="16">
        <f>C25/C24-1</f>
        <v>-0.581766148814391</v>
      </c>
      <c r="Q25" s="16">
        <f>((D25+E25)/C25)</f>
        <v>0.577126099706745</v>
      </c>
      <c r="R25" s="16">
        <f>AVERAGE(Q22:Q25)</f>
        <v>0.292573136245995</v>
      </c>
      <c r="S25" s="35"/>
      <c r="T25" s="15">
        <f>SUM(J22:K25)/4</f>
        <v>7.25</v>
      </c>
      <c r="U25" s="15">
        <v>323.6945401935</v>
      </c>
      <c r="V25" s="15">
        <f>-(L25+M25)+V24</f>
        <v>-1821.6</v>
      </c>
      <c r="W25" s="15"/>
      <c r="X25" s="15">
        <f>F25-G25</f>
        <v>-4207</v>
      </c>
      <c r="Y25" s="15">
        <v>-3395.098292240470</v>
      </c>
      <c r="Z25" s="15">
        <v>1880</v>
      </c>
      <c r="AA25" s="15">
        <v>2104.588127999220</v>
      </c>
      <c r="AB25" s="15">
        <v>14.66</v>
      </c>
    </row>
    <row r="26" ht="20.05" customHeight="1">
      <c r="B26" s="13"/>
      <c r="C26" s="14">
        <v>1453.2</v>
      </c>
      <c r="D26" s="15">
        <v>34.1</v>
      </c>
      <c r="E26" s="15">
        <v>267.6</v>
      </c>
      <c r="F26" s="15">
        <v>449</v>
      </c>
      <c r="G26" s="15">
        <v>5173</v>
      </c>
      <c r="H26" s="15">
        <v>16501</v>
      </c>
      <c r="I26" s="15">
        <v>554.3</v>
      </c>
      <c r="J26" s="15">
        <v>96.90000000000001</v>
      </c>
      <c r="K26" s="15">
        <v>-513.9</v>
      </c>
      <c r="L26" s="15">
        <v>49.7</v>
      </c>
      <c r="M26" s="15">
        <v>0</v>
      </c>
      <c r="N26" s="15">
        <f>AVERAGE(C26)</f>
        <v>1453.2</v>
      </c>
      <c r="O26" s="15">
        <v>951.920625</v>
      </c>
      <c r="P26" s="16">
        <f>C26/C25-1</f>
        <v>1.84105571847507</v>
      </c>
      <c r="Q26" s="16">
        <f>((D26+E26)/C26)</f>
        <v>0.207610789980732</v>
      </c>
      <c r="R26" s="16">
        <f>AVERAGE(Q23:Q26)</f>
        <v>0.27015883460848</v>
      </c>
      <c r="S26" s="35">
        <f>S27</f>
        <v>0.207610789980732</v>
      </c>
      <c r="T26" s="15">
        <f>SUM(J23:K26)/4</f>
        <v>-53.3</v>
      </c>
      <c r="U26" s="15">
        <v>-20.0373226869565</v>
      </c>
      <c r="V26" s="15">
        <f>-(L26+M26)+V25</f>
        <v>-1871.3</v>
      </c>
      <c r="W26" s="15">
        <f>W27</f>
        <v>-1676.4191383</v>
      </c>
      <c r="X26" s="15">
        <f>F26-G26</f>
        <v>-4724</v>
      </c>
      <c r="Y26" s="15">
        <v>-4287.149290747830</v>
      </c>
      <c r="Z26" s="15">
        <v>1980</v>
      </c>
      <c r="AA26" s="15">
        <v>2104.588127999220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1590.0918033</v>
      </c>
      <c r="P27" s="17"/>
      <c r="Q27" s="17"/>
      <c r="R27" s="17"/>
      <c r="S27" s="35">
        <f>AE53</f>
        <v>0.207610789980732</v>
      </c>
      <c r="T27" s="17"/>
      <c r="U27" s="15">
        <f>SUM(AE55:AH55)/4</f>
        <v>48.7202154249997</v>
      </c>
      <c r="V27" s="17"/>
      <c r="W27" s="15">
        <f>-SUM(AE76:AH76)+V26</f>
        <v>-1676.4191383</v>
      </c>
      <c r="X27" s="17"/>
      <c r="Y27" s="15">
        <f>AH75</f>
        <v>-4529.1191383</v>
      </c>
      <c r="Z27" s="15">
        <v>1895</v>
      </c>
      <c r="AA27" s="15">
        <v>2382.283367271840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SUM(N18:N26)</f>
        <v>8373.174999999999</v>
      </c>
      <c r="O28" s="15">
        <f>SUM(O18:O26)</f>
        <v>3032.384375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1613.445086458980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287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0.844753099989095</v>
      </c>
      <c r="AF49" s="35"/>
      <c r="AG49" s="35"/>
      <c r="AH49" s="35">
        <f>AVERAGE(AE51:AH51)</f>
        <v>0.03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2.63313096270598</v>
      </c>
      <c r="AF50" s="35">
        <f>P24</f>
        <v>-0.513408132410281</v>
      </c>
      <c r="AG50" s="35">
        <f>P25</f>
        <v>-0.581766148814391</v>
      </c>
      <c r="AH50" s="35">
        <f>P26</f>
        <v>1.84105571847507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-0.01</v>
      </c>
      <c r="AG51" s="35">
        <v>-0.02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1453.2</v>
      </c>
      <c r="AE52" s="23">
        <f>C26*(1+AE51)</f>
        <v>1598.52</v>
      </c>
      <c r="AF52" s="23">
        <f>AE52*(1+AF51)</f>
        <v>1582.5348</v>
      </c>
      <c r="AG52" s="23">
        <f>AF52*(1+AG51)</f>
        <v>1550.884104</v>
      </c>
      <c r="AH52" s="23">
        <f>AG52*(1+AH51)</f>
        <v>1628.4283092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0.207610789980732</v>
      </c>
      <c r="AF53" s="35">
        <f>AE53</f>
        <v>0.207610789980732</v>
      </c>
      <c r="AG53" s="35">
        <f>AF53</f>
        <v>0.207610789980732</v>
      </c>
      <c r="AH53" s="35">
        <f>AG53</f>
        <v>0.207610789980732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-281.4</v>
      </c>
      <c r="AF54" s="15">
        <f>AE54</f>
        <v>-281.4</v>
      </c>
      <c r="AG54" s="15">
        <f>AF54</f>
        <v>-281.4</v>
      </c>
      <c r="AH54" s="15">
        <f>AG54</f>
        <v>-281.4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50.4699999999997</v>
      </c>
      <c r="AF55" s="15">
        <f>(AF52*AF53)+AF54</f>
        <v>47.1512999999997</v>
      </c>
      <c r="AG55" s="15">
        <f>(AG52*AG53)+AG54</f>
        <v>40.5802739999997</v>
      </c>
      <c r="AH55" s="15">
        <f>(AH52*AH53)+AH54</f>
        <v>56.6792876999997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-258.65</v>
      </c>
      <c r="AF56" s="15">
        <f>-AE71/20</f>
        <v>-245.7175</v>
      </c>
      <c r="AG56" s="15">
        <f>-AF71/20</f>
        <v>-233.431625</v>
      </c>
      <c r="AH56" s="15">
        <f>-AG71/20</f>
        <v>-221.76004375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-208.18</v>
      </c>
      <c r="AF59" s="15">
        <f>AF55+AF56+AF58</f>
        <v>-198.5662</v>
      </c>
      <c r="AG59" s="15">
        <f>AG55+AG56+AG58</f>
        <v>-192.851351</v>
      </c>
      <c r="AH59" s="15">
        <f>AH55+AH56+AH58</f>
        <v>-165.08075605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208.18</v>
      </c>
      <c r="AF60" s="15">
        <f>-MIN(AE72,AF59)</f>
        <v>198.5662</v>
      </c>
      <c r="AG60" s="15">
        <f>-MIN(AF72,AG59)</f>
        <v>192.851351</v>
      </c>
      <c r="AH60" s="15">
        <f>-MIN(AG72,AH59)</f>
        <v>165.08075605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449</v>
      </c>
      <c r="AF61" s="15">
        <f>AE63</f>
        <v>449</v>
      </c>
      <c r="AG61" s="15">
        <f>AF63</f>
        <v>449</v>
      </c>
      <c r="AH61" s="15">
        <f>AG63</f>
        <v>449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-3e-13</v>
      </c>
      <c r="AF62" s="15">
        <f>AF55+AF56+AF58+AF60</f>
        <v>-3e-13</v>
      </c>
      <c r="AG62" s="15">
        <f>AG55+AG56+AG58+AG60</f>
        <v>-3e-13</v>
      </c>
      <c r="AH62" s="15">
        <f>AH55+AH56+AH58+AH60</f>
        <v>-3e-13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449</v>
      </c>
      <c r="AF63" s="15">
        <f>AF61+AF62</f>
        <v>449</v>
      </c>
      <c r="AG63" s="15">
        <f>AG61+AG62</f>
        <v>449</v>
      </c>
      <c r="AH63" s="15">
        <f>AH61+AH62</f>
        <v>449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-AVERAGE(D23:D26)</f>
        <v>-31.6875</v>
      </c>
      <c r="AF65" s="15">
        <f>AE65</f>
        <v>-31.6875</v>
      </c>
      <c r="AG65" s="15">
        <f>AF65</f>
        <v>-31.6875</v>
      </c>
      <c r="AH65" s="15">
        <f>AG65</f>
        <v>-31.6875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300.1825</v>
      </c>
      <c r="AF66" s="15">
        <f>(AF52*AF53)+AF65</f>
        <v>296.8638</v>
      </c>
      <c r="AG66" s="15">
        <f>(AG52*AG53)+AG65</f>
        <v>290.292774</v>
      </c>
      <c r="AH66" s="15">
        <f>(AH52*AH53)+AH65</f>
        <v>306.3917877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16333.4</v>
      </c>
      <c r="AF68" s="15">
        <f>AE68-AF54</f>
        <v>16614.8</v>
      </c>
      <c r="AG68" s="15">
        <f>AF68-AG54</f>
        <v>16896.2</v>
      </c>
      <c r="AH68" s="15">
        <f>AG68-AH54</f>
        <v>17177.6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31.6875</v>
      </c>
      <c r="AF69" s="15">
        <f>AE69-AF65</f>
        <v>63.375</v>
      </c>
      <c r="AG69" s="15">
        <f>AF69-AG65</f>
        <v>95.0625</v>
      </c>
      <c r="AH69" s="15">
        <f>AG69-AH65</f>
        <v>126.75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16301.7125</v>
      </c>
      <c r="AF70" s="15">
        <f>AF68-AF69</f>
        <v>16551.425</v>
      </c>
      <c r="AG70" s="15">
        <f>AG68-AG69</f>
        <v>16801.1375</v>
      </c>
      <c r="AH70" s="15">
        <f>AH68-AH69</f>
        <v>17050.85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4914.35</v>
      </c>
      <c r="AF71" s="15">
        <f>AE71+AF56</f>
        <v>4668.6325</v>
      </c>
      <c r="AG71" s="15">
        <f>AF71+AG56</f>
        <v>4435.200875</v>
      </c>
      <c r="AH71" s="15">
        <f>AG71+AH56</f>
        <v>4213.44083125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208.18</v>
      </c>
      <c r="AF72" s="15">
        <f>AE72+AF60</f>
        <v>406.7462</v>
      </c>
      <c r="AG72" s="15">
        <f>AF72+AG60</f>
        <v>599.597551</v>
      </c>
      <c r="AH72" s="15">
        <f>AG72+AH60</f>
        <v>764.6783070499999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11628.1825</v>
      </c>
      <c r="AF73" s="15">
        <f>AE73+AF66+AF58</f>
        <v>11925.0463</v>
      </c>
      <c r="AG73" s="15">
        <f>AF73+AG66+AG58</f>
        <v>12215.339074</v>
      </c>
      <c r="AH73" s="15">
        <f>AG73+AH66+AH58</f>
        <v>12521.7308617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-4673.53</v>
      </c>
      <c r="AF75" s="15">
        <f>AF63-AF71-AF72</f>
        <v>-4626.3787</v>
      </c>
      <c r="AG75" s="15">
        <f>AG63-AG71-AG72</f>
        <v>-4585.798426</v>
      </c>
      <c r="AH75" s="15">
        <f>AH63-AH71-AH72</f>
        <v>-4529.1191383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-50.47</v>
      </c>
      <c r="AF76" s="15">
        <f>AF56+AF58+AF60</f>
        <v>-47.1513</v>
      </c>
      <c r="AG76" s="15">
        <f>AG56+AG58+AG60</f>
        <v>-40.580274</v>
      </c>
      <c r="AH76" s="15">
        <f>AH56+AH58+AH60</f>
        <v>-56.6792877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530</v>
      </c>
      <c r="AD78" s="14"/>
      <c r="AE78" s="15"/>
      <c r="AF78" s="15"/>
      <c r="AG78" s="15"/>
      <c r="AH78" s="15">
        <v>1895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530</v>
      </c>
      <c r="AD79" s="14"/>
      <c r="AE79" s="15"/>
      <c r="AF79" s="15"/>
      <c r="AG79" s="15"/>
      <c r="AH79" s="15">
        <v>10299988280320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10299.98828032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5.435350016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0.58857580381089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194.880861699999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87.4937120621326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52.8527439301653</v>
      </c>
      <c r="AH86" s="15">
        <v>45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8769.638776499960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1613.445086458980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-0.148577790786818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1.10060711188205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-0.63784533644645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530</v>
      </c>
      <c r="AF94" t="s" s="44">
        <v>60</v>
      </c>
      <c r="AG94" s="15">
        <f>AH78</f>
        <v>1895</v>
      </c>
      <c r="AH94" t="s" s="44">
        <v>61</v>
      </c>
      <c r="AI94" s="15">
        <f>AH88</f>
        <v>1613.445086458980</v>
      </c>
      <c r="AJ94" t="s" s="44">
        <f>IF(AK94&gt;0,"+","")</f>
      </c>
      <c r="AK94" s="16">
        <f>AI94/AG94-1</f>
        <v>-0.148577790786818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1.10060711188205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-0.020699052678279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0.023737891087426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-0.458641298556238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1.84105571847507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-0.06387009472259809</v>
      </c>
      <c r="AF103" s="16">
        <f>P23</f>
        <v>2.63313096270598</v>
      </c>
      <c r="AG103" s="16">
        <f>P24</f>
        <v>-0.513408132410281</v>
      </c>
      <c r="AH103" s="16">
        <f>P25</f>
        <v>-0.581766148814391</v>
      </c>
      <c r="AI103" s="16">
        <f>P26</f>
        <v>1.84105571847507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691.8</v>
      </c>
      <c r="AF104" s="15">
        <f>C23</f>
        <v>2513.4</v>
      </c>
      <c r="AG104" s="15">
        <f>C24</f>
        <v>1223</v>
      </c>
      <c r="AH104" s="15">
        <f>C25</f>
        <v>511.5</v>
      </c>
      <c r="AI104" s="15">
        <f>C26</f>
        <v>1453.2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1.84105571847507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1453.2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0.844753099989095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</v>
      </c>
      <c r="AG107" t="s" s="44">
        <v>82</v>
      </c>
      <c r="AH107" t="s" s="44">
        <v>83</v>
      </c>
      <c r="AI107" s="23">
        <f>AH52</f>
        <v>1628.4283092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0.297267996530789</v>
      </c>
      <c r="AF110" s="16">
        <f>(D23+E23)/C23</f>
        <v>0.102112676056338</v>
      </c>
      <c r="AG110" s="16">
        <f>((E24+D24)/C24)</f>
        <v>0.193785772690106</v>
      </c>
      <c r="AH110" s="16">
        <f>(D25+E25)/C25</f>
        <v>0.577126099706745</v>
      </c>
      <c r="AI110" s="16">
        <f>(D26+E26)/C26</f>
        <v>0.207610789980732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176.4</v>
      </c>
      <c r="AF111" s="15">
        <f>E23</f>
        <v>227.4</v>
      </c>
      <c r="AG111" s="15">
        <f>E24</f>
        <v>206</v>
      </c>
      <c r="AH111" s="15">
        <f>E25</f>
        <v>262.8</v>
      </c>
      <c r="AI111" s="15">
        <f>E26</f>
        <v>267.6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0.577126099706745</v>
      </c>
      <c r="AG112" t="s" s="44">
        <v>76</v>
      </c>
      <c r="AH112" s="16">
        <f>AI110</f>
        <v>0.207610789980732</v>
      </c>
      <c r="AI112" t="s" s="44">
        <v>90</v>
      </c>
      <c r="AJ112" s="15">
        <f>AH111</f>
        <v>262.8</v>
      </c>
      <c r="AK112" t="s" s="44">
        <v>76</v>
      </c>
      <c r="AL112" s="15">
        <f>AI111</f>
        <v>267.6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0.27015883460848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0.207610789980732</v>
      </c>
      <c r="AG114" t="s" s="44">
        <v>94</v>
      </c>
      <c r="AH114" s="15">
        <f>AH66</f>
        <v>306.3917877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159.1</v>
      </c>
      <c r="AF117" s="15">
        <f>J23</f>
        <v>795.2</v>
      </c>
      <c r="AG117" s="15">
        <f>J24</f>
        <v>326.7</v>
      </c>
      <c r="AH117" s="15">
        <f>J25</f>
        <v>141.3</v>
      </c>
      <c r="AI117" s="15">
        <f>J26</f>
        <v>96.90000000000001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-333.9</v>
      </c>
      <c r="AF118" s="15">
        <f>K23</f>
        <v>-299.2</v>
      </c>
      <c r="AG118" s="15">
        <f>K24</f>
        <v>-478.8</v>
      </c>
      <c r="AH118" s="15">
        <f>K25</f>
        <v>-281.4</v>
      </c>
      <c r="AI118" s="15">
        <f>K26</f>
        <v>-513.9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-140.1</v>
      </c>
      <c r="AG119" t="s" s="44">
        <v>76</v>
      </c>
      <c r="AH119" s="15">
        <f>AI117+AI118</f>
        <v>-417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-513.9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-53.3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-281.4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48.7202154249997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913</v>
      </c>
      <c r="AF124" s="15">
        <f>F23</f>
        <v>1085</v>
      </c>
      <c r="AG124" s="15">
        <f>F24</f>
        <v>508</v>
      </c>
      <c r="AH124" s="15">
        <f>F25</f>
        <v>816</v>
      </c>
      <c r="AI124" s="15">
        <f>F26</f>
        <v>449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4282</v>
      </c>
      <c r="AF125" s="15">
        <f>G23</f>
        <v>4857</v>
      </c>
      <c r="AG125" s="15">
        <f>G24</f>
        <v>4870</v>
      </c>
      <c r="AH125" s="15">
        <f>G25</f>
        <v>5023</v>
      </c>
      <c r="AI125" s="15">
        <f>G26</f>
        <v>5173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AH124</f>
        <v>816</v>
      </c>
      <c r="AH126" t="s" s="44">
        <v>76</v>
      </c>
      <c r="AI126" s="15">
        <f>AI124</f>
        <v>449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5023</v>
      </c>
      <c r="AH127" t="s" s="44">
        <v>76</v>
      </c>
      <c r="AI127" s="15">
        <f>AI125</f>
        <v>5173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-4207</v>
      </c>
      <c r="AO127" t="s" s="44">
        <v>76</v>
      </c>
      <c r="AP127" s="15">
        <f>AI126-AI127</f>
        <v>-4724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-194.8808617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-4529.1191383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1456</v>
      </c>
      <c r="AF131" s="15">
        <f>-L23</f>
        <v>250</v>
      </c>
      <c r="AG131" s="15">
        <f>-L24</f>
        <v>427</v>
      </c>
      <c r="AH131" s="15">
        <f>-L25</f>
        <v>-452.7</v>
      </c>
      <c r="AI131" s="15">
        <f>-L26</f>
        <v>-49.7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-0.5</v>
      </c>
      <c r="AF132" s="15">
        <f>-M23</f>
        <v>72.90000000000001</v>
      </c>
      <c r="AG132" s="15">
        <f>-M24</f>
        <v>-2</v>
      </c>
      <c r="AH132" s="15">
        <f>-M25</f>
        <v>-1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530</v>
      </c>
      <c r="AF133" t="s" s="44">
        <f>IF(AG133&gt;0,"paid","(raised)")</f>
        <v>121</v>
      </c>
      <c r="AG133" s="15">
        <f>SUM(AI131:AI132)</f>
        <v>-49.7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-49.7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194.8808617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10299.98828032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0.58857580381089</v>
      </c>
      <c r="AK134" t="s" s="44">
        <v>130</v>
      </c>
      <c r="AL134" t="s" s="44">
        <v>131</v>
      </c>
      <c r="AM134" t="s" s="44">
        <v>132</v>
      </c>
      <c r="AN134" s="15">
        <f>AH85</f>
        <v>87.4937120621326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194.880861699999</v>
      </c>
      <c r="AG135" t="s" s="44">
        <f>AG134</f>
        <v>372</v>
      </c>
      <c r="AH135" t="s" s="44">
        <v>136</v>
      </c>
      <c r="AI135" s="15">
        <f>AF134/AF135</f>
        <v>52.8527439301653</v>
      </c>
      <c r="AJ135" t="s" s="44">
        <v>130</v>
      </c>
      <c r="AK135" t="s" s="44">
        <v>137</v>
      </c>
      <c r="AL135" t="s" s="44">
        <v>138</v>
      </c>
      <c r="AM135" s="15">
        <f>AH86</f>
        <v>45</v>
      </c>
      <c r="AN135" t="s" s="44">
        <v>139</v>
      </c>
      <c r="AO135" t="s" s="44">
        <v>140</v>
      </c>
      <c r="AP135" t="s" s="44">
        <v>141</v>
      </c>
      <c r="AQ135" s="16">
        <f>AK94</f>
        <v>-0.148577790786818</v>
      </c>
      <c r="AR135" t="s" s="44">
        <f>IF(AQ135&gt;0,"higher","lower")</f>
        <v>104</v>
      </c>
      <c r="AS135" t="s" s="44">
        <v>142</v>
      </c>
      <c r="AT135" s="15">
        <f>AI94</f>
        <v>1613.445086458980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691.8</v>
      </c>
      <c r="AE137" s="15">
        <f>AF104</f>
        <v>2513.4</v>
      </c>
      <c r="AF137" s="15">
        <f>AG104</f>
        <v>1223</v>
      </c>
      <c r="AG137" s="15">
        <f>AH104</f>
        <v>511.5</v>
      </c>
      <c r="AH137" s="15">
        <f>AI104</f>
        <v>1453.2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-174.8</v>
      </c>
      <c r="AE138" s="15">
        <f>SUM(AF117:AF118)</f>
        <v>496</v>
      </c>
      <c r="AF138" s="15">
        <f>SUM(AG117:AG118)</f>
        <v>-152.1</v>
      </c>
      <c r="AG138" s="15">
        <f>SUM(AH117:AH118)</f>
        <v>-140.1</v>
      </c>
      <c r="AH138" s="15">
        <f>SUM(AI117:AI118)</f>
        <v>-417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1455.5</v>
      </c>
      <c r="AE139" s="15">
        <f>SUM(AF131:AF132)</f>
        <v>322.9</v>
      </c>
      <c r="AF139" s="15">
        <f>SUM(AG131:AG132)</f>
        <v>425</v>
      </c>
      <c r="AG139" s="15">
        <f>SUM(AH131:AH132)</f>
        <v>-453.7</v>
      </c>
      <c r="AH139" s="15">
        <f>SUM(AI131:AI132)</f>
        <v>-49.7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-3369</v>
      </c>
      <c r="AE140" s="15">
        <f>(AF124-AF125)</f>
        <v>-3772</v>
      </c>
      <c r="AF140" s="15">
        <f>(AG124-AG125)</f>
        <v>-4362</v>
      </c>
      <c r="AG140" s="15">
        <f>(AH124-AH125)</f>
        <v>-4207</v>
      </c>
      <c r="AH140" s="15">
        <f>(AI124-AI125)</f>
        <v>-4724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1613.445086458980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58" customWidth="1"/>
    <col min="2" max="28" width="10.4844" style="158" customWidth="1"/>
    <col min="29" max="29" width="18.9766" style="159" customWidth="1"/>
    <col min="30" max="48" width="9" style="159" customWidth="1"/>
    <col min="49" max="16384" width="16.3516" style="159" customWidth="1"/>
  </cols>
  <sheetData>
    <row r="1" ht="11.65" customHeight="1"/>
    <row r="2" ht="27.65" customHeight="1">
      <c r="B2" t="s" s="2">
        <v>531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302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25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2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2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2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2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2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25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25"/>
      <c r="AA15" s="24"/>
      <c r="AB15" s="15">
        <v>13.882</v>
      </c>
    </row>
    <row r="16" ht="20.05" customHeight="1">
      <c r="B16" s="21">
        <v>2020</v>
      </c>
      <c r="C16" s="14">
        <v>1468</v>
      </c>
      <c r="D16" s="15">
        <v>207</v>
      </c>
      <c r="E16" s="15">
        <v>-93</v>
      </c>
      <c r="F16" s="15"/>
      <c r="G16" s="15"/>
      <c r="H16" s="15"/>
      <c r="I16" s="15">
        <v>1857</v>
      </c>
      <c r="J16" s="15">
        <v>210</v>
      </c>
      <c r="K16" s="15">
        <v>-870</v>
      </c>
      <c r="L16" s="15">
        <v>65</v>
      </c>
      <c r="M16" s="15">
        <v>-86</v>
      </c>
      <c r="N16" s="15">
        <f>SUM(C13:C16)/4</f>
        <v>367</v>
      </c>
      <c r="O16" s="15"/>
      <c r="P16" s="16"/>
      <c r="Q16" s="16">
        <f>J16/I16</f>
        <v>0.113085621970921</v>
      </c>
      <c r="R16" s="16">
        <f>AVERAGE(Q13:Q16)</f>
        <v>0.113085621970921</v>
      </c>
      <c r="S16" s="17"/>
      <c r="T16" s="15">
        <f>SUM(J13:K16)/4</f>
        <v>-165</v>
      </c>
      <c r="U16" s="25"/>
      <c r="V16" s="15">
        <f>-(L16+M16)+V15</f>
        <v>21</v>
      </c>
      <c r="W16" s="17"/>
      <c r="X16" s="15">
        <f>F16-G16</f>
        <v>0</v>
      </c>
      <c r="Y16" s="24"/>
      <c r="Z16" s="25"/>
      <c r="AA16" s="24"/>
      <c r="AB16" s="15">
        <v>16.31</v>
      </c>
    </row>
    <row r="17" ht="20.05" customHeight="1">
      <c r="B17" s="13"/>
      <c r="C17" s="14">
        <v>1468</v>
      </c>
      <c r="D17" s="15">
        <v>207</v>
      </c>
      <c r="E17" s="15">
        <v>-93</v>
      </c>
      <c r="F17" s="15"/>
      <c r="G17" s="15"/>
      <c r="H17" s="15"/>
      <c r="I17" s="15">
        <v>1857</v>
      </c>
      <c r="J17" s="15">
        <v>210</v>
      </c>
      <c r="K17" s="15">
        <v>-543</v>
      </c>
      <c r="L17" s="15">
        <v>-259</v>
      </c>
      <c r="M17" s="15">
        <v>-43</v>
      </c>
      <c r="N17" s="15">
        <f>SUM(C14:C17)/4</f>
        <v>734</v>
      </c>
      <c r="O17" s="15"/>
      <c r="P17" s="16">
        <f>C17/C16-1</f>
        <v>0</v>
      </c>
      <c r="Q17" s="16">
        <f>J17/I17</f>
        <v>0.113085621970921</v>
      </c>
      <c r="R17" s="16">
        <f>AVERAGE(Q14:Q17)</f>
        <v>0.113085621970921</v>
      </c>
      <c r="S17" s="17"/>
      <c r="T17" s="25">
        <f>SUM(J14:K17)/4</f>
        <v>-248.25</v>
      </c>
      <c r="U17" s="25"/>
      <c r="V17" s="15">
        <f>-(L17+M17)+V16</f>
        <v>323</v>
      </c>
      <c r="W17" s="17"/>
      <c r="X17" s="15">
        <f>F17-G17</f>
        <v>0</v>
      </c>
      <c r="Y17" s="24"/>
      <c r="Z17" s="25"/>
      <c r="AA17" s="24"/>
      <c r="AB17" s="15">
        <v>14.255</v>
      </c>
    </row>
    <row r="18" ht="20.05" customHeight="1">
      <c r="B18" s="13"/>
      <c r="C18" s="14">
        <v>2113</v>
      </c>
      <c r="D18" s="15">
        <v>207</v>
      </c>
      <c r="E18" s="15">
        <v>247</v>
      </c>
      <c r="F18" s="15"/>
      <c r="G18" s="15"/>
      <c r="H18" s="15"/>
      <c r="I18" s="15">
        <v>2796</v>
      </c>
      <c r="J18" s="15">
        <v>-1</v>
      </c>
      <c r="K18" s="15">
        <v>-134.2</v>
      </c>
      <c r="L18" s="15">
        <v>-212.5</v>
      </c>
      <c r="M18" s="15">
        <v>0</v>
      </c>
      <c r="N18" s="15">
        <f>SUM(C15:C18)/4</f>
        <v>1262.25</v>
      </c>
      <c r="O18" s="15"/>
      <c r="P18" s="16">
        <f>C18/C17-1</f>
        <v>0.439373297002725</v>
      </c>
      <c r="Q18" s="16">
        <f>J18/I18</f>
        <v>-0.000357653791130186</v>
      </c>
      <c r="R18" s="16">
        <f>AVERAGE(Q15:Q18)</f>
        <v>0.0752711967169039</v>
      </c>
      <c r="S18" s="17"/>
      <c r="T18" s="25">
        <f>SUM(J15:K18)/4</f>
        <v>-282.05</v>
      </c>
      <c r="U18" s="25"/>
      <c r="V18" s="15">
        <f>-(L18+M18)+V17</f>
        <v>535.5</v>
      </c>
      <c r="W18" s="17"/>
      <c r="X18" s="15">
        <f>F18-G18</f>
        <v>0</v>
      </c>
      <c r="Y18" s="24"/>
      <c r="Z18" s="25"/>
      <c r="AA18" s="24"/>
      <c r="AB18" s="15">
        <v>14.79</v>
      </c>
    </row>
    <row r="19" ht="20.05" customHeight="1">
      <c r="B19" s="13"/>
      <c r="C19" s="14">
        <v>2110</v>
      </c>
      <c r="D19" s="15">
        <v>207</v>
      </c>
      <c r="E19" s="15">
        <v>469</v>
      </c>
      <c r="F19" s="15"/>
      <c r="G19" s="15"/>
      <c r="H19" s="15"/>
      <c r="I19" s="15">
        <v>1583</v>
      </c>
      <c r="J19" s="15">
        <v>449</v>
      </c>
      <c r="K19" s="15">
        <v>-134.2</v>
      </c>
      <c r="L19" s="15">
        <v>-212.5</v>
      </c>
      <c r="M19" s="15">
        <v>0</v>
      </c>
      <c r="N19" s="15">
        <f>SUM(C16:C19)/4</f>
        <v>1789.75</v>
      </c>
      <c r="O19" s="15"/>
      <c r="P19" s="16">
        <f>C19/C18-1</f>
        <v>-0.00141978230004733</v>
      </c>
      <c r="Q19" s="16">
        <f>J19/I19</f>
        <v>0.283638660770689</v>
      </c>
      <c r="R19" s="16">
        <f>AVERAGE(Q16:Q19)</f>
        <v>0.12736306273035</v>
      </c>
      <c r="S19" s="17"/>
      <c r="T19" s="25">
        <f>SUM(J16:K19)/4</f>
        <v>-203.35</v>
      </c>
      <c r="U19" s="25"/>
      <c r="V19" s="15">
        <f>-(L19+M19)+V18</f>
        <v>748</v>
      </c>
      <c r="W19" s="17"/>
      <c r="X19" s="15">
        <f>F19-G19</f>
        <v>0</v>
      </c>
      <c r="Y19" s="24"/>
      <c r="Z19" s="25"/>
      <c r="AA19" s="24"/>
      <c r="AB19" s="15">
        <v>14.1</v>
      </c>
    </row>
    <row r="20" ht="20.05" customHeight="1">
      <c r="B20" s="21">
        <v>2021</v>
      </c>
      <c r="C20" s="14">
        <v>2007</v>
      </c>
      <c r="D20" s="15">
        <v>168</v>
      </c>
      <c r="E20" s="15">
        <v>119</v>
      </c>
      <c r="F20" s="15"/>
      <c r="G20" s="15"/>
      <c r="H20" s="15"/>
      <c r="I20" s="15">
        <v>2139</v>
      </c>
      <c r="J20" s="15">
        <v>193</v>
      </c>
      <c r="K20" s="15">
        <v>19.4</v>
      </c>
      <c r="L20" s="15">
        <v>115</v>
      </c>
      <c r="M20" s="15">
        <v>0</v>
      </c>
      <c r="N20" s="15">
        <f>SUM(C17:C20)/4</f>
        <v>1924.5</v>
      </c>
      <c r="O20" s="15"/>
      <c r="P20" s="16">
        <f>C20/C19-1</f>
        <v>-0.0488151658767773</v>
      </c>
      <c r="Q20" s="16">
        <f>J20/I20</f>
        <v>0.0902290790088827</v>
      </c>
      <c r="R20" s="16">
        <f>AVERAGE(Q17:Q20)</f>
        <v>0.121648926989841</v>
      </c>
      <c r="S20" s="17"/>
      <c r="T20" s="25">
        <f>SUM(J17:K20)/4</f>
        <v>14.75</v>
      </c>
      <c r="U20" s="25"/>
      <c r="V20" s="15">
        <f>-(L20+M20)+V19</f>
        <v>633</v>
      </c>
      <c r="W20" s="17"/>
      <c r="X20" s="15">
        <f>F20-G20</f>
        <v>0</v>
      </c>
      <c r="Y20" s="15"/>
      <c r="Z20" s="18"/>
      <c r="AA20" s="15"/>
      <c r="AB20" s="15">
        <v>14.606</v>
      </c>
    </row>
    <row r="21" ht="20.05" customHeight="1">
      <c r="B21" s="13"/>
      <c r="C21" s="14">
        <v>1864</v>
      </c>
      <c r="D21" s="15">
        <v>168</v>
      </c>
      <c r="E21" s="15">
        <v>69</v>
      </c>
      <c r="F21" s="15">
        <v>494</v>
      </c>
      <c r="G21" s="15">
        <v>16102</v>
      </c>
      <c r="H21" s="15">
        <v>19050</v>
      </c>
      <c r="I21" s="15">
        <v>1525</v>
      </c>
      <c r="J21" s="15">
        <v>464</v>
      </c>
      <c r="K21" s="15">
        <v>-102</v>
      </c>
      <c r="L21" s="15">
        <v>-221</v>
      </c>
      <c r="M21" s="15">
        <v>-43</v>
      </c>
      <c r="N21" s="15">
        <f>SUM(C18:C21)/4</f>
        <v>2023.5</v>
      </c>
      <c r="O21" s="15"/>
      <c r="P21" s="16">
        <f>C21/C20-1</f>
        <v>-0.07125062282012951</v>
      </c>
      <c r="Q21" s="16">
        <f>J21/I21</f>
        <v>0.304262295081967</v>
      </c>
      <c r="R21" s="16">
        <f>AVERAGE(Q18:Q21)</f>
        <v>0.169443095267602</v>
      </c>
      <c r="S21" s="17"/>
      <c r="T21" s="25">
        <f>SUM(J18:K21)/4</f>
        <v>188.5</v>
      </c>
      <c r="U21" s="25"/>
      <c r="V21" s="15">
        <f>-(L21+M21)+V20</f>
        <v>897</v>
      </c>
      <c r="W21" s="17"/>
      <c r="X21" s="15">
        <f>F21-G21</f>
        <v>-15608</v>
      </c>
      <c r="Y21" s="15"/>
      <c r="Z21" s="18">
        <v>850</v>
      </c>
      <c r="AA21" s="15"/>
      <c r="AB21" s="15">
        <v>14.45</v>
      </c>
    </row>
    <row r="22" ht="20.05" customHeight="1">
      <c r="B22" s="13"/>
      <c r="C22" s="14">
        <v>2010</v>
      </c>
      <c r="D22" s="15">
        <v>168</v>
      </c>
      <c r="E22" s="15">
        <v>191</v>
      </c>
      <c r="F22" s="15">
        <v>532</v>
      </c>
      <c r="G22" s="15">
        <v>14622</v>
      </c>
      <c r="H22" s="15">
        <v>18914</v>
      </c>
      <c r="I22" s="15">
        <v>2466</v>
      </c>
      <c r="J22" s="15">
        <v>-798</v>
      </c>
      <c r="K22" s="15">
        <v>-251</v>
      </c>
      <c r="L22" s="15">
        <v>42</v>
      </c>
      <c r="M22" s="15">
        <v>0</v>
      </c>
      <c r="N22" s="15">
        <f>SUM(C19:C22)/4</f>
        <v>1997.75</v>
      </c>
      <c r="O22" s="15"/>
      <c r="P22" s="16">
        <f>C22/C21-1</f>
        <v>0.0783261802575107</v>
      </c>
      <c r="Q22" s="16">
        <f>J22/I22</f>
        <v>-0.32360097323601</v>
      </c>
      <c r="R22" s="16">
        <f>AVERAGE(Q19:Q22)</f>
        <v>0.08863226540638219</v>
      </c>
      <c r="S22" s="17"/>
      <c r="T22" s="25">
        <f>SUM(J19:K22)/4</f>
        <v>-39.95</v>
      </c>
      <c r="U22" s="25"/>
      <c r="V22" s="15">
        <f>-(L22+M22)+V21</f>
        <v>855</v>
      </c>
      <c r="W22" s="17"/>
      <c r="X22" s="15">
        <f>F22-G22</f>
        <v>-14090</v>
      </c>
      <c r="Y22" s="15"/>
      <c r="Z22" s="18">
        <v>960</v>
      </c>
      <c r="AA22" s="15"/>
      <c r="AB22" s="15">
        <v>14.328</v>
      </c>
    </row>
    <row r="23" ht="20.05" customHeight="1">
      <c r="B23" s="13"/>
      <c r="C23" s="14">
        <v>2397</v>
      </c>
      <c r="D23" s="15">
        <v>168</v>
      </c>
      <c r="E23" s="15">
        <v>-124</v>
      </c>
      <c r="F23" s="15">
        <v>450</v>
      </c>
      <c r="G23" s="15">
        <v>14587</v>
      </c>
      <c r="H23" s="15">
        <v>18636</v>
      </c>
      <c r="I23" s="15">
        <v>2599</v>
      </c>
      <c r="J23" s="15">
        <v>255</v>
      </c>
      <c r="K23" s="15">
        <v>27.1</v>
      </c>
      <c r="L23" s="15">
        <v>-174</v>
      </c>
      <c r="M23" s="15">
        <v>0</v>
      </c>
      <c r="N23" s="15">
        <f>SUM(C20:C23)/4</f>
        <v>2069.5</v>
      </c>
      <c r="O23" s="15"/>
      <c r="P23" s="16">
        <f>C23/C22-1</f>
        <v>0.192537313432836</v>
      </c>
      <c r="Q23" s="16">
        <f>J23/I23</f>
        <v>0.0981146594844171</v>
      </c>
      <c r="R23" s="16">
        <f>AVERAGE(Q20:Q23)</f>
        <v>0.0422512650848142</v>
      </c>
      <c r="S23" s="17"/>
      <c r="T23" s="25">
        <f>SUM(J20:K23)/4</f>
        <v>-48.125</v>
      </c>
      <c r="U23" s="25"/>
      <c r="V23" s="15">
        <f>-(L23+M23)+V22</f>
        <v>1029</v>
      </c>
      <c r="W23" s="17"/>
      <c r="X23" s="15">
        <f>F23-G23</f>
        <v>-14137</v>
      </c>
      <c r="Y23" s="15"/>
      <c r="Z23" s="15">
        <v>1105</v>
      </c>
      <c r="AA23" s="15"/>
      <c r="AB23" s="15">
        <v>14.275</v>
      </c>
    </row>
    <row r="24" ht="20.05" customHeight="1">
      <c r="B24" s="21">
        <v>2022</v>
      </c>
      <c r="C24" s="14">
        <v>2178</v>
      </c>
      <c r="D24" s="15">
        <v>190.1</v>
      </c>
      <c r="E24" s="15">
        <v>83</v>
      </c>
      <c r="F24" s="15">
        <v>808</v>
      </c>
      <c r="G24" s="15">
        <v>15091</v>
      </c>
      <c r="H24" s="15">
        <v>19244</v>
      </c>
      <c r="I24" s="15">
        <v>2083</v>
      </c>
      <c r="J24" s="15">
        <v>372.6</v>
      </c>
      <c r="K24" s="15">
        <v>-109.1</v>
      </c>
      <c r="L24" s="15">
        <v>728</v>
      </c>
      <c r="M24" s="15">
        <v>0</v>
      </c>
      <c r="N24" s="15">
        <f>SUM(C21:C24)/4</f>
        <v>2112.25</v>
      </c>
      <c r="O24" s="15"/>
      <c r="P24" s="16">
        <f>C24/C23-1</f>
        <v>-0.0913642052565707</v>
      </c>
      <c r="Q24" s="16">
        <f>J24/I24</f>
        <v>0.178876620259241</v>
      </c>
      <c r="R24" s="16">
        <f>AVERAGE(Q21:Q24)</f>
        <v>0.06441315039740381</v>
      </c>
      <c r="S24" s="35"/>
      <c r="T24" s="25">
        <f>SUM(J21:K24)/4</f>
        <v>-35.35</v>
      </c>
      <c r="U24" s="15"/>
      <c r="V24" s="15">
        <f>-(L24+M24)+V23</f>
        <v>301</v>
      </c>
      <c r="W24" s="15"/>
      <c r="X24" s="15">
        <f>F24-G24</f>
        <v>-14283</v>
      </c>
      <c r="Y24" s="15"/>
      <c r="Z24" s="15">
        <v>1175</v>
      </c>
      <c r="AA24" s="17"/>
      <c r="AB24" s="15">
        <v>14.327</v>
      </c>
    </row>
    <row r="25" ht="20.05" customHeight="1">
      <c r="B25" s="13"/>
      <c r="C25" s="14">
        <v>2286.2</v>
      </c>
      <c r="D25" s="15">
        <v>208.2</v>
      </c>
      <c r="E25" s="15">
        <v>-24</v>
      </c>
      <c r="F25" s="15">
        <v>817</v>
      </c>
      <c r="G25" s="15">
        <v>14806</v>
      </c>
      <c r="H25" s="15">
        <v>18950</v>
      </c>
      <c r="I25" s="15">
        <v>2676.7</v>
      </c>
      <c r="J25" s="15">
        <v>169.2</v>
      </c>
      <c r="K25" s="15">
        <v>-1281</v>
      </c>
      <c r="L25" s="15">
        <v>-134</v>
      </c>
      <c r="M25" s="15">
        <v>1079</v>
      </c>
      <c r="N25" s="15">
        <f>SUM(C22:C25)/4</f>
        <v>2217.8</v>
      </c>
      <c r="O25" s="15"/>
      <c r="P25" s="16">
        <f>C25/C24-1</f>
        <v>0.0496786042240588</v>
      </c>
      <c r="Q25" s="16">
        <f>J25/I25</f>
        <v>0.0632121642320768</v>
      </c>
      <c r="R25" s="16">
        <f>AVERAGE(Q22:Q25)</f>
        <v>0.00415061768493123</v>
      </c>
      <c r="S25" s="35"/>
      <c r="T25" s="25">
        <f>SUM(J22:K25)/4</f>
        <v>-403.8</v>
      </c>
      <c r="U25" s="15"/>
      <c r="V25" s="15">
        <f>-(L25+M25)+V24</f>
        <v>-644</v>
      </c>
      <c r="W25" s="15"/>
      <c r="X25" s="15">
        <f>F25-G25</f>
        <v>-13989</v>
      </c>
      <c r="Y25" s="15"/>
      <c r="Z25" s="15">
        <v>990</v>
      </c>
      <c r="AA25" s="17"/>
      <c r="AB25" s="15">
        <v>14.66</v>
      </c>
    </row>
    <row r="26" ht="20.05" customHeight="1">
      <c r="B26" s="13"/>
      <c r="C26" s="14">
        <v>2447.6</v>
      </c>
      <c r="D26" s="15">
        <v>209.7</v>
      </c>
      <c r="E26" s="15">
        <v>-53.1</v>
      </c>
      <c r="F26" s="15">
        <v>390</v>
      </c>
      <c r="G26" s="15">
        <v>14480</v>
      </c>
      <c r="H26" s="15">
        <v>18468</v>
      </c>
      <c r="I26" s="15">
        <v>2249.5</v>
      </c>
      <c r="J26" s="15">
        <v>166.3</v>
      </c>
      <c r="K26" s="15">
        <v>-180</v>
      </c>
      <c r="L26" s="15">
        <v>149</v>
      </c>
      <c r="M26" s="15">
        <v>0</v>
      </c>
      <c r="N26" s="15">
        <f>SUM(C23:C26)/4</f>
        <v>2327.2</v>
      </c>
      <c r="O26" s="15">
        <v>2178</v>
      </c>
      <c r="P26" s="16">
        <f>C26/C25-1</f>
        <v>0.0705974980316683</v>
      </c>
      <c r="Q26" s="16">
        <f>J26/I26</f>
        <v>0.0739275394532118</v>
      </c>
      <c r="R26" s="16">
        <f>AVERAGE(Q23:Q26)</f>
        <v>0.103532745857237</v>
      </c>
      <c r="S26" s="35">
        <f>S27</f>
        <v>0.103532745857237</v>
      </c>
      <c r="T26" s="25">
        <f>SUM(J23:K26)/4</f>
        <v>-144.975</v>
      </c>
      <c r="U26" s="15">
        <v>-60.523805</v>
      </c>
      <c r="V26" s="15">
        <f>-(L26+M26)+V25</f>
        <v>-793</v>
      </c>
      <c r="W26" s="15">
        <f>W27</f>
        <v>-146.712671895894</v>
      </c>
      <c r="X26" s="15">
        <f>F26-G26</f>
        <v>-14090</v>
      </c>
      <c r="Y26" s="15">
        <v>-14561.038305</v>
      </c>
      <c r="Z26" s="15">
        <v>825</v>
      </c>
      <c r="AA26" s="15"/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2614.35963844</v>
      </c>
      <c r="P27" s="17"/>
      <c r="Q27" s="17"/>
      <c r="R27" s="17"/>
      <c r="S27" s="35">
        <f>AE53</f>
        <v>0.103532745857237</v>
      </c>
      <c r="T27" s="25"/>
      <c r="U27" s="15">
        <f>SUM(AE55:AH55)/4</f>
        <v>161.571832026027</v>
      </c>
      <c r="V27" s="17"/>
      <c r="W27" s="15">
        <f>-SUM(AE76:AH76)+V26</f>
        <v>-146.712671895894</v>
      </c>
      <c r="X27" s="26"/>
      <c r="Y27" s="15">
        <f>AH75</f>
        <v>-13443.7126718959</v>
      </c>
      <c r="Z27" s="15">
        <v>900</v>
      </c>
      <c r="AA27" s="15">
        <v>645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10724.5</v>
      </c>
      <c r="O28" s="15">
        <f>SUM(O22:O26)</f>
        <v>2178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566.074565758941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302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0.0553623026079981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0.192537313432836</v>
      </c>
      <c r="AF50" s="35">
        <f>P24</f>
        <v>-0.0913642052565707</v>
      </c>
      <c r="AG50" s="35">
        <f>P25</f>
        <v>0.0496786042240588</v>
      </c>
      <c r="AH50" s="35">
        <f>P26</f>
        <v>0.0705974980316683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-0.07000000000000001</v>
      </c>
      <c r="AG51" s="35">
        <v>0.03</v>
      </c>
      <c r="AH51" s="35">
        <v>0.04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2447.6</v>
      </c>
      <c r="AE52" s="23">
        <f>C26*(1+AE51)</f>
        <v>2692.36</v>
      </c>
      <c r="AF52" s="23">
        <f>AE52*(1+AF51)</f>
        <v>2503.8948</v>
      </c>
      <c r="AG52" s="23">
        <f>AF52*(1+AG51)</f>
        <v>2579.011644</v>
      </c>
      <c r="AH52" s="23">
        <f>AG52*(1+AH51)</f>
        <v>2682.17210976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0.103532745857237</v>
      </c>
      <c r="AF53" s="35">
        <f>AE53</f>
        <v>0.103532745857237</v>
      </c>
      <c r="AG53" s="35">
        <f>AF53</f>
        <v>0.103532745857237</v>
      </c>
      <c r="AH53" s="35">
        <f>AG53</f>
        <v>0.103532745857237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AVERAGE(K24)</f>
        <v>-109.1</v>
      </c>
      <c r="AF54" s="15">
        <f>AE54</f>
        <v>-109.1</v>
      </c>
      <c r="AG54" s="15">
        <f>AF54</f>
        <v>-109.1</v>
      </c>
      <c r="AH54" s="15">
        <f>AG54</f>
        <v>-109.1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169.647423636191</v>
      </c>
      <c r="AF55" s="15">
        <f>(AF52*AF53)+AF54</f>
        <v>150.135103981657</v>
      </c>
      <c r="AG55" s="15">
        <f>(AG52*AG53)+AG54</f>
        <v>157.912157101107</v>
      </c>
      <c r="AH55" s="15">
        <f>(AH52*AH53)+AH54</f>
        <v>168.592643385151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-724</v>
      </c>
      <c r="AF56" s="15">
        <f>-AE71/20</f>
        <v>-687.8</v>
      </c>
      <c r="AG56" s="15">
        <f>-AF71/20</f>
        <v>-653.41</v>
      </c>
      <c r="AH56" s="15">
        <f>-AG71/20</f>
        <v>-620.7395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-554.352576363809</v>
      </c>
      <c r="AF59" s="15">
        <f>AF55+AF56+AF58</f>
        <v>-537.664896018343</v>
      </c>
      <c r="AG59" s="15">
        <f>AG55+AG56+AG58</f>
        <v>-495.497842898893</v>
      </c>
      <c r="AH59" s="15">
        <f>AH55+AH56+AH58</f>
        <v>-452.146856614849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554.352576363809</v>
      </c>
      <c r="AF60" s="15">
        <f>-MIN(AE72,AF59)</f>
        <v>537.664896018343</v>
      </c>
      <c r="AG60" s="15">
        <f>-MIN(AF72,AG59)</f>
        <v>495.497842898893</v>
      </c>
      <c r="AH60" s="15">
        <f>-MIN(AG72,AH59)</f>
        <v>452.146856614849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390</v>
      </c>
      <c r="AF61" s="15">
        <f>AE63</f>
        <v>390</v>
      </c>
      <c r="AG61" s="15">
        <f>AF63</f>
        <v>390</v>
      </c>
      <c r="AH61" s="15">
        <f>AG63</f>
        <v>390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390</v>
      </c>
      <c r="AF63" s="15">
        <f>AF61+AF62</f>
        <v>390</v>
      </c>
      <c r="AG63" s="15">
        <f>AG61+AG62</f>
        <v>390</v>
      </c>
      <c r="AH63" s="15">
        <f>AH61+AH62</f>
        <v>390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-202.666666666667</v>
      </c>
      <c r="AF65" s="15">
        <f>AE65</f>
        <v>-202.666666666667</v>
      </c>
      <c r="AG65" s="15">
        <f>AF65</f>
        <v>-202.666666666667</v>
      </c>
      <c r="AH65" s="15">
        <f>AG65</f>
        <v>-202.666666666667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76.08075696952361</v>
      </c>
      <c r="AF66" s="15">
        <f>(AF52*AF53)+AF65</f>
        <v>56.5684373149903</v>
      </c>
      <c r="AG66" s="15">
        <f>(AG52*AG53)+AG65</f>
        <v>64.34549043443999</v>
      </c>
      <c r="AH66" s="15">
        <f>(AH52*AH53)+AH65</f>
        <v>75.0259767184843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18187.1</v>
      </c>
      <c r="AF68" s="15">
        <f>AE68-AF54</f>
        <v>18296.2</v>
      </c>
      <c r="AG68" s="15">
        <f>AF68-AG54</f>
        <v>18405.3</v>
      </c>
      <c r="AH68" s="15">
        <f>AG68-AH54</f>
        <v>18514.4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202.666666666667</v>
      </c>
      <c r="AF69" s="15">
        <f>AE69-AF65</f>
        <v>405.333333333334</v>
      </c>
      <c r="AG69" s="15">
        <f>AF69-AG65</f>
        <v>608.000000000001</v>
      </c>
      <c r="AH69" s="15">
        <f>AG69-AH65</f>
        <v>810.666666666668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17984.4333333333</v>
      </c>
      <c r="AF70" s="15">
        <f>AF68-AF69</f>
        <v>17890.8666666667</v>
      </c>
      <c r="AG70" s="15">
        <f>AG68-AG69</f>
        <v>17797.3</v>
      </c>
      <c r="AH70" s="15">
        <f>AH68-AH69</f>
        <v>17703.7333333333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13756</v>
      </c>
      <c r="AF71" s="15">
        <f>AE71+AF56</f>
        <v>13068.2</v>
      </c>
      <c r="AG71" s="15">
        <f>AF71+AG56</f>
        <v>12414.79</v>
      </c>
      <c r="AH71" s="15">
        <f>AG71+AH56</f>
        <v>11794.0505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554.352576363809</v>
      </c>
      <c r="AF72" s="15">
        <f>AE72+AF60</f>
        <v>1092.017472382150</v>
      </c>
      <c r="AG72" s="15">
        <f>AF72+AG60</f>
        <v>1587.515315281040</v>
      </c>
      <c r="AH72" s="15">
        <f>AG72+AH60</f>
        <v>2039.662171895890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4064.080756969520</v>
      </c>
      <c r="AF73" s="15">
        <f>AE73+AF66+AF58</f>
        <v>4120.649194284510</v>
      </c>
      <c r="AG73" s="15">
        <f>AF73+AG66+AG58</f>
        <v>4184.994684718950</v>
      </c>
      <c r="AH73" s="15">
        <f>AG73+AH66+AH58</f>
        <v>4260.020661437430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2.9e-11</v>
      </c>
      <c r="AF74" s="15">
        <f>AF71+AF72+AF73-AF63-AF70</f>
        <v>-4e-11</v>
      </c>
      <c r="AG74" s="15">
        <f>AG71+AG72+AG73-AG63-AG70</f>
        <v>-9.999999999999999e-12</v>
      </c>
      <c r="AH74" s="15">
        <f>AH71+AH72+AH73-AH63-AH70</f>
        <v>2e-11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-13920.3525763638</v>
      </c>
      <c r="AF75" s="15">
        <f>AF63-AF71-AF72</f>
        <v>-13770.2174723822</v>
      </c>
      <c r="AG75" s="15">
        <f>AG63-AG71-AG72</f>
        <v>-13612.305315281</v>
      </c>
      <c r="AH75" s="15">
        <f>AH63-AH71-AH72</f>
        <v>-13443.7126718959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-169.647423636191</v>
      </c>
      <c r="AF76" s="15">
        <f>AF56+AF58+AF60</f>
        <v>-150.135103981657</v>
      </c>
      <c r="AG76" s="15">
        <f>AG56+AG58+AG60</f>
        <v>-157.912157101107</v>
      </c>
      <c r="AH76" s="15">
        <f>AH56+AH58+AH60</f>
        <v>-168.592643385151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532</v>
      </c>
      <c r="AD78" s="14"/>
      <c r="AE78" s="15"/>
      <c r="AF78" s="15"/>
      <c r="AG78" s="15"/>
      <c r="AH78" s="15">
        <v>900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532</v>
      </c>
      <c r="AD79" s="14"/>
      <c r="AE79" s="15"/>
      <c r="AF79" s="15"/>
      <c r="AG79" s="15"/>
      <c r="AH79" s="15">
        <v>15412949913600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15412.9499136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17.125499904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0.851839121846976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646.287328104106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27.392976101307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23.848448272712</v>
      </c>
      <c r="AH86" s="15">
        <v>15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9694.309921561589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566.074565758941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-0.371028260267843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0.21771144278607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-0.796913609026062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532</v>
      </c>
      <c r="AF94" t="s" s="44">
        <v>60</v>
      </c>
      <c r="AG94" s="15">
        <f>AH78</f>
        <v>900</v>
      </c>
      <c r="AH94" t="s" s="44">
        <v>61</v>
      </c>
      <c r="AI94" s="15">
        <f>AH88</f>
        <v>566.074565758941</v>
      </c>
      <c r="AJ94" t="s" s="44">
        <f>IF(AK94&gt;0,"+","")</f>
      </c>
      <c r="AK94" s="16">
        <f>AI94/AG94-1</f>
        <v>-0.371028260267843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0.21771144278607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-0.0376242058302098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-0.106923075027049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-0.914166339278592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0.0705974980316683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0.0783261802575107</v>
      </c>
      <c r="AF103" s="16">
        <f>P23</f>
        <v>0.192537313432836</v>
      </c>
      <c r="AG103" s="16">
        <f>P24</f>
        <v>-0.0913642052565707</v>
      </c>
      <c r="AH103" s="16">
        <f>P25</f>
        <v>0.0496786042240588</v>
      </c>
      <c r="AI103" s="16">
        <f>P26</f>
        <v>0.0705974980316683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2010</v>
      </c>
      <c r="AF104" t="s" s="44">
        <v>72</v>
      </c>
      <c r="AG104" s="15">
        <f>C23</f>
        <v>2397</v>
      </c>
      <c r="AH104" t="s" s="44">
        <v>72</v>
      </c>
      <c r="AI104" s="15">
        <f>C24</f>
        <v>2178</v>
      </c>
      <c r="AJ104" t="s" s="44">
        <v>72</v>
      </c>
      <c r="AK104" s="15">
        <f>C25</f>
        <v>2286.2</v>
      </c>
      <c r="AL104" t="s" s="44">
        <v>72</v>
      </c>
      <c r="AM104" s="15">
        <f>C26</f>
        <v>2447.6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0.0705974980316683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2447.6</v>
      </c>
      <c r="AM105" t="s" s="44">
        <v>372</v>
      </c>
      <c r="AN105" t="s" s="44">
        <v>373</v>
      </c>
      <c r="AO105" s="16">
        <f>AH91</f>
        <v>-0.796913609026062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0.0553623026079981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2682.17210976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0.178606965174129</v>
      </c>
      <c r="AF110" s="16">
        <f>(D23+E23)/C23</f>
        <v>0.0183562786816854</v>
      </c>
      <c r="AG110" s="16">
        <f>((E24+D24)/C24)</f>
        <v>0.125390266299357</v>
      </c>
      <c r="AH110" s="16">
        <f>(D25+E25)/C25</f>
        <v>0.08057037879450619</v>
      </c>
      <c r="AI110" s="16">
        <f>(D26+E26)/C26</f>
        <v>0.0639810426540284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191</v>
      </c>
      <c r="AF111" t="s" s="44">
        <v>72</v>
      </c>
      <c r="AG111" s="15">
        <f>E23</f>
        <v>-124</v>
      </c>
      <c r="AH111" t="s" s="44">
        <v>72</v>
      </c>
      <c r="AI111" s="15">
        <f>E24</f>
        <v>83</v>
      </c>
      <c r="AJ111" t="s" s="44">
        <v>72</v>
      </c>
      <c r="AK111" s="15">
        <f>E25</f>
        <v>-24</v>
      </c>
      <c r="AL111" t="s" s="44">
        <v>72</v>
      </c>
      <c r="AM111" s="15">
        <f>E26</f>
        <v>-53.1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0.08057037879450619</v>
      </c>
      <c r="AG112" t="s" s="44">
        <v>76</v>
      </c>
      <c r="AH112" s="16">
        <f>AI110</f>
        <v>0.0639810426540284</v>
      </c>
      <c r="AI112" t="s" s="44">
        <v>90</v>
      </c>
      <c r="AJ112" s="15">
        <f>AK111</f>
        <v>-24</v>
      </c>
      <c r="AK112" t="s" s="44">
        <v>76</v>
      </c>
      <c r="AL112" s="15">
        <f>AM111</f>
        <v>-53.1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0.07207449160739431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0.103532745857237</v>
      </c>
      <c r="AG114" t="s" s="44">
        <v>94</v>
      </c>
      <c r="AH114" s="15">
        <f>AH66</f>
        <v>75.0259767184843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-798</v>
      </c>
      <c r="AF117" t="s" s="44">
        <v>72</v>
      </c>
      <c r="AG117" s="15">
        <f>J23</f>
        <v>255</v>
      </c>
      <c r="AH117" t="s" s="44">
        <v>72</v>
      </c>
      <c r="AI117" s="15">
        <f>J24</f>
        <v>372.6</v>
      </c>
      <c r="AJ117" t="s" s="44">
        <v>72</v>
      </c>
      <c r="AK117" s="15">
        <f>J25</f>
        <v>169.2</v>
      </c>
      <c r="AL117" t="s" s="44">
        <v>72</v>
      </c>
      <c r="AM117" s="15">
        <f>J26</f>
        <v>166.3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-251</v>
      </c>
      <c r="AF118" t="s" s="44">
        <v>72</v>
      </c>
      <c r="AG118" s="15">
        <f>K23</f>
        <v>27.1</v>
      </c>
      <c r="AH118" t="s" s="44">
        <v>72</v>
      </c>
      <c r="AI118" s="15">
        <f>K24</f>
        <v>-109.1</v>
      </c>
      <c r="AJ118" t="s" s="44">
        <v>72</v>
      </c>
      <c r="AK118" s="15">
        <f>K25</f>
        <v>-1281</v>
      </c>
      <c r="AL118" t="s" s="44">
        <v>72</v>
      </c>
      <c r="AM118" s="15">
        <f>K26</f>
        <v>-180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-1111.8</v>
      </c>
      <c r="AG119" t="s" s="44">
        <v>76</v>
      </c>
      <c r="AH119" s="15">
        <f>AM117+AM118</f>
        <v>-13.7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-180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-144.975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-109.1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161.571832026027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532</v>
      </c>
      <c r="AF124" t="s" s="44">
        <v>72</v>
      </c>
      <c r="AG124" s="15">
        <f>F23</f>
        <v>450</v>
      </c>
      <c r="AH124" t="s" s="44">
        <v>72</v>
      </c>
      <c r="AI124" s="15">
        <f>F24</f>
        <v>808</v>
      </c>
      <c r="AJ124" t="s" s="44">
        <v>72</v>
      </c>
      <c r="AK124" s="15">
        <f>F25</f>
        <v>817</v>
      </c>
      <c r="AL124" t="s" s="44">
        <v>72</v>
      </c>
      <c r="AM124" s="15">
        <f>F26</f>
        <v>390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14622</v>
      </c>
      <c r="AF125" t="s" s="44">
        <v>72</v>
      </c>
      <c r="AG125" s="15">
        <f>G23</f>
        <v>14587</v>
      </c>
      <c r="AH125" t="s" s="44">
        <v>72</v>
      </c>
      <c r="AI125" s="15">
        <f>G24</f>
        <v>15091</v>
      </c>
      <c r="AJ125" t="s" s="44">
        <v>72</v>
      </c>
      <c r="AK125" s="15">
        <f>G25</f>
        <v>14806</v>
      </c>
      <c r="AL125" t="s" s="44">
        <v>72</v>
      </c>
      <c r="AM125" s="15">
        <f>G26</f>
        <v>14480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817</v>
      </c>
      <c r="AH126" t="s" s="44">
        <v>76</v>
      </c>
      <c r="AI126" s="15">
        <f>AM124</f>
        <v>390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14806</v>
      </c>
      <c r="AH127" t="s" s="44">
        <v>76</v>
      </c>
      <c r="AI127" s="15">
        <f>AM125</f>
        <v>14480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-13989</v>
      </c>
      <c r="AO127" t="s" s="44">
        <v>76</v>
      </c>
      <c r="AP127" s="15">
        <f>AI126-AI127</f>
        <v>-14090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-646.287328104106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-13443.7126718959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-42</v>
      </c>
      <c r="AF131" t="s" s="44">
        <v>72</v>
      </c>
      <c r="AG131" s="15">
        <f>-L23</f>
        <v>174</v>
      </c>
      <c r="AH131" t="s" s="44">
        <v>72</v>
      </c>
      <c r="AI131" s="15">
        <f>-L24</f>
        <v>-728</v>
      </c>
      <c r="AJ131" t="s" s="44">
        <v>72</v>
      </c>
      <c r="AK131" s="15">
        <f>-L25</f>
        <v>134</v>
      </c>
      <c r="AL131" t="s" s="44">
        <v>72</v>
      </c>
      <c r="AM131" s="15">
        <f>-L26</f>
        <v>-149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-1079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532</v>
      </c>
      <c r="AF133" t="s" s="44">
        <f>IF(AG133&gt;0,"paid","(raised)")</f>
        <v>121</v>
      </c>
      <c r="AG133" s="15">
        <f>SUM(AM131:AM132)</f>
        <v>-149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-149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646.287328104106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15412.9499136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0.851839121846976</v>
      </c>
      <c r="AK134" t="s" s="44">
        <v>130</v>
      </c>
      <c r="AL134" t="s" s="44">
        <v>131</v>
      </c>
      <c r="AM134" t="s" s="44">
        <v>132</v>
      </c>
      <c r="AN134" s="15">
        <f>AH85</f>
        <v>27.392976101307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646.287328104106</v>
      </c>
      <c r="AG135" t="s" s="44">
        <f>AG134</f>
        <v>372</v>
      </c>
      <c r="AH135" t="s" s="44">
        <v>136</v>
      </c>
      <c r="AI135" s="15">
        <f>AF134/AF135</f>
        <v>23.848448272712</v>
      </c>
      <c r="AJ135" t="s" s="44">
        <v>130</v>
      </c>
      <c r="AK135" t="s" s="44">
        <v>137</v>
      </c>
      <c r="AL135" t="s" s="44">
        <v>138</v>
      </c>
      <c r="AM135" s="15">
        <f>AH86</f>
        <v>15</v>
      </c>
      <c r="AN135" t="s" s="44">
        <v>139</v>
      </c>
      <c r="AO135" t="s" s="44">
        <v>140</v>
      </c>
      <c r="AP135" t="s" s="44">
        <v>141</v>
      </c>
      <c r="AQ135" s="16">
        <f>AK94</f>
        <v>-0.371028260267843</v>
      </c>
      <c r="AR135" t="s" s="44">
        <f>IF(AQ135&gt;0,"higher","lower")</f>
        <v>104</v>
      </c>
      <c r="AS135" t="s" s="44">
        <v>142</v>
      </c>
      <c r="AT135" s="15">
        <f>AI94</f>
        <v>566.074565758941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2010</v>
      </c>
      <c r="AE137" s="15">
        <f>AG104</f>
        <v>2397</v>
      </c>
      <c r="AF137" s="15">
        <f>AI104</f>
        <v>2178</v>
      </c>
      <c r="AG137" s="15">
        <f>AK104</f>
        <v>2286.2</v>
      </c>
      <c r="AH137" s="15">
        <f>AM104</f>
        <v>2447.6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-1049</v>
      </c>
      <c r="AE138" s="15">
        <f>SUM(AG117:AG118)</f>
        <v>282.1</v>
      </c>
      <c r="AF138" s="15">
        <f>SUM(AI117:AI118)</f>
        <v>263.5</v>
      </c>
      <c r="AG138" s="15">
        <f>SUM(AK117:AK118)</f>
        <v>-1111.8</v>
      </c>
      <c r="AH138" s="15">
        <f>SUM(AM117:AM118)</f>
        <v>-13.7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-42</v>
      </c>
      <c r="AE139" s="15">
        <f>SUM(AG131:AG132)</f>
        <v>174</v>
      </c>
      <c r="AF139" s="15">
        <f>SUM(AI131:AI132)</f>
        <v>-728</v>
      </c>
      <c r="AG139" s="15">
        <f>SUM(AK131:AK132)</f>
        <v>-945</v>
      </c>
      <c r="AH139" s="15">
        <f>SUM(AM131:AM132)</f>
        <v>-149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-14090</v>
      </c>
      <c r="AE140" s="15">
        <f>(AG124-AG125)</f>
        <v>-14137</v>
      </c>
      <c r="AF140" s="15">
        <f>(AI124-AI125)</f>
        <v>-14283</v>
      </c>
      <c r="AG140" s="15">
        <f>(AK124-AK125)</f>
        <v>-13989</v>
      </c>
      <c r="AH140" s="15">
        <f>(AM124-AM125)</f>
        <v>-14090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566.074565758941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60" customWidth="1"/>
    <col min="2" max="28" width="10.4844" style="160" customWidth="1"/>
    <col min="29" max="29" width="18.9766" style="161" customWidth="1"/>
    <col min="30" max="48" width="9" style="161" customWidth="1"/>
    <col min="49" max="16384" width="16.3516" style="161" customWidth="1"/>
  </cols>
  <sheetData>
    <row r="1" ht="11.65" customHeight="1"/>
    <row r="2" ht="27.65" customHeight="1">
      <c r="B2" t="s" s="2">
        <v>533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188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>
        <v>0</v>
      </c>
      <c r="J8" s="15">
        <v>-4.5</v>
      </c>
      <c r="K8" s="15">
        <v>-21.5</v>
      </c>
      <c r="L8" s="15">
        <v>3</v>
      </c>
      <c r="M8" s="15">
        <v>0</v>
      </c>
      <c r="N8" s="15">
        <f>SUM(C5:C8)/4</f>
        <v>0</v>
      </c>
      <c r="O8" s="15"/>
      <c r="P8" s="16"/>
      <c r="Q8" s="16"/>
      <c r="R8" s="16"/>
      <c r="S8" s="17"/>
      <c r="T8" s="15">
        <f>SUM(J5:K8)/4</f>
        <v>-6.5</v>
      </c>
      <c r="U8" s="25"/>
      <c r="V8" s="15">
        <f>-(L8+M8)+V7</f>
        <v>-3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>
        <v>275</v>
      </c>
      <c r="J9" s="15">
        <v>-4.5</v>
      </c>
      <c r="K9" s="15">
        <v>-21.5</v>
      </c>
      <c r="L9" s="15">
        <v>3</v>
      </c>
      <c r="M9" s="15">
        <v>0</v>
      </c>
      <c r="N9" s="15">
        <f>SUM(C6:C9)/4</f>
        <v>0</v>
      </c>
      <c r="O9" s="15"/>
      <c r="P9" s="16"/>
      <c r="Q9" s="16"/>
      <c r="R9" s="16"/>
      <c r="S9" s="17"/>
      <c r="T9" s="15">
        <f>SUM(J6:K9)/4</f>
        <v>-13</v>
      </c>
      <c r="U9" s="25"/>
      <c r="V9" s="15">
        <f>-(L9+M9)+V8</f>
        <v>-6</v>
      </c>
      <c r="W9" s="17"/>
      <c r="X9" s="15">
        <f>F13-G9</f>
        <v>0</v>
      </c>
      <c r="Y9" s="24"/>
      <c r="Z9" s="18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>
        <v>0</v>
      </c>
      <c r="J10" s="15">
        <v>22.5</v>
      </c>
      <c r="K10" s="15">
        <v>-28</v>
      </c>
      <c r="L10" s="15">
        <v>3</v>
      </c>
      <c r="M10" s="15">
        <v>0</v>
      </c>
      <c r="N10" s="15">
        <f>SUM(C7:C10)/4</f>
        <v>0</v>
      </c>
      <c r="O10" s="15"/>
      <c r="P10" s="16"/>
      <c r="Q10" s="16"/>
      <c r="R10" s="16"/>
      <c r="S10" s="17"/>
      <c r="T10" s="15">
        <f>SUM(J7:K10)/4</f>
        <v>-14.375</v>
      </c>
      <c r="U10" s="25"/>
      <c r="V10" s="15">
        <f>-(L10+M10)+V9</f>
        <v>-9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>
        <v>292</v>
      </c>
      <c r="J11" s="15">
        <v>22.5</v>
      </c>
      <c r="K11" s="15">
        <v>-28</v>
      </c>
      <c r="L11" s="15">
        <v>3</v>
      </c>
      <c r="M11" s="15">
        <v>0</v>
      </c>
      <c r="N11" s="15">
        <f>SUM(C8:C11)/4</f>
        <v>0</v>
      </c>
      <c r="O11" s="15"/>
      <c r="P11" s="16"/>
      <c r="Q11" s="16"/>
      <c r="R11" s="16"/>
      <c r="S11" s="17"/>
      <c r="T11" s="15">
        <f>SUM(J8:K11)/4</f>
        <v>-15.75</v>
      </c>
      <c r="U11" s="25"/>
      <c r="V11" s="15">
        <f>-(L11+M11)+V10</f>
        <v>-12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>
        <v>108.6</v>
      </c>
      <c r="D12" s="15">
        <v>-13.96</v>
      </c>
      <c r="E12" s="15">
        <v>6.3</v>
      </c>
      <c r="F12" s="15"/>
      <c r="G12" s="15"/>
      <c r="H12" s="15"/>
      <c r="I12" s="15">
        <v>107.6</v>
      </c>
      <c r="J12" s="15">
        <v>24.2</v>
      </c>
      <c r="K12" s="15">
        <v>-104.5</v>
      </c>
      <c r="L12" s="15">
        <v>6</v>
      </c>
      <c r="M12" s="15">
        <v>0</v>
      </c>
      <c r="N12" s="15">
        <f>SUM(C9:C12)/4</f>
        <v>27.15</v>
      </c>
      <c r="O12" s="23"/>
      <c r="P12" s="16"/>
      <c r="Q12" s="16">
        <f>(E12+D12)/C12</f>
        <v>-0.07053406998158381</v>
      </c>
      <c r="R12" s="16">
        <f>AVERAGE(Q9:Q12)</f>
        <v>-0.07053406998158381</v>
      </c>
      <c r="S12" s="17"/>
      <c r="T12" s="15">
        <f>SUM(J9:K12)/4</f>
        <v>-29.325</v>
      </c>
      <c r="U12" s="25"/>
      <c r="V12" s="15">
        <f>-(L12+M12)+V11</f>
        <v>-18</v>
      </c>
      <c r="W12" s="17"/>
      <c r="X12" s="15">
        <f>F12-G12</f>
        <v>0</v>
      </c>
      <c r="Y12" s="24"/>
      <c r="Z12" s="18"/>
      <c r="AA12" s="22"/>
      <c r="AB12" s="20">
        <v>14.24</v>
      </c>
    </row>
    <row r="13" ht="20.05" customHeight="1">
      <c r="B13" s="13"/>
      <c r="C13" s="14">
        <v>114.8</v>
      </c>
      <c r="D13" s="15">
        <v>17.552</v>
      </c>
      <c r="E13" s="15">
        <v>-1.9</v>
      </c>
      <c r="F13" s="15"/>
      <c r="G13" s="15"/>
      <c r="H13" s="15"/>
      <c r="I13" s="15">
        <v>113.4</v>
      </c>
      <c r="J13" s="15">
        <v>-7.7</v>
      </c>
      <c r="K13" s="15">
        <v>-23.5</v>
      </c>
      <c r="L13" s="15">
        <v>6</v>
      </c>
      <c r="M13" s="15">
        <v>0</v>
      </c>
      <c r="N13" s="15">
        <f>SUM(C10:C13)/4</f>
        <v>55.85</v>
      </c>
      <c r="O13" s="23"/>
      <c r="P13" s="16">
        <f>C13/C12-1</f>
        <v>0.0570902394106814</v>
      </c>
      <c r="Q13" s="16">
        <f>(E13+D13)/C13</f>
        <v>0.136341463414634</v>
      </c>
      <c r="R13" s="16">
        <f>AVERAGE(Q10:Q13)</f>
        <v>0.0329036967165251</v>
      </c>
      <c r="S13" s="17"/>
      <c r="T13" s="15">
        <f>SUM(J10:K13)/4</f>
        <v>-30.625</v>
      </c>
      <c r="U13" s="25"/>
      <c r="V13" s="15">
        <f>-(L13+M13)+V12</f>
        <v>-24</v>
      </c>
      <c r="W13" s="17"/>
      <c r="X13" s="15">
        <f>F13-G13</f>
        <v>0</v>
      </c>
      <c r="Y13" s="24"/>
      <c r="Z13" s="18"/>
      <c r="AA13" s="24"/>
      <c r="AB13" s="15">
        <v>14.127</v>
      </c>
    </row>
    <row r="14" ht="20.05" customHeight="1">
      <c r="B14" s="13"/>
      <c r="C14" s="14">
        <v>150.6</v>
      </c>
      <c r="D14" s="15">
        <v>24.138</v>
      </c>
      <c r="E14" s="15">
        <v>9.6</v>
      </c>
      <c r="F14" s="15"/>
      <c r="G14" s="15"/>
      <c r="H14" s="15"/>
      <c r="I14" s="15">
        <v>153</v>
      </c>
      <c r="J14" s="15">
        <v>42.5</v>
      </c>
      <c r="K14" s="15">
        <v>-25</v>
      </c>
      <c r="L14" s="15">
        <v>6</v>
      </c>
      <c r="M14" s="15">
        <v>0</v>
      </c>
      <c r="N14" s="15">
        <f>SUM(C11:C14)/4</f>
        <v>93.5</v>
      </c>
      <c r="O14" s="23"/>
      <c r="P14" s="16">
        <f>C14/C13-1</f>
        <v>0.31184668989547</v>
      </c>
      <c r="Q14" s="16">
        <f>(E14+D14)/C14</f>
        <v>0.22402390438247</v>
      </c>
      <c r="R14" s="16">
        <f>AVERAGE(Q11:Q14)</f>
        <v>0.09661043260517339</v>
      </c>
      <c r="S14" s="17"/>
      <c r="T14" s="15">
        <f>SUM(J11:K14)/4</f>
        <v>-24.875</v>
      </c>
      <c r="U14" s="25"/>
      <c r="V14" s="15">
        <f>-(L14+M14)+V13</f>
        <v>-30</v>
      </c>
      <c r="W14" s="17"/>
      <c r="X14" s="15">
        <f>F14-G14</f>
        <v>0</v>
      </c>
      <c r="Y14" s="24"/>
      <c r="Z14" s="18"/>
      <c r="AA14" s="24"/>
      <c r="AB14" s="15">
        <v>14.195</v>
      </c>
    </row>
    <row r="15" ht="20.05" customHeight="1">
      <c r="B15" s="13"/>
      <c r="C15" s="14">
        <v>118</v>
      </c>
      <c r="D15" s="15">
        <v>1.07</v>
      </c>
      <c r="E15" s="15">
        <v>15</v>
      </c>
      <c r="F15" s="15">
        <v>27</v>
      </c>
      <c r="G15" s="15">
        <v>904</v>
      </c>
      <c r="H15" s="15">
        <v>1369</v>
      </c>
      <c r="I15" s="15">
        <v>117</v>
      </c>
      <c r="J15" s="15">
        <v>23</v>
      </c>
      <c r="K15" s="15">
        <v>-31</v>
      </c>
      <c r="L15" s="15">
        <v>6</v>
      </c>
      <c r="M15" s="15">
        <v>0</v>
      </c>
      <c r="N15" s="15">
        <f>SUM(C12:C15)/4</f>
        <v>123</v>
      </c>
      <c r="O15" s="15"/>
      <c r="P15" s="16">
        <f>C15/C14-1</f>
        <v>-0.216467463479416</v>
      </c>
      <c r="Q15" s="16">
        <f>(E15+D15)/C15</f>
        <v>0.136186440677966</v>
      </c>
      <c r="R15" s="16">
        <f>AVERAGE(Q12:Q15)</f>
        <v>0.106504434623372</v>
      </c>
      <c r="S15" s="17"/>
      <c r="T15" s="15">
        <f>SUM(J12:K15)/4</f>
        <v>-25.5</v>
      </c>
      <c r="U15" s="25"/>
      <c r="V15" s="15">
        <f>-(L15+M15)+V14</f>
        <v>-36</v>
      </c>
      <c r="W15" s="17"/>
      <c r="X15" s="15">
        <f>F15-G15</f>
        <v>-877</v>
      </c>
      <c r="Y15" s="24"/>
      <c r="Z15" s="18"/>
      <c r="AA15" s="24"/>
      <c r="AB15" s="15">
        <v>13.882</v>
      </c>
    </row>
    <row r="16" ht="20.05" customHeight="1">
      <c r="B16" s="21">
        <v>2020</v>
      </c>
      <c r="C16" s="14">
        <v>146</v>
      </c>
      <c r="D16" s="15">
        <v>5.129</v>
      </c>
      <c r="E16" s="15">
        <v>32</v>
      </c>
      <c r="F16" s="15">
        <v>45</v>
      </c>
      <c r="G16" s="15">
        <v>868</v>
      </c>
      <c r="H16" s="15">
        <v>1417</v>
      </c>
      <c r="I16" s="15">
        <v>143</v>
      </c>
      <c r="J16" s="15">
        <v>15</v>
      </c>
      <c r="K16" s="15">
        <v>-22</v>
      </c>
      <c r="L16" s="15">
        <v>-32</v>
      </c>
      <c r="M16" s="15">
        <v>12.75</v>
      </c>
      <c r="N16" s="15">
        <f>SUM(C13:C16)/4</f>
        <v>132.35</v>
      </c>
      <c r="O16" s="15"/>
      <c r="P16" s="16">
        <f>C16/C15-1</f>
        <v>0.23728813559322</v>
      </c>
      <c r="Q16" s="16">
        <f>(E16+D16)/C16</f>
        <v>0.254308219178082</v>
      </c>
      <c r="R16" s="16">
        <f>AVERAGE(Q13:Q16)</f>
        <v>0.187715006913288</v>
      </c>
      <c r="S16" s="17"/>
      <c r="T16" s="15">
        <f>SUM(J13:K16)/4</f>
        <v>-7.175</v>
      </c>
      <c r="U16" s="25"/>
      <c r="V16" s="15">
        <f>-(L16+M16)+V15</f>
        <v>-16.75</v>
      </c>
      <c r="W16" s="17"/>
      <c r="X16" s="15">
        <f>F16-G16</f>
        <v>-823</v>
      </c>
      <c r="Y16" s="24"/>
      <c r="Z16" s="25">
        <v>398</v>
      </c>
      <c r="AA16" s="24"/>
      <c r="AB16" s="15">
        <v>16.31</v>
      </c>
    </row>
    <row r="17" ht="20.05" customHeight="1">
      <c r="B17" s="13"/>
      <c r="C17" s="14">
        <v>114.8</v>
      </c>
      <c r="D17" s="15">
        <v>4.961</v>
      </c>
      <c r="E17" s="15">
        <v>11</v>
      </c>
      <c r="F17" s="15">
        <v>24</v>
      </c>
      <c r="G17" s="15">
        <v>826</v>
      </c>
      <c r="H17" s="15">
        <v>1385</v>
      </c>
      <c r="I17" s="15">
        <v>132</v>
      </c>
      <c r="J17" s="15">
        <v>17</v>
      </c>
      <c r="K17" s="15">
        <v>-11</v>
      </c>
      <c r="L17" s="15">
        <v>-32</v>
      </c>
      <c r="M17" s="15">
        <v>12.75</v>
      </c>
      <c r="N17" s="15">
        <f>SUM(C14:C17)/4</f>
        <v>132.35</v>
      </c>
      <c r="O17" s="15"/>
      <c r="P17" s="16">
        <f>C17/C16-1</f>
        <v>-0.213698630136986</v>
      </c>
      <c r="Q17" s="16">
        <f>(E17+D17)/C17</f>
        <v>0.139033101045296</v>
      </c>
      <c r="R17" s="16">
        <f>AVERAGE(Q14:Q17)</f>
        <v>0.188387916320954</v>
      </c>
      <c r="S17" s="17"/>
      <c r="T17" s="25">
        <f>SUM(J14:K17)/4</f>
        <v>2.125</v>
      </c>
      <c r="U17" s="25"/>
      <c r="V17" s="15">
        <f>-(L17+M17)+V16</f>
        <v>2.5</v>
      </c>
      <c r="W17" s="17"/>
      <c r="X17" s="15">
        <f>F17-G17</f>
        <v>-802</v>
      </c>
      <c r="Y17" s="24"/>
      <c r="Z17" s="25">
        <v>234</v>
      </c>
      <c r="AA17" s="24"/>
      <c r="AB17" s="15">
        <v>14.255</v>
      </c>
    </row>
    <row r="18" ht="20.05" customHeight="1">
      <c r="B18" s="13"/>
      <c r="C18" s="14">
        <v>190.2</v>
      </c>
      <c r="D18" s="15">
        <v>35.41</v>
      </c>
      <c r="E18" s="15">
        <v>21</v>
      </c>
      <c r="F18" s="15">
        <v>40</v>
      </c>
      <c r="G18" s="15">
        <v>822</v>
      </c>
      <c r="H18" s="15">
        <v>1402</v>
      </c>
      <c r="I18" s="15">
        <v>176</v>
      </c>
      <c r="J18" s="15">
        <v>75</v>
      </c>
      <c r="K18" s="15">
        <v>-17</v>
      </c>
      <c r="L18" s="15">
        <v>-32</v>
      </c>
      <c r="M18" s="15">
        <v>12.75</v>
      </c>
      <c r="N18" s="15">
        <f>SUM(C15:C18)/4</f>
        <v>142.25</v>
      </c>
      <c r="O18" s="15"/>
      <c r="P18" s="16">
        <f>C18/C17-1</f>
        <v>0.6567944250871079</v>
      </c>
      <c r="Q18" s="16">
        <f>(E18+D18)/C18</f>
        <v>0.2965825446898</v>
      </c>
      <c r="R18" s="16">
        <f>AVERAGE(Q15:Q18)</f>
        <v>0.206527576397786</v>
      </c>
      <c r="S18" s="17"/>
      <c r="T18" s="25">
        <f>SUM(J15:K18)/4</f>
        <v>12.25</v>
      </c>
      <c r="U18" s="25"/>
      <c r="V18" s="15">
        <f>-(L18+M18)+V17</f>
        <v>21.75</v>
      </c>
      <c r="W18" s="17"/>
      <c r="X18" s="15">
        <f>F18-G18</f>
        <v>-782</v>
      </c>
      <c r="Y18" s="24"/>
      <c r="Z18" s="25">
        <v>318</v>
      </c>
      <c r="AA18" s="24"/>
      <c r="AB18" s="15">
        <v>14.79</v>
      </c>
    </row>
    <row r="19" ht="20.05" customHeight="1">
      <c r="B19" s="13"/>
      <c r="C19" s="14">
        <v>156.2</v>
      </c>
      <c r="D19" s="15">
        <v>23.5</v>
      </c>
      <c r="E19" s="15">
        <v>8.4</v>
      </c>
      <c r="F19" s="15">
        <v>42</v>
      </c>
      <c r="G19" s="15">
        <v>827</v>
      </c>
      <c r="H19" s="15">
        <v>1399</v>
      </c>
      <c r="I19" s="15">
        <v>154.6</v>
      </c>
      <c r="J19" s="15">
        <v>60.7</v>
      </c>
      <c r="K19" s="15">
        <v>-26.8</v>
      </c>
      <c r="L19" s="15">
        <v>-32</v>
      </c>
      <c r="M19" s="15">
        <v>12.75</v>
      </c>
      <c r="N19" s="15">
        <f>SUM(C16:C19)/4</f>
        <v>151.8</v>
      </c>
      <c r="O19" s="15"/>
      <c r="P19" s="16">
        <f>C19/C18-1</f>
        <v>-0.17875920084122</v>
      </c>
      <c r="Q19" s="16">
        <f>(E19+D19)/C19</f>
        <v>0.204225352112676</v>
      </c>
      <c r="R19" s="16">
        <f>AVERAGE(Q16:Q19)</f>
        <v>0.223537304256464</v>
      </c>
      <c r="S19" s="17"/>
      <c r="T19" s="25">
        <f>SUM(J16:K19)/4</f>
        <v>22.725</v>
      </c>
      <c r="U19" s="25"/>
      <c r="V19" s="15">
        <f>-(L19+M19)+V18</f>
        <v>41</v>
      </c>
      <c r="W19" s="17"/>
      <c r="X19" s="15">
        <f>F19-G19</f>
        <v>-785</v>
      </c>
      <c r="Y19" s="24"/>
      <c r="Z19" s="25">
        <v>376</v>
      </c>
      <c r="AA19" s="24"/>
      <c r="AB19" s="15">
        <v>14.1</v>
      </c>
    </row>
    <row r="20" ht="20.05" customHeight="1">
      <c r="B20" s="21">
        <v>2021</v>
      </c>
      <c r="C20" s="14">
        <v>176</v>
      </c>
      <c r="D20" s="15">
        <v>13.6</v>
      </c>
      <c r="E20" s="15">
        <v>41.4</v>
      </c>
      <c r="F20" s="15">
        <v>36</v>
      </c>
      <c r="G20" s="15">
        <v>795</v>
      </c>
      <c r="H20" s="15">
        <v>1409</v>
      </c>
      <c r="I20" s="15">
        <v>176.3</v>
      </c>
      <c r="J20" s="15">
        <v>60.413</v>
      </c>
      <c r="K20" s="15">
        <v>-20.7</v>
      </c>
      <c r="L20" s="15">
        <v>-45.332</v>
      </c>
      <c r="M20" s="15">
        <v>0</v>
      </c>
      <c r="N20" s="15">
        <f>SUM(C17:C20)/4</f>
        <v>159.3</v>
      </c>
      <c r="O20" s="15"/>
      <c r="P20" s="16">
        <f>C20/C19-1</f>
        <v>0.126760563380282</v>
      </c>
      <c r="Q20" s="16">
        <f>(E20+D20)/C20</f>
        <v>0.3125</v>
      </c>
      <c r="R20" s="16">
        <f>AVERAGE(Q17:Q20)</f>
        <v>0.238085249461943</v>
      </c>
      <c r="S20" s="17"/>
      <c r="T20" s="25">
        <f>SUM(J17:K20)/4</f>
        <v>34.40325</v>
      </c>
      <c r="U20" s="25"/>
      <c r="V20" s="15">
        <f>-(L20+M20)+V19</f>
        <v>86.33199999999999</v>
      </c>
      <c r="W20" s="17"/>
      <c r="X20" s="15">
        <f>F20-G20</f>
        <v>-759</v>
      </c>
      <c r="Y20" s="15"/>
      <c r="Z20" s="25">
        <v>294</v>
      </c>
      <c r="AA20" s="15"/>
      <c r="AB20" s="15">
        <v>14.606</v>
      </c>
    </row>
    <row r="21" ht="20.05" customHeight="1">
      <c r="B21" s="13"/>
      <c r="C21" s="14">
        <v>212.9</v>
      </c>
      <c r="D21" s="15">
        <v>16.8</v>
      </c>
      <c r="E21" s="15">
        <v>42</v>
      </c>
      <c r="F21" s="15">
        <v>146</v>
      </c>
      <c r="G21" s="15">
        <v>879</v>
      </c>
      <c r="H21" s="15">
        <v>1535</v>
      </c>
      <c r="I21" s="15">
        <v>211.7</v>
      </c>
      <c r="J21" s="15">
        <v>31.787</v>
      </c>
      <c r="K21" s="15">
        <v>-14.4</v>
      </c>
      <c r="L21" s="15">
        <v>92.501</v>
      </c>
      <c r="M21" s="15">
        <v>0</v>
      </c>
      <c r="N21" s="15">
        <f>SUM(C18:C21)/4</f>
        <v>183.825</v>
      </c>
      <c r="O21" s="15"/>
      <c r="P21" s="16">
        <f>C21/C20-1</f>
        <v>0.209659090909091</v>
      </c>
      <c r="Q21" s="16">
        <f>(E21+D21)/C21</f>
        <v>0.276186002818225</v>
      </c>
      <c r="R21" s="16">
        <f>AVERAGE(Q18:Q21)</f>
        <v>0.272373474905175</v>
      </c>
      <c r="S21" s="17"/>
      <c r="T21" s="25">
        <f>SUM(J18:K21)/4</f>
        <v>37.25</v>
      </c>
      <c r="U21" s="25"/>
      <c r="V21" s="15">
        <f>-(L21+M21)+V20</f>
        <v>-6.169</v>
      </c>
      <c r="W21" s="17"/>
      <c r="X21" s="15">
        <f>F21-G21</f>
        <v>-733</v>
      </c>
      <c r="Y21" s="15"/>
      <c r="Z21" s="25">
        <v>288</v>
      </c>
      <c r="AA21" s="15"/>
      <c r="AB21" s="15">
        <v>14.45</v>
      </c>
    </row>
    <row r="22" ht="20.05" customHeight="1">
      <c r="B22" s="13"/>
      <c r="C22" s="14">
        <v>264.1</v>
      </c>
      <c r="D22" s="15">
        <v>16.1</v>
      </c>
      <c r="E22" s="15">
        <v>95.3</v>
      </c>
      <c r="F22" s="15">
        <v>174.9</v>
      </c>
      <c r="G22" s="15">
        <v>876</v>
      </c>
      <c r="H22" s="15">
        <v>1627.2</v>
      </c>
      <c r="I22" s="15">
        <v>263</v>
      </c>
      <c r="J22" s="15">
        <v>121.7</v>
      </c>
      <c r="K22" s="15">
        <v>-76.40000000000001</v>
      </c>
      <c r="L22" s="15">
        <v>-16.511</v>
      </c>
      <c r="M22" s="15">
        <v>0</v>
      </c>
      <c r="N22" s="15">
        <f>SUM(C19:C22)/4</f>
        <v>202.3</v>
      </c>
      <c r="O22" s="15"/>
      <c r="P22" s="16">
        <f>C22/C21-1</f>
        <v>0.240488492249883</v>
      </c>
      <c r="Q22" s="16">
        <f>(E22+D22)/C22</f>
        <v>0.421809920484665</v>
      </c>
      <c r="R22" s="16">
        <f>AVERAGE(Q19:Q22)</f>
        <v>0.303680318853892</v>
      </c>
      <c r="S22" s="17"/>
      <c r="T22" s="25">
        <f>SUM(J19:K22)/4</f>
        <v>34.075</v>
      </c>
      <c r="U22" s="25"/>
      <c r="V22" s="15">
        <f>-(L22+M22)+V21</f>
        <v>10.342</v>
      </c>
      <c r="W22" s="17"/>
      <c r="X22" s="15">
        <f>F22-G22</f>
        <v>-701.1</v>
      </c>
      <c r="Y22" s="15"/>
      <c r="Z22" s="25">
        <v>428</v>
      </c>
      <c r="AA22" s="15"/>
      <c r="AB22" s="15">
        <v>14.328</v>
      </c>
    </row>
    <row r="23" ht="20.05" customHeight="1">
      <c r="B23" s="13"/>
      <c r="C23" s="14">
        <v>242.9</v>
      </c>
      <c r="D23" s="15">
        <v>12.8</v>
      </c>
      <c r="E23" s="15">
        <v>80.90000000000001</v>
      </c>
      <c r="F23" s="15">
        <v>365</v>
      </c>
      <c r="G23" s="15">
        <v>972</v>
      </c>
      <c r="H23" s="15">
        <v>1753</v>
      </c>
      <c r="I23" s="15">
        <v>242.9</v>
      </c>
      <c r="J23" s="15">
        <v>95</v>
      </c>
      <c r="K23" s="15">
        <v>26.4</v>
      </c>
      <c r="L23" s="15">
        <v>120.542</v>
      </c>
      <c r="M23" s="15">
        <v>0</v>
      </c>
      <c r="N23" s="15">
        <f>SUM(C20:C23)/4</f>
        <v>223.975</v>
      </c>
      <c r="O23" s="15">
        <v>231.523375</v>
      </c>
      <c r="P23" s="16">
        <f>C23/C22-1</f>
        <v>-0.08027262400605829</v>
      </c>
      <c r="Q23" s="16">
        <f>(E23+D23)/C23</f>
        <v>0.38575545491972</v>
      </c>
      <c r="R23" s="16">
        <f>AVERAGE(Q20:Q23)</f>
        <v>0.349062844555653</v>
      </c>
      <c r="S23" s="17"/>
      <c r="T23" s="25">
        <f>SUM(J20:K23)/4</f>
        <v>55.95</v>
      </c>
      <c r="U23" s="25"/>
      <c r="V23" s="15">
        <f>-(L23+M23)+V22</f>
        <v>-110.2</v>
      </c>
      <c r="W23" s="17"/>
      <c r="X23" s="15">
        <f>F23-G23</f>
        <v>-607</v>
      </c>
      <c r="Y23" s="15"/>
      <c r="Z23" s="25">
        <v>500</v>
      </c>
      <c r="AA23" s="15">
        <v>849.670055766146</v>
      </c>
      <c r="AB23" s="15">
        <v>14.275</v>
      </c>
    </row>
    <row r="24" ht="20.05" customHeight="1">
      <c r="B24" s="21">
        <v>2022</v>
      </c>
      <c r="C24" s="14">
        <v>254.9</v>
      </c>
      <c r="D24" s="15">
        <v>16</v>
      </c>
      <c r="E24" s="15">
        <v>103.4</v>
      </c>
      <c r="F24" s="15">
        <v>299</v>
      </c>
      <c r="G24" s="15">
        <v>887</v>
      </c>
      <c r="H24" s="15">
        <v>1772</v>
      </c>
      <c r="I24" s="15">
        <v>242.3</v>
      </c>
      <c r="J24" s="15">
        <v>128.9</v>
      </c>
      <c r="K24" s="15">
        <v>-38.3</v>
      </c>
      <c r="L24" s="15">
        <v>-155.7</v>
      </c>
      <c r="M24" s="15">
        <v>0</v>
      </c>
      <c r="N24" s="15">
        <f>SUM(C21:C24)/4</f>
        <v>243.7</v>
      </c>
      <c r="O24" s="15">
        <v>242.729</v>
      </c>
      <c r="P24" s="16">
        <f>C24/C23-1</f>
        <v>0.0494030465212021</v>
      </c>
      <c r="Q24" s="16">
        <f>(E24+D24)/C24</f>
        <v>0.468418987838368</v>
      </c>
      <c r="R24" s="16">
        <f>AVERAGE(Q21:Q24)</f>
        <v>0.388042591515245</v>
      </c>
      <c r="S24" s="35"/>
      <c r="T24" s="25">
        <f>SUM(J21:K24)/4</f>
        <v>68.67175</v>
      </c>
      <c r="U24" s="15">
        <v>82.747396128169</v>
      </c>
      <c r="V24" s="15">
        <f>-(L24+M24)+V23</f>
        <v>45.5</v>
      </c>
      <c r="W24" s="15"/>
      <c r="X24" s="15">
        <f>F24-G24</f>
        <v>-588</v>
      </c>
      <c r="Y24" s="15">
        <v>-401.229395184547</v>
      </c>
      <c r="Z24" s="25">
        <v>690</v>
      </c>
      <c r="AA24" s="15">
        <v>922.741181304296</v>
      </c>
      <c r="AB24" s="15">
        <v>14.327</v>
      </c>
    </row>
    <row r="25" ht="20.05" customHeight="1">
      <c r="B25" s="13"/>
      <c r="C25" s="14">
        <v>266.6</v>
      </c>
      <c r="D25" s="15">
        <v>24.2</v>
      </c>
      <c r="E25" s="15">
        <v>74.59999999999999</v>
      </c>
      <c r="F25" s="15">
        <v>275</v>
      </c>
      <c r="G25" s="15">
        <v>846</v>
      </c>
      <c r="H25" s="15">
        <v>1785</v>
      </c>
      <c r="I25" s="15">
        <v>274.8</v>
      </c>
      <c r="J25" s="15">
        <v>71.40000000000001</v>
      </c>
      <c r="K25" s="15">
        <v>-62</v>
      </c>
      <c r="L25" s="15">
        <v>-11.8</v>
      </c>
      <c r="M25" s="15">
        <v>-20.1</v>
      </c>
      <c r="N25" s="15">
        <f>SUM(C22:C25)/4</f>
        <v>257.125</v>
      </c>
      <c r="O25" s="15">
        <v>261.24025</v>
      </c>
      <c r="P25" s="16">
        <f>C25/C24-1</f>
        <v>0.0459003530796391</v>
      </c>
      <c r="Q25" s="16">
        <f>(E25+D25)/C25</f>
        <v>0.370592648162041</v>
      </c>
      <c r="R25" s="16">
        <f>AVERAGE(Q22:Q25)</f>
        <v>0.411644252851199</v>
      </c>
      <c r="S25" s="35"/>
      <c r="T25" s="25">
        <f>SUM(J22:K25)/4</f>
        <v>66.675</v>
      </c>
      <c r="U25" s="15">
        <v>82.747396128169</v>
      </c>
      <c r="V25" s="15">
        <f>-(L25+M25)+V24</f>
        <v>77.40000000000001</v>
      </c>
      <c r="W25" s="15"/>
      <c r="X25" s="15">
        <f>F25-G25</f>
        <v>-571</v>
      </c>
      <c r="Y25" s="15">
        <v>-401.229395184547</v>
      </c>
      <c r="Z25" s="25">
        <v>700</v>
      </c>
      <c r="AA25" s="15">
        <v>1603.091744229950</v>
      </c>
      <c r="AB25" s="15">
        <v>14.66</v>
      </c>
    </row>
    <row r="26" ht="20.05" customHeight="1">
      <c r="B26" s="13"/>
      <c r="C26" s="14">
        <v>243.7</v>
      </c>
      <c r="D26" s="15">
        <v>21.8</v>
      </c>
      <c r="E26" s="15">
        <v>69.7</v>
      </c>
      <c r="F26" s="15">
        <v>281</v>
      </c>
      <c r="G26" s="15">
        <v>835</v>
      </c>
      <c r="H26" s="15">
        <v>1844</v>
      </c>
      <c r="I26" s="15">
        <v>242.5</v>
      </c>
      <c r="J26" s="15">
        <v>92.3</v>
      </c>
      <c r="K26" s="15">
        <v>-61.6</v>
      </c>
      <c r="L26" s="15">
        <v>-23.4</v>
      </c>
      <c r="M26" s="15">
        <v>-0.4</v>
      </c>
      <c r="N26" s="15">
        <f>SUM(C23:C26)/4</f>
        <v>252.025</v>
      </c>
      <c r="O26" s="15">
        <v>269.604</v>
      </c>
      <c r="P26" s="16">
        <f>C26/C25-1</f>
        <v>-0.0858964741185296</v>
      </c>
      <c r="Q26" s="16">
        <f>(E26+D26)/C26</f>
        <v>0.375461633155519</v>
      </c>
      <c r="R26" s="16">
        <f>AVERAGE(Q23:Q26)</f>
        <v>0.400057181018912</v>
      </c>
      <c r="S26" s="35">
        <f>S27</f>
        <v>0.400057181018912</v>
      </c>
      <c r="T26" s="25">
        <f>SUM(J23:K26)/4</f>
        <v>63.025</v>
      </c>
      <c r="U26" s="15">
        <v>77.217239539323</v>
      </c>
      <c r="V26" s="15">
        <f>-(L26+M26)+V25</f>
        <v>101.2</v>
      </c>
      <c r="W26" s="15">
        <f>W27</f>
        <v>289.570321872007</v>
      </c>
      <c r="X26" s="15">
        <f>F26-G26</f>
        <v>-554</v>
      </c>
      <c r="Y26" s="15">
        <v>-406.329327603114</v>
      </c>
      <c r="Z26" s="25">
        <v>615</v>
      </c>
      <c r="AA26" s="15">
        <v>1603.091744229950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260.898374467</v>
      </c>
      <c r="P27" s="17"/>
      <c r="Q27" s="17"/>
      <c r="R27" s="17"/>
      <c r="S27" s="35">
        <f>AE53</f>
        <v>0.400057181018912</v>
      </c>
      <c r="T27" s="25"/>
      <c r="U27" s="15">
        <f>SUM(AE55:AH55)/4</f>
        <v>50.4076015550178</v>
      </c>
      <c r="V27" s="17"/>
      <c r="W27" s="15">
        <f>-SUM(AE76:AH76)+V26</f>
        <v>289.570321872007</v>
      </c>
      <c r="X27" s="26"/>
      <c r="Y27" s="15">
        <f>AH75</f>
        <v>-385.852634401936</v>
      </c>
      <c r="Z27" s="15">
        <v>560</v>
      </c>
      <c r="AA27" s="15">
        <v>1603.091744229950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976.825</v>
      </c>
      <c r="O28" s="15">
        <f>SUM(O23:O26)</f>
        <v>1005.096625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983.562957171078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188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-0.0177164246309367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-0.08027262400605829</v>
      </c>
      <c r="AF50" s="35">
        <f>P24</f>
        <v>0.0494030465212021</v>
      </c>
      <c r="AG50" s="35">
        <f>P25</f>
        <v>0.0459003530796391</v>
      </c>
      <c r="AH50" s="35">
        <f>P26</f>
        <v>-0.0858964741185296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0.06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243.7</v>
      </c>
      <c r="AE52" s="23">
        <f>C26*(1+AE51)</f>
        <v>258.322</v>
      </c>
      <c r="AF52" s="23">
        <f>AE52*(1+AF51)</f>
        <v>255.73878</v>
      </c>
      <c r="AG52" s="23">
        <f>AF52*(1+AG51)</f>
        <v>260.8535556</v>
      </c>
      <c r="AH52" s="23">
        <f>AG52*(1+AH51)</f>
        <v>268.679162268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0.400057181018912</v>
      </c>
      <c r="AF53" s="35">
        <f>AE53</f>
        <v>0.400057181018912</v>
      </c>
      <c r="AG53" s="35">
        <f>AF53</f>
        <v>0.400057181018912</v>
      </c>
      <c r="AH53" s="35">
        <f>AG53</f>
        <v>0.400057181018912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-53.9666666666667</v>
      </c>
      <c r="AF54" s="15">
        <f>AE54</f>
        <v>-53.9666666666667</v>
      </c>
      <c r="AG54" s="15">
        <f>AF54</f>
        <v>-53.9666666666667</v>
      </c>
      <c r="AH54" s="15">
        <f>AG54</f>
        <v>-53.9666666666667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49.3769044485007</v>
      </c>
      <c r="AF55" s="15">
        <f>(AF52*AF53)+AF54</f>
        <v>48.343468737349</v>
      </c>
      <c r="AG55" s="15">
        <f>(AG52*AG53)+AG54</f>
        <v>50.3896714454293</v>
      </c>
      <c r="AH55" s="15">
        <f>(AH52*AH53)+AH54</f>
        <v>53.5203615887922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-41.75</v>
      </c>
      <c r="AF56" s="15">
        <f>-AE71/20</f>
        <v>-39.6625</v>
      </c>
      <c r="AG56" s="15">
        <f>-AF71/20</f>
        <v>-37.679375</v>
      </c>
      <c r="AH56" s="15">
        <f>-AG71/20</f>
        <v>-35.79540625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-0.1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-8.26769044485007</v>
      </c>
      <c r="AF58" s="15">
        <f>IF(AF66&gt;0,AF66*$AE$57,0)</f>
        <v>-8.1643468737349</v>
      </c>
      <c r="AG58" s="15">
        <f>IF(AG66&gt;0,AG66*$AE$57,0)</f>
        <v>-8.36896714454293</v>
      </c>
      <c r="AH58" s="15">
        <f>IF(AH66&gt;0,AH66*$AE$57,0)</f>
        <v>-8.682036158879219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-0.6407859963493699</v>
      </c>
      <c r="AF59" s="15">
        <f>AF55+AF56+AF58</f>
        <v>0.5166218636141</v>
      </c>
      <c r="AG59" s="15">
        <f>AG55+AG56+AG58</f>
        <v>4.34132930088637</v>
      </c>
      <c r="AH59" s="15">
        <f>AH55+AH56+AH58</f>
        <v>9.04291917991298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0.6407859963493699</v>
      </c>
      <c r="AF60" s="15">
        <f>-MIN(AE72,AF59)</f>
        <v>-0.5166218636141</v>
      </c>
      <c r="AG60" s="15">
        <f>-MIN(AF72,AG59)</f>
        <v>-0.12416413273527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281</v>
      </c>
      <c r="AF61" s="15">
        <f>AE63</f>
        <v>281</v>
      </c>
      <c r="AG61" s="15">
        <f>AF63</f>
        <v>281</v>
      </c>
      <c r="AH61" s="15">
        <f>AG63</f>
        <v>285.217165168151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4.2171651681511</v>
      </c>
      <c r="AH62" s="15">
        <f>AH55+AH56+AH58+AH60</f>
        <v>9.04291917991298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281</v>
      </c>
      <c r="AF63" s="15">
        <f>AF61+AF62</f>
        <v>281</v>
      </c>
      <c r="AG63" s="15">
        <f>AG61+AG62</f>
        <v>285.217165168151</v>
      </c>
      <c r="AH63" s="15">
        <f>AH61+AH62</f>
        <v>294.260084348064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-20.6666666666667</v>
      </c>
      <c r="AF65" s="15">
        <f>AE65</f>
        <v>-20.6666666666667</v>
      </c>
      <c r="AG65" s="15">
        <f>AF65</f>
        <v>-20.6666666666667</v>
      </c>
      <c r="AH65" s="15">
        <f>AG65</f>
        <v>-20.6666666666667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82.67690444850069</v>
      </c>
      <c r="AF66" s="15">
        <f>(AF52*AF53)+AF65</f>
        <v>81.643468737349</v>
      </c>
      <c r="AG66" s="15">
        <f>(AG52*AG53)+AG65</f>
        <v>83.6896714454293</v>
      </c>
      <c r="AH66" s="15">
        <f>(AH52*AH53)+AH65</f>
        <v>86.8203615887922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1616.966666666670</v>
      </c>
      <c r="AF68" s="15">
        <f>AE68-AF54</f>
        <v>1670.933333333340</v>
      </c>
      <c r="AG68" s="15">
        <f>AF68-AG54</f>
        <v>1724.900000000010</v>
      </c>
      <c r="AH68" s="15">
        <f>AG68-AH54</f>
        <v>1778.866666666680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20.6666666666667</v>
      </c>
      <c r="AF69" s="15">
        <f>AE69-AF65</f>
        <v>41.3333333333334</v>
      </c>
      <c r="AG69" s="15">
        <f>AF69-AG65</f>
        <v>62.0000000000001</v>
      </c>
      <c r="AH69" s="15">
        <f>AG69-AH65</f>
        <v>82.6666666666668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1596.3</v>
      </c>
      <c r="AF70" s="15">
        <f>AF68-AF69</f>
        <v>1629.600000000010</v>
      </c>
      <c r="AG70" s="15">
        <f>AG68-AG69</f>
        <v>1662.900000000010</v>
      </c>
      <c r="AH70" s="15">
        <f>AH68-AH69</f>
        <v>1696.200000000010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793.25</v>
      </c>
      <c r="AF71" s="15">
        <f>AE71+AF56</f>
        <v>753.5875</v>
      </c>
      <c r="AG71" s="15">
        <f>AF71+AG56</f>
        <v>715.908125</v>
      </c>
      <c r="AH71" s="15">
        <f>AG71+AH56</f>
        <v>680.11271875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0.6407859963493699</v>
      </c>
      <c r="AF72" s="15">
        <f>AE72+AF60</f>
        <v>0.12416413273527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1083.409214003650</v>
      </c>
      <c r="AF73" s="15">
        <f>AE73+AF66+AF58</f>
        <v>1156.888335867260</v>
      </c>
      <c r="AG73" s="15">
        <f>AF73+AG66+AG58</f>
        <v>1232.209040168150</v>
      </c>
      <c r="AH73" s="15">
        <f>AG73+AH66+AH58</f>
        <v>1310.347365598060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-6.3e-13</v>
      </c>
      <c r="AF74" s="15">
        <f>AF71+AF72+AF73-AF63-AF70</f>
        <v>-1.473e-11</v>
      </c>
      <c r="AG74" s="15">
        <f>AG71+AG72+AG73-AG63-AG70</f>
        <v>-1.1e-11</v>
      </c>
      <c r="AH74" s="15">
        <f>AH71+AH72+AH73-AH63-AH70</f>
        <v>-1.4e-11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-512.890785996349</v>
      </c>
      <c r="AF75" s="15">
        <f>AF63-AF71-AF72</f>
        <v>-472.711664132735</v>
      </c>
      <c r="AG75" s="15">
        <f>AG63-AG71-AG72</f>
        <v>-430.690959831849</v>
      </c>
      <c r="AH75" s="15">
        <f>AH63-AH71-AH72</f>
        <v>-385.852634401936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-49.3769044485007</v>
      </c>
      <c r="AF76" s="15">
        <f>AF56+AF58+AF60</f>
        <v>-48.343468737349</v>
      </c>
      <c r="AG76" s="15">
        <f>AG56+AG58+AG60</f>
        <v>-46.1725062772782</v>
      </c>
      <c r="AH76" s="15">
        <f>AH56+AH58+AH60</f>
        <v>-44.4774424088792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534</v>
      </c>
      <c r="AD78" s="14"/>
      <c r="AE78" s="15"/>
      <c r="AF78" s="15"/>
      <c r="AG78" s="15"/>
      <c r="AH78" s="15">
        <v>560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534</v>
      </c>
      <c r="AD79" s="14"/>
      <c r="AE79" s="15"/>
      <c r="AF79" s="15"/>
      <c r="AG79" s="15"/>
      <c r="AH79" s="15">
        <v>1148000000000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1148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2.05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0.576751078319663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0.0291664116916438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252.1</v>
      </c>
      <c r="AH84" s="15">
        <f>SUM(AE55:AH55)</f>
        <v>201.630406220071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8.41242167686098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5.6935857122016</v>
      </c>
      <c r="AH86" s="15">
        <v>10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2016.304062200710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983.562957171078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0.756362423519782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-0.0772434683831882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0.0289423642924782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534</v>
      </c>
      <c r="AF93" t="s" s="44">
        <f>AE115</f>
        <v>15</v>
      </c>
      <c r="AG93" t="s" s="44">
        <f>AG115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560</v>
      </c>
      <c r="AG94" t="s" s="44">
        <v>61</v>
      </c>
      <c r="AH94" s="15">
        <f>AH88</f>
        <v>983.562957171078</v>
      </c>
      <c r="AI94" t="s" s="44">
        <f>IF(AJ94&gt;0,"+","")</f>
        <v>361</v>
      </c>
      <c r="AJ94" s="16">
        <f>AH94/AF94-1</f>
        <v>0.756362423519782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-0.0772434683831882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(AG119+AG120+AI119+AI120+AK119+AK120+AM119+AM120)/AF136</f>
        <v>0.219599303135889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(AG133+AG134+AI133+AI134+AK133+AK134+AM133+AM134)/AF136</f>
        <v>0.0791445993031359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-0.482578397212544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-0.0858964741185296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0.240488492249883</v>
      </c>
      <c r="AF103" s="16">
        <f>P23</f>
        <v>-0.08027262400605829</v>
      </c>
      <c r="AG103" s="16">
        <f>P24</f>
        <v>0.0494030465212021</v>
      </c>
      <c r="AH103" s="16">
        <f>P25</f>
        <v>0.0459003530796391</v>
      </c>
      <c r="AI103" s="16">
        <f>P26</f>
        <v>-0.0858964741185296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264.1</v>
      </c>
      <c r="AF104" t="s" s="44">
        <v>72</v>
      </c>
      <c r="AG104" s="15">
        <f>C23</f>
        <v>242.9</v>
      </c>
      <c r="AH104" t="s" s="44">
        <v>72</v>
      </c>
      <c r="AI104" s="15">
        <f>C24</f>
        <v>254.9</v>
      </c>
      <c r="AJ104" t="s" s="44">
        <v>72</v>
      </c>
      <c r="AK104" s="15">
        <f>C25</f>
        <v>266.6</v>
      </c>
      <c r="AL104" t="s" s="44">
        <v>72</v>
      </c>
      <c r="AM104" s="15">
        <f>C26</f>
        <v>243.7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-0.0858964741185296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243.7</v>
      </c>
      <c r="AM105" t="s" s="48">
        <f>AN104</f>
        <v>22</v>
      </c>
      <c r="AN105" t="s" s="44">
        <v>77</v>
      </c>
      <c r="AO105" t="s" s="44">
        <f>IF(AP105&gt;0,"+","")</f>
        <v>361</v>
      </c>
      <c r="AP105" s="16">
        <f>AH91</f>
        <v>0.0289423642924782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-0.0177164246309367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268.679162268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0.421809920484665</v>
      </c>
      <c r="AF110" s="16">
        <f>(D23+E23)/C23</f>
        <v>0.38575545491972</v>
      </c>
      <c r="AG110" s="16">
        <f>((E24+D24)/C24)</f>
        <v>0.468418987838368</v>
      </c>
      <c r="AH110" s="16">
        <f>(D25+E25)/C25</f>
        <v>0.370592648162041</v>
      </c>
      <c r="AI110" s="16">
        <f>(D26+E26)/C26</f>
        <v>0.375461633155519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95.3</v>
      </c>
      <c r="AF111" t="s" s="44">
        <v>72</v>
      </c>
      <c r="AG111" s="15">
        <f>E23</f>
        <v>80.90000000000001</v>
      </c>
      <c r="AH111" t="s" s="44">
        <v>72</v>
      </c>
      <c r="AI111" s="15">
        <f>E24</f>
        <v>103.4</v>
      </c>
      <c r="AJ111" t="s" s="44">
        <v>72</v>
      </c>
      <c r="AK111" s="15">
        <f>E25</f>
        <v>74.59999999999999</v>
      </c>
      <c r="AL111" t="s" s="44">
        <v>72</v>
      </c>
      <c r="AM111" s="15">
        <f>E26</f>
        <v>69.7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0.370592648162041</v>
      </c>
      <c r="AG112" t="s" s="44">
        <v>76</v>
      </c>
      <c r="AH112" s="16">
        <f>AI110</f>
        <v>0.375461633155519</v>
      </c>
      <c r="AI112" t="s" s="44">
        <v>90</v>
      </c>
      <c r="AJ112" s="15">
        <f>AK111</f>
        <v>74.59999999999999</v>
      </c>
      <c r="AK112" t="s" s="44">
        <v>76</v>
      </c>
      <c r="AL112" s="15">
        <f>AM111</f>
        <v>69.7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0.400057181018912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0.400057181018912</v>
      </c>
      <c r="AG114" t="s" s="44">
        <v>94</v>
      </c>
      <c r="AH114" s="15">
        <f>AH66</f>
        <v>86.8203615887922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360</v>
      </c>
      <c r="AG115" t="s" s="44">
        <f>IF(AH121&lt;0,"negative","positive")</f>
        <v>59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9.4</v>
      </c>
      <c r="AG116" s="15">
        <f>ABS(AH121)</f>
        <v>30.7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9.4</v>
      </c>
      <c r="AF117" s="15">
        <f>ABS(AH121)</f>
        <v>30.7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121.7</v>
      </c>
      <c r="AF119" t="s" s="44">
        <v>72</v>
      </c>
      <c r="AG119" s="15">
        <f>J23</f>
        <v>95</v>
      </c>
      <c r="AH119" t="s" s="44">
        <v>72</v>
      </c>
      <c r="AI119" s="15">
        <f>J24</f>
        <v>128.9</v>
      </c>
      <c r="AJ119" t="s" s="44">
        <v>72</v>
      </c>
      <c r="AK119" s="15">
        <f>J25</f>
        <v>71.40000000000001</v>
      </c>
      <c r="AL119" t="s" s="44">
        <v>72</v>
      </c>
      <c r="AM119" s="15">
        <f>J26</f>
        <v>92.3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-76.40000000000001</v>
      </c>
      <c r="AF120" t="s" s="44">
        <v>72</v>
      </c>
      <c r="AG120" s="15">
        <f>K23</f>
        <v>26.4</v>
      </c>
      <c r="AH120" t="s" s="44">
        <v>72</v>
      </c>
      <c r="AI120" s="15">
        <f>K24</f>
        <v>-38.3</v>
      </c>
      <c r="AJ120" t="s" s="44">
        <v>72</v>
      </c>
      <c r="AK120" s="15">
        <f>K25</f>
        <v>-62</v>
      </c>
      <c r="AL120" t="s" s="44">
        <v>72</v>
      </c>
      <c r="AM120" s="15">
        <f>K26</f>
        <v>-61.6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9.4</v>
      </c>
      <c r="AG121" t="s" s="44">
        <v>76</v>
      </c>
      <c r="AH121" s="15">
        <f>AM119+AM120</f>
        <v>30.7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-61.6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63.025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-53.9666666666667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50.4076015550178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108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174.9</v>
      </c>
      <c r="AF126" t="s" s="44">
        <v>72</v>
      </c>
      <c r="AG126" s="15">
        <f>F23</f>
        <v>365</v>
      </c>
      <c r="AH126" t="s" s="44">
        <v>72</v>
      </c>
      <c r="AI126" s="15">
        <f>F24</f>
        <v>299</v>
      </c>
      <c r="AJ126" t="s" s="44">
        <v>72</v>
      </c>
      <c r="AK126" s="15">
        <f>F25</f>
        <v>275</v>
      </c>
      <c r="AL126" t="s" s="44">
        <v>72</v>
      </c>
      <c r="AM126" s="15">
        <f>F26</f>
        <v>281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876</v>
      </c>
      <c r="AF127" t="s" s="44">
        <v>72</v>
      </c>
      <c r="AG127" s="15">
        <f>G23</f>
        <v>972</v>
      </c>
      <c r="AH127" t="s" s="44">
        <v>72</v>
      </c>
      <c r="AI127" s="15">
        <f>G24</f>
        <v>887</v>
      </c>
      <c r="AJ127" t="s" s="44">
        <v>72</v>
      </c>
      <c r="AK127" s="15">
        <f>G25</f>
        <v>846</v>
      </c>
      <c r="AL127" t="s" s="44">
        <v>72</v>
      </c>
      <c r="AM127" s="15">
        <f>G26</f>
        <v>835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275</v>
      </c>
      <c r="AH128" t="s" s="44">
        <v>76</v>
      </c>
      <c r="AI128" s="15">
        <f>AM126</f>
        <v>281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370</v>
      </c>
      <c r="AG129" s="15">
        <f>AK127</f>
        <v>846</v>
      </c>
      <c r="AH129" t="s" s="44">
        <v>76</v>
      </c>
      <c r="AI129" s="15">
        <f>AM127</f>
        <v>835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108</v>
      </c>
      <c r="AN129" s="15">
        <f>AG128-AG129</f>
        <v>-571</v>
      </c>
      <c r="AO129" t="s" s="44">
        <v>76</v>
      </c>
      <c r="AP129" s="15">
        <f>AI128-AI129</f>
        <v>-554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-33.4830406220071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-154.88728125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-385.852634401936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374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16.511</v>
      </c>
      <c r="AF133" t="s" s="44">
        <v>72</v>
      </c>
      <c r="AG133" s="15">
        <f>-L23</f>
        <v>-120.542</v>
      </c>
      <c r="AH133" t="s" s="44">
        <v>72</v>
      </c>
      <c r="AI133" s="15">
        <f>-L24</f>
        <v>155.7</v>
      </c>
      <c r="AJ133" t="s" s="44">
        <v>72</v>
      </c>
      <c r="AK133" s="15">
        <f>-L25</f>
        <v>11.8</v>
      </c>
      <c r="AL133" t="s" s="44">
        <v>72</v>
      </c>
      <c r="AM133" s="15">
        <f>-L26</f>
        <v>23.4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0</v>
      </c>
      <c r="AF134" t="s" s="44">
        <v>72</v>
      </c>
      <c r="AG134" s="15">
        <f>-M23</f>
        <v>0</v>
      </c>
      <c r="AH134" t="s" s="44">
        <v>72</v>
      </c>
      <c r="AI134" s="15">
        <f>-M24</f>
        <v>0</v>
      </c>
      <c r="AJ134" t="s" s="44">
        <v>72</v>
      </c>
      <c r="AK134" s="15">
        <f>-M25</f>
        <v>20.1</v>
      </c>
      <c r="AL134" t="s" s="44">
        <v>72</v>
      </c>
      <c r="AM134" s="15">
        <f>-M26</f>
        <v>0.4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534</v>
      </c>
      <c r="AF135" t="s" s="44">
        <f>IF(AG135&gt;0,"paid","(raised)")</f>
        <v>374</v>
      </c>
      <c r="AG135" s="15">
        <f>SUM(AM133:AM134)</f>
        <v>23.8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23.4</v>
      </c>
      <c r="AM135" t="s" s="48">
        <f>AN104</f>
        <v>22</v>
      </c>
      <c r="AN135" t="s" s="44">
        <v>123</v>
      </c>
      <c r="AO135" s="15">
        <f>AM134</f>
        <v>0.4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188.370321872007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1148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0.576751078319663</v>
      </c>
      <c r="AK136" t="s" s="44">
        <v>130</v>
      </c>
      <c r="AL136" t="s" s="44">
        <v>131</v>
      </c>
      <c r="AM136" t="s" s="44">
        <v>132</v>
      </c>
      <c r="AN136" s="15">
        <f>AH85</f>
        <v>8.41242167686098</v>
      </c>
      <c r="AO136" t="s" s="44">
        <v>133</v>
      </c>
      <c r="AP136" s="16">
        <f>-AF130/AF136</f>
        <v>0.0291664116916438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201.630406220071</v>
      </c>
      <c r="AG137" t="s" s="48">
        <f>AG136</f>
        <v>22</v>
      </c>
      <c r="AH137" t="s" s="44">
        <v>136</v>
      </c>
      <c r="AI137" s="15">
        <f>AF136/AF137</f>
        <v>5.6935857122016</v>
      </c>
      <c r="AJ137" t="s" s="44">
        <v>130</v>
      </c>
      <c r="AK137" t="s" s="44">
        <v>137</v>
      </c>
      <c r="AL137" t="s" s="44">
        <v>138</v>
      </c>
      <c r="AM137" s="15">
        <f>AH86</f>
        <v>10</v>
      </c>
      <c r="AN137" t="s" s="44">
        <v>139</v>
      </c>
      <c r="AO137" t="s" s="44">
        <v>140</v>
      </c>
      <c r="AP137" t="s" s="44">
        <v>141</v>
      </c>
      <c r="AQ137" s="16">
        <f>AJ94</f>
        <v>0.756362423519782</v>
      </c>
      <c r="AR137" t="s" s="44">
        <f>IF(AQ137&gt;0,"higher","lower")</f>
        <v>363</v>
      </c>
      <c r="AS137" t="s" s="44">
        <v>142</v>
      </c>
      <c r="AT137" s="15">
        <f>AH94</f>
        <v>983.562957171078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264.1</v>
      </c>
      <c r="AE140" s="15">
        <f>AG104</f>
        <v>242.9</v>
      </c>
      <c r="AF140" s="15">
        <f>AI104</f>
        <v>254.9</v>
      </c>
      <c r="AG140" s="15">
        <f>AK104</f>
        <v>266.6</v>
      </c>
      <c r="AH140" s="15">
        <f>AM104</f>
        <v>243.7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45.3</v>
      </c>
      <c r="AE141" s="15">
        <f>SUM(AG119:AG120)</f>
        <v>121.4</v>
      </c>
      <c r="AF141" s="15">
        <f>SUM(AI119:AI120)</f>
        <v>90.59999999999999</v>
      </c>
      <c r="AG141" s="15">
        <f>SUM(AK119:AK120)</f>
        <v>9.4</v>
      </c>
      <c r="AH141" s="15">
        <f>SUM(AM119:AM120)</f>
        <v>30.7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16.511</v>
      </c>
      <c r="AE142" s="15">
        <f>SUM(AG133:AG134)</f>
        <v>-120.542</v>
      </c>
      <c r="AF142" s="15">
        <f>SUM(AI133:AI134)</f>
        <v>155.7</v>
      </c>
      <c r="AG142" s="15">
        <f>SUM(AK133:AK134)</f>
        <v>31.9</v>
      </c>
      <c r="AH142" s="15">
        <f>SUM(AM133:AM134)</f>
        <v>23.8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-701.1</v>
      </c>
      <c r="AE143" s="15">
        <f>(AG126-AG127)</f>
        <v>-607</v>
      </c>
      <c r="AF143" s="15">
        <f>(AI126-AI127)</f>
        <v>-588</v>
      </c>
      <c r="AG143" s="15">
        <f>(AK126-AK127)</f>
        <v>-571</v>
      </c>
      <c r="AH143" s="15">
        <f>(AM126-AM127)</f>
        <v>-554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983.562957171078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62" customWidth="1"/>
    <col min="2" max="28" width="10.4844" style="162" customWidth="1"/>
    <col min="29" max="29" width="18.9766" style="163" customWidth="1"/>
    <col min="30" max="48" width="9" style="163" customWidth="1"/>
    <col min="49" max="16384" width="16.3516" style="163" customWidth="1"/>
  </cols>
  <sheetData>
    <row r="1" ht="11.65" customHeight="1"/>
    <row r="2" ht="27.65" customHeight="1">
      <c r="B2" t="s" s="2">
        <v>535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201</v>
      </c>
      <c r="AA3" t="s" s="3">
        <v>19</v>
      </c>
      <c r="AB3" t="s" s="3">
        <v>20</v>
      </c>
    </row>
    <row r="4" ht="20.25" customHeight="1">
      <c r="B4" s="6">
        <v>2017</v>
      </c>
      <c r="C4" s="7">
        <v>1270.7</v>
      </c>
      <c r="D4" s="8">
        <v>69.90000000000001</v>
      </c>
      <c r="E4" s="8">
        <v>228</v>
      </c>
      <c r="F4" s="8">
        <v>3325</v>
      </c>
      <c r="G4" s="8">
        <v>14661</v>
      </c>
      <c r="H4" s="8">
        <v>29147</v>
      </c>
      <c r="I4" s="8">
        <v>1635.2</v>
      </c>
      <c r="J4" s="8">
        <v>277.48</v>
      </c>
      <c r="K4" s="8">
        <v>-25.3</v>
      </c>
      <c r="L4" s="8">
        <v>218</v>
      </c>
      <c r="M4" s="8">
        <v>44.75</v>
      </c>
      <c r="N4" s="8"/>
      <c r="O4" s="8"/>
      <c r="P4" s="9"/>
      <c r="Q4" s="9"/>
      <c r="R4" s="9"/>
      <c r="S4" s="9"/>
      <c r="T4" s="9"/>
      <c r="U4" s="9"/>
      <c r="V4" s="8">
        <f>-(L4+M4)</f>
        <v>-262.75</v>
      </c>
      <c r="W4" s="9"/>
      <c r="X4" s="8">
        <f>F4-G4</f>
        <v>-11336</v>
      </c>
      <c r="Y4" s="9"/>
      <c r="Z4" s="8">
        <v>1230</v>
      </c>
      <c r="AA4" s="11"/>
      <c r="AB4" s="12">
        <v>13.3</v>
      </c>
    </row>
    <row r="5" ht="20.05" customHeight="1">
      <c r="B5" s="13"/>
      <c r="C5" s="14">
        <v>1555.4</v>
      </c>
      <c r="D5" s="15">
        <v>67.8</v>
      </c>
      <c r="E5" s="15">
        <v>140.7</v>
      </c>
      <c r="F5" s="15">
        <v>3222</v>
      </c>
      <c r="G5" s="15">
        <v>15858</v>
      </c>
      <c r="H5" s="15">
        <v>30561</v>
      </c>
      <c r="I5" s="15">
        <v>1958.25</v>
      </c>
      <c r="J5" s="15">
        <v>9.52</v>
      </c>
      <c r="K5" s="15">
        <v>-772.13</v>
      </c>
      <c r="L5" s="15">
        <v>218</v>
      </c>
      <c r="M5" s="15">
        <v>44.75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-525.5</v>
      </c>
      <c r="W5" s="17"/>
      <c r="X5" s="15">
        <f>F5-G5</f>
        <v>-12636</v>
      </c>
      <c r="Y5" s="17"/>
      <c r="Z5" s="15">
        <v>1170</v>
      </c>
      <c r="AA5" s="19"/>
      <c r="AB5" s="20">
        <v>13.327</v>
      </c>
    </row>
    <row r="6" ht="20.05" customHeight="1">
      <c r="B6" s="13"/>
      <c r="C6" s="14">
        <v>1522.23</v>
      </c>
      <c r="D6" s="15">
        <v>71.59999999999999</v>
      </c>
      <c r="E6" s="15">
        <v>256.08</v>
      </c>
      <c r="F6" s="15">
        <v>4272</v>
      </c>
      <c r="G6" s="15">
        <v>17117</v>
      </c>
      <c r="H6" s="15">
        <v>32072</v>
      </c>
      <c r="I6" s="15">
        <v>1486.55</v>
      </c>
      <c r="J6" s="15">
        <v>46.59</v>
      </c>
      <c r="K6" s="15">
        <v>-349.57</v>
      </c>
      <c r="L6" s="15">
        <v>218</v>
      </c>
      <c r="M6" s="15">
        <v>44.75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-788.25</v>
      </c>
      <c r="W6" s="17"/>
      <c r="X6" s="15">
        <f>F6-G6</f>
        <v>-12845</v>
      </c>
      <c r="Y6" s="17"/>
      <c r="Z6" s="15">
        <v>1195</v>
      </c>
      <c r="AA6" s="19"/>
      <c r="AB6" s="20">
        <v>13.305</v>
      </c>
    </row>
    <row r="7" ht="20.05" customHeight="1">
      <c r="B7" s="13"/>
      <c r="C7" s="14">
        <v>2125.13</v>
      </c>
      <c r="D7" s="15">
        <v>55.8</v>
      </c>
      <c r="E7" s="15">
        <v>393.72</v>
      </c>
      <c r="F7" s="15">
        <v>3239</v>
      </c>
      <c r="G7" s="15">
        <v>16322</v>
      </c>
      <c r="H7" s="15">
        <v>31873</v>
      </c>
      <c r="I7" s="15">
        <v>1945.7</v>
      </c>
      <c r="J7" s="15">
        <v>138.55</v>
      </c>
      <c r="K7" s="15">
        <v>-614</v>
      </c>
      <c r="L7" s="15">
        <v>218</v>
      </c>
      <c r="M7" s="15">
        <v>44.75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-1051</v>
      </c>
      <c r="W7" s="17"/>
      <c r="X7" s="15">
        <f>F7-G7</f>
        <v>-13083</v>
      </c>
      <c r="Y7" s="17"/>
      <c r="Z7" s="15">
        <v>1185</v>
      </c>
      <c r="AA7" s="19"/>
      <c r="AB7" s="20">
        <v>13.557</v>
      </c>
    </row>
    <row r="8" ht="20.05" customHeight="1">
      <c r="B8" s="21">
        <v>2018</v>
      </c>
      <c r="C8" s="14">
        <v>1357.62</v>
      </c>
      <c r="D8" s="15">
        <v>69.90000000000001</v>
      </c>
      <c r="E8" s="15">
        <v>147.2</v>
      </c>
      <c r="F8" s="15">
        <v>3379</v>
      </c>
      <c r="G8" s="15">
        <v>16717</v>
      </c>
      <c r="H8" s="15">
        <v>32290</v>
      </c>
      <c r="I8" s="15">
        <v>1645</v>
      </c>
      <c r="J8" s="15">
        <v>392.2</v>
      </c>
      <c r="K8" s="15">
        <v>-434.5</v>
      </c>
      <c r="L8" s="15">
        <v>185</v>
      </c>
      <c r="M8" s="15">
        <v>-21.75</v>
      </c>
      <c r="N8" s="15">
        <f>SUM(C5:C8)/4</f>
        <v>1640.095</v>
      </c>
      <c r="O8" s="15"/>
      <c r="P8" s="16"/>
      <c r="Q8" s="16"/>
      <c r="R8" s="16"/>
      <c r="S8" s="17"/>
      <c r="T8" s="15">
        <f>SUM(J5:K8)/4</f>
        <v>-395.835</v>
      </c>
      <c r="U8" s="25"/>
      <c r="V8" s="15">
        <f>-(L8+M8)+V7</f>
        <v>-1214.25</v>
      </c>
      <c r="W8" s="17"/>
      <c r="X8" s="15">
        <f>F8-G8</f>
        <v>-13338</v>
      </c>
      <c r="Y8" s="24"/>
      <c r="Z8" s="15">
        <v>1175</v>
      </c>
      <c r="AA8" s="22"/>
      <c r="AB8" s="20">
        <v>13.761</v>
      </c>
    </row>
    <row r="9" ht="20.05" customHeight="1">
      <c r="B9" s="13"/>
      <c r="C9" s="14">
        <v>1447.05</v>
      </c>
      <c r="D9" s="15">
        <v>75.90000000000001</v>
      </c>
      <c r="E9" s="15">
        <v>77.78</v>
      </c>
      <c r="F9" s="15">
        <v>2986</v>
      </c>
      <c r="G9" s="15">
        <v>17419</v>
      </c>
      <c r="H9" s="15">
        <v>32881</v>
      </c>
      <c r="I9" s="15">
        <v>1596.6</v>
      </c>
      <c r="J9" s="15">
        <v>-245.52</v>
      </c>
      <c r="K9" s="15">
        <v>-306.9</v>
      </c>
      <c r="L9" s="15">
        <v>185</v>
      </c>
      <c r="M9" s="15">
        <v>-21.75</v>
      </c>
      <c r="N9" s="15">
        <f>SUM(C6:C9)/4</f>
        <v>1613.0075</v>
      </c>
      <c r="O9" s="15"/>
      <c r="P9" s="16"/>
      <c r="Q9" s="16"/>
      <c r="R9" s="16"/>
      <c r="S9" s="17"/>
      <c r="T9" s="15">
        <f>SUM(J6:K9)/4</f>
        <v>-343.2875</v>
      </c>
      <c r="U9" s="25"/>
      <c r="V9" s="15">
        <f>-(L9+M9)+V8</f>
        <v>-1377.5</v>
      </c>
      <c r="W9" s="17"/>
      <c r="X9" s="15">
        <f>F13-G9</f>
        <v>-14057</v>
      </c>
      <c r="Y9" s="24"/>
      <c r="Z9" s="15">
        <v>1020</v>
      </c>
      <c r="AA9" s="22"/>
      <c r="AB9" s="20">
        <v>14</v>
      </c>
    </row>
    <row r="10" ht="20.05" customHeight="1">
      <c r="B10" s="13"/>
      <c r="C10" s="14">
        <v>1885.81</v>
      </c>
      <c r="D10" s="15">
        <v>72.2</v>
      </c>
      <c r="E10" s="15">
        <v>432.02</v>
      </c>
      <c r="F10" s="15">
        <v>2845</v>
      </c>
      <c r="G10" s="15">
        <v>17633</v>
      </c>
      <c r="H10" s="15">
        <v>33610</v>
      </c>
      <c r="I10" s="15">
        <v>2099.9</v>
      </c>
      <c r="J10" s="15">
        <v>200.52</v>
      </c>
      <c r="K10" s="15">
        <v>-527.6</v>
      </c>
      <c r="L10" s="15">
        <v>185</v>
      </c>
      <c r="M10" s="15">
        <v>-21.75</v>
      </c>
      <c r="N10" s="15">
        <f>SUM(C7:C10)/4</f>
        <v>1703.9025</v>
      </c>
      <c r="O10" s="15"/>
      <c r="P10" s="16"/>
      <c r="Q10" s="16"/>
      <c r="R10" s="16"/>
      <c r="S10" s="17"/>
      <c r="T10" s="15">
        <f>SUM(J7:K10)/4</f>
        <v>-349.3125</v>
      </c>
      <c r="U10" s="25"/>
      <c r="V10" s="15">
        <f>-(L10+M10)+V9</f>
        <v>-1540.75</v>
      </c>
      <c r="W10" s="17"/>
      <c r="X10" s="15">
        <f>F10-G10</f>
        <v>-14788</v>
      </c>
      <c r="Y10" s="24"/>
      <c r="Z10" s="25">
        <v>875</v>
      </c>
      <c r="AA10" s="22"/>
      <c r="AB10" s="20">
        <v>14.902</v>
      </c>
    </row>
    <row r="11" ht="20.05" customHeight="1">
      <c r="B11" s="13"/>
      <c r="C11" s="14">
        <v>3055.92</v>
      </c>
      <c r="D11" s="15">
        <v>73.7</v>
      </c>
      <c r="E11" s="15">
        <v>645.7</v>
      </c>
      <c r="F11" s="15">
        <v>3243</v>
      </c>
      <c r="G11" s="15">
        <v>17645</v>
      </c>
      <c r="H11" s="15">
        <v>34289</v>
      </c>
      <c r="I11" s="15">
        <v>2560.4</v>
      </c>
      <c r="J11" s="15">
        <v>696.36</v>
      </c>
      <c r="K11" s="15">
        <v>-425.3</v>
      </c>
      <c r="L11" s="15">
        <v>185</v>
      </c>
      <c r="M11" s="15">
        <v>-21.75</v>
      </c>
      <c r="N11" s="15">
        <f>SUM(C8:C11)/4</f>
        <v>1936.6</v>
      </c>
      <c r="O11" s="15"/>
      <c r="P11" s="16"/>
      <c r="Q11" s="16"/>
      <c r="R11" s="16"/>
      <c r="S11" s="17"/>
      <c r="T11" s="15">
        <f>SUM(J8:K11)/4</f>
        <v>-162.685</v>
      </c>
      <c r="U11" s="25"/>
      <c r="V11" s="15">
        <f>-(L11+M11)+V10</f>
        <v>-1704</v>
      </c>
      <c r="W11" s="17"/>
      <c r="X11" s="15">
        <f>F11-G11</f>
        <v>-14402</v>
      </c>
      <c r="Y11" s="24"/>
      <c r="Z11" s="15">
        <v>1010</v>
      </c>
      <c r="AA11" s="22"/>
      <c r="AB11" s="20">
        <v>14.38</v>
      </c>
    </row>
    <row r="12" ht="20.05" customHeight="1">
      <c r="B12" s="21">
        <v>2019</v>
      </c>
      <c r="C12" s="14">
        <v>1646.72</v>
      </c>
      <c r="D12" s="15">
        <v>73.09999999999999</v>
      </c>
      <c r="E12" s="15">
        <v>297.5</v>
      </c>
      <c r="F12" s="15">
        <v>3435</v>
      </c>
      <c r="G12" s="15">
        <v>17475</v>
      </c>
      <c r="H12" s="15">
        <v>34446</v>
      </c>
      <c r="I12" s="15">
        <v>1433.7</v>
      </c>
      <c r="J12" s="15">
        <v>368.8</v>
      </c>
      <c r="K12" s="15">
        <v>-335.7</v>
      </c>
      <c r="L12" s="15">
        <v>193.75</v>
      </c>
      <c r="M12" s="15">
        <v>-42.75</v>
      </c>
      <c r="N12" s="15">
        <f>SUM(C9:C12)/4</f>
        <v>2008.875</v>
      </c>
      <c r="O12" s="23"/>
      <c r="P12" s="16"/>
      <c r="Q12" s="16">
        <f>(E12+D12)/C12</f>
        <v>0.22505343956471</v>
      </c>
      <c r="R12" s="16">
        <f>AVERAGE(Q9:Q12)</f>
        <v>0.22505343956471</v>
      </c>
      <c r="S12" s="17"/>
      <c r="T12" s="15">
        <f>SUM(J9:K12)/4</f>
        <v>-143.835</v>
      </c>
      <c r="U12" s="25"/>
      <c r="V12" s="15">
        <f>-(L12+M12)+V11</f>
        <v>-1855</v>
      </c>
      <c r="W12" s="17"/>
      <c r="X12" s="15">
        <f>F12-G12</f>
        <v>-14040</v>
      </c>
      <c r="Y12" s="24"/>
      <c r="Z12" s="15">
        <v>1000</v>
      </c>
      <c r="AA12" s="22"/>
      <c r="AB12" s="20">
        <v>14.24</v>
      </c>
    </row>
    <row r="13" ht="20.05" customHeight="1">
      <c r="B13" s="13"/>
      <c r="C13" s="14">
        <v>1498.68</v>
      </c>
      <c r="D13" s="15">
        <v>74.5</v>
      </c>
      <c r="E13" s="15">
        <v>22.75</v>
      </c>
      <c r="F13" s="15">
        <v>3362</v>
      </c>
      <c r="G13" s="15">
        <v>18289</v>
      </c>
      <c r="H13" s="15">
        <v>35076</v>
      </c>
      <c r="I13" s="15">
        <v>1768.9</v>
      </c>
      <c r="J13" s="15">
        <v>34.79</v>
      </c>
      <c r="K13" s="15">
        <v>-311.3</v>
      </c>
      <c r="L13" s="15">
        <v>193.75</v>
      </c>
      <c r="M13" s="15">
        <v>-42.75</v>
      </c>
      <c r="N13" s="15">
        <f>SUM(C10:C13)/4</f>
        <v>2021.7825</v>
      </c>
      <c r="O13" s="23"/>
      <c r="P13" s="16">
        <f>C13/C12-1</f>
        <v>-0.0898999222697241</v>
      </c>
      <c r="Q13" s="16">
        <f>(E13+D13)/C13</f>
        <v>0.064890436917821</v>
      </c>
      <c r="R13" s="16">
        <f>AVERAGE(Q10:Q13)</f>
        <v>0.144971938241266</v>
      </c>
      <c r="S13" s="17"/>
      <c r="T13" s="15">
        <f>SUM(J10:K13)/4</f>
        <v>-74.8575</v>
      </c>
      <c r="U13" s="25"/>
      <c r="V13" s="15">
        <f>-(L13+M13)+V12</f>
        <v>-2006</v>
      </c>
      <c r="W13" s="17"/>
      <c r="X13" s="15">
        <f>F13-G13</f>
        <v>-14927</v>
      </c>
      <c r="Y13" s="24"/>
      <c r="Z13" s="15">
        <v>1150</v>
      </c>
      <c r="AA13" s="24"/>
      <c r="AB13" s="15">
        <v>14.127</v>
      </c>
    </row>
    <row r="14" ht="20.05" customHeight="1">
      <c r="B14" s="13"/>
      <c r="C14" s="14">
        <v>1510</v>
      </c>
      <c r="D14" s="15">
        <v>72.7</v>
      </c>
      <c r="E14" s="15">
        <v>142.15</v>
      </c>
      <c r="F14" s="15">
        <v>3237</v>
      </c>
      <c r="G14" s="15">
        <v>18529</v>
      </c>
      <c r="H14" s="15">
        <v>35494</v>
      </c>
      <c r="I14" s="15">
        <v>1901.1</v>
      </c>
      <c r="J14" s="15">
        <v>254.3</v>
      </c>
      <c r="K14" s="15">
        <v>-333.67</v>
      </c>
      <c r="L14" s="15">
        <v>193.75</v>
      </c>
      <c r="M14" s="15">
        <v>-42.75</v>
      </c>
      <c r="N14" s="15">
        <f>SUM(C11:C14)/4</f>
        <v>1927.83</v>
      </c>
      <c r="O14" s="23"/>
      <c r="P14" s="16">
        <f>C14/C13-1</f>
        <v>0.00755331358261937</v>
      </c>
      <c r="Q14" s="16">
        <f>(E14+D14)/C14</f>
        <v>0.142284768211921</v>
      </c>
      <c r="R14" s="16">
        <f>AVERAGE(Q11:Q14)</f>
        <v>0.144076214898151</v>
      </c>
      <c r="S14" s="17"/>
      <c r="T14" s="15">
        <f>SUM(J11:K14)/4</f>
        <v>-12.93</v>
      </c>
      <c r="U14" s="25"/>
      <c r="V14" s="15">
        <f>-(L14+M14)+V13</f>
        <v>-2157</v>
      </c>
      <c r="W14" s="17"/>
      <c r="X14" s="15">
        <f>F14-G14</f>
        <v>-15292</v>
      </c>
      <c r="Y14" s="24"/>
      <c r="Z14" s="15">
        <v>1055</v>
      </c>
      <c r="AA14" s="24"/>
      <c r="AB14" s="15">
        <v>14.195</v>
      </c>
    </row>
    <row r="15" ht="20.05" customHeight="1">
      <c r="B15" s="13"/>
      <c r="C15" s="14">
        <v>2952.8</v>
      </c>
      <c r="D15" s="15">
        <v>95.59999999999999</v>
      </c>
      <c r="E15" s="15">
        <v>820.88</v>
      </c>
      <c r="F15" s="15">
        <v>4238</v>
      </c>
      <c r="G15" s="15">
        <v>18435</v>
      </c>
      <c r="H15" s="15">
        <v>36196</v>
      </c>
      <c r="I15" s="15">
        <v>2530.2</v>
      </c>
      <c r="J15" s="15">
        <v>321.91</v>
      </c>
      <c r="K15" s="15">
        <v>398.77</v>
      </c>
      <c r="L15" s="15">
        <v>193.75</v>
      </c>
      <c r="M15" s="15">
        <v>-42.75</v>
      </c>
      <c r="N15" s="15">
        <f>SUM(C12:C15)/4</f>
        <v>1902.05</v>
      </c>
      <c r="O15" s="15"/>
      <c r="P15" s="16">
        <f>C15/C14-1</f>
        <v>0.955496688741722</v>
      </c>
      <c r="Q15" s="16">
        <f>(E15+D15)/C15</f>
        <v>0.310376591709564</v>
      </c>
      <c r="R15" s="16">
        <f>AVERAGE(Q12:Q15)</f>
        <v>0.185651309101004</v>
      </c>
      <c r="S15" s="17"/>
      <c r="T15" s="15">
        <f>SUM(J12:K15)/4</f>
        <v>99.47499999999999</v>
      </c>
      <c r="U15" s="25"/>
      <c r="V15" s="15">
        <f>-(L15+M15)+V14</f>
        <v>-2308</v>
      </c>
      <c r="W15" s="17"/>
      <c r="X15" s="15">
        <f>F15-G15</f>
        <v>-14197</v>
      </c>
      <c r="Y15" s="24"/>
      <c r="Z15" s="15">
        <v>1040</v>
      </c>
      <c r="AA15" s="24"/>
      <c r="AB15" s="15">
        <v>13.882</v>
      </c>
    </row>
    <row r="16" ht="20.05" customHeight="1">
      <c r="B16" s="21">
        <v>2020</v>
      </c>
      <c r="C16" s="14">
        <v>1509.69</v>
      </c>
      <c r="D16" s="15">
        <v>75.59999999999999</v>
      </c>
      <c r="E16" s="15">
        <v>184</v>
      </c>
      <c r="F16" s="15">
        <v>4243</v>
      </c>
      <c r="G16" s="15">
        <v>20960</v>
      </c>
      <c r="H16" s="15">
        <v>37870</v>
      </c>
      <c r="I16" s="15">
        <v>1699.3</v>
      </c>
      <c r="J16" s="15">
        <v>312.67</v>
      </c>
      <c r="K16" s="15">
        <v>-303.2</v>
      </c>
      <c r="L16" s="15">
        <v>192.25</v>
      </c>
      <c r="M16" s="15">
        <v>-27.75</v>
      </c>
      <c r="N16" s="15">
        <f>SUM(C13:C16)/4</f>
        <v>1867.7925</v>
      </c>
      <c r="O16" s="15"/>
      <c r="P16" s="16">
        <f>C16/C15-1</f>
        <v>-0.488725955025738</v>
      </c>
      <c r="Q16" s="16">
        <f>(E16+D16)/C16</f>
        <v>0.171955831991998</v>
      </c>
      <c r="R16" s="16">
        <f>AVERAGE(Q13:Q16)</f>
        <v>0.172376907207826</v>
      </c>
      <c r="S16" s="17"/>
      <c r="T16" s="15">
        <f>SUM(J13:K16)/4</f>
        <v>93.5675</v>
      </c>
      <c r="U16" s="25"/>
      <c r="V16" s="15">
        <f>-(L16+M16)+V15</f>
        <v>-2472.5</v>
      </c>
      <c r="W16" s="17"/>
      <c r="X16" s="15">
        <f>F16-G16</f>
        <v>-16717</v>
      </c>
      <c r="Y16" s="24"/>
      <c r="Z16" s="25">
        <v>444</v>
      </c>
      <c r="AA16" s="24"/>
      <c r="AB16" s="15">
        <v>16.31</v>
      </c>
    </row>
    <row r="17" ht="20.05" customHeight="1">
      <c r="B17" s="13"/>
      <c r="C17" s="14">
        <v>1294.81</v>
      </c>
      <c r="D17" s="15">
        <v>73.59999999999999</v>
      </c>
      <c r="E17" s="15">
        <v>-22.15</v>
      </c>
      <c r="F17" s="15">
        <v>3810</v>
      </c>
      <c r="G17" s="15">
        <v>20841</v>
      </c>
      <c r="H17" s="15">
        <v>37884</v>
      </c>
      <c r="I17" s="15">
        <v>1115.7</v>
      </c>
      <c r="J17" s="15">
        <v>-340.67</v>
      </c>
      <c r="K17" s="15">
        <v>-190.69</v>
      </c>
      <c r="L17" s="15">
        <v>192.25</v>
      </c>
      <c r="M17" s="15">
        <v>-27.75</v>
      </c>
      <c r="N17" s="15">
        <f>SUM(C14:C17)/4</f>
        <v>1816.825</v>
      </c>
      <c r="O17" s="15"/>
      <c r="P17" s="16">
        <f>C17/C16-1</f>
        <v>-0.142333856619571</v>
      </c>
      <c r="Q17" s="16">
        <f>(E17+D17)/C17</f>
        <v>0.0397355596574015</v>
      </c>
      <c r="R17" s="16">
        <f>AVERAGE(Q14:Q17)</f>
        <v>0.166088187892721</v>
      </c>
      <c r="S17" s="17"/>
      <c r="T17" s="25">
        <f>SUM(J14:K17)/4</f>
        <v>29.855</v>
      </c>
      <c r="U17" s="25"/>
      <c r="V17" s="15">
        <f>-(L17+M17)+V16</f>
        <v>-2637</v>
      </c>
      <c r="W17" s="17"/>
      <c r="X17" s="15">
        <f>F17-G17</f>
        <v>-17031</v>
      </c>
      <c r="Y17" s="24"/>
      <c r="Z17" s="25">
        <v>610</v>
      </c>
      <c r="AA17" s="24"/>
      <c r="AB17" s="15">
        <v>14.255</v>
      </c>
    </row>
    <row r="18" ht="20.05" customHeight="1">
      <c r="B18" s="13"/>
      <c r="C18" s="14">
        <v>1435.6</v>
      </c>
      <c r="D18" s="15">
        <v>77.8</v>
      </c>
      <c r="E18" s="15">
        <v>86.15000000000001</v>
      </c>
      <c r="F18" s="15">
        <v>4385</v>
      </c>
      <c r="G18" s="15">
        <v>21920</v>
      </c>
      <c r="H18" s="15">
        <v>38784</v>
      </c>
      <c r="I18" s="15">
        <v>2017</v>
      </c>
      <c r="J18" s="15">
        <v>660</v>
      </c>
      <c r="K18" s="15">
        <v>-204.11</v>
      </c>
      <c r="L18" s="15">
        <v>192.25</v>
      </c>
      <c r="M18" s="15">
        <v>-27.75</v>
      </c>
      <c r="N18" s="15">
        <f>SUM(C15:C18)/4</f>
        <v>1798.225</v>
      </c>
      <c r="O18" s="15"/>
      <c r="P18" s="16">
        <f>C18/C17-1</f>
        <v>0.108734099983781</v>
      </c>
      <c r="Q18" s="16">
        <f>(E18+D18)/C18</f>
        <v>0.11420312064642</v>
      </c>
      <c r="R18" s="16">
        <f>AVERAGE(Q15:Q18)</f>
        <v>0.159067776001346</v>
      </c>
      <c r="S18" s="17"/>
      <c r="T18" s="25">
        <f>SUM(J15:K18)/4</f>
        <v>163.67</v>
      </c>
      <c r="U18" s="25"/>
      <c r="V18" s="15">
        <f>-(L18+M18)+V17</f>
        <v>-2801.5</v>
      </c>
      <c r="W18" s="17"/>
      <c r="X18" s="15">
        <f>F18-G18</f>
        <v>-17535</v>
      </c>
      <c r="Y18" s="24"/>
      <c r="Z18" s="15">
        <v>645</v>
      </c>
      <c r="AA18" s="24"/>
      <c r="AB18" s="15">
        <v>14.79</v>
      </c>
    </row>
    <row r="19" ht="20.05" customHeight="1">
      <c r="B19" s="13"/>
      <c r="C19" s="14">
        <v>3830.6</v>
      </c>
      <c r="D19" s="15">
        <v>72.09999999999999</v>
      </c>
      <c r="E19" s="15">
        <v>1122.7</v>
      </c>
      <c r="F19" s="15">
        <v>5276</v>
      </c>
      <c r="G19" s="15">
        <v>21797</v>
      </c>
      <c r="H19" s="15">
        <v>39255</v>
      </c>
      <c r="I19" s="15">
        <v>2264.1</v>
      </c>
      <c r="J19" s="15">
        <v>581.7</v>
      </c>
      <c r="K19" s="15">
        <v>-140.4</v>
      </c>
      <c r="L19" s="15">
        <v>192.25</v>
      </c>
      <c r="M19" s="15">
        <v>-27.75</v>
      </c>
      <c r="N19" s="15">
        <f>SUM(C16:C19)/4</f>
        <v>2017.675</v>
      </c>
      <c r="O19" s="15">
        <v>1571.94996</v>
      </c>
      <c r="P19" s="16">
        <f>C19/C18-1</f>
        <v>1.66829200334355</v>
      </c>
      <c r="Q19" s="16">
        <f>(E19+D19)/C19</f>
        <v>0.311909361457735</v>
      </c>
      <c r="R19" s="16">
        <f>AVERAGE(Q16:Q19)</f>
        <v>0.159450968438389</v>
      </c>
      <c r="S19" s="17"/>
      <c r="T19" s="25">
        <f>SUM(J16:K19)/4</f>
        <v>93.825</v>
      </c>
      <c r="U19" s="25"/>
      <c r="V19" s="15">
        <f>-(L19+M19)+V18</f>
        <v>-2966</v>
      </c>
      <c r="W19" s="17"/>
      <c r="X19" s="15">
        <f>F19-G19</f>
        <v>-16521</v>
      </c>
      <c r="Y19" s="24"/>
      <c r="Z19" s="15">
        <v>985</v>
      </c>
      <c r="AA19" s="24"/>
      <c r="AB19" s="15">
        <v>14.1</v>
      </c>
    </row>
    <row r="20" ht="20.05" customHeight="1">
      <c r="B20" s="21">
        <v>2021</v>
      </c>
      <c r="C20" s="14">
        <v>1850.7</v>
      </c>
      <c r="D20" s="15">
        <v>78.09999999999999</v>
      </c>
      <c r="E20" s="15">
        <v>328.8</v>
      </c>
      <c r="F20" s="15">
        <v>5641</v>
      </c>
      <c r="G20" s="15">
        <v>21718</v>
      </c>
      <c r="H20" s="15">
        <v>39512</v>
      </c>
      <c r="I20" s="15">
        <v>2010.8</v>
      </c>
      <c r="J20" s="15">
        <v>851.9</v>
      </c>
      <c r="K20" s="15">
        <v>-220</v>
      </c>
      <c r="L20" s="15">
        <v>-283.274</v>
      </c>
      <c r="M20" s="15">
        <v>7.8</v>
      </c>
      <c r="N20" s="15">
        <f>SUM(C17:C20)/4</f>
        <v>2102.9275</v>
      </c>
      <c r="O20" s="15">
        <v>1558.713306666670</v>
      </c>
      <c r="P20" s="16">
        <f>C20/C19-1</f>
        <v>-0.516864198820028</v>
      </c>
      <c r="Q20" s="16">
        <f>(E20+D20)/C20</f>
        <v>0.219862754633382</v>
      </c>
      <c r="R20" s="16">
        <f>AVERAGE(Q17:Q20)</f>
        <v>0.171427699098735</v>
      </c>
      <c r="S20" s="17"/>
      <c r="T20" s="25">
        <f>SUM(J17:K20)/4</f>
        <v>249.4325</v>
      </c>
      <c r="U20" s="25"/>
      <c r="V20" s="15">
        <f>-(L20+M20)+V19</f>
        <v>-2690.526</v>
      </c>
      <c r="W20" s="17"/>
      <c r="X20" s="15">
        <f>F20-G20</f>
        <v>-16077</v>
      </c>
      <c r="Y20" s="15"/>
      <c r="Z20" s="15">
        <v>1095</v>
      </c>
      <c r="AA20" s="25"/>
      <c r="AB20" s="15">
        <v>14.606</v>
      </c>
    </row>
    <row r="21" ht="20.05" customHeight="1">
      <c r="B21" s="13"/>
      <c r="C21" s="14">
        <v>2169.6</v>
      </c>
      <c r="D21" s="15">
        <v>77.2</v>
      </c>
      <c r="E21" s="15">
        <v>321.2</v>
      </c>
      <c r="F21" s="15">
        <v>6385</v>
      </c>
      <c r="G21" s="15">
        <v>22274</v>
      </c>
      <c r="H21" s="15">
        <v>40366</v>
      </c>
      <c r="I21" s="15">
        <v>2467.2</v>
      </c>
      <c r="J21" s="15">
        <v>1142.3</v>
      </c>
      <c r="K21" s="15">
        <v>-203.7</v>
      </c>
      <c r="L21" s="15">
        <v>-162.509</v>
      </c>
      <c r="M21" s="15">
        <v>-28.5</v>
      </c>
      <c r="N21" s="15">
        <f>SUM(C18:C21)/4</f>
        <v>2321.625</v>
      </c>
      <c r="O21" s="15">
        <v>1724.24498</v>
      </c>
      <c r="P21" s="16">
        <f>C21/C20-1</f>
        <v>0.172313178797212</v>
      </c>
      <c r="Q21" s="16">
        <f>(E21+D21)/C21</f>
        <v>0.183628318584071</v>
      </c>
      <c r="R21" s="16">
        <f>AVERAGE(Q18:Q21)</f>
        <v>0.207400888830402</v>
      </c>
      <c r="S21" s="17"/>
      <c r="T21" s="25">
        <f>SUM(J18:K21)/4</f>
        <v>616.9225</v>
      </c>
      <c r="U21" s="25"/>
      <c r="V21" s="15">
        <f>-(L21+M21)+V20</f>
        <v>-2499.517</v>
      </c>
      <c r="W21" s="17"/>
      <c r="X21" s="15">
        <f>F21-G21</f>
        <v>-15889</v>
      </c>
      <c r="Y21" s="15"/>
      <c r="Z21" s="15">
        <v>930</v>
      </c>
      <c r="AA21" s="25"/>
      <c r="AB21" s="15">
        <v>14.45</v>
      </c>
    </row>
    <row r="22" ht="20.05" customHeight="1">
      <c r="B22" s="13"/>
      <c r="C22" s="14">
        <v>2628.4</v>
      </c>
      <c r="D22" s="15">
        <v>77.90000000000001</v>
      </c>
      <c r="E22" s="15">
        <v>618.4</v>
      </c>
      <c r="F22" s="15">
        <v>6530</v>
      </c>
      <c r="G22" s="15">
        <v>21475</v>
      </c>
      <c r="H22" s="15">
        <v>40054</v>
      </c>
      <c r="I22" s="15">
        <v>1844.4</v>
      </c>
      <c r="J22" s="15">
        <v>503.1</v>
      </c>
      <c r="K22" s="15">
        <v>-130.9</v>
      </c>
      <c r="L22" s="15">
        <v>-50.421</v>
      </c>
      <c r="M22" s="15">
        <v>-174.096</v>
      </c>
      <c r="N22" s="15">
        <f>SUM(C19:C22)/4</f>
        <v>2619.825</v>
      </c>
      <c r="O22" s="15">
        <v>1921.43048</v>
      </c>
      <c r="P22" s="16">
        <f>C22/C21-1</f>
        <v>0.211467551622419</v>
      </c>
      <c r="Q22" s="16">
        <f>(E22+D22)/C22</f>
        <v>0.264914016131487</v>
      </c>
      <c r="R22" s="16">
        <f>AVERAGE(Q19:Q22)</f>
        <v>0.245078612701669</v>
      </c>
      <c r="S22" s="17"/>
      <c r="T22" s="25">
        <f>SUM(J19:K22)/4</f>
        <v>596</v>
      </c>
      <c r="U22" s="25"/>
      <c r="V22" s="15">
        <f>-(L22+M22)+V21</f>
        <v>-2275</v>
      </c>
      <c r="W22" s="17"/>
      <c r="X22" s="15">
        <f>F22-G22</f>
        <v>-14945</v>
      </c>
      <c r="Y22" s="15"/>
      <c r="Z22" s="15">
        <v>935</v>
      </c>
      <c r="AA22" s="25"/>
      <c r="AB22" s="15">
        <v>14.328</v>
      </c>
    </row>
    <row r="23" ht="20.05" customHeight="1">
      <c r="B23" s="13"/>
      <c r="C23" s="14">
        <v>3080.9</v>
      </c>
      <c r="D23" s="15">
        <v>75.90000000000001</v>
      </c>
      <c r="E23" s="15">
        <v>819.3</v>
      </c>
      <c r="F23" s="15">
        <v>7162</v>
      </c>
      <c r="G23" s="15">
        <v>21274</v>
      </c>
      <c r="H23" s="15">
        <v>40668</v>
      </c>
      <c r="I23" s="15">
        <v>2760.4</v>
      </c>
      <c r="J23" s="15">
        <v>1150</v>
      </c>
      <c r="K23" s="15">
        <v>-545.4</v>
      </c>
      <c r="L23" s="15">
        <v>30.104</v>
      </c>
      <c r="M23" s="15">
        <v>-17.404</v>
      </c>
      <c r="N23" s="15">
        <f>SUM(C20:C23)/4</f>
        <v>2432.4</v>
      </c>
      <c r="O23" s="15">
        <v>2362.331</v>
      </c>
      <c r="P23" s="16">
        <f>C23/C22-1</f>
        <v>0.172157966823923</v>
      </c>
      <c r="Q23" s="16">
        <f>(E23+D23)/C23</f>
        <v>0.29056444545425</v>
      </c>
      <c r="R23" s="16">
        <f>AVERAGE(Q20:Q23)</f>
        <v>0.239742383700798</v>
      </c>
      <c r="S23" s="17"/>
      <c r="T23" s="25">
        <f>SUM(J20:K23)/4</f>
        <v>636.825</v>
      </c>
      <c r="U23" s="25"/>
      <c r="V23" s="15">
        <f>-(L23+M23)+V22</f>
        <v>-2287.7</v>
      </c>
      <c r="W23" s="17"/>
      <c r="X23" s="15">
        <f>F23-G23</f>
        <v>-14112</v>
      </c>
      <c r="Y23" s="15"/>
      <c r="Z23" s="15">
        <v>970</v>
      </c>
      <c r="AA23" s="15">
        <v>1677.388352777770</v>
      </c>
      <c r="AB23" s="15">
        <v>14.275</v>
      </c>
    </row>
    <row r="24" ht="20.05" customHeight="1">
      <c r="B24" s="21">
        <v>2022</v>
      </c>
      <c r="C24" s="14">
        <v>2234.2</v>
      </c>
      <c r="D24" s="15">
        <v>84.8</v>
      </c>
      <c r="E24" s="15">
        <v>473.2</v>
      </c>
      <c r="F24" s="15">
        <v>7404</v>
      </c>
      <c r="G24" s="15">
        <v>20976</v>
      </c>
      <c r="H24" s="15">
        <v>40818</v>
      </c>
      <c r="I24" s="15">
        <v>2601.2</v>
      </c>
      <c r="J24" s="15">
        <v>1334.8</v>
      </c>
      <c r="K24" s="15">
        <v>-215.1</v>
      </c>
      <c r="L24" s="15">
        <v>-872</v>
      </c>
      <c r="M24" s="15">
        <v>-6</v>
      </c>
      <c r="N24" s="15">
        <f>SUM(C21:C24)/4</f>
        <v>2528.275</v>
      </c>
      <c r="O24" s="15">
        <v>2556.93975</v>
      </c>
      <c r="P24" s="16">
        <f>C24/C23-1</f>
        <v>-0.274822292187348</v>
      </c>
      <c r="Q24" s="16">
        <f>(E24+D24)/C24</f>
        <v>0.249753826873154</v>
      </c>
      <c r="R24" s="16">
        <f>AVERAGE(Q21:Q24)</f>
        <v>0.247215151760741</v>
      </c>
      <c r="S24" s="35"/>
      <c r="T24" s="25">
        <f>SUM(J21:K24)/4</f>
        <v>758.775</v>
      </c>
      <c r="U24" s="15">
        <v>562.874682842480</v>
      </c>
      <c r="V24" s="15">
        <f>-(L24+M24)+V23</f>
        <v>-1409.7</v>
      </c>
      <c r="W24" s="15"/>
      <c r="X24" s="15">
        <f>F24-G24</f>
        <v>-13572</v>
      </c>
      <c r="Y24" s="15">
        <v>-12540.4954327221</v>
      </c>
      <c r="Z24" s="15">
        <v>1040</v>
      </c>
      <c r="AA24" s="15">
        <v>1677.388352777770</v>
      </c>
      <c r="AB24" s="15">
        <v>14.327</v>
      </c>
    </row>
    <row r="25" ht="20.05" customHeight="1">
      <c r="B25" s="13"/>
      <c r="C25" s="14">
        <v>2431</v>
      </c>
      <c r="D25" s="15">
        <v>85.5</v>
      </c>
      <c r="E25" s="15">
        <v>618.8</v>
      </c>
      <c r="F25" s="15">
        <v>7973</v>
      </c>
      <c r="G25" s="15">
        <v>20517</v>
      </c>
      <c r="H25" s="15">
        <v>40920</v>
      </c>
      <c r="I25" s="15">
        <v>1937.3</v>
      </c>
      <c r="J25" s="15">
        <v>702.8</v>
      </c>
      <c r="K25" s="15">
        <v>-127.1</v>
      </c>
      <c r="L25" s="15">
        <v>34.1</v>
      </c>
      <c r="M25" s="15">
        <v>-47.4</v>
      </c>
      <c r="N25" s="15">
        <f>SUM(C22:C25)/4</f>
        <v>2593.625</v>
      </c>
      <c r="O25" s="15">
        <v>2616.13475</v>
      </c>
      <c r="P25" s="16">
        <f>C25/C24-1</f>
        <v>0.0880852206606392</v>
      </c>
      <c r="Q25" s="16">
        <f>(E25+D25)/C25</f>
        <v>0.289716166186754</v>
      </c>
      <c r="R25" s="16">
        <f>AVERAGE(Q22:Q25)</f>
        <v>0.273737113661411</v>
      </c>
      <c r="S25" s="35"/>
      <c r="T25" s="25">
        <f>SUM(J22:K25)/4</f>
        <v>668.05</v>
      </c>
      <c r="U25" s="15">
        <v>457.393972593490</v>
      </c>
      <c r="V25" s="15">
        <f>-(L25+M25)+V24</f>
        <v>-1396.4</v>
      </c>
      <c r="W25" s="15"/>
      <c r="X25" s="15">
        <f>F25-G25</f>
        <v>-12544</v>
      </c>
      <c r="Y25" s="15">
        <v>-11580.2812940996</v>
      </c>
      <c r="Z25" s="15">
        <v>860</v>
      </c>
      <c r="AA25" s="15">
        <v>1271.738747321890</v>
      </c>
      <c r="AB25" s="15">
        <v>14.66</v>
      </c>
    </row>
    <row r="26" ht="20.05" customHeight="1">
      <c r="B26" s="13"/>
      <c r="C26" s="14">
        <v>2561.7</v>
      </c>
      <c r="D26" s="15">
        <v>85.3</v>
      </c>
      <c r="E26" s="15">
        <v>583.1</v>
      </c>
      <c r="F26" s="15">
        <v>8395</v>
      </c>
      <c r="G26" s="15">
        <v>20620</v>
      </c>
      <c r="H26" s="15">
        <v>41325</v>
      </c>
      <c r="I26" s="15">
        <v>2225.8</v>
      </c>
      <c r="J26" s="15">
        <v>650.7</v>
      </c>
      <c r="K26" s="15">
        <v>-234.8</v>
      </c>
      <c r="L26" s="15">
        <v>270.3</v>
      </c>
      <c r="M26" s="15">
        <v>-268.8</v>
      </c>
      <c r="N26" s="15">
        <f>SUM(C23:C26)/4</f>
        <v>2576.95</v>
      </c>
      <c r="O26" s="15">
        <v>2962.0016586875</v>
      </c>
      <c r="P26" s="16">
        <f>C26/C25-1</f>
        <v>0.0537638831756479</v>
      </c>
      <c r="Q26" s="16">
        <f>(E26+D26)/C26</f>
        <v>0.260920482492095</v>
      </c>
      <c r="R26" s="16">
        <f>AVERAGE(Q23:Q26)</f>
        <v>0.272738730251563</v>
      </c>
      <c r="S26" s="35">
        <f>S27</f>
        <v>0.272738730251563</v>
      </c>
      <c r="T26" s="25">
        <f>SUM(J23:K26)/4</f>
        <v>678.975</v>
      </c>
      <c r="U26" s="15">
        <v>663.374774751588</v>
      </c>
      <c r="V26" s="15">
        <f>-(L26+M26)+V25</f>
        <v>-1397.9</v>
      </c>
      <c r="W26" s="15">
        <f>W27</f>
        <v>670.021514241477</v>
      </c>
      <c r="X26" s="15">
        <f>F26-G26</f>
        <v>-12225</v>
      </c>
      <c r="Y26" s="15">
        <v>-9890.500900993649</v>
      </c>
      <c r="Z26" s="15">
        <v>950</v>
      </c>
      <c r="AA26" s="15">
        <v>1719.249797373020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2756.4122553</v>
      </c>
      <c r="P27" s="17"/>
      <c r="Q27" s="17"/>
      <c r="R27" s="17"/>
      <c r="S27" s="35">
        <f>AE53</f>
        <v>0.272738730251563</v>
      </c>
      <c r="T27" s="25"/>
      <c r="U27" s="15">
        <f>SUM(AE55:AH55)/4</f>
        <v>516.980378560369</v>
      </c>
      <c r="V27" s="17"/>
      <c r="W27" s="15">
        <f>-SUM(AE76:AH76)+V26</f>
        <v>670.021514241477</v>
      </c>
      <c r="X27" s="26"/>
      <c r="Y27" s="15">
        <f>AH75</f>
        <v>-10157.0784857585</v>
      </c>
      <c r="Z27" s="15">
        <v>900</v>
      </c>
      <c r="AA27" s="15">
        <v>1719.249797373020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19193.3025</v>
      </c>
      <c r="O28" s="15">
        <f>SUM(O19:O26)</f>
        <v>17273.7458853542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1338.770994798560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201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0.00979619461821553</v>
      </c>
      <c r="AF49" s="35"/>
      <c r="AG49" s="35"/>
      <c r="AH49" s="35">
        <f>AVERAGE(AE51:AH51)</f>
        <v>0.03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0.172157966823923</v>
      </c>
      <c r="AF50" s="35">
        <f>P24</f>
        <v>-0.274822292187348</v>
      </c>
      <c r="AG50" s="35">
        <f>P25</f>
        <v>0.0880852206606392</v>
      </c>
      <c r="AH50" s="35">
        <f>P26</f>
        <v>0.0537638831756479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-0.07000000000000001</v>
      </c>
      <c r="AG51" s="35">
        <v>0.04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2561.7</v>
      </c>
      <c r="AE52" s="23">
        <f>C26*(1+AE51)</f>
        <v>2817.87</v>
      </c>
      <c r="AF52" s="23">
        <f>AE52*(1+AF51)</f>
        <v>2620.6191</v>
      </c>
      <c r="AG52" s="23">
        <f>AF52*(1+AG51)</f>
        <v>2725.443864</v>
      </c>
      <c r="AH52" s="23">
        <f>AG52*(1+AH51)</f>
        <v>2861.7160572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0.272738730251563</v>
      </c>
      <c r="AF53" s="35">
        <f>AE53</f>
        <v>0.272738730251563</v>
      </c>
      <c r="AG53" s="35">
        <f>AF53</f>
        <v>0.272738730251563</v>
      </c>
      <c r="AH53" s="35">
        <f>AG53</f>
        <v>0.272738730251563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-234.8</v>
      </c>
      <c r="AF54" s="15">
        <f>AE54</f>
        <v>-234.8</v>
      </c>
      <c r="AG54" s="15">
        <f>AF54</f>
        <v>-234.8</v>
      </c>
      <c r="AH54" s="15">
        <f>AG54</f>
        <v>-234.8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533.742285813972</v>
      </c>
      <c r="AF55" s="15">
        <f>(AF52*AF53)+AF54</f>
        <v>479.944325806994</v>
      </c>
      <c r="AG55" s="15">
        <f>(AG52*AG53)+AG54</f>
        <v>508.534098839274</v>
      </c>
      <c r="AH55" s="15">
        <f>(AH52*AH53)+AH54</f>
        <v>545.700803781237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-1031</v>
      </c>
      <c r="AF56" s="15">
        <f>-AE71/20</f>
        <v>-979.45</v>
      </c>
      <c r="AG56" s="15">
        <f>-AF71/20</f>
        <v>-930.4775</v>
      </c>
      <c r="AH56" s="15">
        <f>-AG71/20</f>
        <v>-883.953625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-497.257714186028</v>
      </c>
      <c r="AF59" s="15">
        <f>AF55+AF56+AF58</f>
        <v>-499.505674193006</v>
      </c>
      <c r="AG59" s="15">
        <f>AG55+AG56+AG58</f>
        <v>-421.943401160726</v>
      </c>
      <c r="AH59" s="15">
        <f>AH55+AH56+AH58</f>
        <v>-338.252821218763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497.257714186028</v>
      </c>
      <c r="AF60" s="15">
        <f>-MIN(AE72,AF59)</f>
        <v>499.505674193006</v>
      </c>
      <c r="AG60" s="15">
        <f>-MIN(AF72,AG59)</f>
        <v>421.943401160726</v>
      </c>
      <c r="AH60" s="15">
        <f>-MIN(AG72,AH59)</f>
        <v>338.252821218763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8395</v>
      </c>
      <c r="AF61" s="15">
        <f>AE63</f>
        <v>8395</v>
      </c>
      <c r="AG61" s="15">
        <f>AF63</f>
        <v>8395</v>
      </c>
      <c r="AH61" s="15">
        <f>AG63</f>
        <v>8395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8395</v>
      </c>
      <c r="AF63" s="15">
        <f>AF61+AF62</f>
        <v>8395</v>
      </c>
      <c r="AG63" s="15">
        <f>AG61+AG62</f>
        <v>8395</v>
      </c>
      <c r="AH63" s="15">
        <f>AH61+AH62</f>
        <v>8395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-85.2</v>
      </c>
      <c r="AF65" s="15">
        <f>AE65</f>
        <v>-85.2</v>
      </c>
      <c r="AG65" s="15">
        <f>AF65</f>
        <v>-85.2</v>
      </c>
      <c r="AH65" s="15">
        <f>AG65</f>
        <v>-85.2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683.342285813972</v>
      </c>
      <c r="AF66" s="15">
        <f>(AF52*AF53)+AF65</f>
        <v>629.544325806994</v>
      </c>
      <c r="AG66" s="15">
        <f>(AG52*AG53)+AG65</f>
        <v>658.134098839274</v>
      </c>
      <c r="AH66" s="15">
        <f>(AH52*AH53)+AH65</f>
        <v>695.3008037812371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33164.8</v>
      </c>
      <c r="AF68" s="15">
        <f>AE68-AF54</f>
        <v>33399.6</v>
      </c>
      <c r="AG68" s="15">
        <f>AF68-AG54</f>
        <v>33634.4</v>
      </c>
      <c r="AH68" s="15">
        <f>AG68-AH54</f>
        <v>33869.2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85.2</v>
      </c>
      <c r="AF69" s="15">
        <f>AE69-AF65</f>
        <v>170.4</v>
      </c>
      <c r="AG69" s="15">
        <f>AF69-AG65</f>
        <v>255.6</v>
      </c>
      <c r="AH69" s="15">
        <f>AG69-AH65</f>
        <v>340.8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33079.6</v>
      </c>
      <c r="AF70" s="15">
        <f>AF68-AF69</f>
        <v>33229.2</v>
      </c>
      <c r="AG70" s="15">
        <f>AG68-AG69</f>
        <v>33378.8</v>
      </c>
      <c r="AH70" s="15">
        <f>AH68-AH69</f>
        <v>33528.4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19589</v>
      </c>
      <c r="AF71" s="15">
        <f>AE71+AF56</f>
        <v>18609.55</v>
      </c>
      <c r="AG71" s="15">
        <f>AF71+AG56</f>
        <v>17679.0725</v>
      </c>
      <c r="AH71" s="15">
        <f>AG71+AH56</f>
        <v>16795.118875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497.257714186028</v>
      </c>
      <c r="AF72" s="15">
        <f>AE72+AF60</f>
        <v>996.763388379034</v>
      </c>
      <c r="AG72" s="15">
        <f>AF72+AG60</f>
        <v>1418.706789539760</v>
      </c>
      <c r="AH72" s="15">
        <f>AG72+AH60</f>
        <v>1756.959610758520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21388.342285814</v>
      </c>
      <c r="AF73" s="15">
        <f>AE73+AF66+AF58</f>
        <v>22017.886611621</v>
      </c>
      <c r="AG73" s="15">
        <f>AF73+AG66+AG58</f>
        <v>22676.0207104603</v>
      </c>
      <c r="AH73" s="15">
        <f>AG73+AH66+AH58</f>
        <v>23371.3215142415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2.8e-11</v>
      </c>
      <c r="AF74" s="15">
        <f>AF71+AF72+AF73-AF63-AF70</f>
        <v>3.4e-11</v>
      </c>
      <c r="AG74" s="15">
        <f>AG71+AG72+AG73-AG63-AG70</f>
        <v>6e-11</v>
      </c>
      <c r="AH74" s="15">
        <f>AH71+AH72+AH73-AH63-AH70</f>
        <v>2e-11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-11691.257714186</v>
      </c>
      <c r="AF75" s="15">
        <f>AF63-AF71-AF72</f>
        <v>-11211.313388379</v>
      </c>
      <c r="AG75" s="15">
        <f>AG63-AG71-AG72</f>
        <v>-10702.7792895398</v>
      </c>
      <c r="AH75" s="15">
        <f>AH63-AH71-AH72</f>
        <v>-10157.0784857585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-533.742285813972</v>
      </c>
      <c r="AF76" s="15">
        <f>AF56+AF58+AF60</f>
        <v>-479.944325806994</v>
      </c>
      <c r="AG76" s="15">
        <f>AG56+AG58+AG60</f>
        <v>-508.534098839274</v>
      </c>
      <c r="AH76" s="15">
        <f>AH56+AH58+AH60</f>
        <v>-545.700803781237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536</v>
      </c>
      <c r="AD78" s="14"/>
      <c r="AE78" s="15"/>
      <c r="AF78" s="15"/>
      <c r="AG78" s="15"/>
      <c r="AH78" s="15">
        <v>900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536</v>
      </c>
      <c r="AD79" s="14"/>
      <c r="AE79" s="15"/>
      <c r="AF79" s="15"/>
      <c r="AG79" s="15"/>
      <c r="AH79" s="15">
        <v>16682130432000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16682.130432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18.53570048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0.397919310742926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2715.9</v>
      </c>
      <c r="AH84" s="15">
        <f>SUM(AE55:AH55)</f>
        <v>2067.921514241480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16.2135747266493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8.06710037934832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24815.0581708978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1338.770994798560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0.487523327553956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-0.0253766549992391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-0.10001179393936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536</v>
      </c>
      <c r="AF93" t="s" s="44">
        <f>AE115</f>
        <v>15</v>
      </c>
      <c r="AG93" t="s" s="44">
        <f>AG115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900</v>
      </c>
      <c r="AG94" t="s" s="44">
        <v>61</v>
      </c>
      <c r="AH94" s="15">
        <f>AH88</f>
        <v>1338.770994798560</v>
      </c>
      <c r="AI94" t="s" s="44">
        <f>IF(AJ94&gt;0,"+","")</f>
        <v>361</v>
      </c>
      <c r="AJ94" s="16">
        <f>AH94/AF94-1</f>
        <v>0.487523327553956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-0.0253766549992391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(AG119+AG120+AI119+AI120+AK119+AK120+AM119+AM120)/AF136</f>
        <v>0.16280294720573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(AG133+AG134+AI133+AI134+AK133+AK134+AM133+AM134)/AF136</f>
        <v>0.0525772174948068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AP129/AF136</f>
        <v>-0.732820070543853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0.0537638831756479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0.211467551622419</v>
      </c>
      <c r="AF103" s="16">
        <f>P23</f>
        <v>0.172157966823923</v>
      </c>
      <c r="AG103" s="16">
        <f>P24</f>
        <v>-0.274822292187348</v>
      </c>
      <c r="AH103" s="16">
        <f>P25</f>
        <v>0.0880852206606392</v>
      </c>
      <c r="AI103" s="16">
        <f>P26</f>
        <v>0.0537638831756479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2628.4</v>
      </c>
      <c r="AF104" t="s" s="44">
        <v>72</v>
      </c>
      <c r="AG104" s="15">
        <f>C23</f>
        <v>3080.9</v>
      </c>
      <c r="AH104" t="s" s="44">
        <v>72</v>
      </c>
      <c r="AI104" s="15">
        <f>C24</f>
        <v>2234.2</v>
      </c>
      <c r="AJ104" t="s" s="44">
        <v>72</v>
      </c>
      <c r="AK104" s="15">
        <f>C25</f>
        <v>2431</v>
      </c>
      <c r="AL104" t="s" s="44">
        <v>72</v>
      </c>
      <c r="AM104" s="15">
        <f>C26</f>
        <v>2561.7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0.0537638831756479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2561.7</v>
      </c>
      <c r="AM105" t="s" s="48">
        <f>AN104</f>
        <v>22</v>
      </c>
      <c r="AN105" t="s" s="44">
        <v>77</v>
      </c>
      <c r="AO105" t="s" s="44">
        <f>IF(AP105&gt;0,"+","")</f>
      </c>
      <c r="AP105" s="16">
        <f>AH91</f>
        <v>-0.10001179393936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0.00979619461821553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</v>
      </c>
      <c r="AG107" t="s" s="44">
        <v>82</v>
      </c>
      <c r="AH107" t="s" s="44">
        <v>83</v>
      </c>
      <c r="AI107" s="23">
        <f>AH52</f>
        <v>2861.7160572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0.264914016131487</v>
      </c>
      <c r="AF110" s="16">
        <f>(D23+E23)/C23</f>
        <v>0.29056444545425</v>
      </c>
      <c r="AG110" s="16">
        <f>((E24+D24)/C24)</f>
        <v>0.249753826873154</v>
      </c>
      <c r="AH110" s="16">
        <f>(D25+E25)/C25</f>
        <v>0.289716166186754</v>
      </c>
      <c r="AI110" s="16">
        <f>(D26+E26)/C26</f>
        <v>0.260920482492095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618.4</v>
      </c>
      <c r="AF111" t="s" s="44">
        <v>72</v>
      </c>
      <c r="AG111" s="15">
        <f>E23</f>
        <v>819.3</v>
      </c>
      <c r="AH111" t="s" s="44">
        <v>72</v>
      </c>
      <c r="AI111" s="15">
        <f>E24</f>
        <v>473.2</v>
      </c>
      <c r="AJ111" t="s" s="44">
        <v>72</v>
      </c>
      <c r="AK111" s="15">
        <f>E25</f>
        <v>618.8</v>
      </c>
      <c r="AL111" t="s" s="44">
        <v>72</v>
      </c>
      <c r="AM111" s="15">
        <f>E26</f>
        <v>583.1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0.289716166186754</v>
      </c>
      <c r="AG112" t="s" s="44">
        <v>76</v>
      </c>
      <c r="AH112" s="16">
        <f>AI110</f>
        <v>0.260920482492095</v>
      </c>
      <c r="AI112" t="s" s="44">
        <v>90</v>
      </c>
      <c r="AJ112" s="15">
        <f>AK111</f>
        <v>618.8</v>
      </c>
      <c r="AK112" t="s" s="44">
        <v>76</v>
      </c>
      <c r="AL112" s="15">
        <f>AM111</f>
        <v>583.1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0.272738730251563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0.272738730251563</v>
      </c>
      <c r="AG114" t="s" s="44">
        <v>94</v>
      </c>
      <c r="AH114" s="15">
        <f>AH66</f>
        <v>695.3008037812371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IF(AF117&gt;AE117,"more","less")</f>
        <v>58</v>
      </c>
      <c r="AG115" t="s" s="44">
        <f>IF(AH121&lt;0,"negative","positive")</f>
        <v>59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ABS(AF121)</f>
        <v>575.7</v>
      </c>
      <c r="AG116" s="15">
        <f>ABS(AH121)</f>
        <v>415.9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8.35" customHeight="1" hidden="1">
      <c r="AC117" s="36"/>
      <c r="AD117" s="34"/>
      <c r="AE117" s="15">
        <f>ABS(AF121)</f>
        <v>575.7</v>
      </c>
      <c r="AF117" s="15">
        <f>ABS(AH121)</f>
        <v>415.9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AE109</f>
        <v>70</v>
      </c>
      <c r="AF118" t="s" s="44">
        <v>96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J22</f>
        <v>503.1</v>
      </c>
      <c r="AF119" t="s" s="44">
        <v>72</v>
      </c>
      <c r="AG119" s="15">
        <f>J23</f>
        <v>1150</v>
      </c>
      <c r="AH119" t="s" s="44">
        <v>72</v>
      </c>
      <c r="AI119" s="15">
        <f>J24</f>
        <v>1334.8</v>
      </c>
      <c r="AJ119" t="s" s="44">
        <v>72</v>
      </c>
      <c r="AK119" s="15">
        <f>J25</f>
        <v>702.8</v>
      </c>
      <c r="AL119" t="s" s="44">
        <v>72</v>
      </c>
      <c r="AM119" s="15">
        <f>J26</f>
        <v>650.7</v>
      </c>
      <c r="AN119" t="s" s="48">
        <f>AN104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32.05" customHeight="1">
      <c r="AC120" s="36"/>
      <c r="AD120" s="34"/>
      <c r="AE120" s="15">
        <f>K22</f>
        <v>-130.9</v>
      </c>
      <c r="AF120" t="s" s="44">
        <v>72</v>
      </c>
      <c r="AG120" s="15">
        <f>K23</f>
        <v>-545.4</v>
      </c>
      <c r="AH120" t="s" s="44">
        <v>72</v>
      </c>
      <c r="AI120" s="15">
        <f>K24</f>
        <v>-215.1</v>
      </c>
      <c r="AJ120" t="s" s="44">
        <v>72</v>
      </c>
      <c r="AK120" s="15">
        <f>K25</f>
        <v>-127.1</v>
      </c>
      <c r="AL120" t="s" s="44">
        <v>72</v>
      </c>
      <c r="AM120" s="15">
        <f>K26</f>
        <v>-234.8</v>
      </c>
      <c r="AN120" t="s" s="48">
        <f>AN119</f>
        <v>22</v>
      </c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15">
        <f>AK119+AK120</f>
        <v>575.7</v>
      </c>
      <c r="AG121" t="s" s="44">
        <v>76</v>
      </c>
      <c r="AH121" s="15">
        <f>AM119+AM120</f>
        <v>415.9</v>
      </c>
      <c r="AI121" t="s" s="48">
        <f>AI114</f>
        <v>22</v>
      </c>
      <c r="AJ121" t="s" s="44">
        <v>84</v>
      </c>
      <c r="AK121" t="s" s="44">
        <f>AK114</f>
        <v>74</v>
      </c>
      <c r="AL121" t="s" s="44">
        <v>98</v>
      </c>
      <c r="AM121" s="15">
        <f>AM120</f>
        <v>-234.8</v>
      </c>
      <c r="AN121" t="s" s="48">
        <f>AN104</f>
        <v>22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15">
        <f>(AG119+AG120+AI119+AI120+AK119+AK120+AM119+AM120)/4</f>
        <v>678.975</v>
      </c>
      <c r="AG122" t="s" s="48">
        <f>AN104</f>
        <v>22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15">
        <f>AE54</f>
        <v>-234.8</v>
      </c>
      <c r="AG123" t="s" s="48">
        <f>AG122</f>
        <v>22</v>
      </c>
      <c r="AH123" t="s" s="44">
        <v>102</v>
      </c>
      <c r="AI123" t="s" s="44">
        <v>103</v>
      </c>
      <c r="AJ123" t="s" s="44">
        <f>IF(AI107&gt;AL105,"higher","lower")</f>
        <v>363</v>
      </c>
      <c r="AK123" t="s" s="44">
        <v>105</v>
      </c>
      <c r="AL123" s="15">
        <f>SUM(AE55:AH55)/4</f>
        <v>516.980378560369</v>
      </c>
      <c r="AM123" t="s" s="48">
        <f>AG123</f>
        <v>22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108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AE102</f>
        <v>70</v>
      </c>
      <c r="AF125" t="s" s="44">
        <v>109</v>
      </c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F22</f>
        <v>6530</v>
      </c>
      <c r="AF126" t="s" s="44">
        <v>72</v>
      </c>
      <c r="AG126" s="15">
        <f>F23</f>
        <v>7162</v>
      </c>
      <c r="AH126" t="s" s="44">
        <v>72</v>
      </c>
      <c r="AI126" s="15">
        <f>F24</f>
        <v>7404</v>
      </c>
      <c r="AJ126" t="s" s="44">
        <v>72</v>
      </c>
      <c r="AK126" s="15">
        <f>F25</f>
        <v>7973</v>
      </c>
      <c r="AL126" t="s" s="44">
        <v>72</v>
      </c>
      <c r="AM126" s="15">
        <f>F26</f>
        <v>8395</v>
      </c>
      <c r="AN126" t="s" s="48">
        <f>AN104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s="15">
        <f>G22</f>
        <v>21475</v>
      </c>
      <c r="AF127" t="s" s="44">
        <v>72</v>
      </c>
      <c r="AG127" s="15">
        <f>G23</f>
        <v>21274</v>
      </c>
      <c r="AH127" t="s" s="44">
        <v>72</v>
      </c>
      <c r="AI127" s="15">
        <f>G24</f>
        <v>20976</v>
      </c>
      <c r="AJ127" t="s" s="44">
        <v>72</v>
      </c>
      <c r="AK127" s="15">
        <f>G25</f>
        <v>20517</v>
      </c>
      <c r="AL127" t="s" s="44">
        <v>72</v>
      </c>
      <c r="AM127" s="15">
        <f>G26</f>
        <v>20620</v>
      </c>
      <c r="AN127" t="s" s="48">
        <f>AN126</f>
        <v>22</v>
      </c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111</v>
      </c>
      <c r="AG128" s="15">
        <f>AK126</f>
        <v>7973</v>
      </c>
      <c r="AH128" t="s" s="44">
        <v>76</v>
      </c>
      <c r="AI128" s="15">
        <f>AM126</f>
        <v>8395</v>
      </c>
      <c r="AJ128" t="s" s="48">
        <f>AM123</f>
        <v>22</v>
      </c>
      <c r="AK128" t="s" s="44">
        <v>84</v>
      </c>
      <c r="AL128" t="s" s="44">
        <f>AI105</f>
        <v>74</v>
      </c>
      <c r="AM128" t="s" s="44">
        <f>AP112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15">
        <f>AK127</f>
        <v>20517</v>
      </c>
      <c r="AH129" t="s" s="44">
        <v>76</v>
      </c>
      <c r="AI129" s="15">
        <f>AM127</f>
        <v>20620</v>
      </c>
      <c r="AJ129" t="s" s="48">
        <f>AJ128</f>
        <v>22</v>
      </c>
      <c r="AK129" t="s" s="44">
        <v>113</v>
      </c>
      <c r="AL129" t="s" s="44">
        <v>114</v>
      </c>
      <c r="AM129" t="s" s="44">
        <f>IF(AP129&lt;AN129,"down","up")</f>
        <v>108</v>
      </c>
      <c r="AN129" s="15">
        <f>AG128-AG129</f>
        <v>-12544</v>
      </c>
      <c r="AO129" t="s" s="44">
        <v>76</v>
      </c>
      <c r="AP129" s="15">
        <f>AI128-AI129</f>
        <v>-12225</v>
      </c>
      <c r="AQ129" t="s" s="48">
        <f>AJ129</f>
        <v>22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15">
        <f>SUM(AE58:AH58)</f>
        <v>0</v>
      </c>
      <c r="AG130" t="s" s="48">
        <f>AJ129</f>
        <v>22</v>
      </c>
      <c r="AH130" t="s" s="44">
        <v>117</v>
      </c>
      <c r="AI130" t="s" s="44">
        <f>IF(AJ130&gt;0,"+","")</f>
      </c>
      <c r="AJ130" s="15">
        <f>AE56+AF56+AG56+AH56+AE60+AF60+AG60+AH60</f>
        <v>-2067.921514241480</v>
      </c>
      <c r="AK130" t="s" s="48">
        <f>AQ129</f>
        <v>22</v>
      </c>
      <c r="AL130" t="s" s="44">
        <v>118</v>
      </c>
      <c r="AM130" t="s" s="44">
        <v>119</v>
      </c>
      <c r="AN130" s="15">
        <f>AH75</f>
        <v>-10157.0784857585</v>
      </c>
      <c r="AO130" t="s" s="48">
        <f>AJ129</f>
        <v>22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121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68.05" customHeight="1">
      <c r="AC132" s="36"/>
      <c r="AD132" s="34"/>
      <c r="AE132" t="s" s="44">
        <f>AE102</f>
        <v>70</v>
      </c>
      <c r="AF132" t="s" s="44">
        <v>122</v>
      </c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-L22</f>
        <v>50.421</v>
      </c>
      <c r="AF133" t="s" s="44">
        <v>72</v>
      </c>
      <c r="AG133" s="15">
        <f>-L23</f>
        <v>-30.104</v>
      </c>
      <c r="AH133" t="s" s="44">
        <v>72</v>
      </c>
      <c r="AI133" s="15">
        <f>-L24</f>
        <v>872</v>
      </c>
      <c r="AJ133" t="s" s="44">
        <v>72</v>
      </c>
      <c r="AK133" s="15">
        <f>-L25</f>
        <v>-34.1</v>
      </c>
      <c r="AL133" t="s" s="44">
        <v>72</v>
      </c>
      <c r="AM133" s="15">
        <f>-L26</f>
        <v>-270.3</v>
      </c>
      <c r="AN133" t="s" s="48">
        <f>AN104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32.05" customHeight="1">
      <c r="AC134" s="36"/>
      <c r="AD134" s="34"/>
      <c r="AE134" s="15">
        <f>-M22</f>
        <v>174.096</v>
      </c>
      <c r="AF134" t="s" s="44">
        <v>72</v>
      </c>
      <c r="AG134" s="15">
        <f>-M23</f>
        <v>17.404</v>
      </c>
      <c r="AH134" t="s" s="44">
        <v>72</v>
      </c>
      <c r="AI134" s="15">
        <f>-M24</f>
        <v>6</v>
      </c>
      <c r="AJ134" t="s" s="44">
        <v>72</v>
      </c>
      <c r="AK134" s="15">
        <f>-M25</f>
        <v>47.4</v>
      </c>
      <c r="AL134" t="s" s="44">
        <v>72</v>
      </c>
      <c r="AM134" s="15">
        <f>-M26</f>
        <v>268.8</v>
      </c>
      <c r="AN134" t="s" s="48">
        <f>AN133</f>
        <v>22</v>
      </c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AE93</f>
        <v>536</v>
      </c>
      <c r="AF135" t="s" s="44">
        <f>IF(AG135&gt;0,"paid","(raised)")</f>
        <v>121</v>
      </c>
      <c r="AG135" s="15">
        <f>SUM(AM133:AM134)</f>
        <v>-1.5</v>
      </c>
      <c r="AH135" t="s" s="48">
        <f>AN104</f>
        <v>22</v>
      </c>
      <c r="AI135" t="s" s="44">
        <f>AH105</f>
        <v>73</v>
      </c>
      <c r="AJ135" t="s" s="44">
        <f>AI105</f>
        <v>74</v>
      </c>
      <c r="AK135" t="s" s="44">
        <f>AJ105</f>
        <v>75</v>
      </c>
      <c r="AL135" s="15">
        <f>AM133</f>
        <v>-270.3</v>
      </c>
      <c r="AM135" t="s" s="48">
        <f>AN104</f>
        <v>22</v>
      </c>
      <c r="AN135" t="s" s="44">
        <v>123</v>
      </c>
      <c r="AO135" s="15">
        <f>AM134</f>
        <v>268.8</v>
      </c>
      <c r="AP135" t="s" s="48">
        <f>AN104</f>
        <v>22</v>
      </c>
      <c r="AQ135" t="s" s="44">
        <v>124</v>
      </c>
      <c r="AR135" t="s" s="44">
        <v>125</v>
      </c>
      <c r="AS135" t="s" s="44">
        <f>IF(AT135&gt;0,"pay","raise")</f>
        <v>364</v>
      </c>
      <c r="AT135" s="15">
        <f>-SUM(AE76:AH76)</f>
        <v>2067.921514241480</v>
      </c>
      <c r="AU135" t="s" s="48">
        <f>AN104</f>
        <v>22</v>
      </c>
      <c r="AV135" t="s" s="44">
        <v>126</v>
      </c>
    </row>
    <row r="136" ht="56.05" customHeight="1">
      <c r="AC136" s="36"/>
      <c r="AD136" s="34"/>
      <c r="AE136" t="s" s="44">
        <v>127</v>
      </c>
      <c r="AF136" s="15">
        <f>AH80</f>
        <v>16682.130432</v>
      </c>
      <c r="AG136" t="s" s="48">
        <f>AN104</f>
        <v>22</v>
      </c>
      <c r="AH136" t="s" s="44">
        <v>128</v>
      </c>
      <c r="AI136" t="s" s="44">
        <v>129</v>
      </c>
      <c r="AJ136" s="43">
        <f>AH82</f>
        <v>0.397919310742926</v>
      </c>
      <c r="AK136" t="s" s="44">
        <v>130</v>
      </c>
      <c r="AL136" t="s" s="44">
        <v>131</v>
      </c>
      <c r="AM136" t="s" s="44">
        <v>132</v>
      </c>
      <c r="AN136" s="15">
        <f>AH85</f>
        <v>16.2135747266493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15">
        <f>AH84</f>
        <v>2067.921514241480</v>
      </c>
      <c r="AG137" t="s" s="48">
        <f>AG136</f>
        <v>22</v>
      </c>
      <c r="AH137" t="s" s="44">
        <v>136</v>
      </c>
      <c r="AI137" s="15">
        <f>AF136/AF137</f>
        <v>8.06710037934832</v>
      </c>
      <c r="AJ137" t="s" s="44">
        <v>130</v>
      </c>
      <c r="AK137" t="s" s="44">
        <v>137</v>
      </c>
      <c r="AL137" t="s" s="44">
        <v>138</v>
      </c>
      <c r="AM137" s="15">
        <f>AH86</f>
        <v>12</v>
      </c>
      <c r="AN137" t="s" s="44">
        <v>139</v>
      </c>
      <c r="AO137" t="s" s="44">
        <v>140</v>
      </c>
      <c r="AP137" t="s" s="44">
        <v>141</v>
      </c>
      <c r="AQ137" s="16">
        <f>AJ94</f>
        <v>0.487523327553956</v>
      </c>
      <c r="AR137" t="s" s="44">
        <f>IF(AQ137&gt;0,"higher","lower")</f>
        <v>363</v>
      </c>
      <c r="AS137" t="s" s="44">
        <v>142</v>
      </c>
      <c r="AT137" s="15">
        <f>AH94</f>
        <v>1338.770994798560</v>
      </c>
      <c r="AU137" t="s" s="44">
        <v>143</v>
      </c>
      <c r="AV137" s="17"/>
    </row>
    <row r="138" ht="20.05" customHeight="1">
      <c r="AC138" s="36"/>
      <c r="AD138" s="38"/>
      <c r="AE138" s="44"/>
      <c r="AF138" s="17"/>
      <c r="AG138" s="17"/>
      <c r="AH138" s="17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</row>
    <row r="139" ht="20.05" customHeight="1">
      <c r="AC139" s="36"/>
      <c r="AD139" s="34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28</v>
      </c>
      <c r="AD140" s="14">
        <f>AE104</f>
        <v>2628.4</v>
      </c>
      <c r="AE140" s="15">
        <f>AG104</f>
        <v>3080.9</v>
      </c>
      <c r="AF140" s="15">
        <f>AI104</f>
        <v>2234.2</v>
      </c>
      <c r="AG140" s="15">
        <f>AK104</f>
        <v>2431</v>
      </c>
      <c r="AH140" s="15">
        <f>AM104</f>
        <v>2561.7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144</v>
      </c>
      <c r="AD141" s="14">
        <f>SUM(AE119:AE120)</f>
        <v>372.2</v>
      </c>
      <c r="AE141" s="15">
        <f>SUM(AG119:AG120)</f>
        <v>604.6</v>
      </c>
      <c r="AF141" s="15">
        <f>SUM(AI119:AI120)</f>
        <v>1119.7</v>
      </c>
      <c r="AG141" s="15">
        <f>SUM(AK119:AK120)</f>
        <v>575.7</v>
      </c>
      <c r="AH141" s="15">
        <f>SUM(AM119:AM120)</f>
        <v>415.9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145</v>
      </c>
      <c r="AD142" s="14">
        <f>SUM(AE133:AE134)</f>
        <v>224.517</v>
      </c>
      <c r="AE142" s="15">
        <f>SUM(AG133:AG134)</f>
        <v>-12.7</v>
      </c>
      <c r="AF142" s="15">
        <f>SUM(AI133:AI134)</f>
        <v>878</v>
      </c>
      <c r="AG142" s="15">
        <f>SUM(AK133:AK134)</f>
        <v>13.3</v>
      </c>
      <c r="AH142" s="15">
        <f>SUM(AM133:AM134)</f>
        <v>-1.5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t="s" s="33">
        <v>146</v>
      </c>
      <c r="AD143" s="14">
        <f>(AE126-AE127)</f>
        <v>-14945</v>
      </c>
      <c r="AE143" s="15">
        <f>(AG126-AG127)</f>
        <v>-14112</v>
      </c>
      <c r="AF143" s="15">
        <f>(AI126-AI127)</f>
        <v>-13572</v>
      </c>
      <c r="AG143" s="15">
        <f>(AK126-AK127)</f>
        <v>-12544</v>
      </c>
      <c r="AH143" s="15">
        <f>(AM126-AM127)</f>
        <v>-12225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5">
        <f>AT137</f>
        <v>1338.770994798560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  <row r="151" ht="20.05" customHeight="1">
      <c r="AC151" s="36"/>
      <c r="AD151" s="34"/>
      <c r="AE151" s="17"/>
      <c r="AF151" s="17"/>
      <c r="AG151" s="17"/>
      <c r="AH151" s="17"/>
      <c r="AI151" s="15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2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64" customWidth="1"/>
    <col min="2" max="28" width="10.4844" style="164" customWidth="1"/>
    <col min="29" max="29" width="18.9766" style="165" customWidth="1"/>
    <col min="30" max="48" width="9" style="165" customWidth="1"/>
    <col min="49" max="16384" width="16.3516" style="165" customWidth="1"/>
  </cols>
  <sheetData>
    <row r="1" ht="11.65" customHeight="1"/>
    <row r="2" ht="27.65" customHeight="1">
      <c r="B2" t="s" s="2">
        <v>537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538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236.2</v>
      </c>
      <c r="D8" s="15">
        <v>10.1</v>
      </c>
      <c r="E8" s="15">
        <v>3.5</v>
      </c>
      <c r="F8" s="15">
        <v>47</v>
      </c>
      <c r="G8" s="15">
        <v>964</v>
      </c>
      <c r="H8" s="15">
        <v>1753</v>
      </c>
      <c r="I8" s="15">
        <v>152.7</v>
      </c>
      <c r="J8" s="15">
        <v>-111.5</v>
      </c>
      <c r="K8" s="15">
        <v>13</v>
      </c>
      <c r="L8" s="15">
        <v>-28.2</v>
      </c>
      <c r="M8" s="15">
        <v>0</v>
      </c>
      <c r="N8" s="15">
        <f>SUM(C5:C8)/4</f>
        <v>59.05</v>
      </c>
      <c r="O8" s="15"/>
      <c r="P8" s="16"/>
      <c r="Q8" s="16"/>
      <c r="R8" s="16"/>
      <c r="S8" s="17"/>
      <c r="T8" s="15"/>
      <c r="U8" s="25"/>
      <c r="V8" s="15">
        <f>-(L8+M8)+V7</f>
        <v>28.2</v>
      </c>
      <c r="W8" s="17"/>
      <c r="X8" s="15">
        <f>F8-G8</f>
        <v>-917</v>
      </c>
      <c r="Y8" s="24"/>
      <c r="Z8" s="18"/>
      <c r="AA8" s="22"/>
      <c r="AB8" s="20">
        <v>13.761</v>
      </c>
    </row>
    <row r="9" ht="20.05" customHeight="1">
      <c r="B9" s="13"/>
      <c r="C9" s="14">
        <v>205.3</v>
      </c>
      <c r="D9" s="15">
        <v>10.2</v>
      </c>
      <c r="E9" s="15">
        <v>1</v>
      </c>
      <c r="F9" s="15">
        <v>52</v>
      </c>
      <c r="G9" s="15">
        <v>944</v>
      </c>
      <c r="H9" s="15">
        <v>1735</v>
      </c>
      <c r="I9" s="15">
        <v>220.3</v>
      </c>
      <c r="J9" s="15">
        <v>-67</v>
      </c>
      <c r="K9" s="15">
        <v>10</v>
      </c>
      <c r="L9" s="15">
        <v>61.2</v>
      </c>
      <c r="M9" s="15">
        <v>0</v>
      </c>
      <c r="N9" s="15">
        <f>SUM(C6:C9)/4</f>
        <v>110.375</v>
      </c>
      <c r="O9" s="15"/>
      <c r="P9" s="16"/>
      <c r="Q9" s="16"/>
      <c r="R9" s="16"/>
      <c r="S9" s="17"/>
      <c r="T9" s="15"/>
      <c r="U9" s="25"/>
      <c r="V9" s="15">
        <f>-(L9+M9)+V8</f>
        <v>-33</v>
      </c>
      <c r="W9" s="17"/>
      <c r="X9" s="15">
        <f>F13-G9</f>
        <v>-833</v>
      </c>
      <c r="Y9" s="24"/>
      <c r="Z9" s="18"/>
      <c r="AA9" s="22"/>
      <c r="AB9" s="20">
        <v>14</v>
      </c>
    </row>
    <row r="10" ht="20.05" customHeight="1">
      <c r="B10" s="13"/>
      <c r="C10" s="14">
        <v>218.6</v>
      </c>
      <c r="D10" s="15">
        <v>9.699999999999999</v>
      </c>
      <c r="E10" s="15">
        <v>-82.3</v>
      </c>
      <c r="F10" s="15">
        <v>56</v>
      </c>
      <c r="G10" s="15">
        <v>932</v>
      </c>
      <c r="H10" s="15">
        <v>1640</v>
      </c>
      <c r="I10" s="15">
        <v>272.4</v>
      </c>
      <c r="J10" s="15">
        <v>-38.5</v>
      </c>
      <c r="K10" s="15">
        <v>-0.1</v>
      </c>
      <c r="L10" s="15">
        <v>42.6</v>
      </c>
      <c r="M10" s="15">
        <v>0</v>
      </c>
      <c r="N10" s="15">
        <f>SUM(C7:C10)/4</f>
        <v>165.025</v>
      </c>
      <c r="O10" s="15"/>
      <c r="P10" s="16"/>
      <c r="Q10" s="16"/>
      <c r="R10" s="16"/>
      <c r="S10" s="17"/>
      <c r="T10" s="15"/>
      <c r="U10" s="25"/>
      <c r="V10" s="15">
        <f>-(L10+M10)+V9</f>
        <v>-75.59999999999999</v>
      </c>
      <c r="W10" s="17"/>
      <c r="X10" s="15">
        <f>F10-G10</f>
        <v>-876</v>
      </c>
      <c r="Y10" s="24"/>
      <c r="Z10" s="18"/>
      <c r="AA10" s="22"/>
      <c r="AB10" s="20">
        <v>14.902</v>
      </c>
    </row>
    <row r="11" ht="20.05" customHeight="1">
      <c r="B11" s="13"/>
      <c r="C11" s="14">
        <v>363.9</v>
      </c>
      <c r="D11" s="15">
        <v>9.300000000000001</v>
      </c>
      <c r="E11" s="15">
        <v>-68.5</v>
      </c>
      <c r="F11" s="15">
        <v>157</v>
      </c>
      <c r="G11" s="15">
        <v>1063</v>
      </c>
      <c r="H11" s="15">
        <v>1728</v>
      </c>
      <c r="I11" s="15">
        <v>-645.4</v>
      </c>
      <c r="J11" s="15">
        <v>217</v>
      </c>
      <c r="K11" s="15">
        <v>-22.9</v>
      </c>
      <c r="L11" s="15">
        <v>-75.59999999999999</v>
      </c>
      <c r="M11" s="15">
        <v>0</v>
      </c>
      <c r="N11" s="15">
        <f>SUM(C8:C11)/4</f>
        <v>256</v>
      </c>
      <c r="O11" s="15"/>
      <c r="P11" s="16"/>
      <c r="Q11" s="16"/>
      <c r="R11" s="16"/>
      <c r="S11" s="17"/>
      <c r="T11" s="15"/>
      <c r="U11" s="25"/>
      <c r="V11" s="15">
        <f>-(L11+M11)+V10</f>
        <v>0</v>
      </c>
      <c r="W11" s="17"/>
      <c r="X11" s="15">
        <f>F11-G11</f>
        <v>-906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>
        <v>255.8</v>
      </c>
      <c r="D12" s="15">
        <v>8.800000000000001</v>
      </c>
      <c r="E12" s="15">
        <v>-13.2</v>
      </c>
      <c r="F12" s="15">
        <v>122</v>
      </c>
      <c r="G12" s="15">
        <v>1096</v>
      </c>
      <c r="H12" s="15">
        <v>1747</v>
      </c>
      <c r="I12" s="15">
        <v>168.4</v>
      </c>
      <c r="J12" s="15">
        <v>-195.8</v>
      </c>
      <c r="K12" s="15">
        <v>24.7</v>
      </c>
      <c r="L12" s="15">
        <v>134.6</v>
      </c>
      <c r="M12" s="15">
        <v>0</v>
      </c>
      <c r="N12" s="15">
        <f>SUM(C9:C12)/4</f>
        <v>260.9</v>
      </c>
      <c r="O12" s="23"/>
      <c r="P12" s="16"/>
      <c r="Q12" s="16">
        <f>(E12+D12)/C12</f>
        <v>-0.0172009382329945</v>
      </c>
      <c r="R12" s="16">
        <f>AVERAGE(Q9:Q12)</f>
        <v>-0.0172009382329945</v>
      </c>
      <c r="S12" s="17"/>
      <c r="T12" s="15">
        <f>SUM(J9:K12)/4</f>
        <v>-18.15</v>
      </c>
      <c r="U12" s="25"/>
      <c r="V12" s="15">
        <f>-(L12+M12)+V11</f>
        <v>-134.6</v>
      </c>
      <c r="W12" s="17"/>
      <c r="X12" s="15">
        <f>F12-G12</f>
        <v>-974</v>
      </c>
      <c r="Y12" s="24"/>
      <c r="Z12" s="18">
        <v>50</v>
      </c>
      <c r="AA12" s="22"/>
      <c r="AB12" s="20">
        <v>14.24</v>
      </c>
    </row>
    <row r="13" ht="20.05" customHeight="1">
      <c r="B13" s="13"/>
      <c r="C13" s="14">
        <v>199.9</v>
      </c>
      <c r="D13" s="15">
        <v>6.9</v>
      </c>
      <c r="E13" s="15">
        <v>-11.4</v>
      </c>
      <c r="F13" s="15">
        <v>111</v>
      </c>
      <c r="G13" s="15">
        <v>1031</v>
      </c>
      <c r="H13" s="15">
        <v>1671</v>
      </c>
      <c r="I13" s="15">
        <v>274.6</v>
      </c>
      <c r="J13" s="15">
        <v>20.8</v>
      </c>
      <c r="K13" s="15">
        <v>19.3</v>
      </c>
      <c r="L13" s="15">
        <v>-51.5</v>
      </c>
      <c r="M13" s="15">
        <v>0</v>
      </c>
      <c r="N13" s="15">
        <f>SUM(C10:C13)/4</f>
        <v>259.55</v>
      </c>
      <c r="O13" s="23"/>
      <c r="P13" s="16">
        <f>C13/C12-1</f>
        <v>-0.218530101641908</v>
      </c>
      <c r="Q13" s="16">
        <f>(E13+D13)/C13</f>
        <v>-0.0225112556278139</v>
      </c>
      <c r="R13" s="16">
        <f>AVERAGE(Q10:Q13)</f>
        <v>-0.0198560969304042</v>
      </c>
      <c r="S13" s="17"/>
      <c r="T13" s="15">
        <f>SUM(J10:K13)/4</f>
        <v>6.125</v>
      </c>
      <c r="U13" s="25"/>
      <c r="V13" s="15">
        <f>-(L13+M13)+V12</f>
        <v>-83.09999999999999</v>
      </c>
      <c r="W13" s="17"/>
      <c r="X13" s="15">
        <f>F13-G13</f>
        <v>-920</v>
      </c>
      <c r="Y13" s="24"/>
      <c r="Z13" s="18">
        <v>50</v>
      </c>
      <c r="AA13" s="24"/>
      <c r="AB13" s="15">
        <v>14.127</v>
      </c>
    </row>
    <row r="14" ht="20.05" customHeight="1">
      <c r="B14" s="13"/>
      <c r="C14" s="14">
        <v>293.5</v>
      </c>
      <c r="D14" s="15">
        <v>7.9</v>
      </c>
      <c r="E14" s="15">
        <v>14.4</v>
      </c>
      <c r="F14" s="15">
        <v>145</v>
      </c>
      <c r="G14" s="15">
        <v>971</v>
      </c>
      <c r="H14" s="15">
        <v>1625</v>
      </c>
      <c r="I14" s="15">
        <v>334.1</v>
      </c>
      <c r="J14" s="15">
        <v>77.3</v>
      </c>
      <c r="K14" s="15">
        <v>16.4</v>
      </c>
      <c r="L14" s="15">
        <v>-58</v>
      </c>
      <c r="M14" s="15">
        <v>0</v>
      </c>
      <c r="N14" s="15">
        <f>SUM(C11:C14)/4</f>
        <v>278.275</v>
      </c>
      <c r="O14" s="23"/>
      <c r="P14" s="16">
        <f>C14/C13-1</f>
        <v>0.468234117058529</v>
      </c>
      <c r="Q14" s="16">
        <f>(E14+D14)/C14</f>
        <v>0.0759795570698467</v>
      </c>
      <c r="R14" s="16">
        <f>AVERAGE(Q11:Q14)</f>
        <v>0.0120891210696794</v>
      </c>
      <c r="S14" s="17"/>
      <c r="T14" s="15">
        <f>SUM(J11:K14)/4</f>
        <v>39.2</v>
      </c>
      <c r="U14" s="25"/>
      <c r="V14" s="15">
        <f>-(L14+M14)+V13</f>
        <v>-25.1</v>
      </c>
      <c r="W14" s="17"/>
      <c r="X14" s="15">
        <f>F14-G14</f>
        <v>-826</v>
      </c>
      <c r="Y14" s="24"/>
      <c r="Z14" s="18">
        <v>50</v>
      </c>
      <c r="AA14" s="24"/>
      <c r="AB14" s="15">
        <v>14.195</v>
      </c>
    </row>
    <row r="15" ht="20.05" customHeight="1">
      <c r="B15" s="13"/>
      <c r="C15" s="14">
        <v>172.5</v>
      </c>
      <c r="D15" s="15">
        <v>7.2</v>
      </c>
      <c r="E15" s="15">
        <v>11.4</v>
      </c>
      <c r="F15" s="15">
        <v>129</v>
      </c>
      <c r="G15" s="15">
        <v>665</v>
      </c>
      <c r="H15" s="15">
        <v>1336</v>
      </c>
      <c r="I15" s="15">
        <v>-777.1</v>
      </c>
      <c r="J15" s="15">
        <v>97.7</v>
      </c>
      <c r="K15" s="15">
        <v>-60.4</v>
      </c>
      <c r="L15" s="15">
        <v>-25.1</v>
      </c>
      <c r="M15" s="15">
        <v>0</v>
      </c>
      <c r="N15" s="15">
        <f>SUM(C12:C15)/4</f>
        <v>230.425</v>
      </c>
      <c r="O15" s="15"/>
      <c r="P15" s="16">
        <f>C15/C14-1</f>
        <v>-0.412265758091993</v>
      </c>
      <c r="Q15" s="16">
        <f>(E15+D15)/C15</f>
        <v>0.107826086956522</v>
      </c>
      <c r="R15" s="16">
        <f>AVERAGE(Q12:Q15)</f>
        <v>0.0360233625413901</v>
      </c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-536</v>
      </c>
      <c r="Y15" s="24"/>
      <c r="Z15" s="18">
        <v>50</v>
      </c>
      <c r="AA15" s="24"/>
      <c r="AB15" s="15">
        <v>13.882</v>
      </c>
    </row>
    <row r="16" ht="20.05" customHeight="1">
      <c r="B16" s="21">
        <v>2020</v>
      </c>
      <c r="C16" s="14">
        <v>127.9</v>
      </c>
      <c r="D16" s="15">
        <v>7.2</v>
      </c>
      <c r="E16" s="15">
        <v>-9</v>
      </c>
      <c r="F16" s="15">
        <v>102</v>
      </c>
      <c r="G16" s="15">
        <v>625</v>
      </c>
      <c r="H16" s="15">
        <v>1287</v>
      </c>
      <c r="I16" s="15">
        <v>138.6</v>
      </c>
      <c r="J16" s="15">
        <v>-28.1</v>
      </c>
      <c r="K16" s="15">
        <v>0.8</v>
      </c>
      <c r="L16" s="15">
        <v>-0.9</v>
      </c>
      <c r="M16" s="15">
        <v>0</v>
      </c>
      <c r="N16" s="15">
        <f>SUM(C13:C16)/4</f>
        <v>198.45</v>
      </c>
      <c r="O16" s="15"/>
      <c r="P16" s="16">
        <f>C16/C15-1</f>
        <v>-0.258550724637681</v>
      </c>
      <c r="Q16" s="16">
        <f>(E16+D16)/C16</f>
        <v>-0.0140734949179046</v>
      </c>
      <c r="R16" s="16">
        <f>AVERAGE(Q13:Q16)</f>
        <v>0.0368052233701626</v>
      </c>
      <c r="S16" s="17"/>
      <c r="T16" s="15">
        <f>SUM(J13:K16)/4</f>
        <v>35.95</v>
      </c>
      <c r="U16" s="25"/>
      <c r="V16" s="15">
        <f>-(L16+M16)+V15</f>
        <v>0.9</v>
      </c>
      <c r="W16" s="17"/>
      <c r="X16" s="15">
        <f>F16-G16</f>
        <v>-523</v>
      </c>
      <c r="Y16" s="24"/>
      <c r="Z16" s="18">
        <v>50</v>
      </c>
      <c r="AA16" s="24"/>
      <c r="AB16" s="15">
        <v>16.31</v>
      </c>
    </row>
    <row r="17" ht="20.05" customHeight="1">
      <c r="B17" s="13"/>
      <c r="C17" s="14">
        <v>88.40000000000001</v>
      </c>
      <c r="D17" s="15">
        <v>6.5</v>
      </c>
      <c r="E17" s="15">
        <v>-7.7</v>
      </c>
      <c r="F17" s="15">
        <v>88</v>
      </c>
      <c r="G17" s="15">
        <v>556</v>
      </c>
      <c r="H17" s="15">
        <v>1210</v>
      </c>
      <c r="I17" s="15">
        <v>99.8</v>
      </c>
      <c r="J17" s="15">
        <v>-2.3</v>
      </c>
      <c r="K17" s="15">
        <v>40.6</v>
      </c>
      <c r="L17" s="15">
        <v>-51</v>
      </c>
      <c r="M17" s="15">
        <v>0</v>
      </c>
      <c r="N17" s="15">
        <f>SUM(C14:C17)/4</f>
        <v>170.575</v>
      </c>
      <c r="O17" s="15"/>
      <c r="P17" s="16">
        <f>C17/C16-1</f>
        <v>-0.308835027365129</v>
      </c>
      <c r="Q17" s="16">
        <f>(E17+D17)/C17</f>
        <v>-0.0135746606334842</v>
      </c>
      <c r="R17" s="16">
        <f>AVERAGE(Q14:Q17)</f>
        <v>0.039039372118745</v>
      </c>
      <c r="S17" s="17"/>
      <c r="T17" s="25">
        <f>SUM(J14:K17)/4</f>
        <v>35.5</v>
      </c>
      <c r="U17" s="25"/>
      <c r="V17" s="15">
        <f>-(L17+M17)+V16</f>
        <v>51.9</v>
      </c>
      <c r="W17" s="17"/>
      <c r="X17" s="15">
        <f>F17-G17</f>
        <v>-468</v>
      </c>
      <c r="Y17" s="24"/>
      <c r="Z17" s="18">
        <v>50</v>
      </c>
      <c r="AA17" s="24"/>
      <c r="AB17" s="15">
        <v>14.255</v>
      </c>
    </row>
    <row r="18" ht="20.05" customHeight="1">
      <c r="B18" s="13"/>
      <c r="C18" s="14">
        <v>103.5</v>
      </c>
      <c r="D18" s="15">
        <v>5.6</v>
      </c>
      <c r="E18" s="15">
        <v>-10.5</v>
      </c>
      <c r="F18" s="15">
        <v>67</v>
      </c>
      <c r="G18" s="15">
        <v>473</v>
      </c>
      <c r="H18" s="15">
        <v>1116</v>
      </c>
      <c r="I18" s="15">
        <v>69.09999999999999</v>
      </c>
      <c r="J18" s="15">
        <v>-31.2</v>
      </c>
      <c r="K18" s="15">
        <v>35.7</v>
      </c>
      <c r="L18" s="15">
        <v>-25.6</v>
      </c>
      <c r="M18" s="15">
        <v>0</v>
      </c>
      <c r="N18" s="15">
        <f>SUM(C15:C18)/4</f>
        <v>123.075</v>
      </c>
      <c r="O18" s="15"/>
      <c r="P18" s="16">
        <f>C18/C17-1</f>
        <v>0.170814479638009</v>
      </c>
      <c r="Q18" s="16">
        <f>(E18+D18)/C18</f>
        <v>-0.0473429951690821</v>
      </c>
      <c r="R18" s="16">
        <f>AVERAGE(Q15:Q18)</f>
        <v>0.00820873405901278</v>
      </c>
      <c r="S18" s="17"/>
      <c r="T18" s="25">
        <f>SUM(J15:K18)/4</f>
        <v>13.2</v>
      </c>
      <c r="U18" s="25"/>
      <c r="V18" s="15">
        <f>-(L18+M18)+V17</f>
        <v>77.5</v>
      </c>
      <c r="W18" s="17"/>
      <c r="X18" s="15">
        <f>F18-G18</f>
        <v>-406</v>
      </c>
      <c r="Y18" s="24"/>
      <c r="Z18" s="18">
        <v>50</v>
      </c>
      <c r="AA18" s="24"/>
      <c r="AB18" s="15">
        <v>14.79</v>
      </c>
    </row>
    <row r="19" ht="20.05" customHeight="1">
      <c r="B19" s="13"/>
      <c r="C19" s="14">
        <v>159.1</v>
      </c>
      <c r="D19" s="15">
        <v>3.7</v>
      </c>
      <c r="E19" s="15">
        <v>12.2</v>
      </c>
      <c r="F19" s="15">
        <v>97</v>
      </c>
      <c r="G19" s="15">
        <v>461</v>
      </c>
      <c r="H19" s="15">
        <v>1107</v>
      </c>
      <c r="I19" s="15">
        <v>-307.5</v>
      </c>
      <c r="J19" s="15">
        <v>61.6</v>
      </c>
      <c r="K19" s="15">
        <v>-77.09999999999999</v>
      </c>
      <c r="L19" s="15">
        <v>77.5</v>
      </c>
      <c r="M19" s="15">
        <v>0</v>
      </c>
      <c r="N19" s="15">
        <f>SUM(C16:C19)/4</f>
        <v>119.725</v>
      </c>
      <c r="O19" s="15"/>
      <c r="P19" s="16">
        <f>C19/C18-1</f>
        <v>0.5371980676328501</v>
      </c>
      <c r="Q19" s="16">
        <f>(E19+D19)/C19</f>
        <v>0.0999371464487744</v>
      </c>
      <c r="R19" s="16">
        <f>AVERAGE(Q16:Q19)</f>
        <v>0.00623649893207588</v>
      </c>
      <c r="S19" s="17"/>
      <c r="T19" s="25">
        <f>SUM(J16:K19)/4</f>
        <v>0</v>
      </c>
      <c r="U19" s="25"/>
      <c r="V19" s="15">
        <f>-(L19+M19)+V18</f>
        <v>0</v>
      </c>
      <c r="W19" s="17"/>
      <c r="X19" s="15">
        <f>F19-G19</f>
        <v>-364</v>
      </c>
      <c r="Y19" s="24"/>
      <c r="Z19" s="18">
        <v>50</v>
      </c>
      <c r="AA19" s="24"/>
      <c r="AB19" s="15">
        <v>14.1</v>
      </c>
    </row>
    <row r="20" ht="20.05" customHeight="1">
      <c r="B20" s="21">
        <v>2021</v>
      </c>
      <c r="C20" s="14">
        <v>82.5</v>
      </c>
      <c r="D20" s="15">
        <v>3.1</v>
      </c>
      <c r="E20" s="15">
        <v>1.2</v>
      </c>
      <c r="F20" s="15">
        <v>47</v>
      </c>
      <c r="G20" s="15">
        <v>419</v>
      </c>
      <c r="H20" s="15">
        <v>1066</v>
      </c>
      <c r="I20" s="15">
        <v>90.09999999999999</v>
      </c>
      <c r="J20" s="15">
        <v>-27.9</v>
      </c>
      <c r="K20" s="15">
        <v>4.8</v>
      </c>
      <c r="L20" s="15">
        <v>-27.5</v>
      </c>
      <c r="M20" s="15">
        <v>0</v>
      </c>
      <c r="N20" s="15">
        <f>SUM(C17:C20)/4</f>
        <v>108.375</v>
      </c>
      <c r="O20" s="15"/>
      <c r="P20" s="16">
        <f>C20/C19-1</f>
        <v>-0.481458202388435</v>
      </c>
      <c r="Q20" s="16">
        <f>(E20+D20)/C20</f>
        <v>0.0521212121212121</v>
      </c>
      <c r="R20" s="16">
        <f>AVERAGE(Q17:Q20)</f>
        <v>0.0227851756918551</v>
      </c>
      <c r="S20" s="17"/>
      <c r="T20" s="25">
        <f>SUM(J17:K20)/4</f>
        <v>1.05</v>
      </c>
      <c r="U20" s="25"/>
      <c r="V20" s="15">
        <f>-(L20+M20)+V19</f>
        <v>27.5</v>
      </c>
      <c r="W20" s="17"/>
      <c r="X20" s="15">
        <f>F20-G20</f>
        <v>-372</v>
      </c>
      <c r="Y20" s="15"/>
      <c r="Z20" s="18">
        <v>57</v>
      </c>
      <c r="AA20" s="15"/>
      <c r="AB20" s="15">
        <v>14.606</v>
      </c>
    </row>
    <row r="21" ht="20.05" customHeight="1">
      <c r="B21" s="13"/>
      <c r="C21" s="14">
        <v>80.5</v>
      </c>
      <c r="D21" s="15">
        <v>2.5</v>
      </c>
      <c r="E21" s="15">
        <v>-1</v>
      </c>
      <c r="F21" s="15">
        <v>174</v>
      </c>
      <c r="G21" s="15">
        <v>406</v>
      </c>
      <c r="H21" s="15">
        <v>1053</v>
      </c>
      <c r="I21" s="15">
        <v>127.7</v>
      </c>
      <c r="J21" s="15">
        <v>1.6</v>
      </c>
      <c r="K21" s="15">
        <v>109.1</v>
      </c>
      <c r="L21" s="15">
        <v>16.4</v>
      </c>
      <c r="M21" s="15">
        <v>0</v>
      </c>
      <c r="N21" s="15">
        <f>SUM(C18:C21)/4</f>
        <v>106.4</v>
      </c>
      <c r="O21" s="15"/>
      <c r="P21" s="16">
        <f>C21/C20-1</f>
        <v>-0.0242424242424242</v>
      </c>
      <c r="Q21" s="16">
        <f>(E21+D21)/C21</f>
        <v>0.0186335403726708</v>
      </c>
      <c r="R21" s="16">
        <f>AVERAGE(Q18:Q21)</f>
        <v>0.0308372259433938</v>
      </c>
      <c r="S21" s="17"/>
      <c r="T21" s="25">
        <f>SUM(J18:K21)/4</f>
        <v>19.15</v>
      </c>
      <c r="U21" s="25"/>
      <c r="V21" s="15">
        <f>-(L21+M21)+V20</f>
        <v>11.1</v>
      </c>
      <c r="W21" s="17"/>
      <c r="X21" s="15">
        <f>F21-G21</f>
        <v>-232</v>
      </c>
      <c r="Y21" s="15"/>
      <c r="Z21" s="18">
        <v>68</v>
      </c>
      <c r="AA21" s="15"/>
      <c r="AB21" s="15">
        <v>14.45</v>
      </c>
    </row>
    <row r="22" ht="20.05" customHeight="1">
      <c r="B22" s="13"/>
      <c r="C22" s="14">
        <v>69.8</v>
      </c>
      <c r="D22" s="15">
        <v>2.4</v>
      </c>
      <c r="E22" s="15">
        <v>1.3</v>
      </c>
      <c r="F22" s="15">
        <v>105</v>
      </c>
      <c r="G22" s="15">
        <v>34</v>
      </c>
      <c r="H22" s="15">
        <v>997</v>
      </c>
      <c r="I22" s="15">
        <v>67.7</v>
      </c>
      <c r="J22" s="15">
        <v>-51</v>
      </c>
      <c r="K22" s="15">
        <v>4.9</v>
      </c>
      <c r="L22" s="15">
        <v>-22.4</v>
      </c>
      <c r="M22" s="15">
        <v>0</v>
      </c>
      <c r="N22" s="15">
        <f>SUM(C19:C22)/4</f>
        <v>97.97499999999999</v>
      </c>
      <c r="O22" s="15"/>
      <c r="P22" s="16">
        <f>C22/C21-1</f>
        <v>-0.132919254658385</v>
      </c>
      <c r="Q22" s="16">
        <f>(E22+D22)/C22</f>
        <v>0.0530085959885387</v>
      </c>
      <c r="R22" s="16">
        <f>AVERAGE(Q19:Q22)</f>
        <v>0.055925123732799</v>
      </c>
      <c r="S22" s="17"/>
      <c r="T22" s="25">
        <f>SUM(J19:K22)/4</f>
        <v>6.5</v>
      </c>
      <c r="U22" s="25"/>
      <c r="V22" s="15">
        <f>-(L22+M22)+V21</f>
        <v>33.5</v>
      </c>
      <c r="W22" s="17"/>
      <c r="X22" s="15">
        <f>F22-G22</f>
        <v>71</v>
      </c>
      <c r="Y22" s="15"/>
      <c r="Z22" s="18">
        <v>128</v>
      </c>
      <c r="AA22" s="15"/>
      <c r="AB22" s="15">
        <v>14.328</v>
      </c>
    </row>
    <row r="23" ht="20.05" customHeight="1">
      <c r="B23" s="13"/>
      <c r="C23" s="14">
        <v>133.6</v>
      </c>
      <c r="D23" s="15">
        <v>2.8</v>
      </c>
      <c r="E23" s="15">
        <v>6.3</v>
      </c>
      <c r="F23" s="15">
        <v>116</v>
      </c>
      <c r="G23" s="15">
        <v>360</v>
      </c>
      <c r="H23" s="15">
        <v>1011</v>
      </c>
      <c r="I23" s="15">
        <v>-285.5</v>
      </c>
      <c r="J23" s="15">
        <v>77.3</v>
      </c>
      <c r="K23" s="15">
        <v>-118.8</v>
      </c>
      <c r="L23" s="15">
        <v>33.5</v>
      </c>
      <c r="M23" s="15">
        <v>0</v>
      </c>
      <c r="N23" s="15">
        <f>SUM(C20:C23)/4</f>
        <v>91.59999999999999</v>
      </c>
      <c r="O23" s="15"/>
      <c r="P23" s="16">
        <f>C23/C22-1</f>
        <v>0.914040114613181</v>
      </c>
      <c r="Q23" s="16">
        <f>(E23+D23)/C23</f>
        <v>0.0681137724550898</v>
      </c>
      <c r="R23" s="16">
        <f>AVERAGE(Q20:Q23)</f>
        <v>0.0479692802343779</v>
      </c>
      <c r="S23" s="17"/>
      <c r="T23" s="25">
        <f>SUM(J20:K23)/4</f>
        <v>0</v>
      </c>
      <c r="U23" s="25"/>
      <c r="V23" s="15">
        <f>-(L23+M23)+V22</f>
        <v>0</v>
      </c>
      <c r="W23" s="17"/>
      <c r="X23" s="15">
        <f>F23-G23</f>
        <v>-244</v>
      </c>
      <c r="Y23" s="15"/>
      <c r="Z23" s="15">
        <v>197</v>
      </c>
      <c r="AA23" s="15"/>
      <c r="AB23" s="15">
        <v>14.275</v>
      </c>
    </row>
    <row r="24" ht="20.05" customHeight="1">
      <c r="B24" s="21">
        <v>2022</v>
      </c>
      <c r="C24" s="14">
        <v>97.59999999999999</v>
      </c>
      <c r="D24" s="15">
        <v>2.6</v>
      </c>
      <c r="E24" s="15">
        <v>-6.9</v>
      </c>
      <c r="F24" s="15">
        <v>126</v>
      </c>
      <c r="G24" s="15">
        <v>325</v>
      </c>
      <c r="H24" s="15">
        <v>965</v>
      </c>
      <c r="I24" s="15">
        <v>144.9</v>
      </c>
      <c r="J24" s="15">
        <v>10.8</v>
      </c>
      <c r="K24" s="15">
        <v>6.9</v>
      </c>
      <c r="L24" s="15">
        <v>-2.4</v>
      </c>
      <c r="M24" s="15">
        <v>-5.4</v>
      </c>
      <c r="N24" s="15">
        <f>SUM(C21:C24)/4</f>
        <v>95.375</v>
      </c>
      <c r="O24" s="15"/>
      <c r="P24" s="16">
        <f>C24/C23-1</f>
        <v>-0.269461077844311</v>
      </c>
      <c r="Q24" s="16">
        <f>(E24+D24)/C24</f>
        <v>-0.0440573770491803</v>
      </c>
      <c r="R24" s="16">
        <f>AVERAGE(Q21:Q24)</f>
        <v>0.0239246329417798</v>
      </c>
      <c r="S24" s="35"/>
      <c r="T24" s="25">
        <f>SUM(J21:K24)/4</f>
        <v>10.2</v>
      </c>
      <c r="U24" s="15"/>
      <c r="V24" s="15">
        <f>-(L24+M24)+V23</f>
        <v>7.8</v>
      </c>
      <c r="W24" s="15"/>
      <c r="X24" s="15">
        <f>F24-G24</f>
        <v>-199</v>
      </c>
      <c r="Y24" s="15"/>
      <c r="Z24" s="15">
        <v>186</v>
      </c>
      <c r="AA24" s="15"/>
      <c r="AB24" s="15">
        <v>14.327</v>
      </c>
    </row>
    <row r="25" ht="20.05" customHeight="1">
      <c r="B25" s="13"/>
      <c r="C25" s="14">
        <v>83.5</v>
      </c>
      <c r="D25" s="15">
        <v>2.6</v>
      </c>
      <c r="E25" s="15">
        <v>-0.4</v>
      </c>
      <c r="F25" s="15">
        <v>51</v>
      </c>
      <c r="G25" s="15">
        <v>307</v>
      </c>
      <c r="H25" s="15">
        <v>917</v>
      </c>
      <c r="I25" s="15">
        <v>70.90000000000001</v>
      </c>
      <c r="J25" s="15">
        <v>-45.4</v>
      </c>
      <c r="K25" s="15">
        <v>-0.3</v>
      </c>
      <c r="L25" s="15">
        <v>-2.4</v>
      </c>
      <c r="M25" s="15">
        <v>-28.1</v>
      </c>
      <c r="N25" s="15">
        <f>SUM(C22:C25)/4</f>
        <v>96.125</v>
      </c>
      <c r="O25" s="15">
        <v>122.604183</v>
      </c>
      <c r="P25" s="16">
        <f>C25/C24-1</f>
        <v>-0.144467213114754</v>
      </c>
      <c r="Q25" s="16">
        <f>(E25+D25)/C25</f>
        <v>0.0263473053892216</v>
      </c>
      <c r="R25" s="16">
        <f>AVERAGE(Q22:Q25)</f>
        <v>0.0258530741959175</v>
      </c>
      <c r="S25" s="35"/>
      <c r="T25" s="25">
        <f>SUM(J22:K25)/4</f>
        <v>-28.9</v>
      </c>
      <c r="U25" s="15">
        <v>1.689779917560</v>
      </c>
      <c r="V25" s="15">
        <f>-(L25+M25)+V24</f>
        <v>38.3</v>
      </c>
      <c r="W25" s="15"/>
      <c r="X25" s="15">
        <f>F25-G25</f>
        <v>-256</v>
      </c>
      <c r="Y25" s="15">
        <v>-280.240880329760</v>
      </c>
      <c r="Z25" s="15">
        <v>111</v>
      </c>
      <c r="AA25" s="15"/>
      <c r="AB25" s="15">
        <v>14.66</v>
      </c>
    </row>
    <row r="26" ht="20.05" customHeight="1">
      <c r="B26" s="13"/>
      <c r="C26" s="14">
        <v>94.40000000000001</v>
      </c>
      <c r="D26" s="15">
        <v>2.6</v>
      </c>
      <c r="E26" s="15">
        <v>-2.4</v>
      </c>
      <c r="F26" s="15">
        <v>40</v>
      </c>
      <c r="G26" s="15">
        <v>327</v>
      </c>
      <c r="H26" s="15">
        <v>925</v>
      </c>
      <c r="I26" s="15">
        <v>87.09999999999999</v>
      </c>
      <c r="J26" s="15">
        <v>1.9</v>
      </c>
      <c r="K26" s="15">
        <v>-0.7</v>
      </c>
      <c r="L26" s="15">
        <v>-2.4</v>
      </c>
      <c r="M26" s="15">
        <v>-10.2</v>
      </c>
      <c r="N26" s="15">
        <f>SUM(C23:C26)/4</f>
        <v>102.275</v>
      </c>
      <c r="O26" s="15">
        <v>97.69499999999999</v>
      </c>
      <c r="P26" s="16">
        <f>C26/C25-1</f>
        <v>0.130538922155689</v>
      </c>
      <c r="Q26" s="16">
        <f>(E26+D26)/C26</f>
        <v>0.00211864406779661</v>
      </c>
      <c r="R26" s="16">
        <f>AVERAGE(Q23:Q26)</f>
        <v>0.0131305862157319</v>
      </c>
      <c r="S26" s="35">
        <f>S27</f>
        <v>0.0277193933969518</v>
      </c>
      <c r="T26" s="25">
        <f>SUM(J23:K26)/4</f>
        <v>-17.075</v>
      </c>
      <c r="U26" s="15">
        <v>2.50370271001808</v>
      </c>
      <c r="V26" s="15">
        <f>-(L26+M26)+V25</f>
        <v>50.9</v>
      </c>
      <c r="W26" s="15">
        <f>W27</f>
        <v>59.5515902215631</v>
      </c>
      <c r="X26" s="15">
        <f>F26-G26</f>
        <v>-287</v>
      </c>
      <c r="Y26" s="15">
        <v>-245.985189159928</v>
      </c>
      <c r="Z26" s="15">
        <v>115</v>
      </c>
      <c r="AA26" s="15">
        <v>93.7777827202685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103.28139272</v>
      </c>
      <c r="P27" s="17"/>
      <c r="Q27" s="17"/>
      <c r="R27" s="17"/>
      <c r="S27" s="35">
        <f>AE53</f>
        <v>0.0277193933969518</v>
      </c>
      <c r="T27" s="25"/>
      <c r="U27" s="15">
        <f>SUM(AE55:AH55)/4</f>
        <v>2.16289755539075</v>
      </c>
      <c r="V27" s="17"/>
      <c r="W27" s="15">
        <f>-SUM(AE76:AH76)+V26</f>
        <v>59.5515902215631</v>
      </c>
      <c r="X27" s="26"/>
      <c r="Y27" s="15">
        <f>AH75</f>
        <v>-278.348409778437</v>
      </c>
      <c r="Z27" s="15">
        <v>141</v>
      </c>
      <c r="AA27" s="15">
        <v>64.3614125495625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1111.5</v>
      </c>
      <c r="O28" s="15">
        <f>SUM(O17:O26)</f>
        <v>220.299183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90.6199960267852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538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0.157662686452451</v>
      </c>
      <c r="AF49" s="35"/>
      <c r="AG49" s="35"/>
      <c r="AH49" s="35">
        <f>AVERAGE(AE51:AH51)</f>
        <v>0.03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0.914040114613181</v>
      </c>
      <c r="AF50" s="35">
        <f>P24</f>
        <v>-0.269461077844311</v>
      </c>
      <c r="AG50" s="35">
        <f>P25</f>
        <v>-0.144467213114754</v>
      </c>
      <c r="AH50" s="35">
        <f>P26</f>
        <v>0.130538922155689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-0.03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94.40000000000001</v>
      </c>
      <c r="AE52" s="23">
        <f>C26*(1+AE51)</f>
        <v>103.84</v>
      </c>
      <c r="AF52" s="23">
        <f>AE52*(1+AF51)</f>
        <v>100.7248</v>
      </c>
      <c r="AG52" s="23">
        <f>AF52*(1+AG51)</f>
        <v>102.739296</v>
      </c>
      <c r="AH52" s="23">
        <f>AG52*(1+AH51)</f>
        <v>105.82147488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AVERAGE(R23:R26)</f>
        <v>0.0277193933969518</v>
      </c>
      <c r="AF53" s="35">
        <f>AE53</f>
        <v>0.0277193933969518</v>
      </c>
      <c r="AG53" s="35">
        <f>AF53</f>
        <v>0.0277193933969518</v>
      </c>
      <c r="AH53" s="35">
        <f>AG53</f>
        <v>0.0277193933969518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-0.7</v>
      </c>
      <c r="AF54" s="15">
        <f>AE54</f>
        <v>-0.7</v>
      </c>
      <c r="AG54" s="15">
        <f>AF54</f>
        <v>-0.7</v>
      </c>
      <c r="AH54" s="15">
        <f>AG54</f>
        <v>-0.7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2.17838181033947</v>
      </c>
      <c r="AF55" s="15">
        <f>(AF52*AF53)+AF54</f>
        <v>2.09203035602929</v>
      </c>
      <c r="AG55" s="15">
        <f>(AG52*AG53)+AG54</f>
        <v>2.14787096314988</v>
      </c>
      <c r="AH55" s="15">
        <f>(AH52*AH53)+AH54</f>
        <v>2.23330709204437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-16.35</v>
      </c>
      <c r="AF56" s="15">
        <f>-AE71/20</f>
        <v>-15.5325</v>
      </c>
      <c r="AG56" s="15">
        <f>-AF71/20</f>
        <v>-14.755875</v>
      </c>
      <c r="AH56" s="15">
        <f>-AG71/20</f>
        <v>-14.01808125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-14.1716181896605</v>
      </c>
      <c r="AF59" s="15">
        <f>AF55+AF56+AF58</f>
        <v>-13.4404696439707</v>
      </c>
      <c r="AG59" s="15">
        <f>AG55+AG56+AG58</f>
        <v>-12.6080040368501</v>
      </c>
      <c r="AH59" s="15">
        <f>AH55+AH56+AH58</f>
        <v>-11.7847741579556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14.1716181896605</v>
      </c>
      <c r="AF60" s="15">
        <f>-MIN(AE72,AF59)</f>
        <v>13.4404696439707</v>
      </c>
      <c r="AG60" s="15">
        <f>-MIN(AF72,AG59)</f>
        <v>12.6080040368501</v>
      </c>
      <c r="AH60" s="15">
        <f>-MIN(AG72,AH59)</f>
        <v>11.7847741579556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40</v>
      </c>
      <c r="AF61" s="15">
        <f>AE63</f>
        <v>40</v>
      </c>
      <c r="AG61" s="15">
        <f>AF63</f>
        <v>40</v>
      </c>
      <c r="AH61" s="15">
        <f>AG63</f>
        <v>40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-3e-14</v>
      </c>
      <c r="AF62" s="15">
        <f>AF55+AF56+AF58+AF60</f>
        <v>-1e-14</v>
      </c>
      <c r="AG62" s="15">
        <f>AG55+AG56+AG58+AG60</f>
        <v>-2e-14</v>
      </c>
      <c r="AH62" s="15">
        <f>AH55+AH56+AH58+AH60</f>
        <v>-3e-14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40</v>
      </c>
      <c r="AF63" s="15">
        <f>AF61+AF62</f>
        <v>40</v>
      </c>
      <c r="AG63" s="15">
        <f>AG61+AG62</f>
        <v>40</v>
      </c>
      <c r="AH63" s="15">
        <f>AH61+AH62</f>
        <v>40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-2.6</v>
      </c>
      <c r="AF65" s="15">
        <f>AE65</f>
        <v>-2.6</v>
      </c>
      <c r="AG65" s="15">
        <f>AF65</f>
        <v>-2.6</v>
      </c>
      <c r="AH65" s="15">
        <f>AG65</f>
        <v>-2.6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0.278381810339475</v>
      </c>
      <c r="AF66" s="15">
        <f>(AF52*AF53)+AF65</f>
        <v>0.192030356029291</v>
      </c>
      <c r="AG66" s="15">
        <f>(AG52*AG53)+AG65</f>
        <v>0.247870963149876</v>
      </c>
      <c r="AH66" s="15">
        <f>(AH52*AH53)+AH65</f>
        <v>0.333307092044373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885.7</v>
      </c>
      <c r="AF68" s="15">
        <f>AE68-AF54</f>
        <v>886.4</v>
      </c>
      <c r="AG68" s="15">
        <f>AF68-AG54</f>
        <v>887.1</v>
      </c>
      <c r="AH68" s="15">
        <f>AG68-AH54</f>
        <v>887.8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2.6</v>
      </c>
      <c r="AF69" s="15">
        <f>AE69-AF65</f>
        <v>5.2</v>
      </c>
      <c r="AG69" s="15">
        <f>AF69-AG65</f>
        <v>7.8</v>
      </c>
      <c r="AH69" s="15">
        <f>AG69-AH65</f>
        <v>10.4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883.1</v>
      </c>
      <c r="AF70" s="15">
        <f>AF68-AF69</f>
        <v>881.2</v>
      </c>
      <c r="AG70" s="15">
        <f>AG68-AG69</f>
        <v>879.3</v>
      </c>
      <c r="AH70" s="15">
        <f>AH68-AH69</f>
        <v>877.4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310.65</v>
      </c>
      <c r="AF71" s="15">
        <f>AE71+AF56</f>
        <v>295.1175</v>
      </c>
      <c r="AG71" s="15">
        <f>AF71+AG56</f>
        <v>280.361625</v>
      </c>
      <c r="AH71" s="15">
        <f>AG71+AH56</f>
        <v>266.34354375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14.1716181896605</v>
      </c>
      <c r="AF72" s="15">
        <f>AE72+AF60</f>
        <v>27.6120878336312</v>
      </c>
      <c r="AG72" s="15">
        <f>AF72+AG60</f>
        <v>40.2200918704813</v>
      </c>
      <c r="AH72" s="15">
        <f>AG72+AH60</f>
        <v>52.0048660284369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598.2783818103391</v>
      </c>
      <c r="AF73" s="15">
        <f>AE73+AF66+AF58</f>
        <v>598.470412166368</v>
      </c>
      <c r="AG73" s="15">
        <f>AF73+AG66+AG58</f>
        <v>598.718283129518</v>
      </c>
      <c r="AH73" s="15">
        <f>AG73+AH66+AH58</f>
        <v>599.051590221562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-5e-13</v>
      </c>
      <c r="AF74" s="15">
        <f>AF71+AF72+AF73-AF63-AF70</f>
        <v>-8e-13</v>
      </c>
      <c r="AG74" s="15">
        <f>AG71+AG72+AG73-AG63-AG70</f>
        <v>-7e-13</v>
      </c>
      <c r="AH74" s="15">
        <f>AH71+AH72+AH73-AH63-AH70</f>
        <v>-1.1e-12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-284.821618189661</v>
      </c>
      <c r="AF75" s="15">
        <f>AF63-AF71-AF72</f>
        <v>-282.729587833631</v>
      </c>
      <c r="AG75" s="15">
        <f>AG63-AG71-AG72</f>
        <v>-280.581716870481</v>
      </c>
      <c r="AH75" s="15">
        <f>AH63-AH71-AH72</f>
        <v>-278.348409778437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-2.1783818103395</v>
      </c>
      <c r="AF76" s="15">
        <f>AF56+AF58+AF60</f>
        <v>-2.0920303560293</v>
      </c>
      <c r="AG76" s="15">
        <f>AG56+AG58+AG60</f>
        <v>-2.1478709631499</v>
      </c>
      <c r="AH76" s="15">
        <f>AH56+AH58+AH60</f>
        <v>-2.2333070920444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539</v>
      </c>
      <c r="AD78" s="14"/>
      <c r="AE78" s="15"/>
      <c r="AF78" s="15"/>
      <c r="AG78" s="15"/>
      <c r="AH78" s="15">
        <v>141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539</v>
      </c>
      <c r="AD79" s="14"/>
      <c r="AE79" s="15"/>
      <c r="AF79" s="15"/>
      <c r="AG79" s="15"/>
      <c r="AH79" s="15">
        <v>740378339328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740.378339328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5.250910208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0.807039829221714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-68.3</v>
      </c>
      <c r="AH84" s="15">
        <f>SUM(AE55:AH55)</f>
        <v>8.65159022156301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101.414881834462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85.57713904233459</v>
      </c>
      <c r="AH86" s="15">
        <v>55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475.837462185966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90.6199960267852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-0.357304992717835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0.35243553008596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-0.801800105263158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539</v>
      </c>
      <c r="AF93" t="s" s="44">
        <f>AE115</f>
        <v>15</v>
      </c>
      <c r="AG93" t="s" s="44">
        <f>AF115</f>
        <v>58</v>
      </c>
      <c r="AH93" t="s" s="44">
        <f>AG115</f>
        <v>485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141</v>
      </c>
      <c r="AG94" t="s" s="44">
        <v>61</v>
      </c>
      <c r="AH94" s="15">
        <f>AH88</f>
        <v>90.6199960267852</v>
      </c>
      <c r="AI94" t="s" s="44">
        <f>IF(AJ94&gt;0,"+","")</f>
      </c>
      <c r="AJ94" s="16">
        <f>AH94/AF94-1</f>
        <v>-0.357304992717835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0.35243553008596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(AG118+AG119+AI118+AI119+AK118+AK119+AM118+AM119)/AF135</f>
        <v>-0.09225013263082781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540</v>
      </c>
      <c r="AG99" t="s" s="44">
        <f>IF(AH99&gt;0,"+","")</f>
        <v>361</v>
      </c>
      <c r="AH99" s="16">
        <f>(AG132+AG133+AI132+AI133+AK132+AK133+AM132+AM133)/AF135</f>
        <v>0.0235014979176633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AP128/AF135</f>
        <v>-0.387639649561458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0.130538922155689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-0.132919254658385</v>
      </c>
      <c r="AF103" s="16">
        <f>P23</f>
        <v>0.914040114613181</v>
      </c>
      <c r="AG103" s="16">
        <f>P24</f>
        <v>-0.269461077844311</v>
      </c>
      <c r="AH103" s="16">
        <f>P25</f>
        <v>-0.144467213114754</v>
      </c>
      <c r="AI103" s="16">
        <f>P26</f>
        <v>0.130538922155689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69.8</v>
      </c>
      <c r="AF104" t="s" s="44">
        <v>72</v>
      </c>
      <c r="AG104" s="15">
        <f>C23</f>
        <v>133.6</v>
      </c>
      <c r="AH104" t="s" s="44">
        <v>72</v>
      </c>
      <c r="AI104" s="15">
        <f>C24</f>
        <v>97.59999999999999</v>
      </c>
      <c r="AJ104" t="s" s="44">
        <v>72</v>
      </c>
      <c r="AK104" s="15">
        <f>C25</f>
        <v>83.5</v>
      </c>
      <c r="AL104" t="s" s="44">
        <v>72</v>
      </c>
      <c r="AM104" s="15">
        <f>C26</f>
        <v>94.40000000000001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0.130538922155689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94.40000000000001</v>
      </c>
      <c r="AM105" t="s" s="44">
        <v>372</v>
      </c>
      <c r="AN105" t="s" s="44">
        <v>77</v>
      </c>
      <c r="AO105" t="s" s="44">
        <f>IF(AP105&gt;0,"+","")</f>
      </c>
      <c r="AP105" s="16">
        <f>AH91</f>
        <v>-0.801800105263158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0.157662686452451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</v>
      </c>
      <c r="AG107" t="s" s="44">
        <v>82</v>
      </c>
      <c r="AH107" t="s" s="44">
        <v>83</v>
      </c>
      <c r="AI107" s="23">
        <f>AH52</f>
        <v>105.82147488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0.0530085959885387</v>
      </c>
      <c r="AF110" s="16">
        <f>(D23+E23)/C23</f>
        <v>0.0681137724550898</v>
      </c>
      <c r="AG110" s="16">
        <f>((E24+D24)/C24)</f>
        <v>-0.0440573770491803</v>
      </c>
      <c r="AH110" s="16">
        <f>(D25+E25)/C25</f>
        <v>0.0263473053892216</v>
      </c>
      <c r="AI110" s="16">
        <f>(D26+E26)/C26</f>
        <v>0.00211864406779661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1.3</v>
      </c>
      <c r="AF111" t="s" s="44">
        <v>72</v>
      </c>
      <c r="AG111" s="15">
        <f>E23</f>
        <v>6.3</v>
      </c>
      <c r="AH111" t="s" s="44">
        <v>72</v>
      </c>
      <c r="AI111" s="15">
        <f>E24</f>
        <v>-6.9</v>
      </c>
      <c r="AJ111" t="s" s="44">
        <v>72</v>
      </c>
      <c r="AK111" s="15">
        <f>E25</f>
        <v>-0.4</v>
      </c>
      <c r="AL111" t="s" s="44">
        <v>72</v>
      </c>
      <c r="AM111" s="15">
        <f>E26</f>
        <v>-2.4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0.0263473053892216</v>
      </c>
      <c r="AG112" t="s" s="44">
        <v>76</v>
      </c>
      <c r="AH112" s="16">
        <f>AI110</f>
        <v>0.00211864406779661</v>
      </c>
      <c r="AI112" t="s" s="44">
        <v>90</v>
      </c>
      <c r="AJ112" s="15">
        <f>AK111</f>
        <v>-0.4</v>
      </c>
      <c r="AK112" t="s" s="44">
        <v>76</v>
      </c>
      <c r="AL112" s="15">
        <f>AM111</f>
        <v>-2.4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0.0131305862157319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0.0277193933969518</v>
      </c>
      <c r="AG114" t="s" s="44">
        <v>94</v>
      </c>
      <c r="AH114" s="15">
        <f>AH66</f>
        <v>0.333307092044373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IF(AG116&lt;AF116,"less","more")</f>
        <v>58</v>
      </c>
      <c r="AG115" t="s" s="44">
        <f>IF(AI120&lt;0,"positive","negative")</f>
        <v>485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45.7</v>
      </c>
      <c r="AG116" s="15">
        <f>ABS(AH120)</f>
        <v>1.2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t="s" s="44">
        <f>AM105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-51</v>
      </c>
      <c r="AF118" t="s" s="44">
        <v>72</v>
      </c>
      <c r="AG118" s="15">
        <f>J23</f>
        <v>77.3</v>
      </c>
      <c r="AH118" t="s" s="44">
        <v>72</v>
      </c>
      <c r="AI118" s="15">
        <f>J24</f>
        <v>10.8</v>
      </c>
      <c r="AJ118" t="s" s="44">
        <v>72</v>
      </c>
      <c r="AK118" s="15">
        <f>J25</f>
        <v>-45.4</v>
      </c>
      <c r="AL118" t="s" s="44">
        <v>72</v>
      </c>
      <c r="AM118" s="15">
        <f>J26</f>
        <v>1.9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4.9</v>
      </c>
      <c r="AF119" t="s" s="44">
        <v>72</v>
      </c>
      <c r="AG119" s="15">
        <f>K23</f>
        <v>-118.8</v>
      </c>
      <c r="AH119" t="s" s="44">
        <v>72</v>
      </c>
      <c r="AI119" s="15">
        <f>K24</f>
        <v>6.9</v>
      </c>
      <c r="AJ119" t="s" s="44">
        <v>72</v>
      </c>
      <c r="AK119" s="15">
        <f>K25</f>
        <v>-0.3</v>
      </c>
      <c r="AL119" t="s" s="44">
        <v>72</v>
      </c>
      <c r="AM119" s="15">
        <f>K26</f>
        <v>-0.7</v>
      </c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-45.7</v>
      </c>
      <c r="AG120" t="s" s="44">
        <v>76</v>
      </c>
      <c r="AH120" s="15">
        <f>AM118+AM119</f>
        <v>1.2</v>
      </c>
      <c r="AI120" t="s" s="44">
        <f>AI114</f>
        <v>372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-0.7</v>
      </c>
      <c r="AN120" t="s" s="44">
        <f>AM105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-17.075</v>
      </c>
      <c r="AG121" t="s" s="44">
        <f>AM105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-0.7</v>
      </c>
      <c r="AG122" t="s" s="44">
        <f>AG121</f>
        <v>372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2.16289755539075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t="s" s="44">
        <f>AM105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105</v>
      </c>
      <c r="AF125" t="s" s="44">
        <v>72</v>
      </c>
      <c r="AG125" s="15">
        <f>F23</f>
        <v>116</v>
      </c>
      <c r="AH125" t="s" s="44">
        <v>72</v>
      </c>
      <c r="AI125" s="15">
        <f>F24</f>
        <v>126</v>
      </c>
      <c r="AJ125" t="s" s="44">
        <v>72</v>
      </c>
      <c r="AK125" s="15">
        <f>F25</f>
        <v>51</v>
      </c>
      <c r="AL125" t="s" s="44">
        <v>72</v>
      </c>
      <c r="AM125" s="15">
        <f>F26</f>
        <v>40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34</v>
      </c>
      <c r="AF126" t="s" s="44">
        <v>72</v>
      </c>
      <c r="AG126" s="15">
        <f>G23</f>
        <v>360</v>
      </c>
      <c r="AH126" t="s" s="44">
        <v>72</v>
      </c>
      <c r="AI126" s="15">
        <f>G24</f>
        <v>325</v>
      </c>
      <c r="AJ126" t="s" s="44">
        <v>72</v>
      </c>
      <c r="AK126" s="15">
        <f>G25</f>
        <v>307</v>
      </c>
      <c r="AL126" t="s" s="44">
        <v>72</v>
      </c>
      <c r="AM126" s="15">
        <f>G26</f>
        <v>327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51</v>
      </c>
      <c r="AH127" t="s" s="44">
        <v>76</v>
      </c>
      <c r="AI127" s="15">
        <f>AM125</f>
        <v>40</v>
      </c>
      <c r="AJ127" t="s" s="44">
        <f>AM122</f>
        <v>372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307</v>
      </c>
      <c r="AH128" t="s" s="44">
        <v>76</v>
      </c>
      <c r="AI128" s="15">
        <f>AM126</f>
        <v>327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-256</v>
      </c>
      <c r="AO128" t="s" s="44">
        <v>76</v>
      </c>
      <c r="AP128" s="15">
        <f>AI127-AI128</f>
        <v>-287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AE56+AF56+AG56+AH56+AE60+AF60+AG60+AH60</f>
        <v>-8.651590221563101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-278.348409778437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t="s" s="44">
        <f>AM105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22.4</v>
      </c>
      <c r="AF132" t="s" s="44">
        <v>72</v>
      </c>
      <c r="AG132" s="15">
        <f>-L23</f>
        <v>-33.5</v>
      </c>
      <c r="AH132" t="s" s="44">
        <v>72</v>
      </c>
      <c r="AI132" s="15">
        <f>-L24</f>
        <v>2.4</v>
      </c>
      <c r="AJ132" t="s" s="44">
        <v>72</v>
      </c>
      <c r="AK132" s="15">
        <f>-L25</f>
        <v>2.4</v>
      </c>
      <c r="AL132" t="s" s="44">
        <v>72</v>
      </c>
      <c r="AM132" s="15">
        <f>-L26</f>
        <v>2.4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0</v>
      </c>
      <c r="AF133" t="s" s="44">
        <v>72</v>
      </c>
      <c r="AG133" s="15">
        <f>-M23</f>
        <v>0</v>
      </c>
      <c r="AH133" t="s" s="44">
        <v>72</v>
      </c>
      <c r="AI133" s="15">
        <f>-M24</f>
        <v>5.4</v>
      </c>
      <c r="AJ133" t="s" s="44">
        <v>72</v>
      </c>
      <c r="AK133" s="15">
        <f>-M25</f>
        <v>28.1</v>
      </c>
      <c r="AL133" t="s" s="44">
        <v>72</v>
      </c>
      <c r="AM133" s="15">
        <f>-M26</f>
        <v>10.2</v>
      </c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539</v>
      </c>
      <c r="AF134" t="s" s="44">
        <f>IF(AG134&gt;0,"paid","(raised)")</f>
        <v>374</v>
      </c>
      <c r="AG134" s="15">
        <f>SUM(AM132:AM133)</f>
        <v>12.6</v>
      </c>
      <c r="AH134" t="s" s="44">
        <f>AM105</f>
        <v>372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2.4</v>
      </c>
      <c r="AM134" t="s" s="44">
        <f>AM105</f>
        <v>372</v>
      </c>
      <c r="AN134" t="s" s="44">
        <v>123</v>
      </c>
      <c r="AO134" s="15">
        <f>AM133</f>
        <v>10.2</v>
      </c>
      <c r="AP134" t="s" s="44">
        <f>AM105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8.651590221563101</v>
      </c>
      <c r="AU134" t="s" s="44">
        <f>AM105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AH80</f>
        <v>740.378339328</v>
      </c>
      <c r="AG135" t="s" s="44">
        <f>AM105</f>
        <v>372</v>
      </c>
      <c r="AH135" t="s" s="44">
        <v>128</v>
      </c>
      <c r="AI135" t="s" s="44">
        <v>129</v>
      </c>
      <c r="AJ135" s="43">
        <f>AH82</f>
        <v>0.807039829221714</v>
      </c>
      <c r="AK135" t="s" s="44">
        <v>130</v>
      </c>
      <c r="AL135" t="s" s="44">
        <v>131</v>
      </c>
      <c r="AM135" t="s" s="44">
        <v>132</v>
      </c>
      <c r="AN135" s="15">
        <f>AH85</f>
        <v>101.414881834462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8.65159022156301</v>
      </c>
      <c r="AG136" t="s" s="44">
        <f>AG135</f>
        <v>372</v>
      </c>
      <c r="AH136" t="s" s="44">
        <v>136</v>
      </c>
      <c r="AI136" s="15">
        <f>AF135/AF136</f>
        <v>85.57713904233459</v>
      </c>
      <c r="AJ136" t="s" s="44">
        <v>130</v>
      </c>
      <c r="AK136" t="s" s="44">
        <v>137</v>
      </c>
      <c r="AL136" t="s" s="44">
        <v>138</v>
      </c>
      <c r="AM136" s="15">
        <f>AH86</f>
        <v>55</v>
      </c>
      <c r="AN136" t="s" s="44">
        <v>139</v>
      </c>
      <c r="AO136" t="s" s="44">
        <v>140</v>
      </c>
      <c r="AP136" t="s" s="44">
        <v>141</v>
      </c>
      <c r="AQ136" s="16">
        <f>AJ94</f>
        <v>-0.357304992717835</v>
      </c>
      <c r="AR136" t="s" s="44">
        <f>IF(AQ136&gt;0,"higher","lower")</f>
        <v>104</v>
      </c>
      <c r="AS136" t="s" s="44">
        <v>142</v>
      </c>
      <c r="AT136" s="15">
        <f>AH94</f>
        <v>90.6199960267852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539</v>
      </c>
      <c r="AF138" t="s" s="44">
        <f>AE146</f>
        <v>394</v>
      </c>
      <c r="AG138" t="s" s="44">
        <f>AF146</f>
        <v>395</v>
      </c>
      <c r="AH138" s="16">
        <f>AG146</f>
        <v>0.130538922155689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141</v>
      </c>
      <c r="AG139" t="s" s="44">
        <f>AG94</f>
        <v>61</v>
      </c>
      <c r="AH139" s="15">
        <f>AH94</f>
        <v>90.6199960267852</v>
      </c>
      <c r="AI139" t="s" s="44">
        <f>AI94</f>
      </c>
      <c r="AJ139" s="16">
        <f>AJ94</f>
        <v>-0.357304992717835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0.35243553008596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s="16">
        <f>AH98</f>
        <v>-0.09225013263082781</v>
      </c>
      <c r="AH143" t="s" s="44">
        <v>401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s="16">
        <f>AH99</f>
        <v>0.0235014979176633</v>
      </c>
      <c r="AH144" t="s" s="44">
        <f>AH143</f>
        <v>401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80.05" customHeight="1">
      <c r="AC145" s="36"/>
      <c r="AD145" s="38"/>
      <c r="AE145" t="s" s="44">
        <v>541</v>
      </c>
      <c r="AF145" s="16">
        <f>AG100</f>
        <v>-0.387639649561458</v>
      </c>
      <c r="AG145" t="s" s="44">
        <f>AH144</f>
        <v>401</v>
      </c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0.130538922155689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t="s" s="44">
        <v>542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-0.132919254658385</v>
      </c>
      <c r="AF148" s="16">
        <f>AF103</f>
        <v>0.914040114613181</v>
      </c>
      <c r="AG148" s="16">
        <f>AG103</f>
        <v>-0.269461077844311</v>
      </c>
      <c r="AH148" s="16">
        <f>AH103</f>
        <v>-0.144467213114754</v>
      </c>
      <c r="AI148" s="16">
        <f>AI103</f>
        <v>0.130538922155689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8"/>
      <c r="AE149" s="15">
        <f>AE104</f>
        <v>69.8</v>
      </c>
      <c r="AF149" t="s" s="44">
        <f>AF104</f>
        <v>72</v>
      </c>
      <c r="AG149" s="15">
        <f>AG104</f>
        <v>133.6</v>
      </c>
      <c r="AH149" t="s" s="44">
        <f>AH104</f>
        <v>72</v>
      </c>
      <c r="AI149" s="15">
        <f>AI104</f>
        <v>97.59999999999999</v>
      </c>
      <c r="AJ149" t="s" s="44">
        <f>AJ104</f>
        <v>72</v>
      </c>
      <c r="AK149" s="15">
        <f>AK104</f>
        <v>83.5</v>
      </c>
      <c r="AL149" t="s" s="44">
        <f>AL104</f>
        <v>72</v>
      </c>
      <c r="AM149" s="15">
        <f>AM104</f>
        <v>94.40000000000001</v>
      </c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0.130538922155689</v>
      </c>
      <c r="AH150" t="s" s="44">
        <v>408</v>
      </c>
      <c r="AI150" t="s" s="44">
        <v>409</v>
      </c>
      <c r="AJ150" t="s" s="44">
        <v>410</v>
      </c>
      <c r="AK150" t="s" s="44">
        <f>AG147</f>
        <v>542</v>
      </c>
      <c r="AL150" s="15">
        <f>AL105</f>
        <v>94.40000000000001</v>
      </c>
      <c r="AM150" t="s" s="44">
        <v>411</v>
      </c>
      <c r="AN150" t="s" s="44">
        <f>AO105</f>
      </c>
      <c r="AO150" s="16">
        <f>AP105</f>
        <v>-0.801800105263158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543</v>
      </c>
      <c r="AF151" s="16">
        <f>AF106</f>
        <v>0.157662686452451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0.03</v>
      </c>
      <c r="AG152" t="s" s="44">
        <v>415</v>
      </c>
      <c r="AH152" t="s" s="44">
        <v>416</v>
      </c>
      <c r="AI152" t="s" s="44">
        <f>AG147</f>
        <v>542</v>
      </c>
      <c r="AJ152" s="23">
        <f>AI107</f>
        <v>105.82147488</v>
      </c>
      <c r="AK152" s="26">
        <f>AH147</f>
        <v>0</v>
      </c>
      <c r="AL152" t="s" s="44">
        <f>AH150</f>
        <v>408</v>
      </c>
      <c r="AM152" t="s" s="44">
        <f>AI150</f>
        <v>409</v>
      </c>
      <c r="AN152" t="s" s="44">
        <f>AN107</f>
        <v>85</v>
      </c>
      <c r="AO152" s="17"/>
      <c r="AP152" s="17"/>
      <c r="AQ152" s="17"/>
      <c r="AR152" s="17"/>
      <c r="AS152" s="17"/>
      <c r="AT152" s="17"/>
      <c r="AU152" s="17"/>
      <c r="AV152" s="17"/>
    </row>
    <row r="153" ht="20.05" customHeight="1">
      <c r="AC153" s="36"/>
      <c r="AD153" s="38"/>
      <c r="AE153" t="s" s="44">
        <f>AE108</f>
        <v>14</v>
      </c>
      <c r="AF153" t="s" s="44">
        <f>AF108</f>
        <v>87</v>
      </c>
      <c r="AG153" t="s" s="44">
        <f>AG108</f>
        <v>86</v>
      </c>
      <c r="AH153" t="s" s="44">
        <f>AH108</f>
        <v>87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f>AE109</f>
        <v>70</v>
      </c>
      <c r="AF154" t="s" s="44">
        <f>AF109</f>
        <v>88</v>
      </c>
      <c r="AG154" t="s" s="44">
        <f>AG109</f>
        <v>372</v>
      </c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0.0530085959885387</v>
      </c>
      <c r="AF155" s="16">
        <f>AF110</f>
        <v>0.0681137724550898</v>
      </c>
      <c r="AG155" s="16">
        <f>AG110</f>
        <v>-0.0440573770491803</v>
      </c>
      <c r="AH155" s="16">
        <f>AH110</f>
        <v>0.0263473053892216</v>
      </c>
      <c r="AI155" s="16">
        <f>AI110</f>
        <v>0.00211864406779661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20.05" customHeight="1">
      <c r="AC156" s="36"/>
      <c r="AD156" s="38"/>
      <c r="AE156" s="15">
        <f>AE111</f>
        <v>1.3</v>
      </c>
      <c r="AF156" t="s" s="44">
        <f>AF111</f>
        <v>72</v>
      </c>
      <c r="AG156" s="15">
        <f>AG111</f>
        <v>6.3</v>
      </c>
      <c r="AH156" t="s" s="44">
        <f>AH111</f>
        <v>72</v>
      </c>
      <c r="AI156" s="15">
        <f>AI111</f>
        <v>-6.9</v>
      </c>
      <c r="AJ156" t="s" s="44">
        <f>AJ111</f>
        <v>72</v>
      </c>
      <c r="AK156" s="15">
        <f>AK111</f>
        <v>-0.4</v>
      </c>
      <c r="AL156" t="s" s="44">
        <f>AL111</f>
        <v>72</v>
      </c>
      <c r="AM156" s="15">
        <f>AM111</f>
        <v>-2.4</v>
      </c>
      <c r="AN156" s="17"/>
      <c r="AO156" s="17"/>
      <c r="AP156" s="17"/>
      <c r="AQ156" s="17"/>
      <c r="AR156" s="17"/>
      <c r="AS156" s="17"/>
      <c r="AT156" s="17"/>
      <c r="AU156" s="17"/>
      <c r="AV156" s="17"/>
    </row>
    <row r="157" ht="44.05" customHeight="1">
      <c r="AC157" s="36"/>
      <c r="AD157" s="38"/>
      <c r="AE157" t="s" s="44">
        <f>AE112</f>
        <v>89</v>
      </c>
      <c r="AF157" s="16">
        <f>AF112</f>
        <v>0.0263473053892216</v>
      </c>
      <c r="AG157" t="s" s="44">
        <f>AG112</f>
        <v>76</v>
      </c>
      <c r="AH157" s="16">
        <f>AH112</f>
        <v>0.00211864406779661</v>
      </c>
      <c r="AI157" t="s" s="44">
        <f>AI112</f>
        <v>90</v>
      </c>
      <c r="AJ157" s="15">
        <f>AJ112</f>
        <v>-0.4</v>
      </c>
      <c r="AK157" t="s" s="44">
        <f>AK112</f>
        <v>76</v>
      </c>
      <c r="AL157" s="15">
        <f>AL112</f>
        <v>-2.4</v>
      </c>
      <c r="AM157" t="s" s="44">
        <f>AM112</f>
        <v>372</v>
      </c>
      <c r="AN157" t="s" s="44">
        <f>AN112</f>
        <v>73</v>
      </c>
      <c r="AO157" t="s" s="44">
        <f>AO112</f>
        <v>74</v>
      </c>
      <c r="AP157" t="s" s="44">
        <f>AP112</f>
        <v>91</v>
      </c>
      <c r="AQ157" s="17"/>
      <c r="AR157" s="17"/>
      <c r="AS157" s="17"/>
      <c r="AT157" s="17"/>
      <c r="AU157" s="17"/>
      <c r="AV157" s="17"/>
    </row>
    <row r="158" ht="68.05" customHeight="1">
      <c r="AC158" s="36"/>
      <c r="AD158" s="38"/>
      <c r="AE158" t="s" s="44">
        <f>AE113</f>
        <v>92</v>
      </c>
      <c r="AF158" s="16">
        <f>AF113</f>
        <v>0.0131305862157319</v>
      </c>
      <c r="AG158" t="s" s="44">
        <f>AG113</f>
        <v>78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44.05" customHeight="1">
      <c r="AC159" s="36"/>
      <c r="AD159" s="38"/>
      <c r="AE159" t="s" s="44">
        <f>AE114</f>
        <v>93</v>
      </c>
      <c r="AF159" s="35">
        <f>AF114</f>
        <v>0.0277193933969518</v>
      </c>
      <c r="AG159" t="s" s="44">
        <f>AG114</f>
        <v>94</v>
      </c>
      <c r="AH159" s="15">
        <f>AH114</f>
        <v>0.333307092044373</v>
      </c>
      <c r="AI159" t="s" s="44">
        <f>AI114</f>
        <v>372</v>
      </c>
      <c r="AJ159" t="s" s="44">
        <f>AJ114</f>
        <v>95</v>
      </c>
      <c r="AK159" t="s" s="44">
        <f>AK114</f>
        <v>74</v>
      </c>
      <c r="AL159" t="s" s="44">
        <f>AL114</f>
        <v>75</v>
      </c>
      <c r="AM159" t="s" s="44">
        <f>AM114</f>
        <v>85</v>
      </c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t="s" s="44">
        <f>IF(AG161&lt;AF161,"berkurang","lebih")</f>
        <v>544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45.7</v>
      </c>
      <c r="AG161" s="15">
        <f>ABS(AH165)</f>
        <v>1.2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t="s" s="44">
        <f>AG147</f>
        <v>542</v>
      </c>
      <c r="AH162" s="26">
        <f>AH147</f>
        <v>0</v>
      </c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20.05" customHeight="1">
      <c r="AC163" s="36"/>
      <c r="AD163" s="38"/>
      <c r="AE163" s="15">
        <f>AE118</f>
        <v>-51</v>
      </c>
      <c r="AF163" t="s" s="44">
        <f>AF118</f>
        <v>72</v>
      </c>
      <c r="AG163" s="15">
        <f>AG118</f>
        <v>77.3</v>
      </c>
      <c r="AH163" t="s" s="44">
        <f>AH118</f>
        <v>72</v>
      </c>
      <c r="AI163" s="15">
        <f>AI118</f>
        <v>10.8</v>
      </c>
      <c r="AJ163" t="s" s="44">
        <f>AJ118</f>
        <v>72</v>
      </c>
      <c r="AK163" s="15">
        <f>AK118</f>
        <v>-45.4</v>
      </c>
      <c r="AL163" t="s" s="44">
        <f>AL118</f>
        <v>72</v>
      </c>
      <c r="AM163" s="15">
        <f>AM118</f>
        <v>1.9</v>
      </c>
      <c r="AN163" s="17"/>
      <c r="AO163" s="17"/>
      <c r="AP163" s="17"/>
      <c r="AQ163" s="17"/>
      <c r="AR163" s="17"/>
      <c r="AS163" s="17"/>
      <c r="AT163" s="17"/>
      <c r="AU163" s="17"/>
      <c r="AV163" s="17"/>
    </row>
    <row r="164" ht="20.05" customHeight="1">
      <c r="AC164" s="36"/>
      <c r="AD164" s="38"/>
      <c r="AE164" s="15">
        <f>AE119</f>
        <v>4.9</v>
      </c>
      <c r="AF164" t="s" s="44">
        <f>AF119</f>
        <v>72</v>
      </c>
      <c r="AG164" s="15">
        <f>AG119</f>
        <v>-118.8</v>
      </c>
      <c r="AH164" t="s" s="44">
        <f>AH119</f>
        <v>72</v>
      </c>
      <c r="AI164" s="15">
        <f>AI119</f>
        <v>6.9</v>
      </c>
      <c r="AJ164" t="s" s="44">
        <f>AJ119</f>
        <v>72</v>
      </c>
      <c r="AK164" s="15">
        <f>AK119</f>
        <v>-0.3</v>
      </c>
      <c r="AL164" t="s" s="44">
        <f>AL119</f>
        <v>72</v>
      </c>
      <c r="AM164" s="15">
        <f>AM119</f>
        <v>-0.7</v>
      </c>
      <c r="AN164" s="17"/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545</v>
      </c>
      <c r="AF165" s="15">
        <f>AF120</f>
        <v>-45.7</v>
      </c>
      <c r="AG165" t="s" s="44">
        <v>410</v>
      </c>
      <c r="AH165" s="15">
        <f>AH120</f>
        <v>1.2</v>
      </c>
      <c r="AI165" t="s" s="44">
        <f>AG147</f>
        <v>542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-0.7</v>
      </c>
      <c r="AN165" t="s" s="44">
        <f>AG147</f>
        <v>542</v>
      </c>
      <c r="AO165" s="17"/>
      <c r="AP165" s="26">
        <f>AH147</f>
        <v>0</v>
      </c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-17.075</v>
      </c>
      <c r="AG166" t="s" s="44">
        <f>AG147</f>
        <v>542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-0.7</v>
      </c>
      <c r="AG167" t="s" s="44">
        <f>AG147</f>
        <v>542</v>
      </c>
      <c r="AH167" t="s" s="85">
        <v>435</v>
      </c>
      <c r="AI167" s="15">
        <f>AL122</f>
        <v>2.16289755539075</v>
      </c>
      <c r="AJ167" t="s" s="44">
        <f>AG147</f>
        <v>542</v>
      </c>
      <c r="AK167" s="44"/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20.05" customHeight="1">
      <c r="AC168" s="36"/>
      <c r="AD168" s="38"/>
      <c r="AE168" t="s" s="44">
        <f>AE123</f>
        <v>18</v>
      </c>
      <c r="AF168" t="s" s="44">
        <f>AF123</f>
        <v>87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f>AE124</f>
        <v>70</v>
      </c>
      <c r="AF169" t="s" s="44">
        <f>AF124</f>
        <v>109</v>
      </c>
      <c r="AG169" t="s" s="44">
        <f>AG124</f>
        <v>372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20.05" customHeight="1">
      <c r="AC170" s="36"/>
      <c r="AD170" s="38"/>
      <c r="AE170" s="15">
        <f>AE125</f>
        <v>105</v>
      </c>
      <c r="AF170" t="s" s="44">
        <f>AF125</f>
        <v>72</v>
      </c>
      <c r="AG170" s="15">
        <f>AG125</f>
        <v>116</v>
      </c>
      <c r="AH170" t="s" s="44">
        <f>AH125</f>
        <v>72</v>
      </c>
      <c r="AI170" s="15">
        <f>AI125</f>
        <v>126</v>
      </c>
      <c r="AJ170" t="s" s="44">
        <f>AJ125</f>
        <v>72</v>
      </c>
      <c r="AK170" s="15">
        <f>AK125</f>
        <v>51</v>
      </c>
      <c r="AL170" t="s" s="44">
        <f>AL125</f>
        <v>72</v>
      </c>
      <c r="AM170" s="15">
        <f>AM125</f>
        <v>40</v>
      </c>
      <c r="AN170" s="17"/>
      <c r="AO170" s="17"/>
      <c r="AP170" s="17"/>
      <c r="AQ170" s="17"/>
      <c r="AR170" s="17"/>
      <c r="AS170" s="17"/>
      <c r="AT170" s="17"/>
      <c r="AU170" s="17"/>
      <c r="AV170" s="17"/>
    </row>
    <row r="171" ht="20.05" customHeight="1">
      <c r="AC171" s="36"/>
      <c r="AD171" s="38"/>
      <c r="AE171" s="15">
        <f>AE126</f>
        <v>34</v>
      </c>
      <c r="AF171" t="s" s="44">
        <f>AF126</f>
        <v>72</v>
      </c>
      <c r="AG171" s="15">
        <f>AG126</f>
        <v>360</v>
      </c>
      <c r="AH171" t="s" s="44">
        <f>AH126</f>
        <v>72</v>
      </c>
      <c r="AI171" s="15">
        <f>AI126</f>
        <v>325</v>
      </c>
      <c r="AJ171" t="s" s="44">
        <f>AJ126</f>
        <v>72</v>
      </c>
      <c r="AK171" s="15">
        <f>AK126</f>
        <v>307</v>
      </c>
      <c r="AL171" t="s" s="44">
        <f>AL126</f>
        <v>72</v>
      </c>
      <c r="AM171" s="15">
        <f>AM126</f>
        <v>327</v>
      </c>
      <c r="AN171" s="17"/>
      <c r="AO171" s="17"/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f>AE127</f>
        <v>110</v>
      </c>
      <c r="AF172" t="s" s="44">
        <f>AF127</f>
        <v>370</v>
      </c>
      <c r="AG172" s="15">
        <f>AG127</f>
        <v>51</v>
      </c>
      <c r="AH172" t="s" s="44">
        <f>AH127</f>
        <v>76</v>
      </c>
      <c r="AI172" s="15">
        <f>AI127</f>
        <v>40</v>
      </c>
      <c r="AJ172" t="s" s="44">
        <f>AJ127</f>
        <v>372</v>
      </c>
      <c r="AK172" t="s" s="44">
        <f>AK127</f>
        <v>84</v>
      </c>
      <c r="AL172" t="s" s="44">
        <f>AL127</f>
        <v>74</v>
      </c>
      <c r="AM172" t="s" s="44">
        <f>AM127</f>
        <v>91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f>AE128</f>
        <v>112</v>
      </c>
      <c r="AF173" t="s" s="44">
        <f>AF128</f>
        <v>111</v>
      </c>
      <c r="AG173" s="15">
        <f>AG128</f>
        <v>307</v>
      </c>
      <c r="AH173" t="s" s="44">
        <f>AH128</f>
        <v>76</v>
      </c>
      <c r="AI173" s="15">
        <f>AI128</f>
        <v>327</v>
      </c>
      <c r="AJ173" t="s" s="44">
        <f>AJ128</f>
        <v>372</v>
      </c>
      <c r="AK173" t="s" s="44">
        <f>AK128</f>
        <v>113</v>
      </c>
      <c r="AL173" t="s" s="44">
        <f>AL128</f>
        <v>114</v>
      </c>
      <c r="AM173" t="s" s="44">
        <f>AM128</f>
        <v>87</v>
      </c>
      <c r="AN173" s="15">
        <f>AN128</f>
        <v>-256</v>
      </c>
      <c r="AO173" t="s" s="44">
        <f>AO128</f>
        <v>76</v>
      </c>
      <c r="AP173" s="15">
        <f>AP128</f>
        <v>-287</v>
      </c>
      <c r="AQ173" t="s" s="44">
        <f>AQ128</f>
        <v>372</v>
      </c>
      <c r="AR173" s="44"/>
      <c r="AS173" s="17"/>
      <c r="AT173" s="17"/>
      <c r="AU173" s="17"/>
      <c r="AV173" s="17"/>
    </row>
    <row r="174" ht="56.05" customHeight="1">
      <c r="AC174" s="36"/>
      <c r="AD174" s="38"/>
      <c r="AE174" t="s" s="44">
        <f>AE129</f>
        <v>116</v>
      </c>
      <c r="AF174" s="15">
        <f>AF129</f>
        <v>0</v>
      </c>
      <c r="AG174" t="s" s="44">
        <f>AG129</f>
        <v>372</v>
      </c>
      <c r="AH174" t="s" s="44">
        <f>AH129</f>
        <v>117</v>
      </c>
      <c r="AI174" t="s" s="44">
        <f>AI129</f>
      </c>
      <c r="AJ174" s="15">
        <f>AJ129</f>
        <v>-8.651590221563101</v>
      </c>
      <c r="AK174" t="s" s="44">
        <f>AK129</f>
        <v>372</v>
      </c>
      <c r="AL174" t="s" s="44">
        <f>AL129</f>
        <v>118</v>
      </c>
      <c r="AM174" t="s" s="44">
        <f>AM129</f>
        <v>119</v>
      </c>
      <c r="AN174" s="15">
        <f>AN129</f>
        <v>-278.348409778437</v>
      </c>
      <c r="AO174" t="s" s="44">
        <f>AO129</f>
        <v>372</v>
      </c>
      <c r="AP174" t="s" s="44">
        <f>AP129</f>
        <v>120</v>
      </c>
      <c r="AQ174" s="17"/>
      <c r="AR174" s="17"/>
      <c r="AS174" s="17"/>
      <c r="AT174" s="17"/>
      <c r="AU174" s="17"/>
      <c r="AV174" s="17"/>
    </row>
    <row r="175" ht="20.05" customHeight="1">
      <c r="AC175" s="36"/>
      <c r="AD175" s="38"/>
      <c r="AE175" t="s" s="44">
        <f>AE130</f>
        <v>17</v>
      </c>
      <c r="AF175" t="s" s="44">
        <f>AF130</f>
        <v>374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68.05" customHeight="1">
      <c r="AC176" s="36"/>
      <c r="AD176" s="38"/>
      <c r="AE176" t="s" s="44">
        <f>AE131</f>
        <v>70</v>
      </c>
      <c r="AF176" t="s" s="44">
        <f>AF131</f>
        <v>122</v>
      </c>
      <c r="AG176" t="s" s="44">
        <f>AG131</f>
        <v>372</v>
      </c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20.05" customHeight="1">
      <c r="AC177" s="36"/>
      <c r="AD177" s="38"/>
      <c r="AE177" s="15">
        <f>AE132</f>
        <v>22.4</v>
      </c>
      <c r="AF177" t="s" s="44">
        <f>AF132</f>
        <v>72</v>
      </c>
      <c r="AG177" s="15">
        <f>AG132</f>
        <v>-33.5</v>
      </c>
      <c r="AH177" t="s" s="44">
        <f>AH132</f>
        <v>72</v>
      </c>
      <c r="AI177" s="15">
        <f>AI132</f>
        <v>2.4</v>
      </c>
      <c r="AJ177" t="s" s="44">
        <f>AJ132</f>
        <v>72</v>
      </c>
      <c r="AK177" s="15">
        <f>AK132</f>
        <v>2.4</v>
      </c>
      <c r="AL177" t="s" s="44">
        <f>AL132</f>
        <v>72</v>
      </c>
      <c r="AM177" s="15">
        <f>AM132</f>
        <v>2.4</v>
      </c>
      <c r="AN177" s="17"/>
      <c r="AO177" s="17"/>
      <c r="AP177" s="17"/>
      <c r="AQ177" s="17"/>
      <c r="AR177" s="17"/>
      <c r="AS177" s="17"/>
      <c r="AT177" s="17"/>
      <c r="AU177" s="17"/>
      <c r="AV177" s="17"/>
    </row>
    <row r="178" ht="20.05" customHeight="1">
      <c r="AC178" s="36"/>
      <c r="AD178" s="38"/>
      <c r="AE178" s="15">
        <f>AE133</f>
        <v>0</v>
      </c>
      <c r="AF178" t="s" s="44">
        <f>AF133</f>
        <v>72</v>
      </c>
      <c r="AG178" s="15">
        <f>AG133</f>
        <v>0</v>
      </c>
      <c r="AH178" t="s" s="44">
        <f>AH133</f>
        <v>72</v>
      </c>
      <c r="AI178" s="15">
        <f>AI133</f>
        <v>5.4</v>
      </c>
      <c r="AJ178" t="s" s="44">
        <f>AJ133</f>
        <v>72</v>
      </c>
      <c r="AK178" s="15">
        <f>AK133</f>
        <v>28.1</v>
      </c>
      <c r="AL178" t="s" s="44">
        <f>AL133</f>
        <v>72</v>
      </c>
      <c r="AM178" s="15">
        <f>AM133</f>
        <v>10.2</v>
      </c>
      <c r="AN178" s="17"/>
      <c r="AO178" s="17"/>
      <c r="AP178" s="17"/>
      <c r="AQ178" s="17"/>
      <c r="AR178" s="17"/>
      <c r="AS178" s="17"/>
      <c r="AT178" s="17"/>
      <c r="AU178" s="17"/>
      <c r="AV178" s="17"/>
    </row>
    <row r="179" ht="44.05" customHeight="1">
      <c r="AC179" s="36"/>
      <c r="AD179" s="38"/>
      <c r="AE179" t="s" s="44">
        <f>AE134</f>
        <v>539</v>
      </c>
      <c r="AF179" t="s" s="44">
        <f>AF134</f>
        <v>374</v>
      </c>
      <c r="AG179" s="15">
        <f>AG134</f>
        <v>12.6</v>
      </c>
      <c r="AH179" t="s" s="44">
        <f>AH134</f>
        <v>372</v>
      </c>
      <c r="AI179" t="s" s="44">
        <f>AI134</f>
        <v>73</v>
      </c>
      <c r="AJ179" t="s" s="44">
        <f>AJ134</f>
        <v>74</v>
      </c>
      <c r="AK179" t="s" s="44">
        <f>AK134</f>
        <v>75</v>
      </c>
      <c r="AL179" s="15">
        <f>AL134</f>
        <v>2.4</v>
      </c>
      <c r="AM179" t="s" s="44">
        <f>AM134</f>
        <v>372</v>
      </c>
      <c r="AN179" t="s" s="44">
        <f>AN134</f>
        <v>123</v>
      </c>
      <c r="AO179" s="15">
        <f>AO134</f>
        <v>10.2</v>
      </c>
      <c r="AP179" t="s" s="44">
        <f>AP134</f>
        <v>372</v>
      </c>
      <c r="AQ179" t="s" s="44">
        <f>AQ134</f>
        <v>124</v>
      </c>
      <c r="AR179" t="s" s="44">
        <f>AR134</f>
        <v>125</v>
      </c>
      <c r="AS179" t="s" s="44">
        <f>AS134</f>
        <v>364</v>
      </c>
      <c r="AT179" s="15">
        <f>AT134</f>
        <v>8.651590221563101</v>
      </c>
      <c r="AU179" t="s" s="44">
        <f>AU134</f>
        <v>372</v>
      </c>
      <c r="AV179" t="s" s="44">
        <f>AV134</f>
        <v>126</v>
      </c>
    </row>
    <row r="180" ht="20.05" customHeight="1">
      <c r="AC180" s="36"/>
      <c r="AD180" s="34"/>
      <c r="AE180" s="17"/>
      <c r="AF180" s="17"/>
      <c r="AG180" s="17"/>
      <c r="AH180" s="17"/>
      <c r="AI180" s="15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</row>
    <row r="181" ht="20.05" customHeight="1">
      <c r="AC181" t="s" s="33">
        <v>28</v>
      </c>
      <c r="AD181" s="14">
        <f>AE104</f>
        <v>69.8</v>
      </c>
      <c r="AE181" s="15">
        <f>AG104</f>
        <v>133.6</v>
      </c>
      <c r="AF181" s="15">
        <f>AI104</f>
        <v>97.59999999999999</v>
      </c>
      <c r="AG181" s="15">
        <f>AK104</f>
        <v>83.5</v>
      </c>
      <c r="AH181" s="15">
        <f>AM104</f>
        <v>94.40000000000001</v>
      </c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</row>
    <row r="182" ht="20.05" customHeight="1">
      <c r="AC182" t="s" s="33">
        <v>144</v>
      </c>
      <c r="AD182" s="14">
        <f>SUM(AE118:AE119)</f>
        <v>-46.1</v>
      </c>
      <c r="AE182" s="15">
        <f>SUM(AG118:AG119)</f>
        <v>-41.5</v>
      </c>
      <c r="AF182" s="15">
        <f>SUM(AI118:AI119)</f>
        <v>17.7</v>
      </c>
      <c r="AG182" s="15">
        <f>SUM(AK118:AK119)</f>
        <v>-45.7</v>
      </c>
      <c r="AH182" s="15">
        <f>SUM(AM118:AM119)</f>
        <v>1.2</v>
      </c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145</v>
      </c>
      <c r="AD183" s="14">
        <f>SUM(AE132:AE133)</f>
        <v>22.4</v>
      </c>
      <c r="AE183" s="15">
        <f>SUM(AG132:AG133)</f>
        <v>-33.5</v>
      </c>
      <c r="AF183" s="15">
        <f>SUM(AI132:AI133)</f>
        <v>7.8</v>
      </c>
      <c r="AG183" s="15">
        <f>SUM(AK132:AK133)</f>
        <v>30.5</v>
      </c>
      <c r="AH183" s="15">
        <f>SUM(AM132:AM133)</f>
        <v>12.6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146</v>
      </c>
      <c r="AD184" s="14">
        <f>(AE125-AE126)</f>
        <v>71</v>
      </c>
      <c r="AE184" s="15">
        <f>(AG125-AG126)</f>
        <v>-244</v>
      </c>
      <c r="AF184" s="15">
        <f>(AI125-AI126)</f>
        <v>-199</v>
      </c>
      <c r="AG184" s="15">
        <f>(AK125-AK126)</f>
        <v>-256</v>
      </c>
      <c r="AH184" s="15">
        <f>(AM125-AM126)</f>
        <v>-287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s="36"/>
      <c r="AD185" s="34"/>
      <c r="AE185" s="17"/>
      <c r="AF185" s="17"/>
      <c r="AG185" s="17"/>
      <c r="AH185" s="15">
        <f>AT136</f>
        <v>90.6199960267852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s="36"/>
      <c r="AD186" s="34"/>
      <c r="AE186" s="17"/>
      <c r="AF186" s="17"/>
      <c r="AG186" s="17"/>
      <c r="AH186" s="17"/>
      <c r="AI186" s="15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7"/>
      <c r="AI187" s="15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66" customWidth="1"/>
    <col min="2" max="28" width="10.4844" style="166" customWidth="1"/>
    <col min="29" max="29" width="18.9766" style="167" customWidth="1"/>
    <col min="30" max="48" width="9" style="167" customWidth="1"/>
    <col min="49" max="16384" width="16.3516" style="167" customWidth="1"/>
  </cols>
  <sheetData>
    <row r="1" ht="11.65" customHeight="1"/>
    <row r="2" ht="27.65" customHeight="1">
      <c r="B2" t="s" s="2">
        <v>546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299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5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5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5"/>
      <c r="AA15" s="24"/>
      <c r="AB15" s="15">
        <v>13.882</v>
      </c>
    </row>
    <row r="16" ht="20.05" customHeight="1">
      <c r="B16" s="21">
        <v>2020</v>
      </c>
      <c r="C16" s="14">
        <v>15.6</v>
      </c>
      <c r="D16" s="15">
        <v>3.8</v>
      </c>
      <c r="E16" s="15">
        <v>1.6</v>
      </c>
      <c r="F16" s="15"/>
      <c r="G16" s="15"/>
      <c r="H16" s="15"/>
      <c r="I16" s="15">
        <v>13.1</v>
      </c>
      <c r="J16" s="15">
        <v>0.07000000000000001</v>
      </c>
      <c r="K16" s="15">
        <v>-0.6</v>
      </c>
      <c r="L16" s="15">
        <v>0.1</v>
      </c>
      <c r="M16" s="15">
        <v>0</v>
      </c>
      <c r="N16" s="15">
        <f>SUM(C13:C16)/4</f>
        <v>3.9</v>
      </c>
      <c r="O16" s="15"/>
      <c r="P16" s="16"/>
      <c r="Q16" s="16">
        <f>(E16+D16)/C16</f>
        <v>0.346153846153846</v>
      </c>
      <c r="R16" s="16">
        <f>AVERAGE(Q13:Q16)</f>
        <v>0.346153846153846</v>
      </c>
      <c r="S16" s="17"/>
      <c r="T16" s="15">
        <f>SUM(J13:K16)/4</f>
        <v>-0.1325</v>
      </c>
      <c r="U16" s="25"/>
      <c r="V16" s="15">
        <f>-(L16+M16)+V15</f>
        <v>-0.1</v>
      </c>
      <c r="W16" s="17"/>
      <c r="X16" s="15">
        <f>F16-G16</f>
        <v>0</v>
      </c>
      <c r="Y16" s="24"/>
      <c r="Z16" s="15"/>
      <c r="AA16" s="24"/>
      <c r="AB16" s="15">
        <v>16.31</v>
      </c>
    </row>
    <row r="17" ht="20.05" customHeight="1">
      <c r="B17" s="13"/>
      <c r="C17" s="14">
        <v>28.7</v>
      </c>
      <c r="D17" s="15">
        <v>0</v>
      </c>
      <c r="E17" s="15">
        <v>6.6</v>
      </c>
      <c r="F17" s="15"/>
      <c r="G17" s="15"/>
      <c r="H17" s="15"/>
      <c r="I17" s="15">
        <v>21.4</v>
      </c>
      <c r="J17" s="15">
        <v>0.43</v>
      </c>
      <c r="K17" s="15">
        <v>9.9</v>
      </c>
      <c r="L17" s="15">
        <v>-0.2</v>
      </c>
      <c r="M17" s="15">
        <v>0</v>
      </c>
      <c r="N17" s="15">
        <f>SUM(C14:C17)/4</f>
        <v>11.075</v>
      </c>
      <c r="O17" s="15"/>
      <c r="P17" s="16">
        <f>C17/C16-1</f>
        <v>0.83974358974359</v>
      </c>
      <c r="Q17" s="16">
        <f>(E17+D17)/C17</f>
        <v>0.229965156794425</v>
      </c>
      <c r="R17" s="16">
        <f>AVERAGE(Q14:Q17)</f>
        <v>0.288059501474136</v>
      </c>
      <c r="S17" s="17"/>
      <c r="T17" s="25">
        <f>SUM(J14:K17)/4</f>
        <v>2.45</v>
      </c>
      <c r="U17" s="25"/>
      <c r="V17" s="15">
        <f>-(L17+M17)+V16</f>
        <v>0.1</v>
      </c>
      <c r="W17" s="17"/>
      <c r="X17" s="15">
        <f>F17-G17</f>
        <v>0</v>
      </c>
      <c r="Y17" s="24"/>
      <c r="Z17" s="15"/>
      <c r="AA17" s="24"/>
      <c r="AB17" s="15">
        <v>14.255</v>
      </c>
    </row>
    <row r="18" ht="20.05" customHeight="1">
      <c r="B18" s="13"/>
      <c r="C18" s="14">
        <v>56.4</v>
      </c>
      <c r="D18" s="15">
        <v>0</v>
      </c>
      <c r="E18" s="15">
        <v>19.5</v>
      </c>
      <c r="F18" s="15"/>
      <c r="G18" s="15"/>
      <c r="H18" s="15"/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f>SUM(C15:C18)/4</f>
        <v>25.175</v>
      </c>
      <c r="O18" s="15"/>
      <c r="P18" s="16">
        <f>C18/C17-1</f>
        <v>0.965156794425087</v>
      </c>
      <c r="Q18" s="16">
        <f>(E18+D18)/C18</f>
        <v>0.345744680851064</v>
      </c>
      <c r="R18" s="16">
        <f>AVERAGE(Q15:Q18)</f>
        <v>0.307287894599778</v>
      </c>
      <c r="S18" s="17"/>
      <c r="T18" s="25">
        <f>SUM(J15:K18)/4</f>
        <v>2.45</v>
      </c>
      <c r="U18" s="25"/>
      <c r="V18" s="15">
        <f>-(L18+M18)+V17</f>
        <v>0.1</v>
      </c>
      <c r="W18" s="17"/>
      <c r="X18" s="15">
        <f>F18-G18</f>
        <v>0</v>
      </c>
      <c r="Y18" s="24"/>
      <c r="Z18" s="15"/>
      <c r="AA18" s="24"/>
      <c r="AB18" s="15">
        <v>14.79</v>
      </c>
    </row>
    <row r="19" ht="20.05" customHeight="1">
      <c r="B19" s="13"/>
      <c r="C19" s="14">
        <v>82.5</v>
      </c>
      <c r="D19" s="15">
        <v>0</v>
      </c>
      <c r="E19" s="15">
        <v>25</v>
      </c>
      <c r="F19" s="15">
        <v>17</v>
      </c>
      <c r="G19" s="15">
        <v>34</v>
      </c>
      <c r="H19" s="15">
        <v>133</v>
      </c>
      <c r="I19" s="15">
        <v>103.1</v>
      </c>
      <c r="J19" s="15">
        <v>23.1</v>
      </c>
      <c r="K19" s="15">
        <v>-17.4</v>
      </c>
      <c r="L19" s="15">
        <v>-0.2</v>
      </c>
      <c r="M19" s="15">
        <v>0</v>
      </c>
      <c r="N19" s="15">
        <f>SUM(C16:C19)/4</f>
        <v>45.8</v>
      </c>
      <c r="O19" s="15"/>
      <c r="P19" s="16">
        <f>C19/C18-1</f>
        <v>0.462765957446809</v>
      </c>
      <c r="Q19" s="16">
        <f>(E19+D19)/C19</f>
        <v>0.303030303030303</v>
      </c>
      <c r="R19" s="16">
        <f>AVERAGE(Q16:Q19)</f>
        <v>0.30622349670741</v>
      </c>
      <c r="S19" s="17"/>
      <c r="T19" s="25">
        <f>SUM(J16:K19)/4</f>
        <v>3.875</v>
      </c>
      <c r="U19" s="25"/>
      <c r="V19" s="15">
        <f>-(L19+M19)+V18</f>
        <v>0.3</v>
      </c>
      <c r="W19" s="17"/>
      <c r="X19" s="15">
        <f>F19-G19</f>
        <v>-17</v>
      </c>
      <c r="Y19" s="24"/>
      <c r="Z19" s="15"/>
      <c r="AA19" s="24"/>
      <c r="AB19" s="15">
        <v>14.1</v>
      </c>
    </row>
    <row r="20" ht="20.05" customHeight="1">
      <c r="B20" s="21">
        <v>2021</v>
      </c>
      <c r="C20" s="14">
        <v>87.90000000000001</v>
      </c>
      <c r="D20" s="15">
        <v>1.2</v>
      </c>
      <c r="E20" s="15">
        <v>21.8</v>
      </c>
      <c r="F20" s="15">
        <v>64</v>
      </c>
      <c r="G20" s="15">
        <v>32</v>
      </c>
      <c r="H20" s="15">
        <v>196</v>
      </c>
      <c r="I20" s="15">
        <v>81.8</v>
      </c>
      <c r="J20" s="15">
        <v>10.2</v>
      </c>
      <c r="K20" s="15">
        <v>-11.9</v>
      </c>
      <c r="L20" s="15">
        <v>-0.1</v>
      </c>
      <c r="M20" s="15">
        <v>49.5</v>
      </c>
      <c r="N20" s="15">
        <f>SUM(C17:C20)/4</f>
        <v>63.875</v>
      </c>
      <c r="O20" s="15"/>
      <c r="P20" s="16">
        <f>C20/C19-1</f>
        <v>0.0654545454545455</v>
      </c>
      <c r="Q20" s="16">
        <f>(E20+D20)/C20</f>
        <v>0.261660978384528</v>
      </c>
      <c r="R20" s="16">
        <f>AVERAGE(Q17:Q20)</f>
        <v>0.28510027976508</v>
      </c>
      <c r="S20" s="17"/>
      <c r="T20" s="25">
        <f>SUM(J17:K20)/4</f>
        <v>3.5825</v>
      </c>
      <c r="U20" s="25"/>
      <c r="V20" s="15">
        <f>-(L20+M20)+V19</f>
        <v>-49.1</v>
      </c>
      <c r="W20" s="17"/>
      <c r="X20" s="15">
        <f>F20-G20</f>
        <v>32</v>
      </c>
      <c r="Y20" s="15"/>
      <c r="Z20" s="18">
        <v>675</v>
      </c>
      <c r="AA20" s="15"/>
      <c r="AB20" s="15">
        <v>14.606</v>
      </c>
    </row>
    <row r="21" ht="20.05" customHeight="1">
      <c r="B21" s="13"/>
      <c r="C21" s="14">
        <v>80.90000000000001</v>
      </c>
      <c r="D21" s="15">
        <v>1.2</v>
      </c>
      <c r="E21" s="15">
        <v>24.3</v>
      </c>
      <c r="F21" s="15">
        <v>53</v>
      </c>
      <c r="G21" s="15">
        <v>34</v>
      </c>
      <c r="H21" s="15">
        <v>222</v>
      </c>
      <c r="I21" s="15">
        <v>60.2</v>
      </c>
      <c r="J21" s="15">
        <v>-13.7</v>
      </c>
      <c r="K21" s="15">
        <v>-2.5</v>
      </c>
      <c r="L21" s="15">
        <v>4.8</v>
      </c>
      <c r="M21" s="15">
        <v>0</v>
      </c>
      <c r="N21" s="15">
        <f>SUM(C18:C21)/4</f>
        <v>76.925</v>
      </c>
      <c r="O21" s="15"/>
      <c r="P21" s="16">
        <f>C21/C20-1</f>
        <v>-0.07963594994311721</v>
      </c>
      <c r="Q21" s="16">
        <f>(E21+D21)/C21</f>
        <v>0.315203955500618</v>
      </c>
      <c r="R21" s="16">
        <f>AVERAGE(Q18:Q21)</f>
        <v>0.306409979441628</v>
      </c>
      <c r="S21" s="17"/>
      <c r="T21" s="25">
        <f>SUM(J18:K21)/4</f>
        <v>-3.05</v>
      </c>
      <c r="U21" s="25"/>
      <c r="V21" s="15">
        <f>-(L21+M21)+V20</f>
        <v>-53.9</v>
      </c>
      <c r="W21" s="17"/>
      <c r="X21" s="15">
        <f>F21-G21</f>
        <v>19</v>
      </c>
      <c r="Y21" s="15"/>
      <c r="Z21" s="18">
        <v>1260</v>
      </c>
      <c r="AA21" s="15"/>
      <c r="AB21" s="15">
        <v>14.45</v>
      </c>
    </row>
    <row r="22" ht="20.05" customHeight="1">
      <c r="B22" s="13"/>
      <c r="C22" s="14">
        <v>82</v>
      </c>
      <c r="D22" s="15">
        <v>1.7</v>
      </c>
      <c r="E22" s="15">
        <v>17.9</v>
      </c>
      <c r="F22" s="15">
        <v>37</v>
      </c>
      <c r="G22" s="15">
        <v>45</v>
      </c>
      <c r="H22" s="15">
        <v>245</v>
      </c>
      <c r="I22" s="15">
        <v>90</v>
      </c>
      <c r="J22" s="15">
        <v>1</v>
      </c>
      <c r="K22" s="15">
        <v>-11.6</v>
      </c>
      <c r="L22" s="15">
        <v>1.3</v>
      </c>
      <c r="M22" s="15">
        <v>-6</v>
      </c>
      <c r="N22" s="15">
        <f>SUM(C19:C22)/4</f>
        <v>83.325</v>
      </c>
      <c r="O22" s="15"/>
      <c r="P22" s="16">
        <f>C22/C21-1</f>
        <v>0.0135970333745365</v>
      </c>
      <c r="Q22" s="16">
        <f>(E22+D22)/C22</f>
        <v>0.239024390243902</v>
      </c>
      <c r="R22" s="16">
        <f>AVERAGE(Q19:Q22)</f>
        <v>0.279729906789838</v>
      </c>
      <c r="S22" s="17"/>
      <c r="T22" s="25">
        <f>SUM(J19:K22)/4</f>
        <v>-5.7</v>
      </c>
      <c r="U22" s="25"/>
      <c r="V22" s="15">
        <f>-(L22+M22)+V21</f>
        <v>-49.2</v>
      </c>
      <c r="W22" s="17"/>
      <c r="X22" s="15">
        <f>F22-G22</f>
        <v>-8</v>
      </c>
      <c r="Y22" s="15"/>
      <c r="Z22" s="18">
        <v>805</v>
      </c>
      <c r="AA22" s="15"/>
      <c r="AB22" s="15">
        <v>14.328</v>
      </c>
    </row>
    <row r="23" ht="20.05" customHeight="1">
      <c r="B23" s="13"/>
      <c r="C23" s="14">
        <v>51.4</v>
      </c>
      <c r="D23" s="15">
        <v>3.4</v>
      </c>
      <c r="E23" s="15">
        <v>0.3</v>
      </c>
      <c r="F23" s="15">
        <v>45</v>
      </c>
      <c r="G23" s="15">
        <v>40</v>
      </c>
      <c r="H23" s="15">
        <v>242</v>
      </c>
      <c r="I23" s="15">
        <v>79.3</v>
      </c>
      <c r="J23" s="15">
        <v>60.8</v>
      </c>
      <c r="K23" s="15">
        <v>-49.6</v>
      </c>
      <c r="L23" s="15">
        <v>-4</v>
      </c>
      <c r="M23" s="15">
        <v>0</v>
      </c>
      <c r="N23" s="15">
        <f>SUM(C20:C23)/4</f>
        <v>75.55</v>
      </c>
      <c r="O23" s="15"/>
      <c r="P23" s="16">
        <f>C23/C22-1</f>
        <v>-0.373170731707317</v>
      </c>
      <c r="Q23" s="16">
        <f>(E23+D23)/C23</f>
        <v>0.07198443579766541</v>
      </c>
      <c r="R23" s="16">
        <f>AVERAGE(Q20:Q23)</f>
        <v>0.221968439981678</v>
      </c>
      <c r="S23" s="17"/>
      <c r="T23" s="25">
        <f>SUM(J20:K23)/4</f>
        <v>-4.325</v>
      </c>
      <c r="U23" s="25"/>
      <c r="V23" s="15">
        <f>-(L23+M23)+V22</f>
        <v>-45.2</v>
      </c>
      <c r="W23" s="17"/>
      <c r="X23" s="15">
        <f>F23-G23</f>
        <v>5</v>
      </c>
      <c r="Y23" s="15"/>
      <c r="Z23" s="15">
        <v>745</v>
      </c>
      <c r="AA23" s="15"/>
      <c r="AB23" s="15">
        <v>14.275</v>
      </c>
    </row>
    <row r="24" ht="20.05" customHeight="1">
      <c r="B24" s="21">
        <v>2022</v>
      </c>
      <c r="C24" s="14">
        <v>57.9</v>
      </c>
      <c r="D24" s="15">
        <v>3</v>
      </c>
      <c r="E24" s="15">
        <v>8.4</v>
      </c>
      <c r="F24" s="15">
        <v>54</v>
      </c>
      <c r="G24" s="15">
        <v>40</v>
      </c>
      <c r="H24" s="15">
        <v>250</v>
      </c>
      <c r="I24" s="15">
        <v>42.9</v>
      </c>
      <c r="J24" s="15">
        <v>-1.2</v>
      </c>
      <c r="K24" s="15">
        <v>11.7</v>
      </c>
      <c r="L24" s="15">
        <v>-1.4</v>
      </c>
      <c r="M24" s="15">
        <v>0</v>
      </c>
      <c r="N24" s="15">
        <f>SUM(C21:C24)/4</f>
        <v>68.05</v>
      </c>
      <c r="O24" s="15"/>
      <c r="P24" s="16">
        <f>C24/C23-1</f>
        <v>0.126459143968872</v>
      </c>
      <c r="Q24" s="16">
        <f>(E24+D24)/C24</f>
        <v>0.196891191709845</v>
      </c>
      <c r="R24" s="16">
        <f>AVERAGE(Q21:Q24)</f>
        <v>0.205775993313008</v>
      </c>
      <c r="S24" s="35"/>
      <c r="T24" s="25">
        <f>SUM(J21:K24)/4</f>
        <v>-1.275</v>
      </c>
      <c r="U24" s="15"/>
      <c r="V24" s="15">
        <f>-(L24+M24)+V23</f>
        <v>-43.8</v>
      </c>
      <c r="W24" s="15"/>
      <c r="X24" s="15">
        <f>F24-G24</f>
        <v>14</v>
      </c>
      <c r="Y24" s="15"/>
      <c r="Z24" s="15">
        <v>450</v>
      </c>
      <c r="AA24" s="17"/>
      <c r="AB24" s="15">
        <v>14.327</v>
      </c>
    </row>
    <row r="25" ht="20.05" customHeight="1">
      <c r="B25" s="13"/>
      <c r="C25" s="14">
        <v>39</v>
      </c>
      <c r="D25" s="15">
        <v>3.2</v>
      </c>
      <c r="E25" s="15">
        <v>2</v>
      </c>
      <c r="F25" s="15">
        <v>32</v>
      </c>
      <c r="G25" s="15">
        <v>23</v>
      </c>
      <c r="H25" s="15">
        <v>235</v>
      </c>
      <c r="I25" s="15">
        <v>80.90000000000001</v>
      </c>
      <c r="J25" s="15">
        <v>13.9</v>
      </c>
      <c r="K25" s="15">
        <v>-43</v>
      </c>
      <c r="L25" s="15">
        <v>6.9</v>
      </c>
      <c r="M25" s="15">
        <v>0</v>
      </c>
      <c r="N25" s="15">
        <f>SUM(C22:C25)/4</f>
        <v>57.575</v>
      </c>
      <c r="O25" s="15">
        <v>82.81999999999999</v>
      </c>
      <c r="P25" s="16">
        <f>C25/C24-1</f>
        <v>-0.326424870466321</v>
      </c>
      <c r="Q25" s="16">
        <f>(E25+D25)/C25</f>
        <v>0.133333333333333</v>
      </c>
      <c r="R25" s="16">
        <f>AVERAGE(Q22:Q25)</f>
        <v>0.160308337771186</v>
      </c>
      <c r="S25" s="35"/>
      <c r="T25" s="25">
        <f>SUM(J22:K25)/4</f>
        <v>-4.5</v>
      </c>
      <c r="U25" s="15">
        <v>6.2267365342096</v>
      </c>
      <c r="V25" s="15">
        <f>-(L25+M25)+V24</f>
        <v>-50.7</v>
      </c>
      <c r="W25" s="15"/>
      <c r="X25" s="15">
        <f>F25-G25</f>
        <v>9</v>
      </c>
      <c r="Y25" s="15"/>
      <c r="Z25" s="15">
        <v>300</v>
      </c>
      <c r="AA25" s="17"/>
      <c r="AB25" s="15">
        <v>14.66</v>
      </c>
    </row>
    <row r="26" ht="20.05" customHeight="1">
      <c r="B26" s="13"/>
      <c r="C26" s="14">
        <v>46.9</v>
      </c>
      <c r="D26" s="15">
        <v>3.9</v>
      </c>
      <c r="E26" s="15">
        <v>1.8</v>
      </c>
      <c r="F26" s="15">
        <v>28</v>
      </c>
      <c r="G26" s="15">
        <v>25</v>
      </c>
      <c r="H26" s="15">
        <v>239</v>
      </c>
      <c r="I26" s="15">
        <v>17.9</v>
      </c>
      <c r="J26" s="15">
        <v>-27.5</v>
      </c>
      <c r="K26" s="15">
        <v>24.5</v>
      </c>
      <c r="L26" s="15">
        <v>-0.3</v>
      </c>
      <c r="M26" s="15">
        <v>0</v>
      </c>
      <c r="N26" s="15">
        <f>SUM(C23:C26)/4</f>
        <v>48.8</v>
      </c>
      <c r="O26" s="15">
        <v>71.86499999999999</v>
      </c>
      <c r="P26" s="16">
        <f>C26/C25-1</f>
        <v>0.202564102564103</v>
      </c>
      <c r="Q26" s="16">
        <f>(E26+D26)/C26</f>
        <v>0.121535181236674</v>
      </c>
      <c r="R26" s="16">
        <f>AVERAGE(Q23:Q26)</f>
        <v>0.130936035519379</v>
      </c>
      <c r="S26" s="35">
        <f>S27</f>
        <v>0.121535181236674</v>
      </c>
      <c r="T26" s="25">
        <f>SUM(J23:K26)/4</f>
        <v>-2.6</v>
      </c>
      <c r="U26" s="15">
        <v>1.178756476684</v>
      </c>
      <c r="V26" s="15">
        <f>-(L26+M26)+V25</f>
        <v>-50.4</v>
      </c>
      <c r="W26" s="15">
        <f>W27</f>
        <v>-45.76265625</v>
      </c>
      <c r="X26" s="15">
        <f>F26-G26</f>
        <v>3</v>
      </c>
      <c r="Y26" s="15">
        <v>13.715025906736</v>
      </c>
      <c r="Z26" s="15">
        <v>264</v>
      </c>
      <c r="AA26" s="15"/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47.366619707750</v>
      </c>
      <c r="P27" s="17"/>
      <c r="Q27" s="17"/>
      <c r="R27" s="17"/>
      <c r="S27" s="35">
        <f>AE53</f>
        <v>0.121535181236674</v>
      </c>
      <c r="T27" s="25"/>
      <c r="U27" s="15">
        <f>SUM(AE55:AH55)/4</f>
        <v>3.49004404408334</v>
      </c>
      <c r="V27" s="17"/>
      <c r="W27" s="15">
        <f>-SUM(AE76:AH76)+V26</f>
        <v>-45.76265625</v>
      </c>
      <c r="X27" s="26"/>
      <c r="Y27" s="15">
        <f>AH75</f>
        <v>16.9601761763332</v>
      </c>
      <c r="Z27" s="15">
        <v>246</v>
      </c>
      <c r="AA27" s="15">
        <v>132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SUM(N25:N26)</f>
        <v>106.375</v>
      </c>
      <c r="O28" s="15">
        <f>SUM(O25:O26)</f>
        <v>154.685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167.522114116001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299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-0.0926430889101658</v>
      </c>
      <c r="AF49" s="35"/>
      <c r="AG49" s="35"/>
      <c r="AH49" s="35">
        <f>AVERAGE(AE51:AH51)</f>
        <v>0.005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-0.373170731707317</v>
      </c>
      <c r="AF50" s="35">
        <f>P24</f>
        <v>0.126459143968872</v>
      </c>
      <c r="AG50" s="35">
        <f>P25</f>
        <v>-0.326424870466321</v>
      </c>
      <c r="AH50" s="35">
        <f>P26</f>
        <v>0.202564102564103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-0.01</v>
      </c>
      <c r="AG51" s="35">
        <v>0.01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46.9</v>
      </c>
      <c r="AE52" s="23">
        <f>C26*(1+AE51)</f>
        <v>47.369</v>
      </c>
      <c r="AF52" s="23">
        <f>AE52*(1+AF51)</f>
        <v>46.89531</v>
      </c>
      <c r="AG52" s="23">
        <f>AF52*(1+AG51)</f>
        <v>47.3642631</v>
      </c>
      <c r="AH52" s="23">
        <f>AG52*(1+AH51)</f>
        <v>47.837905731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0.121535181236674</v>
      </c>
      <c r="AF53" s="35">
        <f>AE53</f>
        <v>0.121535181236674</v>
      </c>
      <c r="AG53" s="35">
        <f>AF53</f>
        <v>0.121535181236674</v>
      </c>
      <c r="AH53" s="35">
        <f>AG53</f>
        <v>0.121535181236674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-2.26666666666667</v>
      </c>
      <c r="AF54" s="15">
        <f>AE54</f>
        <v>-2.26666666666667</v>
      </c>
      <c r="AG54" s="15">
        <f>AF54</f>
        <v>-2.26666666666667</v>
      </c>
      <c r="AH54" s="15">
        <f>AG54</f>
        <v>-2.26666666666667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3.49033333333334</v>
      </c>
      <c r="AF55" s="15">
        <f>(AF52*AF53)+AF54</f>
        <v>3.43276333333334</v>
      </c>
      <c r="AG55" s="15">
        <f>(AG52*AG53)+AG54</f>
        <v>3.48975763333334</v>
      </c>
      <c r="AH55" s="15">
        <f>(AH52*AH53)+AH54</f>
        <v>3.54732187633334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-1.25</v>
      </c>
      <c r="AF56" s="15">
        <f>-AE71/20</f>
        <v>-1.1875</v>
      </c>
      <c r="AG56" s="15">
        <f>-AF71/20</f>
        <v>-1.128125</v>
      </c>
      <c r="AH56" s="15">
        <f>-AG71/20</f>
        <v>-1.07171875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2.24033333333334</v>
      </c>
      <c r="AF59" s="15">
        <f>AF55+AF56+AF58</f>
        <v>2.24526333333334</v>
      </c>
      <c r="AG59" s="15">
        <f>AG55+AG56+AG58</f>
        <v>2.36163263333334</v>
      </c>
      <c r="AH59" s="15">
        <f>AH55+AH56+AH58</f>
        <v>2.47560312633334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28</v>
      </c>
      <c r="AF61" s="15">
        <f>AE63</f>
        <v>30.2403333333333</v>
      </c>
      <c r="AG61" s="15">
        <f>AF63</f>
        <v>32.4855966666666</v>
      </c>
      <c r="AH61" s="15">
        <f>AG63</f>
        <v>34.8472292999999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2.24033333333334</v>
      </c>
      <c r="AF62" s="15">
        <f>AF55+AF56+AF58+AF60</f>
        <v>2.24526333333334</v>
      </c>
      <c r="AG62" s="15">
        <f>AG55+AG56+AG58+AG60</f>
        <v>2.36163263333334</v>
      </c>
      <c r="AH62" s="15">
        <f>AH55+AH56+AH58+AH60</f>
        <v>2.47560312633334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30.2403333333333</v>
      </c>
      <c r="AF63" s="15">
        <f>AF61+AF62</f>
        <v>32.4855966666666</v>
      </c>
      <c r="AG63" s="15">
        <f>AG61+AG62</f>
        <v>34.8472292999999</v>
      </c>
      <c r="AH63" s="15">
        <f>AH61+AH62</f>
        <v>37.3228324263332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-3.36666666666667</v>
      </c>
      <c r="AF65" s="15">
        <f>AE65</f>
        <v>-3.36666666666667</v>
      </c>
      <c r="AG65" s="15">
        <f>AF65</f>
        <v>-3.36666666666667</v>
      </c>
      <c r="AH65" s="15">
        <f>AG65</f>
        <v>-3.36666666666667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2.39033333333334</v>
      </c>
      <c r="AF66" s="15">
        <f>(AF52*AF53)+AF65</f>
        <v>2.33276333333334</v>
      </c>
      <c r="AG66" s="15">
        <f>(AG52*AG53)+AG65</f>
        <v>2.38975763333334</v>
      </c>
      <c r="AH66" s="15">
        <f>(AH52*AH53)+AH65</f>
        <v>2.44732187633334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213.266666666667</v>
      </c>
      <c r="AF68" s="15">
        <f>AE68-AF54</f>
        <v>215.533333333334</v>
      </c>
      <c r="AG68" s="15">
        <f>AF68-AG54</f>
        <v>217.800000000001</v>
      </c>
      <c r="AH68" s="15">
        <f>AG68-AH54</f>
        <v>220.066666666668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3.36666666666667</v>
      </c>
      <c r="AF69" s="15">
        <f>AE69-AF65</f>
        <v>6.73333333333334</v>
      </c>
      <c r="AG69" s="15">
        <f>AF69-AG65</f>
        <v>10.1</v>
      </c>
      <c r="AH69" s="15">
        <f>AG69-AH65</f>
        <v>13.4666666666667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209.9</v>
      </c>
      <c r="AF70" s="15">
        <f>AF68-AF69</f>
        <v>208.800000000001</v>
      </c>
      <c r="AG70" s="15">
        <f>AG68-AG69</f>
        <v>207.700000000001</v>
      </c>
      <c r="AH70" s="15">
        <f>AH68-AH69</f>
        <v>206.600000000001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23.75</v>
      </c>
      <c r="AF71" s="15">
        <f>AE71+AF56</f>
        <v>22.5625</v>
      </c>
      <c r="AG71" s="15">
        <f>AF71+AG56</f>
        <v>21.434375</v>
      </c>
      <c r="AH71" s="15">
        <f>AG71+AH56</f>
        <v>20.36265625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216.390333333333</v>
      </c>
      <c r="AF73" s="15">
        <f>AE73+AF66+AF58</f>
        <v>218.723096666666</v>
      </c>
      <c r="AG73" s="15">
        <f>AF73+AG66+AG58</f>
        <v>221.112854299999</v>
      </c>
      <c r="AH73" s="15">
        <f>AG73+AH66+AH58</f>
        <v>223.560176176332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-3e-13</v>
      </c>
      <c r="AF74" s="15">
        <f>AF71+AF72+AF73-AF63-AF70</f>
        <v>-1.6e-12</v>
      </c>
      <c r="AG74" s="15">
        <f>AG71+AG72+AG73-AG63-AG70</f>
        <v>-1.9e-12</v>
      </c>
      <c r="AH74" s="15">
        <f>AH71+AH72+AH73-AH63-AH70</f>
        <v>-2.2e-12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6.4903333333333</v>
      </c>
      <c r="AF75" s="15">
        <f>AF63-AF71-AF72</f>
        <v>9.9230966666666</v>
      </c>
      <c r="AG75" s="15">
        <f>AG63-AG71-AG72</f>
        <v>13.4128542999999</v>
      </c>
      <c r="AH75" s="15">
        <f>AH63-AH71-AH72</f>
        <v>16.9601761763332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-1.25</v>
      </c>
      <c r="AF76" s="15">
        <f>AF56+AF58+AF60</f>
        <v>-1.1875</v>
      </c>
      <c r="AG76" s="15">
        <f>AG56+AG58+AG60</f>
        <v>-1.128125</v>
      </c>
      <c r="AH76" s="15">
        <f>AH56+AH58+AH60</f>
        <v>-1.07171875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547</v>
      </c>
      <c r="AD78" s="14"/>
      <c r="AE78" s="15"/>
      <c r="AF78" s="15"/>
      <c r="AG78" s="15"/>
      <c r="AH78" s="15">
        <v>246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547</v>
      </c>
      <c r="AD79" s="14"/>
      <c r="AE79" s="15"/>
      <c r="AF79" s="15"/>
      <c r="AG79" s="15"/>
      <c r="AH79" s="15">
        <v>307500000000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307.5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1.25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1.26064459378917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13.9601761763334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14.7992401664851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22.0269426485679</v>
      </c>
      <c r="AH86" s="15">
        <v>15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209.402642645001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167.522114116001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-0.319015796276419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-0.428048780487805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0.454148061104583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547</v>
      </c>
      <c r="AF94" t="s" s="44">
        <v>60</v>
      </c>
      <c r="AG94" s="15">
        <f>AH78</f>
        <v>246</v>
      </c>
      <c r="AH94" t="s" s="44">
        <v>61</v>
      </c>
      <c r="AI94" s="15">
        <f>AH88</f>
        <v>167.522114116001</v>
      </c>
      <c r="AJ94" t="s" s="44">
        <f>IF(AK94&gt;0,"+","")</f>
      </c>
      <c r="AK94" s="16">
        <f>AI94/AG94-1</f>
        <v>-0.319015796276419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-0.428048780487805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-0.0338211382113821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-0.00390243902439024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0.00975609756097561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0.202564102564103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0.0135970333745365</v>
      </c>
      <c r="AF103" s="16">
        <f>P23</f>
        <v>-0.373170731707317</v>
      </c>
      <c r="AG103" s="16">
        <f>P24</f>
        <v>0.126459143968872</v>
      </c>
      <c r="AH103" s="16">
        <f>P25</f>
        <v>-0.326424870466321</v>
      </c>
      <c r="AI103" s="16">
        <f>P26</f>
        <v>0.202564102564103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82</v>
      </c>
      <c r="AF104" t="s" s="44">
        <v>72</v>
      </c>
      <c r="AG104" s="15">
        <f>C23</f>
        <v>51.4</v>
      </c>
      <c r="AH104" t="s" s="44">
        <v>72</v>
      </c>
      <c r="AI104" s="15">
        <f>C24</f>
        <v>57.9</v>
      </c>
      <c r="AJ104" t="s" s="44">
        <v>72</v>
      </c>
      <c r="AK104" s="15">
        <f>C25</f>
        <v>39</v>
      </c>
      <c r="AL104" t="s" s="44">
        <v>72</v>
      </c>
      <c r="AM104" s="15">
        <f>C26</f>
        <v>46.9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0.202564102564103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46.9</v>
      </c>
      <c r="AM105" t="s" s="44">
        <v>372</v>
      </c>
      <c r="AN105" t="s" s="44">
        <v>373</v>
      </c>
      <c r="AO105" s="16">
        <f>AH91</f>
        <v>0.454148061104583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-0.0926430889101658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0.005</v>
      </c>
      <c r="AG107" t="s" s="44">
        <v>82</v>
      </c>
      <c r="AH107" t="s" s="44">
        <v>83</v>
      </c>
      <c r="AI107" s="23">
        <f>AH52</f>
        <v>47.837905731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0.239024390243902</v>
      </c>
      <c r="AF110" s="16">
        <f>(D23+E23)/C23</f>
        <v>0.07198443579766541</v>
      </c>
      <c r="AG110" s="16">
        <f>((E24+D24)/C24)</f>
        <v>0.196891191709845</v>
      </c>
      <c r="AH110" s="16">
        <f>(D25+E25)/C25</f>
        <v>0.133333333333333</v>
      </c>
      <c r="AI110" s="16">
        <f>(D26+E26)/C26</f>
        <v>0.121535181236674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17.9</v>
      </c>
      <c r="AF111" t="s" s="44">
        <v>72</v>
      </c>
      <c r="AG111" s="15">
        <f>E23</f>
        <v>0.3</v>
      </c>
      <c r="AH111" t="s" s="44">
        <v>72</v>
      </c>
      <c r="AI111" s="15">
        <f>E24</f>
        <v>8.4</v>
      </c>
      <c r="AJ111" t="s" s="44">
        <v>72</v>
      </c>
      <c r="AK111" s="15">
        <f>E25</f>
        <v>2</v>
      </c>
      <c r="AL111" t="s" s="44">
        <v>72</v>
      </c>
      <c r="AM111" s="15">
        <f>E26</f>
        <v>1.8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0.133333333333333</v>
      </c>
      <c r="AG112" t="s" s="44">
        <v>76</v>
      </c>
      <c r="AH112" s="16">
        <f>AI110</f>
        <v>0.121535181236674</v>
      </c>
      <c r="AI112" t="s" s="44">
        <v>90</v>
      </c>
      <c r="AJ112" s="15">
        <f>AK111</f>
        <v>2</v>
      </c>
      <c r="AK112" t="s" s="44">
        <v>76</v>
      </c>
      <c r="AL112" s="15">
        <f>AM111</f>
        <v>1.8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0.130936035519379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0.121535181236674</v>
      </c>
      <c r="AG114" t="s" s="44">
        <v>94</v>
      </c>
      <c r="AH114" s="15">
        <f>AH66</f>
        <v>2.44732187633334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</v>
      </c>
      <c r="AF117" t="s" s="44">
        <v>72</v>
      </c>
      <c r="AG117" s="15">
        <f>J23</f>
        <v>60.8</v>
      </c>
      <c r="AH117" t="s" s="44">
        <v>72</v>
      </c>
      <c r="AI117" s="15">
        <f>J24</f>
        <v>-1.2</v>
      </c>
      <c r="AJ117" t="s" s="44">
        <v>72</v>
      </c>
      <c r="AK117" s="15">
        <f>J25</f>
        <v>13.9</v>
      </c>
      <c r="AL117" t="s" s="44">
        <v>72</v>
      </c>
      <c r="AM117" s="15">
        <f>J26</f>
        <v>-27.5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-11.6</v>
      </c>
      <c r="AF118" t="s" s="44">
        <v>72</v>
      </c>
      <c r="AG118" s="15">
        <f>K23</f>
        <v>-49.6</v>
      </c>
      <c r="AH118" t="s" s="44">
        <v>72</v>
      </c>
      <c r="AI118" s="15">
        <f>K24</f>
        <v>11.7</v>
      </c>
      <c r="AJ118" t="s" s="44">
        <v>72</v>
      </c>
      <c r="AK118" s="15">
        <f>K25</f>
        <v>-43</v>
      </c>
      <c r="AL118" t="s" s="44">
        <v>72</v>
      </c>
      <c r="AM118" s="15">
        <f>K26</f>
        <v>24.5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-29.1</v>
      </c>
      <c r="AG119" t="s" s="44">
        <v>76</v>
      </c>
      <c r="AH119" s="15">
        <f>AM117+AM118</f>
        <v>-3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24.5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-2.6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-2.26666666666667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3.49004404408334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37</v>
      </c>
      <c r="AF124" t="s" s="44">
        <v>72</v>
      </c>
      <c r="AG124" s="15">
        <f>F23</f>
        <v>45</v>
      </c>
      <c r="AH124" t="s" s="44">
        <v>72</v>
      </c>
      <c r="AI124" s="15">
        <f>F24</f>
        <v>54</v>
      </c>
      <c r="AJ124" t="s" s="44">
        <v>72</v>
      </c>
      <c r="AK124" s="15">
        <f>F25</f>
        <v>32</v>
      </c>
      <c r="AL124" t="s" s="44">
        <v>72</v>
      </c>
      <c r="AM124" s="15">
        <f>F26</f>
        <v>28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45</v>
      </c>
      <c r="AF125" t="s" s="44">
        <v>72</v>
      </c>
      <c r="AG125" s="15">
        <f>G23</f>
        <v>40</v>
      </c>
      <c r="AH125" t="s" s="44">
        <v>72</v>
      </c>
      <c r="AI125" s="15">
        <f>G24</f>
        <v>40</v>
      </c>
      <c r="AJ125" t="s" s="44">
        <v>72</v>
      </c>
      <c r="AK125" s="15">
        <f>G25</f>
        <v>23</v>
      </c>
      <c r="AL125" t="s" s="44">
        <v>72</v>
      </c>
      <c r="AM125" s="15">
        <f>G26</f>
        <v>25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32</v>
      </c>
      <c r="AH126" t="s" s="44">
        <v>76</v>
      </c>
      <c r="AI126" s="15">
        <f>AM124</f>
        <v>28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23</v>
      </c>
      <c r="AH127" t="s" s="44">
        <v>76</v>
      </c>
      <c r="AI127" s="15">
        <f>AM125</f>
        <v>25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9</v>
      </c>
      <c r="AO127" t="s" s="44">
        <v>76</v>
      </c>
      <c r="AP127" s="15">
        <f>AI126-AI127</f>
        <v>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-4.63734375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16.9601761763332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-1.3</v>
      </c>
      <c r="AF131" t="s" s="44">
        <v>72</v>
      </c>
      <c r="AG131" s="15">
        <f>-L23</f>
        <v>4</v>
      </c>
      <c r="AH131" t="s" s="44">
        <v>72</v>
      </c>
      <c r="AI131" s="15">
        <f>-L24</f>
        <v>1.4</v>
      </c>
      <c r="AJ131" t="s" s="44">
        <v>72</v>
      </c>
      <c r="AK131" s="15">
        <f>-L25</f>
        <v>-6.9</v>
      </c>
      <c r="AL131" t="s" s="44">
        <v>72</v>
      </c>
      <c r="AM131" s="15">
        <f>-L26</f>
        <v>0.3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6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547</v>
      </c>
      <c r="AF133" t="s" s="44">
        <f>IF(AG133&gt;0,"paid","(raised)")</f>
        <v>374</v>
      </c>
      <c r="AG133" s="15">
        <f>SUM(AM131:AM132)</f>
        <v>0.3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0.3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4.63734375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307.5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1.26064459378917</v>
      </c>
      <c r="AK134" t="s" s="44">
        <v>130</v>
      </c>
      <c r="AL134" t="s" s="44">
        <v>131</v>
      </c>
      <c r="AM134" t="s" s="44">
        <v>132</v>
      </c>
      <c r="AN134" s="15">
        <f>AH85</f>
        <v>14.7992401664851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13.9601761763334</v>
      </c>
      <c r="AG135" t="s" s="44">
        <f>AG134</f>
        <v>372</v>
      </c>
      <c r="AH135" t="s" s="44">
        <v>136</v>
      </c>
      <c r="AI135" s="15">
        <f>AF134/AF135</f>
        <v>22.0269426485679</v>
      </c>
      <c r="AJ135" t="s" s="44">
        <v>130</v>
      </c>
      <c r="AK135" t="s" s="44">
        <v>137</v>
      </c>
      <c r="AL135" t="s" s="44">
        <v>138</v>
      </c>
      <c r="AM135" s="15">
        <f>AH86</f>
        <v>15</v>
      </c>
      <c r="AN135" t="s" s="44">
        <v>139</v>
      </c>
      <c r="AO135" t="s" s="44">
        <v>140</v>
      </c>
      <c r="AP135" t="s" s="44">
        <v>141</v>
      </c>
      <c r="AQ135" s="16">
        <f>AK94</f>
        <v>-0.319015796276419</v>
      </c>
      <c r="AR135" t="s" s="44">
        <f>IF(AQ135&gt;0,"higher","lower")</f>
        <v>104</v>
      </c>
      <c r="AS135" t="s" s="44">
        <v>142</v>
      </c>
      <c r="AT135" s="15">
        <f>AI94</f>
        <v>167.522114116001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82</v>
      </c>
      <c r="AE137" s="15">
        <f>AG104</f>
        <v>51.4</v>
      </c>
      <c r="AF137" s="15">
        <f>AI104</f>
        <v>57.9</v>
      </c>
      <c r="AG137" s="15">
        <f>AK104</f>
        <v>39</v>
      </c>
      <c r="AH137" s="15">
        <f>AM104</f>
        <v>46.9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-10.6</v>
      </c>
      <c r="AE138" s="15">
        <f>SUM(AG117:AG118)</f>
        <v>11.2</v>
      </c>
      <c r="AF138" s="15">
        <f>SUM(AI117:AI118)</f>
        <v>10.5</v>
      </c>
      <c r="AG138" s="15">
        <f>SUM(AK117:AK118)</f>
        <v>-29.1</v>
      </c>
      <c r="AH138" s="15">
        <f>SUM(AM117:AM118)</f>
        <v>-3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4.7</v>
      </c>
      <c r="AE139" s="15">
        <f>SUM(AG131:AG132)</f>
        <v>4</v>
      </c>
      <c r="AF139" s="15">
        <f>SUM(AI131:AI132)</f>
        <v>1.4</v>
      </c>
      <c r="AG139" s="15">
        <f>SUM(AK131:AK132)</f>
        <v>-6.9</v>
      </c>
      <c r="AH139" s="15">
        <f>SUM(AM131:AM132)</f>
        <v>0.3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</v>
      </c>
      <c r="AE140" s="15">
        <f>(AG124-AG125)</f>
        <v>5</v>
      </c>
      <c r="AF140" s="15">
        <f>(AI124-AI125)</f>
        <v>14</v>
      </c>
      <c r="AG140" s="15">
        <f>(AK124-AK125)</f>
        <v>9</v>
      </c>
      <c r="AH140" s="15">
        <f>(AM124-AM125)</f>
        <v>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167.522114116001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62" customWidth="1"/>
    <col min="2" max="28" width="10.4844" style="62" customWidth="1"/>
    <col min="29" max="29" width="18.9766" style="63" customWidth="1"/>
    <col min="30" max="48" width="9" style="63" customWidth="1"/>
    <col min="49" max="16384" width="16.3516" style="63" customWidth="1"/>
  </cols>
  <sheetData>
    <row r="1" ht="11.65" customHeight="1"/>
    <row r="2" ht="27.65" customHeight="1">
      <c r="B2" t="s" s="2">
        <v>365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247</v>
      </c>
      <c r="AA3" t="s" s="3">
        <v>19</v>
      </c>
      <c r="AB3" t="s" s="3">
        <v>20</v>
      </c>
    </row>
    <row r="4" ht="20.25" customHeight="1">
      <c r="B4" s="6">
        <v>2017</v>
      </c>
      <c r="C4" s="7">
        <v>1295</v>
      </c>
      <c r="D4" s="8">
        <v>17.3</v>
      </c>
      <c r="E4" s="8">
        <v>153</v>
      </c>
      <c r="F4" s="8">
        <v>895</v>
      </c>
      <c r="G4" s="8">
        <v>716</v>
      </c>
      <c r="H4" s="8">
        <v>3919</v>
      </c>
      <c r="I4" s="8">
        <v>1489</v>
      </c>
      <c r="J4" s="8">
        <v>243</v>
      </c>
      <c r="K4" s="8">
        <v>-52</v>
      </c>
      <c r="L4" s="8">
        <v>-1.25</v>
      </c>
      <c r="M4" s="8">
        <v>-70.25</v>
      </c>
      <c r="N4" s="8"/>
      <c r="O4" s="8"/>
      <c r="P4" s="9"/>
      <c r="Q4" s="55">
        <f>J4/I4</f>
        <v>0.163196776359973</v>
      </c>
      <c r="R4" s="9"/>
      <c r="S4" s="9"/>
      <c r="T4" s="9"/>
      <c r="U4" s="9"/>
      <c r="V4" s="8">
        <f>-(L4+M4)</f>
        <v>71.5</v>
      </c>
      <c r="W4" s="9"/>
      <c r="X4" s="8">
        <f>F4-G4</f>
        <v>179</v>
      </c>
      <c r="Y4" s="9"/>
      <c r="Z4" s="59">
        <v>825</v>
      </c>
      <c r="AA4" s="11"/>
      <c r="AB4" s="12">
        <v>13.3</v>
      </c>
    </row>
    <row r="5" ht="20.05" customHeight="1">
      <c r="B5" s="13"/>
      <c r="C5" s="14">
        <v>1465</v>
      </c>
      <c r="D5" s="15">
        <v>16.3</v>
      </c>
      <c r="E5" s="15">
        <v>174</v>
      </c>
      <c r="F5" s="15">
        <v>848</v>
      </c>
      <c r="G5" s="15">
        <v>814</v>
      </c>
      <c r="H5" s="15">
        <v>3909</v>
      </c>
      <c r="I5" s="15">
        <v>1668</v>
      </c>
      <c r="J5" s="15">
        <v>284</v>
      </c>
      <c r="K5" s="15">
        <v>-43</v>
      </c>
      <c r="L5" s="15">
        <v>-1.25</v>
      </c>
      <c r="M5" s="15">
        <v>-70.25</v>
      </c>
      <c r="N5" s="15"/>
      <c r="O5" s="15"/>
      <c r="P5" s="16"/>
      <c r="Q5" s="16">
        <f>J5/I5</f>
        <v>0.170263788968825</v>
      </c>
      <c r="R5" s="17"/>
      <c r="S5" s="17"/>
      <c r="T5" s="17"/>
      <c r="U5" s="17"/>
      <c r="V5" s="15">
        <f>-(L5+M5)+V4</f>
        <v>143</v>
      </c>
      <c r="W5" s="17"/>
      <c r="X5" s="15">
        <f>F5-G5</f>
        <v>34</v>
      </c>
      <c r="Y5" s="17"/>
      <c r="Z5" s="15">
        <v>1060</v>
      </c>
      <c r="AA5" s="19"/>
      <c r="AB5" s="20">
        <v>13.327</v>
      </c>
    </row>
    <row r="6" ht="20.05" customHeight="1">
      <c r="B6" s="13"/>
      <c r="C6" s="14">
        <v>1463</v>
      </c>
      <c r="D6" s="15">
        <v>19.4</v>
      </c>
      <c r="E6" s="15">
        <v>200</v>
      </c>
      <c r="F6" s="15">
        <v>733</v>
      </c>
      <c r="G6" s="15">
        <v>814</v>
      </c>
      <c r="H6" s="15">
        <v>4110</v>
      </c>
      <c r="I6" s="15">
        <v>1626</v>
      </c>
      <c r="J6" s="15">
        <v>-57</v>
      </c>
      <c r="K6" s="15">
        <v>-49</v>
      </c>
      <c r="L6" s="15">
        <v>-1.25</v>
      </c>
      <c r="M6" s="15">
        <v>-70.25</v>
      </c>
      <c r="N6" s="15"/>
      <c r="O6" s="15"/>
      <c r="P6" s="16"/>
      <c r="Q6" s="16">
        <f>J6/I6</f>
        <v>-0.0350553505535055</v>
      </c>
      <c r="R6" s="17"/>
      <c r="S6" s="17"/>
      <c r="T6" s="17"/>
      <c r="U6" s="17"/>
      <c r="V6" s="15">
        <f>-(L6+M6)+V5</f>
        <v>214.5</v>
      </c>
      <c r="W6" s="17"/>
      <c r="X6" s="15">
        <f>F6-G6</f>
        <v>-81</v>
      </c>
      <c r="Y6" s="17"/>
      <c r="Z6" s="15">
        <v>1215</v>
      </c>
      <c r="AA6" s="19"/>
      <c r="AB6" s="20">
        <v>13.305</v>
      </c>
    </row>
    <row r="7" ht="20.05" customHeight="1">
      <c r="B7" s="13"/>
      <c r="C7" s="14">
        <v>1716</v>
      </c>
      <c r="D7" s="15">
        <v>23</v>
      </c>
      <c r="E7" s="15">
        <v>254</v>
      </c>
      <c r="F7" s="15">
        <v>902</v>
      </c>
      <c r="G7" s="15">
        <v>918</v>
      </c>
      <c r="H7" s="15">
        <v>4429</v>
      </c>
      <c r="I7" s="15">
        <v>1884</v>
      </c>
      <c r="J7" s="15">
        <v>220</v>
      </c>
      <c r="K7" s="15">
        <v>-43</v>
      </c>
      <c r="L7" s="15">
        <v>-1.25</v>
      </c>
      <c r="M7" s="15">
        <v>-70.25</v>
      </c>
      <c r="N7" s="15"/>
      <c r="O7" s="15"/>
      <c r="P7" s="16"/>
      <c r="Q7" s="16">
        <f>J7/I7</f>
        <v>0.116772823779193</v>
      </c>
      <c r="R7" s="16">
        <f>AVERAGE(Q4:Q7)</f>
        <v>0.103794509638621</v>
      </c>
      <c r="S7" s="17"/>
      <c r="T7" s="17"/>
      <c r="U7" s="17"/>
      <c r="V7" s="15">
        <f>-(L7+M7)+V6</f>
        <v>286</v>
      </c>
      <c r="W7" s="17"/>
      <c r="X7" s="15">
        <f>F7-G7</f>
        <v>-16</v>
      </c>
      <c r="Y7" s="17"/>
      <c r="Z7" s="15">
        <v>1155</v>
      </c>
      <c r="AA7" s="19"/>
      <c r="AB7" s="20">
        <v>13.557</v>
      </c>
    </row>
    <row r="8" ht="20.05" customHeight="1">
      <c r="B8" s="21">
        <v>2018</v>
      </c>
      <c r="C8" s="14">
        <v>1574</v>
      </c>
      <c r="D8" s="15">
        <v>22</v>
      </c>
      <c r="E8" s="15">
        <v>210</v>
      </c>
      <c r="F8" s="15">
        <v>1008</v>
      </c>
      <c r="G8" s="15">
        <v>950</v>
      </c>
      <c r="H8" s="15">
        <v>4671</v>
      </c>
      <c r="I8" s="15">
        <v>1828</v>
      </c>
      <c r="J8" s="15">
        <v>123</v>
      </c>
      <c r="K8" s="15">
        <v>-24</v>
      </c>
      <c r="L8" s="15">
        <v>28.75</v>
      </c>
      <c r="M8" s="15">
        <v>-79.75</v>
      </c>
      <c r="N8" s="15">
        <f>SUM(C5:C8)/4</f>
        <v>1554.5</v>
      </c>
      <c r="O8" s="15"/>
      <c r="P8" s="16"/>
      <c r="Q8" s="16">
        <f>J8/I8</f>
        <v>0.0672866520787746</v>
      </c>
      <c r="R8" s="16">
        <f>AVERAGE(Q5:Q8)</f>
        <v>0.0798169785683218</v>
      </c>
      <c r="S8" s="17"/>
      <c r="T8" s="15">
        <f>SUM(J5:K8)/4</f>
        <v>102.75</v>
      </c>
      <c r="U8" s="25"/>
      <c r="V8" s="15">
        <f>-(L8+M8)+V7</f>
        <v>337</v>
      </c>
      <c r="W8" s="17"/>
      <c r="X8" s="15">
        <f>F8-G8</f>
        <v>58</v>
      </c>
      <c r="Y8" s="24"/>
      <c r="Z8" s="15">
        <v>1330</v>
      </c>
      <c r="AA8" s="22"/>
      <c r="AB8" s="20">
        <v>13.761</v>
      </c>
    </row>
    <row r="9" ht="20.05" customHeight="1">
      <c r="B9" s="13"/>
      <c r="C9" s="14">
        <v>1811</v>
      </c>
      <c r="D9" s="15">
        <v>23</v>
      </c>
      <c r="E9" s="15">
        <v>220</v>
      </c>
      <c r="F9" s="15">
        <v>821</v>
      </c>
      <c r="G9" s="15">
        <v>983</v>
      </c>
      <c r="H9" s="15">
        <v>4534</v>
      </c>
      <c r="I9" s="15">
        <v>2091</v>
      </c>
      <c r="J9" s="15">
        <v>232</v>
      </c>
      <c r="K9" s="15">
        <v>-32</v>
      </c>
      <c r="L9" s="15">
        <v>28.75</v>
      </c>
      <c r="M9" s="15">
        <v>-79.75</v>
      </c>
      <c r="N9" s="15">
        <f>SUM(C6:C9)/4</f>
        <v>1641</v>
      </c>
      <c r="O9" s="15"/>
      <c r="P9" s="16"/>
      <c r="Q9" s="16">
        <f>J9/I9</f>
        <v>0.110951697752272</v>
      </c>
      <c r="R9" s="16">
        <f>AVERAGE(Q6:Q9)</f>
        <v>0.0649889557641835</v>
      </c>
      <c r="S9" s="17"/>
      <c r="T9" s="15">
        <f>SUM(J6:K9)/4</f>
        <v>92.5</v>
      </c>
      <c r="U9" s="25"/>
      <c r="V9" s="15">
        <f>-(L9+M9)+V8</f>
        <v>388</v>
      </c>
      <c r="W9" s="17"/>
      <c r="X9" s="15">
        <f>F13-G9</f>
        <v>-447</v>
      </c>
      <c r="Y9" s="24"/>
      <c r="Z9" s="15">
        <v>1270</v>
      </c>
      <c r="AA9" s="22"/>
      <c r="AB9" s="20">
        <v>14</v>
      </c>
    </row>
    <row r="10" ht="20.05" customHeight="1">
      <c r="B10" s="13"/>
      <c r="C10" s="14">
        <v>1778</v>
      </c>
      <c r="D10" s="15">
        <v>24</v>
      </c>
      <c r="E10" s="15">
        <v>274</v>
      </c>
      <c r="F10" s="15">
        <v>509</v>
      </c>
      <c r="G10" s="15">
        <v>1049</v>
      </c>
      <c r="H10" s="15">
        <v>4874</v>
      </c>
      <c r="I10" s="15">
        <v>2034</v>
      </c>
      <c r="J10" s="15">
        <v>-291</v>
      </c>
      <c r="K10" s="15">
        <v>-50</v>
      </c>
      <c r="L10" s="15">
        <v>28.75</v>
      </c>
      <c r="M10" s="15">
        <v>-79.75</v>
      </c>
      <c r="N10" s="15">
        <f>SUM(C7:C10)/4</f>
        <v>1719.75</v>
      </c>
      <c r="O10" s="15"/>
      <c r="P10" s="16"/>
      <c r="Q10" s="16">
        <f>J10/I10</f>
        <v>-0.14306784660767</v>
      </c>
      <c r="R10" s="16">
        <f>AVERAGE(Q7:Q10)</f>
        <v>0.0379858317506424</v>
      </c>
      <c r="S10" s="17"/>
      <c r="T10" s="15">
        <f>SUM(J7:K10)/4</f>
        <v>33.75</v>
      </c>
      <c r="U10" s="25"/>
      <c r="V10" s="15">
        <f>-(L10+M10)+V9</f>
        <v>439</v>
      </c>
      <c r="W10" s="17"/>
      <c r="X10" s="15">
        <f>F10-G10</f>
        <v>-540</v>
      </c>
      <c r="Y10" s="24"/>
      <c r="Z10" s="15">
        <v>1440</v>
      </c>
      <c r="AA10" s="22"/>
      <c r="AB10" s="20">
        <v>14.902</v>
      </c>
    </row>
    <row r="11" ht="20.05" customHeight="1">
      <c r="B11" s="13"/>
      <c r="C11" s="14">
        <v>2076</v>
      </c>
      <c r="D11" s="15">
        <v>27</v>
      </c>
      <c r="E11" s="15">
        <v>272</v>
      </c>
      <c r="F11" s="15">
        <v>799</v>
      </c>
      <c r="G11" s="15">
        <v>1684</v>
      </c>
      <c r="H11" s="15">
        <v>5868</v>
      </c>
      <c r="I11" s="15">
        <v>2401</v>
      </c>
      <c r="J11" s="15">
        <v>216.5</v>
      </c>
      <c r="K11" s="15">
        <v>-78</v>
      </c>
      <c r="L11" s="15">
        <v>28.75</v>
      </c>
      <c r="M11" s="15">
        <v>-79.75</v>
      </c>
      <c r="N11" s="15">
        <f>SUM(C8:C11)/4</f>
        <v>1809.75</v>
      </c>
      <c r="O11" s="15"/>
      <c r="P11" s="16"/>
      <c r="Q11" s="16">
        <f>J11/I11</f>
        <v>0.09017076218242399</v>
      </c>
      <c r="R11" s="16">
        <f>AVERAGE(Q8:Q11)</f>
        <v>0.0313353163514502</v>
      </c>
      <c r="S11" s="17"/>
      <c r="T11" s="15">
        <f>SUM(J8:K11)/4</f>
        <v>24.125</v>
      </c>
      <c r="U11" s="25"/>
      <c r="V11" s="15">
        <f>-(L11+M11)+V10</f>
        <v>490</v>
      </c>
      <c r="W11" s="17"/>
      <c r="X11" s="15">
        <f>F11-G11</f>
        <v>-885</v>
      </c>
      <c r="Y11" s="24"/>
      <c r="Z11" s="15">
        <v>1490</v>
      </c>
      <c r="AA11" s="22"/>
      <c r="AB11" s="20">
        <v>14.38</v>
      </c>
    </row>
    <row r="12" ht="20.05" customHeight="1">
      <c r="B12" s="21">
        <v>2019</v>
      </c>
      <c r="C12" s="14">
        <v>1882</v>
      </c>
      <c r="D12" s="15">
        <v>97</v>
      </c>
      <c r="E12" s="15">
        <v>239</v>
      </c>
      <c r="F12" s="15">
        <v>781</v>
      </c>
      <c r="G12" s="15">
        <v>975</v>
      </c>
      <c r="H12" s="15">
        <v>5450</v>
      </c>
      <c r="I12" s="15">
        <v>2143</v>
      </c>
      <c r="J12" s="15">
        <v>51.75</v>
      </c>
      <c r="K12" s="15">
        <v>-32</v>
      </c>
      <c r="L12" s="15">
        <v>-28.75</v>
      </c>
      <c r="M12" s="15">
        <v>-121</v>
      </c>
      <c r="N12" s="15">
        <f>SUM(C9:C12)/4</f>
        <v>1886.75</v>
      </c>
      <c r="O12" s="23"/>
      <c r="P12" s="16"/>
      <c r="Q12" s="16">
        <f>J12/I12</f>
        <v>0.0241483901073262</v>
      </c>
      <c r="R12" s="16">
        <f>AVERAGE(Q9:Q12)</f>
        <v>0.0205507508585881</v>
      </c>
      <c r="S12" s="17"/>
      <c r="T12" s="15">
        <f>SUM(J9:K12)/4</f>
        <v>4.3125</v>
      </c>
      <c r="U12" s="25"/>
      <c r="V12" s="15">
        <f>-(L12+M12)+V11</f>
        <v>639.75</v>
      </c>
      <c r="W12" s="17"/>
      <c r="X12" s="15">
        <f>F12-G12</f>
        <v>-194</v>
      </c>
      <c r="Y12" s="24"/>
      <c r="Z12" s="15">
        <v>1780</v>
      </c>
      <c r="AA12" s="22"/>
      <c r="AB12" s="20">
        <v>14.24</v>
      </c>
    </row>
    <row r="13" ht="20.05" customHeight="1">
      <c r="B13" s="13"/>
      <c r="C13" s="14">
        <v>2080</v>
      </c>
      <c r="D13" s="15">
        <v>-40</v>
      </c>
      <c r="E13" s="15">
        <v>241</v>
      </c>
      <c r="F13" s="15">
        <v>536</v>
      </c>
      <c r="G13" s="15">
        <v>971</v>
      </c>
      <c r="H13" s="15">
        <v>5203</v>
      </c>
      <c r="I13" s="15">
        <v>2365</v>
      </c>
      <c r="J13" s="15">
        <v>193.75</v>
      </c>
      <c r="K13" s="15">
        <v>-45</v>
      </c>
      <c r="L13" s="15">
        <v>-28.75</v>
      </c>
      <c r="M13" s="15">
        <v>-121</v>
      </c>
      <c r="N13" s="15">
        <f>SUM(C10:C13)/4</f>
        <v>1954</v>
      </c>
      <c r="O13" s="23"/>
      <c r="P13" s="16"/>
      <c r="Q13" s="16">
        <f>J13/I13</f>
        <v>0.0819238900634249</v>
      </c>
      <c r="R13" s="16">
        <f>AVERAGE(Q10:Q13)</f>
        <v>0.0132937989363763</v>
      </c>
      <c r="S13" s="17"/>
      <c r="T13" s="15">
        <f>SUM(J10:K13)/4</f>
        <v>-8.5</v>
      </c>
      <c r="U13" s="25"/>
      <c r="V13" s="15">
        <f>-(L13+M13)+V12</f>
        <v>789.5</v>
      </c>
      <c r="W13" s="17"/>
      <c r="X13" s="15">
        <f>F13-G13</f>
        <v>-435</v>
      </c>
      <c r="Y13" s="24"/>
      <c r="Z13" s="15">
        <v>1810</v>
      </c>
      <c r="AA13" s="24"/>
      <c r="AB13" s="15">
        <v>14.127</v>
      </c>
    </row>
    <row r="14" ht="20.05" customHeight="1">
      <c r="B14" s="13"/>
      <c r="C14" s="14">
        <v>2012</v>
      </c>
      <c r="D14" s="15">
        <v>25</v>
      </c>
      <c r="E14" s="15">
        <v>253</v>
      </c>
      <c r="F14" s="15">
        <v>809</v>
      </c>
      <c r="G14" s="15">
        <v>1003</v>
      </c>
      <c r="H14" s="15">
        <v>5488</v>
      </c>
      <c r="I14" s="15">
        <v>2365</v>
      </c>
      <c r="J14" s="15">
        <v>217.75</v>
      </c>
      <c r="K14" s="15">
        <v>-27</v>
      </c>
      <c r="L14" s="15">
        <v>-28.75</v>
      </c>
      <c r="M14" s="15">
        <v>-121</v>
      </c>
      <c r="N14" s="15">
        <f>SUM(C11:C14)/4</f>
        <v>2012.5</v>
      </c>
      <c r="O14" s="23"/>
      <c r="P14" s="16"/>
      <c r="Q14" s="16">
        <f>J14/I14</f>
        <v>0.0920718816067653</v>
      </c>
      <c r="R14" s="16">
        <f>AVERAGE(Q11:Q14)</f>
        <v>0.0720787309899851</v>
      </c>
      <c r="S14" s="17"/>
      <c r="T14" s="15">
        <f>SUM(J11:K14)/4</f>
        <v>124.4375</v>
      </c>
      <c r="U14" s="25"/>
      <c r="V14" s="15">
        <f>-(L14+M14)+V13</f>
        <v>939.25</v>
      </c>
      <c r="W14" s="17"/>
      <c r="X14" s="15">
        <f>F14-G14</f>
        <v>-194</v>
      </c>
      <c r="Y14" s="24"/>
      <c r="Z14" s="15">
        <v>1770</v>
      </c>
      <c r="AA14" s="24"/>
      <c r="AB14" s="15">
        <v>14.195</v>
      </c>
    </row>
    <row r="15" ht="20.05" customHeight="1">
      <c r="B15" s="13"/>
      <c r="C15" s="14">
        <v>2169</v>
      </c>
      <c r="D15" s="15">
        <v>34</v>
      </c>
      <c r="E15" s="15">
        <v>304</v>
      </c>
      <c r="F15" s="15">
        <v>1255</v>
      </c>
      <c r="G15" s="15">
        <v>1969</v>
      </c>
      <c r="H15" s="15">
        <v>6646</v>
      </c>
      <c r="I15" s="15">
        <v>2503</v>
      </c>
      <c r="J15" s="15">
        <v>419.25</v>
      </c>
      <c r="K15" s="15">
        <v>-54</v>
      </c>
      <c r="L15" s="15">
        <v>-28.75</v>
      </c>
      <c r="M15" s="15">
        <v>-121</v>
      </c>
      <c r="N15" s="15">
        <f>SUM(C12:C15)/4</f>
        <v>2035.75</v>
      </c>
      <c r="O15" s="15"/>
      <c r="P15" s="16"/>
      <c r="Q15" s="16">
        <f>J15/I15</f>
        <v>0.167499001198562</v>
      </c>
      <c r="R15" s="16">
        <f>AVERAGE(Q12:Q15)</f>
        <v>0.0914107907440196</v>
      </c>
      <c r="S15" s="17"/>
      <c r="T15" s="15">
        <f>SUM(J12:K15)/4</f>
        <v>181.125</v>
      </c>
      <c r="U15" s="25"/>
      <c r="V15" s="15">
        <f>-(L15+M15)+V14</f>
        <v>1089</v>
      </c>
      <c r="W15" s="17"/>
      <c r="X15" s="15">
        <f>F15-G15</f>
        <v>-714</v>
      </c>
      <c r="Y15" s="24"/>
      <c r="Z15" s="15">
        <v>1495</v>
      </c>
      <c r="AA15" s="24"/>
      <c r="AB15" s="15">
        <v>13.882</v>
      </c>
    </row>
    <row r="16" ht="20.05" customHeight="1">
      <c r="B16" s="21">
        <v>2020</v>
      </c>
      <c r="C16" s="14">
        <v>1967</v>
      </c>
      <c r="D16" s="15">
        <v>114</v>
      </c>
      <c r="E16" s="15">
        <v>244</v>
      </c>
      <c r="F16" s="15">
        <v>1546</v>
      </c>
      <c r="G16" s="15">
        <v>2093</v>
      </c>
      <c r="H16" s="15">
        <v>6989</v>
      </c>
      <c r="I16" s="15">
        <v>2330</v>
      </c>
      <c r="J16" s="15">
        <v>353</v>
      </c>
      <c r="K16" s="15">
        <v>-65</v>
      </c>
      <c r="L16" s="15">
        <v>39.4</v>
      </c>
      <c r="M16" s="15">
        <v>-24.4</v>
      </c>
      <c r="N16" s="15">
        <f>SUM(C13:C16)/4</f>
        <v>2057</v>
      </c>
      <c r="O16" s="15"/>
      <c r="P16" s="16"/>
      <c r="Q16" s="16">
        <f>J16/I16</f>
        <v>0.151502145922747</v>
      </c>
      <c r="R16" s="16">
        <f>AVERAGE(Q13:Q16)</f>
        <v>0.123249229697875</v>
      </c>
      <c r="S16" s="17"/>
      <c r="T16" s="15">
        <f>SUM(J13:K16)/4</f>
        <v>248.1875</v>
      </c>
      <c r="U16" s="25"/>
      <c r="V16" s="15">
        <f>-(L16+M16)+V15</f>
        <v>1074</v>
      </c>
      <c r="W16" s="17"/>
      <c r="X16" s="15">
        <f>F16-G16</f>
        <v>-547</v>
      </c>
      <c r="Y16" s="24"/>
      <c r="Z16" s="15">
        <v>1300</v>
      </c>
      <c r="AA16" s="24"/>
      <c r="AB16" s="15">
        <v>16.31</v>
      </c>
    </row>
    <row r="17" ht="20.05" customHeight="1">
      <c r="B17" s="13"/>
      <c r="C17" s="14">
        <v>1684</v>
      </c>
      <c r="D17" s="15">
        <v>117</v>
      </c>
      <c r="E17" s="15">
        <v>110</v>
      </c>
      <c r="F17" s="15">
        <v>1684</v>
      </c>
      <c r="G17" s="15">
        <v>2099</v>
      </c>
      <c r="H17" s="15">
        <v>7095</v>
      </c>
      <c r="I17" s="15">
        <v>1922</v>
      </c>
      <c r="J17" s="15">
        <v>133</v>
      </c>
      <c r="K17" s="15">
        <v>-30</v>
      </c>
      <c r="L17" s="15">
        <v>34.8</v>
      </c>
      <c r="M17" s="15">
        <v>-9.800000000000001</v>
      </c>
      <c r="N17" s="15">
        <f>SUM(C14:C17)/4</f>
        <v>1958</v>
      </c>
      <c r="O17" s="15">
        <v>2061.83</v>
      </c>
      <c r="P17" s="16">
        <f>C17/C16-1</f>
        <v>-0.143873919674631</v>
      </c>
      <c r="Q17" s="16">
        <f>J17/I17</f>
        <v>0.0691987513007284</v>
      </c>
      <c r="R17" s="16">
        <f>AVERAGE(Q14:Q17)</f>
        <v>0.120067945007201</v>
      </c>
      <c r="S17" s="17"/>
      <c r="T17" s="25">
        <f>SUM(J14:K17)/4</f>
        <v>236.75</v>
      </c>
      <c r="U17" s="25"/>
      <c r="V17" s="15">
        <f>-(L17+M17)+V16</f>
        <v>1049</v>
      </c>
      <c r="W17" s="17"/>
      <c r="X17" s="15">
        <f>F17-G17</f>
        <v>-415</v>
      </c>
      <c r="Y17" s="24"/>
      <c r="Z17" s="15">
        <v>1510</v>
      </c>
      <c r="AA17" s="24"/>
      <c r="AB17" s="15">
        <v>14.255</v>
      </c>
    </row>
    <row r="18" ht="20.05" customHeight="1">
      <c r="B18" s="13"/>
      <c r="C18" s="14">
        <v>1829</v>
      </c>
      <c r="D18" s="15">
        <v>114</v>
      </c>
      <c r="E18" s="15">
        <v>169</v>
      </c>
      <c r="F18" s="15">
        <v>1776</v>
      </c>
      <c r="G18" s="15">
        <v>2091</v>
      </c>
      <c r="H18" s="15">
        <v>6948</v>
      </c>
      <c r="I18" s="15">
        <v>2115</v>
      </c>
      <c r="J18" s="15">
        <v>408.666666666667</v>
      </c>
      <c r="K18" s="15">
        <v>-42</v>
      </c>
      <c r="L18" s="15">
        <v>38.6333333333333</v>
      </c>
      <c r="M18" s="15">
        <v>-309.3</v>
      </c>
      <c r="N18" s="15">
        <f>SUM(C15:C18)/4</f>
        <v>1912.25</v>
      </c>
      <c r="O18" s="15">
        <v>2014</v>
      </c>
      <c r="P18" s="16">
        <f>C18/C17-1</f>
        <v>0.086104513064133</v>
      </c>
      <c r="Q18" s="16">
        <f>J18/I18</f>
        <v>0.193223010244287</v>
      </c>
      <c r="R18" s="16">
        <f>AVERAGE(Q15:Q18)</f>
        <v>0.145355727166581</v>
      </c>
      <c r="S18" s="17"/>
      <c r="T18" s="25">
        <f>SUM(J15:K18)/4</f>
        <v>280.729166666667</v>
      </c>
      <c r="U18" s="25"/>
      <c r="V18" s="15">
        <f>-(L18+M18)+V17</f>
        <v>1319.666666666670</v>
      </c>
      <c r="W18" s="17"/>
      <c r="X18" s="15">
        <f>F18-G18</f>
        <v>-315</v>
      </c>
      <c r="Y18" s="24"/>
      <c r="Z18" s="15">
        <v>1595</v>
      </c>
      <c r="AA18" s="24"/>
      <c r="AB18" s="15">
        <v>14.79</v>
      </c>
    </row>
    <row r="19" ht="20.05" customHeight="1">
      <c r="B19" s="13"/>
      <c r="C19" s="14">
        <v>1795.8</v>
      </c>
      <c r="D19" s="15">
        <v>103.3</v>
      </c>
      <c r="E19" s="15">
        <v>208.3</v>
      </c>
      <c r="F19" s="15">
        <v>2220</v>
      </c>
      <c r="G19" s="15">
        <v>2025</v>
      </c>
      <c r="H19" s="15">
        <v>7247</v>
      </c>
      <c r="I19" s="15">
        <v>2139.6</v>
      </c>
      <c r="J19" s="15">
        <v>539.266666666667</v>
      </c>
      <c r="K19" s="15">
        <v>-29</v>
      </c>
      <c r="L19" s="15">
        <v>-125.266666666667</v>
      </c>
      <c r="M19" s="15">
        <v>55.6</v>
      </c>
      <c r="N19" s="15">
        <f>SUM(C16:C19)/4</f>
        <v>1818.95</v>
      </c>
      <c r="O19" s="15">
        <v>1932.6075</v>
      </c>
      <c r="P19" s="16">
        <f>C19/C18-1</f>
        <v>-0.0181519956260252</v>
      </c>
      <c r="Q19" s="16">
        <f>J19/I19</f>
        <v>0.252040879915249</v>
      </c>
      <c r="R19" s="16">
        <f>AVERAGE(Q16:Q19)</f>
        <v>0.166491196845753</v>
      </c>
      <c r="S19" s="17"/>
      <c r="T19" s="25">
        <f>SUM(J16:K19)/4</f>
        <v>316.983333333334</v>
      </c>
      <c r="U19" s="25"/>
      <c r="V19" s="15">
        <f>-(L19+M19)+V18</f>
        <v>1389.333333333340</v>
      </c>
      <c r="W19" s="17"/>
      <c r="X19" s="15">
        <f>F19-G19</f>
        <v>195</v>
      </c>
      <c r="Y19" s="24"/>
      <c r="Z19" s="15">
        <v>1715</v>
      </c>
      <c r="AA19" s="24"/>
      <c r="AB19" s="15">
        <v>14.1</v>
      </c>
    </row>
    <row r="20" ht="20.05" customHeight="1">
      <c r="B20" s="21">
        <v>2021</v>
      </c>
      <c r="C20" s="14">
        <v>1681.7</v>
      </c>
      <c r="D20" s="15">
        <v>115.8</v>
      </c>
      <c r="E20" s="15">
        <v>163.4</v>
      </c>
      <c r="F20" s="15">
        <v>2399</v>
      </c>
      <c r="G20" s="15">
        <v>2130</v>
      </c>
      <c r="H20" s="15">
        <v>7516</v>
      </c>
      <c r="I20" s="15">
        <v>2010.6</v>
      </c>
      <c r="J20" s="15">
        <v>279.65</v>
      </c>
      <c r="K20" s="15">
        <v>-20.4</v>
      </c>
      <c r="L20" s="15">
        <v>-77.34999999999999</v>
      </c>
      <c r="M20" s="15">
        <v>0</v>
      </c>
      <c r="N20" s="15">
        <f>SUM(C17:C20)/4</f>
        <v>1747.625</v>
      </c>
      <c r="O20" s="15">
        <v>1948.14475</v>
      </c>
      <c r="P20" s="16">
        <f>C20/C19-1</f>
        <v>-0.06353714222073729</v>
      </c>
      <c r="Q20" s="16">
        <f>J20/I20</f>
        <v>0.13908783447727</v>
      </c>
      <c r="R20" s="16">
        <f>AVERAGE(Q17:Q20)</f>
        <v>0.163387618984384</v>
      </c>
      <c r="S20" s="17"/>
      <c r="T20" s="25">
        <f>SUM(J17:K20)/4</f>
        <v>309.795833333334</v>
      </c>
      <c r="U20" s="25"/>
      <c r="V20" s="15">
        <f>-(L20+M20)+V19</f>
        <v>1466.683333333340</v>
      </c>
      <c r="W20" s="17"/>
      <c r="X20" s="15">
        <f>F20-G20</f>
        <v>269</v>
      </c>
      <c r="Y20" s="15"/>
      <c r="Z20" s="15">
        <v>1525</v>
      </c>
      <c r="AA20" s="15"/>
      <c r="AB20" s="15">
        <v>14.606</v>
      </c>
    </row>
    <row r="21" ht="20.05" customHeight="1">
      <c r="B21" s="13"/>
      <c r="C21" s="14">
        <v>1643.7</v>
      </c>
      <c r="D21" s="15">
        <v>113.9</v>
      </c>
      <c r="E21" s="15">
        <v>116.6</v>
      </c>
      <c r="F21" s="15">
        <v>2370</v>
      </c>
      <c r="G21" s="15">
        <v>2474</v>
      </c>
      <c r="H21" s="15">
        <v>7426</v>
      </c>
      <c r="I21" s="15">
        <v>2046.7</v>
      </c>
      <c r="J21" s="15">
        <v>-84.25</v>
      </c>
      <c r="K21" s="15">
        <v>-20.3</v>
      </c>
      <c r="L21" s="15">
        <v>75.05</v>
      </c>
      <c r="M21" s="15">
        <v>0</v>
      </c>
      <c r="N21" s="15">
        <f>SUM(C18:C21)/4</f>
        <v>1737.55</v>
      </c>
      <c r="O21" s="15">
        <v>1971.4035</v>
      </c>
      <c r="P21" s="16">
        <f>C21/C20-1</f>
        <v>-0.0225961824344413</v>
      </c>
      <c r="Q21" s="16">
        <f>J21/I21</f>
        <v>-0.0411638246934089</v>
      </c>
      <c r="R21" s="16">
        <f>AVERAGE(Q18:Q21)</f>
        <v>0.135796974985849</v>
      </c>
      <c r="S21" s="17"/>
      <c r="T21" s="25">
        <f>SUM(J18:K21)/4</f>
        <v>257.908333333334</v>
      </c>
      <c r="U21" s="25"/>
      <c r="V21" s="15">
        <f>-(L21+M21)+V20</f>
        <v>1391.633333333340</v>
      </c>
      <c r="W21" s="17"/>
      <c r="X21" s="15">
        <f>F21-G21</f>
        <v>-104</v>
      </c>
      <c r="Y21" s="15"/>
      <c r="Z21" s="15">
        <v>1250</v>
      </c>
      <c r="AA21" s="15"/>
      <c r="AB21" s="15">
        <v>14.45</v>
      </c>
    </row>
    <row r="22" ht="20.05" customHeight="1">
      <c r="B22" s="13"/>
      <c r="C22" s="14">
        <v>1275.8</v>
      </c>
      <c r="D22" s="15">
        <v>110.6</v>
      </c>
      <c r="E22" s="15">
        <v>43.8</v>
      </c>
      <c r="F22" s="15">
        <v>1848</v>
      </c>
      <c r="G22" s="15">
        <v>1930</v>
      </c>
      <c r="H22" s="15">
        <v>6926</v>
      </c>
      <c r="I22" s="15">
        <v>1493.7</v>
      </c>
      <c r="J22" s="15">
        <v>52.3</v>
      </c>
      <c r="K22" s="15">
        <v>-16.3</v>
      </c>
      <c r="L22" s="15">
        <v>-8.9</v>
      </c>
      <c r="M22" s="15">
        <v>-550.4</v>
      </c>
      <c r="N22" s="15">
        <f>SUM(C19:C22)/4</f>
        <v>1599.25</v>
      </c>
      <c r="O22" s="15">
        <v>1910.42925</v>
      </c>
      <c r="P22" s="16">
        <f>C22/C21-1</f>
        <v>-0.223824298837987</v>
      </c>
      <c r="Q22" s="16">
        <f>J22/I22</f>
        <v>0.0350137243087635</v>
      </c>
      <c r="R22" s="16">
        <f>AVERAGE(Q19:Q22)</f>
        <v>0.0962446535019684</v>
      </c>
      <c r="S22" s="17"/>
      <c r="T22" s="25">
        <f>SUM(J19:K22)/4</f>
        <v>175.241666666667</v>
      </c>
      <c r="U22" s="25"/>
      <c r="V22" s="15">
        <f>-(L22+M22)+V21</f>
        <v>1950.933333333340</v>
      </c>
      <c r="W22" s="17"/>
      <c r="X22" s="15">
        <f>F22-G22</f>
        <v>-82</v>
      </c>
      <c r="Y22" s="15"/>
      <c r="Z22" s="15">
        <v>1270</v>
      </c>
      <c r="AA22" s="15"/>
      <c r="AB22" s="15">
        <v>14.328</v>
      </c>
    </row>
    <row r="23" ht="20.05" customHeight="1">
      <c r="B23" s="13"/>
      <c r="C23" s="14">
        <v>1808.4</v>
      </c>
      <c r="D23" s="15">
        <v>108.1</v>
      </c>
      <c r="E23" s="15">
        <v>395</v>
      </c>
      <c r="F23" s="15">
        <v>2544</v>
      </c>
      <c r="G23" s="15">
        <v>1677</v>
      </c>
      <c r="H23" s="15">
        <v>7190</v>
      </c>
      <c r="I23" s="15">
        <v>2144.4</v>
      </c>
      <c r="J23" s="15">
        <v>716.6</v>
      </c>
      <c r="K23" s="15">
        <v>-26.4</v>
      </c>
      <c r="L23" s="15">
        <v>4.9</v>
      </c>
      <c r="M23" s="15">
        <v>0</v>
      </c>
      <c r="N23" s="15">
        <f>SUM(C20:C23)/4</f>
        <v>1602.4</v>
      </c>
      <c r="O23" s="15">
        <v>1831.12175</v>
      </c>
      <c r="P23" s="16">
        <f>C23/C22-1</f>
        <v>0.417463552280922</v>
      </c>
      <c r="Q23" s="16">
        <f>J23/I23</f>
        <v>0.334172728968476</v>
      </c>
      <c r="R23" s="16">
        <f>AVERAGE(Q20:Q23)</f>
        <v>0.116777615765275</v>
      </c>
      <c r="S23" s="17"/>
      <c r="T23" s="25">
        <f>SUM(J20:K23)/4</f>
        <v>220.225</v>
      </c>
      <c r="U23" s="25"/>
      <c r="V23" s="15">
        <f>-(L23+M23)+V22</f>
        <v>1946.033333333340</v>
      </c>
      <c r="W23" s="17"/>
      <c r="X23" s="15">
        <f>F23-G23</f>
        <v>867</v>
      </c>
      <c r="Y23" s="15"/>
      <c r="Z23" s="15">
        <v>1410</v>
      </c>
      <c r="AA23" s="15"/>
      <c r="AB23" s="15">
        <v>14.275</v>
      </c>
    </row>
    <row r="24" ht="20.05" customHeight="1">
      <c r="B24" s="21">
        <v>2022</v>
      </c>
      <c r="C24" s="14">
        <v>1591</v>
      </c>
      <c r="D24" s="15">
        <v>114.1</v>
      </c>
      <c r="E24" s="15">
        <v>156</v>
      </c>
      <c r="F24" s="15">
        <v>2688.7</v>
      </c>
      <c r="G24" s="15">
        <v>1642</v>
      </c>
      <c r="H24" s="15">
        <v>7313</v>
      </c>
      <c r="I24" s="15">
        <v>1873</v>
      </c>
      <c r="J24" s="15">
        <v>203.5</v>
      </c>
      <c r="K24" s="15">
        <v>-26</v>
      </c>
      <c r="L24" s="15">
        <v>-33</v>
      </c>
      <c r="M24" s="15">
        <v>0</v>
      </c>
      <c r="N24" s="15">
        <f>SUM(C21:C24)/4</f>
        <v>1579.725</v>
      </c>
      <c r="O24" s="15">
        <v>1782.66075</v>
      </c>
      <c r="P24" s="16">
        <f>C24/C23-1</f>
        <v>-0.120216766202168</v>
      </c>
      <c r="Q24" s="16">
        <f>J24/I24</f>
        <v>0.108649225840897</v>
      </c>
      <c r="R24" s="16">
        <f>AVERAGE(Q21:Q24)</f>
        <v>0.109167963606182</v>
      </c>
      <c r="S24" s="35"/>
      <c r="T24" s="25">
        <f>SUM(J21:K24)/4</f>
        <v>199.7875</v>
      </c>
      <c r="U24" s="15">
        <v>199.7875</v>
      </c>
      <c r="V24" s="15">
        <f>-(L24+M24)+V23</f>
        <v>1979.033333333340</v>
      </c>
      <c r="W24" s="15"/>
      <c r="X24" s="15">
        <f>F24-G24</f>
        <v>1046.7</v>
      </c>
      <c r="Y24" s="15">
        <v>1046.7</v>
      </c>
      <c r="Z24" s="26">
        <v>1025</v>
      </c>
      <c r="AA24" s="15">
        <v>1455.618572106830</v>
      </c>
      <c r="AB24" s="15">
        <v>14.327</v>
      </c>
    </row>
    <row r="25" ht="20.05" customHeight="1">
      <c r="B25" s="13"/>
      <c r="C25" s="14">
        <v>1641.7</v>
      </c>
      <c r="D25" s="15">
        <v>114.4</v>
      </c>
      <c r="E25" s="15">
        <v>90.09999999999999</v>
      </c>
      <c r="F25" s="15">
        <v>2476</v>
      </c>
      <c r="G25" s="15">
        <v>1970</v>
      </c>
      <c r="H25" s="15">
        <v>7378</v>
      </c>
      <c r="I25" s="15">
        <v>1993.5</v>
      </c>
      <c r="J25" s="15">
        <v>-178.8</v>
      </c>
      <c r="K25" s="15">
        <v>-24.1</v>
      </c>
      <c r="L25" s="15">
        <v>-12.8</v>
      </c>
      <c r="M25" s="15">
        <v>0</v>
      </c>
      <c r="N25" s="15">
        <f>SUM(C22:C25)/4</f>
        <v>1579.225</v>
      </c>
      <c r="O25" s="15">
        <v>1756.5845</v>
      </c>
      <c r="P25" s="16">
        <f>C25/C24-1</f>
        <v>0.0318667504714016</v>
      </c>
      <c r="Q25" s="16">
        <f>J25/I25</f>
        <v>-0.0896914973664409</v>
      </c>
      <c r="R25" s="16">
        <f>AVERAGE(Q22:Q25)</f>
        <v>0.09703604543792391</v>
      </c>
      <c r="S25" s="35"/>
      <c r="T25" s="25">
        <f>SUM(J22:K25)/4</f>
        <v>175.2</v>
      </c>
      <c r="U25" s="15">
        <v>175.2</v>
      </c>
      <c r="V25" s="15">
        <f>-(L25+M25)+V24</f>
        <v>1991.833333333340</v>
      </c>
      <c r="W25" s="15"/>
      <c r="X25" s="15">
        <f>F25-G25</f>
        <v>506</v>
      </c>
      <c r="Y25" s="15">
        <v>506</v>
      </c>
      <c r="Z25" s="15">
        <v>770</v>
      </c>
      <c r="AA25" s="15">
        <v>1629.566473963490</v>
      </c>
      <c r="AB25" s="15">
        <v>14.66</v>
      </c>
    </row>
    <row r="26" ht="20.05" customHeight="1">
      <c r="B26" s="13"/>
      <c r="C26" s="14">
        <v>1550.7</v>
      </c>
      <c r="D26" s="15">
        <v>115.3</v>
      </c>
      <c r="E26" s="15">
        <v>109.4</v>
      </c>
      <c r="F26" s="15">
        <v>1845</v>
      </c>
      <c r="G26" s="15">
        <v>1602</v>
      </c>
      <c r="H26" s="15">
        <v>7120</v>
      </c>
      <c r="I26" s="15">
        <v>1878.8</v>
      </c>
      <c r="J26" s="15">
        <v>-254.9</v>
      </c>
      <c r="K26" s="15">
        <v>-33.5</v>
      </c>
      <c r="L26" s="15">
        <v>11.7</v>
      </c>
      <c r="M26" s="15">
        <v>-352.5</v>
      </c>
      <c r="N26" s="15">
        <f>SUM(C23:C26)/4</f>
        <v>1647.95</v>
      </c>
      <c r="O26" s="15">
        <v>1760.19375</v>
      </c>
      <c r="P26" s="16">
        <f>C26/C25-1</f>
        <v>-0.0554303465919474</v>
      </c>
      <c r="Q26" s="16">
        <f>J26/I26</f>
        <v>-0.135671705343836</v>
      </c>
      <c r="R26" s="16">
        <f>AVERAGE(Q23:Q26)</f>
        <v>0.054364688024774</v>
      </c>
      <c r="S26" s="35">
        <f>S27</f>
        <v>0.135796974985849</v>
      </c>
      <c r="T26" s="25">
        <f>SUM(J23:K26)/4</f>
        <v>94.09999999999999</v>
      </c>
      <c r="U26" s="15">
        <v>203.842969486570</v>
      </c>
      <c r="V26" s="15">
        <f>-(L26+M26)+V25</f>
        <v>2332.633333333340</v>
      </c>
      <c r="W26" s="15">
        <f>W27</f>
        <v>2884.707949845360</v>
      </c>
      <c r="X26" s="15">
        <f>F26-G26</f>
        <v>243</v>
      </c>
      <c r="Y26" s="15">
        <v>1154.771563383880</v>
      </c>
      <c r="Z26" s="15">
        <v>610</v>
      </c>
      <c r="AA26" s="15">
        <v>1629.566473963490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1782.490475441250</v>
      </c>
      <c r="P27" s="17"/>
      <c r="Q27" s="17"/>
      <c r="R27" s="17"/>
      <c r="S27" s="35">
        <f>AE53</f>
        <v>0.135796974985849</v>
      </c>
      <c r="T27" s="25"/>
      <c r="U27" s="15">
        <f>SUM(AE55:AH55)/4</f>
        <v>208.556814506009</v>
      </c>
      <c r="V27" s="17"/>
      <c r="W27" s="15">
        <f>-SUM(AE76:AH76)+V26</f>
        <v>2884.707949845360</v>
      </c>
      <c r="X27" s="26"/>
      <c r="Y27" s="15">
        <f>AH75</f>
        <v>822.313629012020</v>
      </c>
      <c r="Z27" s="15">
        <v>450</v>
      </c>
      <c r="AA27" s="15">
        <v>1629.566473963490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1647.95</v>
      </c>
      <c r="O28" s="15">
        <f>SUM(O26)</f>
        <v>1760.19375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730.9063216801341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247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0.0684207974895521</v>
      </c>
      <c r="AF49" s="35"/>
      <c r="AG49" s="35"/>
      <c r="AH49" s="35">
        <f>AVERAGE(AE51:AH51)</f>
        <v>0.045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0.417463552280922</v>
      </c>
      <c r="AF50" s="35">
        <f>P24</f>
        <v>-0.120216766202168</v>
      </c>
      <c r="AG50" s="35">
        <f>P25</f>
        <v>0.0318667504714016</v>
      </c>
      <c r="AH50" s="35">
        <f>P26</f>
        <v>-0.0554303465919474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0.15</v>
      </c>
      <c r="AF51" s="35">
        <v>-0.03</v>
      </c>
      <c r="AG51" s="35">
        <v>0.03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1550.7</v>
      </c>
      <c r="AE52" s="23">
        <f>C26*(1+AE51)</f>
        <v>1783.305</v>
      </c>
      <c r="AF52" s="23">
        <f>AE52*(1+AF51)</f>
        <v>1729.80585</v>
      </c>
      <c r="AG52" s="23">
        <f>AF52*(1+AG51)</f>
        <v>1781.7000255</v>
      </c>
      <c r="AH52" s="23">
        <f>AG52*(1+AH51)</f>
        <v>1835.151026265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AVERAGE(R21)</f>
        <v>0.135796974985849</v>
      </c>
      <c r="AF53" s="35">
        <f>AE53</f>
        <v>0.135796974985849</v>
      </c>
      <c r="AG53" s="35">
        <f>AF53</f>
        <v>0.135796974985849</v>
      </c>
      <c r="AH53" s="35">
        <f>AG53</f>
        <v>0.135796974985849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-33.5</v>
      </c>
      <c r="AF54" s="15">
        <f>AE54</f>
        <v>-33.5</v>
      </c>
      <c r="AG54" s="15">
        <f>AF54</f>
        <v>-33.5</v>
      </c>
      <c r="AH54" s="15">
        <f>AG54</f>
        <v>-33.5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208.667424477139</v>
      </c>
      <c r="AF55" s="15">
        <f>(AF52*AF53)+AF54</f>
        <v>201.402401742825</v>
      </c>
      <c r="AG55" s="15">
        <f>(AG52*AG53)+AG54</f>
        <v>208.449473795110</v>
      </c>
      <c r="AH55" s="15">
        <f>(AH52*AH53)+AH54</f>
        <v>215.707958008963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-80.09999999999999</v>
      </c>
      <c r="AF56" s="15">
        <f>-AE71/20</f>
        <v>-76.095</v>
      </c>
      <c r="AG56" s="15">
        <f>-AF71/20</f>
        <v>-72.29025</v>
      </c>
      <c r="AH56" s="15">
        <f>-AG71/20</f>
        <v>-68.6757375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-63.7837122385695</v>
      </c>
      <c r="AF58" s="15">
        <f>IF(AF66&gt;0,AF66*$AE$57,0)</f>
        <v>-60.1512008714125</v>
      </c>
      <c r="AG58" s="15">
        <f>IF(AG66&gt;0,AG66*$AE$57,0)</f>
        <v>-63.674736897555</v>
      </c>
      <c r="AH58" s="15">
        <f>IF(AH66&gt;0,AH66*$AE$57,0)</f>
        <v>-67.3039790044815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64.78371223856951</v>
      </c>
      <c r="AF59" s="15">
        <f>AF55+AF56+AF58</f>
        <v>65.15620087141249</v>
      </c>
      <c r="AG59" s="15">
        <f>AG55+AG56+AG58</f>
        <v>72.484486897555</v>
      </c>
      <c r="AH59" s="15">
        <f>AH55+AH56+AH58</f>
        <v>79.7282415044815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1845</v>
      </c>
      <c r="AF61" s="15">
        <f>AE63</f>
        <v>1909.783712238570</v>
      </c>
      <c r="AG61" s="15">
        <f>AF63</f>
        <v>1974.939913109980</v>
      </c>
      <c r="AH61" s="15">
        <f>AG63</f>
        <v>2047.424400007540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64.78371223856951</v>
      </c>
      <c r="AF62" s="15">
        <f>AF55+AF56+AF58+AF60</f>
        <v>65.15620087141249</v>
      </c>
      <c r="AG62" s="15">
        <f>AG55+AG56+AG58+AG60</f>
        <v>72.484486897555</v>
      </c>
      <c r="AH62" s="15">
        <f>AH55+AH56+AH58+AH60</f>
        <v>79.7282415044815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1909.783712238570</v>
      </c>
      <c r="AF63" s="15">
        <f>AF61+AF62</f>
        <v>1974.939913109980</v>
      </c>
      <c r="AG63" s="15">
        <f>AG61+AG62</f>
        <v>2047.424400007540</v>
      </c>
      <c r="AH63" s="15">
        <f>AH61+AH62</f>
        <v>2127.152641512020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-114.6</v>
      </c>
      <c r="AF65" s="15">
        <f>AE65</f>
        <v>-114.6</v>
      </c>
      <c r="AG65" s="15">
        <f>AF65</f>
        <v>-114.6</v>
      </c>
      <c r="AH65" s="15">
        <f>AG65</f>
        <v>-114.6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127.567424477139</v>
      </c>
      <c r="AF66" s="15">
        <f>(AF52*AF53)+AF65</f>
        <v>120.302401742825</v>
      </c>
      <c r="AG66" s="15">
        <f>(AG52*AG53)+AG65</f>
        <v>127.349473795110</v>
      </c>
      <c r="AH66" s="15">
        <f>(AH52*AH53)+AH65</f>
        <v>134.607958008963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5308.5</v>
      </c>
      <c r="AF68" s="15">
        <f>AE68-AF54</f>
        <v>5342</v>
      </c>
      <c r="AG68" s="15">
        <f>AF68-AG54</f>
        <v>5375.5</v>
      </c>
      <c r="AH68" s="15">
        <f>AG68-AH54</f>
        <v>5409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114.6</v>
      </c>
      <c r="AF69" s="15">
        <f>AE69-AF65</f>
        <v>229.2</v>
      </c>
      <c r="AG69" s="15">
        <f>AF69-AG65</f>
        <v>343.8</v>
      </c>
      <c r="AH69" s="15">
        <f>AG69-AH65</f>
        <v>458.4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5193.9</v>
      </c>
      <c r="AF70" s="15">
        <f>AF68-AF69</f>
        <v>5112.8</v>
      </c>
      <c r="AG70" s="15">
        <f>AG68-AG69</f>
        <v>5031.7</v>
      </c>
      <c r="AH70" s="15">
        <f>AH68-AH69</f>
        <v>4950.6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1521.9</v>
      </c>
      <c r="AF71" s="15">
        <f>AE71+AF56</f>
        <v>1445.805</v>
      </c>
      <c r="AG71" s="15">
        <f>AF71+AG56</f>
        <v>1373.51475</v>
      </c>
      <c r="AH71" s="15">
        <f>AG71+AH56</f>
        <v>1304.8390125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5581.783712238570</v>
      </c>
      <c r="AF73" s="15">
        <f>AE73+AF66+AF58</f>
        <v>5641.934913109980</v>
      </c>
      <c r="AG73" s="15">
        <f>AF73+AG66+AG58</f>
        <v>5705.609650007540</v>
      </c>
      <c r="AH73" s="15">
        <f>AG73+AH66+AH58</f>
        <v>5772.913629012020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387.883712238570</v>
      </c>
      <c r="AF75" s="15">
        <f>AF63-AF71-AF72</f>
        <v>529.1349131099799</v>
      </c>
      <c r="AG75" s="15">
        <f>AG63-AG71-AG72</f>
        <v>673.909650007540</v>
      </c>
      <c r="AH75" s="15">
        <f>AH63-AH71-AH72</f>
        <v>822.313629012020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-143.883712238570</v>
      </c>
      <c r="AF76" s="15">
        <f>AF56+AF58+AF60</f>
        <v>-136.246200871413</v>
      </c>
      <c r="AG76" s="15">
        <f>AG56+AG58+AG60</f>
        <v>-135.964986897555</v>
      </c>
      <c r="AH76" s="15">
        <f>AH56+AH58+AH60</f>
        <v>-135.979716504482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368</v>
      </c>
      <c r="AD78" s="14"/>
      <c r="AE78" s="15"/>
      <c r="AF78" s="15"/>
      <c r="AG78" s="15"/>
      <c r="AH78" s="15">
        <v>450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368</v>
      </c>
      <c r="AD79" s="14"/>
      <c r="AE79" s="15"/>
      <c r="AF79" s="15"/>
      <c r="AG79" s="15"/>
      <c r="AH79" s="15">
        <v>7704180172800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7704.1801728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17.120400384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1.08850655893424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0.0330877034667497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834.227258024037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5.93435416115036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9.23510961635111</v>
      </c>
      <c r="AH86" s="15">
        <v>15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12513.4088703606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730.9063216801341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0.6242362704002981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0.215472644615143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0.0681111380806457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368</v>
      </c>
      <c r="AF94" t="s" s="44">
        <v>60</v>
      </c>
      <c r="AG94" s="15">
        <f>AH78</f>
        <v>450</v>
      </c>
      <c r="AH94" t="s" s="44">
        <v>61</v>
      </c>
      <c r="AI94" s="15">
        <f>AH88</f>
        <v>730.9063216801341</v>
      </c>
      <c r="AJ94" t="s" s="44">
        <f>IF(AK94&gt;0,"+","")</f>
        <v>361</v>
      </c>
      <c r="AK94" s="16">
        <f>AI94/AG94-1</f>
        <v>0.6242362704002981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0.215472644615143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0.0488565936358679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0.0495445318565642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0.0315413184206055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-0.0554303465919474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-0.223824298837987</v>
      </c>
      <c r="AF103" s="16">
        <f>P23</f>
        <v>0.417463552280922</v>
      </c>
      <c r="AG103" s="16">
        <f>P24</f>
        <v>-0.120216766202168</v>
      </c>
      <c r="AH103" s="16">
        <f>P25</f>
        <v>0.0318667504714016</v>
      </c>
      <c r="AI103" s="16">
        <f>P26</f>
        <v>-0.0554303465919474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1275.8</v>
      </c>
      <c r="AF104" t="s" s="44">
        <v>72</v>
      </c>
      <c r="AG104" s="15">
        <f>C23</f>
        <v>1808.4</v>
      </c>
      <c r="AH104" t="s" s="44">
        <v>72</v>
      </c>
      <c r="AI104" s="15">
        <f>C24</f>
        <v>1591</v>
      </c>
      <c r="AJ104" t="s" s="44">
        <v>72</v>
      </c>
      <c r="AK104" s="15">
        <f>C25</f>
        <v>1641.7</v>
      </c>
      <c r="AL104" t="s" s="44">
        <v>72</v>
      </c>
      <c r="AM104" s="15">
        <f>C26</f>
        <v>1550.7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-0.0554303465919474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1550.7</v>
      </c>
      <c r="AM105" t="s" s="44">
        <v>372</v>
      </c>
      <c r="AN105" t="s" s="44">
        <v>373</v>
      </c>
      <c r="AO105" s="16">
        <f>AH91</f>
        <v>0.0681111380806457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0.0684207974895521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0.045</v>
      </c>
      <c r="AG107" t="s" s="44">
        <v>82</v>
      </c>
      <c r="AH107" t="s" s="44">
        <v>83</v>
      </c>
      <c r="AI107" s="23">
        <f>AH52</f>
        <v>1835.151026265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0.121022103778022</v>
      </c>
      <c r="AF110" s="16">
        <f>(D23+E23)/C23</f>
        <v>0.278201725282017</v>
      </c>
      <c r="AG110" s="16">
        <f>((E24+D24)/C24)</f>
        <v>0.169767441860465</v>
      </c>
      <c r="AH110" s="16">
        <f>(D25+E25)/C25</f>
        <v>0.124565998659926</v>
      </c>
      <c r="AI110" s="16">
        <f>(D26+E26)/C26</f>
        <v>0.144902302186109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43.8</v>
      </c>
      <c r="AF111" t="s" s="44">
        <v>72</v>
      </c>
      <c r="AG111" s="15">
        <f>E23</f>
        <v>395</v>
      </c>
      <c r="AH111" t="s" s="44">
        <v>72</v>
      </c>
      <c r="AI111" s="15">
        <f>E24</f>
        <v>156</v>
      </c>
      <c r="AJ111" t="s" s="44">
        <v>72</v>
      </c>
      <c r="AK111" s="15">
        <f>E25</f>
        <v>90.09999999999999</v>
      </c>
      <c r="AL111" t="s" s="44">
        <v>72</v>
      </c>
      <c r="AM111" s="15">
        <f>E26</f>
        <v>109.4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0.124565998659926</v>
      </c>
      <c r="AG112" t="s" s="44">
        <v>76</v>
      </c>
      <c r="AH112" s="16">
        <f>AI110</f>
        <v>0.144902302186109</v>
      </c>
      <c r="AI112" t="s" s="44">
        <v>90</v>
      </c>
      <c r="AJ112" s="15">
        <f>AK111</f>
        <v>90.09999999999999</v>
      </c>
      <c r="AK112" t="s" s="44">
        <v>76</v>
      </c>
      <c r="AL112" s="15">
        <f>AM111</f>
        <v>109.4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0.179359366997129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0.135796974985849</v>
      </c>
      <c r="AG114" t="s" s="44">
        <v>94</v>
      </c>
      <c r="AH114" s="15">
        <f>AH66</f>
        <v>134.607958008963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52.3</v>
      </c>
      <c r="AF117" t="s" s="44">
        <v>72</v>
      </c>
      <c r="AG117" s="15">
        <f>J23</f>
        <v>716.6</v>
      </c>
      <c r="AH117" t="s" s="44">
        <v>72</v>
      </c>
      <c r="AI117" s="15">
        <f>J24</f>
        <v>203.5</v>
      </c>
      <c r="AJ117" t="s" s="44">
        <v>72</v>
      </c>
      <c r="AK117" s="15">
        <f>J25</f>
        <v>-178.8</v>
      </c>
      <c r="AL117" t="s" s="44">
        <v>72</v>
      </c>
      <c r="AM117" s="15">
        <f>J26</f>
        <v>-254.9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-16.3</v>
      </c>
      <c r="AF118" t="s" s="44">
        <v>72</v>
      </c>
      <c r="AG118" s="15">
        <f>K23</f>
        <v>-26.4</v>
      </c>
      <c r="AH118" t="s" s="44">
        <v>72</v>
      </c>
      <c r="AI118" s="15">
        <f>K24</f>
        <v>-26</v>
      </c>
      <c r="AJ118" t="s" s="44">
        <v>72</v>
      </c>
      <c r="AK118" s="15">
        <f>K25</f>
        <v>-24.1</v>
      </c>
      <c r="AL118" t="s" s="44">
        <v>72</v>
      </c>
      <c r="AM118" s="15">
        <f>K26</f>
        <v>-33.5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-202.9</v>
      </c>
      <c r="AG119" t="s" s="44">
        <v>76</v>
      </c>
      <c r="AH119" s="15">
        <f>AM117+AM118</f>
        <v>-288.4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-33.5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94.09999999999999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-33.5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208.556814506009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1848</v>
      </c>
      <c r="AF124" t="s" s="44">
        <v>72</v>
      </c>
      <c r="AG124" s="15">
        <f>F23</f>
        <v>2544</v>
      </c>
      <c r="AH124" t="s" s="44">
        <v>72</v>
      </c>
      <c r="AI124" s="15">
        <f>F24</f>
        <v>2688.7</v>
      </c>
      <c r="AJ124" t="s" s="44">
        <v>72</v>
      </c>
      <c r="AK124" s="15">
        <f>F25</f>
        <v>2476</v>
      </c>
      <c r="AL124" t="s" s="44">
        <v>72</v>
      </c>
      <c r="AM124" s="15">
        <f>F26</f>
        <v>1845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1930</v>
      </c>
      <c r="AF125" t="s" s="44">
        <v>72</v>
      </c>
      <c r="AG125" s="15">
        <f>G23</f>
        <v>1677</v>
      </c>
      <c r="AH125" t="s" s="44">
        <v>72</v>
      </c>
      <c r="AI125" s="15">
        <f>G24</f>
        <v>1642</v>
      </c>
      <c r="AJ125" t="s" s="44">
        <v>72</v>
      </c>
      <c r="AK125" s="15">
        <f>G25</f>
        <v>1970</v>
      </c>
      <c r="AL125" t="s" s="44">
        <v>72</v>
      </c>
      <c r="AM125" s="15">
        <f>G26</f>
        <v>1602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2476</v>
      </c>
      <c r="AH126" t="s" s="44">
        <v>76</v>
      </c>
      <c r="AI126" s="15">
        <f>AM124</f>
        <v>1845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1970</v>
      </c>
      <c r="AH127" t="s" s="44">
        <v>76</v>
      </c>
      <c r="AI127" s="15">
        <f>AM125</f>
        <v>1602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506</v>
      </c>
      <c r="AO127" t="s" s="44">
        <v>76</v>
      </c>
      <c r="AP127" s="15">
        <f>AI126-AI127</f>
        <v>243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-254.913629012019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-297.1609875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822.313629012020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8.9</v>
      </c>
      <c r="AF131" t="s" s="44">
        <v>72</v>
      </c>
      <c r="AG131" s="15">
        <f>-L23</f>
        <v>-4.9</v>
      </c>
      <c r="AH131" t="s" s="44">
        <v>72</v>
      </c>
      <c r="AI131" s="15">
        <f>-L24</f>
        <v>33</v>
      </c>
      <c r="AJ131" t="s" s="44">
        <v>72</v>
      </c>
      <c r="AK131" s="15">
        <f>-L25</f>
        <v>12.8</v>
      </c>
      <c r="AL131" t="s" s="44">
        <v>72</v>
      </c>
      <c r="AM131" s="15">
        <f>-L26</f>
        <v>-11.7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550.4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352.5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368</v>
      </c>
      <c r="AF133" t="s" s="44">
        <f>IF(AG133&gt;0,"paid","(raised)")</f>
        <v>374</v>
      </c>
      <c r="AG133" s="15">
        <f>SUM(AM131:AM132)</f>
        <v>340.8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-11.7</v>
      </c>
      <c r="AM133" t="s" s="44">
        <f>AM105</f>
        <v>372</v>
      </c>
      <c r="AN133" t="s" s="44">
        <v>123</v>
      </c>
      <c r="AO133" s="15">
        <f>AM132</f>
        <v>352.5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552.074616512020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7704.1801728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1.08850655893424</v>
      </c>
      <c r="AK134" t="s" s="44">
        <v>130</v>
      </c>
      <c r="AL134" t="s" s="44">
        <v>131</v>
      </c>
      <c r="AM134" t="s" s="44">
        <v>132</v>
      </c>
      <c r="AN134" s="15">
        <f>AH85</f>
        <v>5.93435416115036</v>
      </c>
      <c r="AO134" t="s" s="44">
        <v>133</v>
      </c>
      <c r="AP134" s="16">
        <f>-AF128/AF134</f>
        <v>0.0330877034667497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834.227258024037</v>
      </c>
      <c r="AG135" t="s" s="44">
        <f>AG134</f>
        <v>372</v>
      </c>
      <c r="AH135" t="s" s="44">
        <v>136</v>
      </c>
      <c r="AI135" s="15">
        <f>AF134/AF135</f>
        <v>9.23510961635111</v>
      </c>
      <c r="AJ135" t="s" s="44">
        <v>130</v>
      </c>
      <c r="AK135" t="s" s="44">
        <v>137</v>
      </c>
      <c r="AL135" t="s" s="44">
        <v>138</v>
      </c>
      <c r="AM135" s="15">
        <f>AH86</f>
        <v>15</v>
      </c>
      <c r="AN135" t="s" s="44">
        <v>139</v>
      </c>
      <c r="AO135" t="s" s="44">
        <v>140</v>
      </c>
      <c r="AP135" t="s" s="44">
        <v>141</v>
      </c>
      <c r="AQ135" s="16">
        <f>AK94</f>
        <v>0.6242362704002981</v>
      </c>
      <c r="AR135" t="s" s="44">
        <f>IF(AQ135&gt;0,"higher","lower")</f>
        <v>363</v>
      </c>
      <c r="AS135" t="s" s="44">
        <v>142</v>
      </c>
      <c r="AT135" s="15">
        <f>AI94</f>
        <v>730.9063216801341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1275.8</v>
      </c>
      <c r="AE137" s="15">
        <f>AG104</f>
        <v>1808.4</v>
      </c>
      <c r="AF137" s="15">
        <f>AI104</f>
        <v>1591</v>
      </c>
      <c r="AG137" s="15">
        <f>AK104</f>
        <v>1641.7</v>
      </c>
      <c r="AH137" s="15">
        <f>AM104</f>
        <v>1550.7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36</v>
      </c>
      <c r="AE138" s="15">
        <f>SUM(AG117:AG118)</f>
        <v>690.2</v>
      </c>
      <c r="AF138" s="15">
        <f>SUM(AI117:AI118)</f>
        <v>177.5</v>
      </c>
      <c r="AG138" s="15">
        <f>SUM(AK117:AK118)</f>
        <v>-202.9</v>
      </c>
      <c r="AH138" s="15">
        <f>SUM(AM117:AM118)</f>
        <v>-288.4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559.3</v>
      </c>
      <c r="AE139" s="15">
        <f>SUM(AG131:AG132)</f>
        <v>-4.9</v>
      </c>
      <c r="AF139" s="15">
        <f>SUM(AI131:AI132)</f>
        <v>33</v>
      </c>
      <c r="AG139" s="15">
        <f>SUM(AK131:AK132)</f>
        <v>12.8</v>
      </c>
      <c r="AH139" s="15">
        <f>SUM(AM131:AM132)</f>
        <v>340.8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-82</v>
      </c>
      <c r="AE140" s="15">
        <f>(AG124-AG125)</f>
        <v>867</v>
      </c>
      <c r="AF140" s="15">
        <f>(AI124-AI125)</f>
        <v>1046.7</v>
      </c>
      <c r="AG140" s="15">
        <f>(AK124-AK125)</f>
        <v>506</v>
      </c>
      <c r="AH140" s="15">
        <f>(AM124-AM125)</f>
        <v>243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730.9063216801341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68" customWidth="1"/>
    <col min="2" max="28" width="10.4844" style="168" customWidth="1"/>
    <col min="29" max="29" width="18.9766" style="169" customWidth="1"/>
    <col min="30" max="48" width="9" style="169" customWidth="1"/>
    <col min="49" max="16384" width="16.3516" style="169" customWidth="1"/>
  </cols>
  <sheetData>
    <row r="1" ht="11.65" customHeight="1"/>
    <row r="2" ht="27.65" customHeight="1">
      <c r="B2" t="s" s="2">
        <v>548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231</v>
      </c>
      <c r="AA3" t="s" s="3">
        <v>19</v>
      </c>
      <c r="AB3" t="s" s="3">
        <v>20</v>
      </c>
    </row>
    <row r="4" ht="20.25" customHeight="1">
      <c r="B4" s="6">
        <v>2017</v>
      </c>
      <c r="C4" s="7">
        <v>399</v>
      </c>
      <c r="D4" s="8">
        <v>8.25</v>
      </c>
      <c r="E4" s="8">
        <v>39</v>
      </c>
      <c r="F4" s="8">
        <v>640</v>
      </c>
      <c r="G4" s="8">
        <v>6350</v>
      </c>
      <c r="H4" s="8">
        <v>12177</v>
      </c>
      <c r="I4" s="8">
        <v>486</v>
      </c>
      <c r="J4" s="8">
        <v>-86</v>
      </c>
      <c r="K4" s="8">
        <v>-2</v>
      </c>
      <c r="L4" s="8">
        <v>254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-254</v>
      </c>
      <c r="W4" s="9"/>
      <c r="X4" s="8">
        <f>F4-G4</f>
        <v>-5710</v>
      </c>
      <c r="Y4" s="9"/>
      <c r="Z4" s="73"/>
      <c r="AA4" s="11"/>
      <c r="AB4" s="12">
        <v>13.3</v>
      </c>
    </row>
    <row r="5" ht="20.05" customHeight="1">
      <c r="B5" s="13"/>
      <c r="C5" s="14">
        <v>941</v>
      </c>
      <c r="D5" s="15">
        <v>8.25</v>
      </c>
      <c r="E5" s="15">
        <v>194</v>
      </c>
      <c r="F5" s="15">
        <v>638</v>
      </c>
      <c r="G5" s="15">
        <v>6609</v>
      </c>
      <c r="H5" s="15">
        <v>12553</v>
      </c>
      <c r="I5" s="15">
        <v>779</v>
      </c>
      <c r="J5" s="15">
        <v>-176</v>
      </c>
      <c r="K5" s="15">
        <v>-6</v>
      </c>
      <c r="L5" s="15">
        <v>180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-434</v>
      </c>
      <c r="W5" s="17"/>
      <c r="X5" s="15">
        <f>F5-G5</f>
        <v>-5971</v>
      </c>
      <c r="Y5" s="17"/>
      <c r="Z5" s="24"/>
      <c r="AA5" s="19"/>
      <c r="AB5" s="20">
        <v>13.327</v>
      </c>
    </row>
    <row r="6" ht="20.05" customHeight="1">
      <c r="B6" s="13"/>
      <c r="C6" s="14">
        <v>387</v>
      </c>
      <c r="D6" s="15">
        <v>8.25</v>
      </c>
      <c r="E6" s="15">
        <v>-8</v>
      </c>
      <c r="F6" s="15">
        <v>711</v>
      </c>
      <c r="G6" s="15">
        <v>6659</v>
      </c>
      <c r="H6" s="15">
        <v>12645</v>
      </c>
      <c r="I6" s="15">
        <v>639</v>
      </c>
      <c r="J6" s="15">
        <v>75</v>
      </c>
      <c r="K6" s="15">
        <v>-7</v>
      </c>
      <c r="L6" s="15">
        <v>6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-440</v>
      </c>
      <c r="W6" s="17"/>
      <c r="X6" s="15">
        <f>F6-G6</f>
        <v>-5948</v>
      </c>
      <c r="Y6" s="17"/>
      <c r="Z6" s="24"/>
      <c r="AA6" s="19"/>
      <c r="AB6" s="20">
        <v>13.305</v>
      </c>
    </row>
    <row r="7" ht="20.05" customHeight="1">
      <c r="B7" s="13"/>
      <c r="C7" s="14">
        <v>476</v>
      </c>
      <c r="D7" s="15">
        <v>8.25</v>
      </c>
      <c r="E7" s="15">
        <v>47</v>
      </c>
      <c r="F7" s="15">
        <v>750</v>
      </c>
      <c r="G7" s="15">
        <v>6787</v>
      </c>
      <c r="H7" s="15">
        <v>13097</v>
      </c>
      <c r="I7" s="15">
        <v>523</v>
      </c>
      <c r="J7" s="15">
        <v>-349</v>
      </c>
      <c r="K7" s="15">
        <v>-32</v>
      </c>
      <c r="L7" s="15">
        <v>419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-859</v>
      </c>
      <c r="W7" s="17"/>
      <c r="X7" s="15">
        <f>F7-G7</f>
        <v>-6037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709</v>
      </c>
      <c r="D8" s="15">
        <v>9</v>
      </c>
      <c r="E8" s="15">
        <v>114</v>
      </c>
      <c r="F8" s="15">
        <v>878</v>
      </c>
      <c r="G8" s="15">
        <v>7004</v>
      </c>
      <c r="H8" s="15">
        <v>13430</v>
      </c>
      <c r="I8" s="15">
        <v>605</v>
      </c>
      <c r="J8" s="15">
        <v>-0.5</v>
      </c>
      <c r="K8" s="15">
        <v>-6</v>
      </c>
      <c r="L8" s="15">
        <v>135</v>
      </c>
      <c r="M8" s="15">
        <v>0</v>
      </c>
      <c r="N8" s="15">
        <f>SUM(C5:C8)/4</f>
        <v>628.25</v>
      </c>
      <c r="O8" s="15"/>
      <c r="P8" s="16"/>
      <c r="Q8" s="16">
        <f>J8/I8</f>
        <v>-0.000826446280991736</v>
      </c>
      <c r="R8" s="16"/>
      <c r="S8" s="17"/>
      <c r="T8" s="15">
        <f>SUM(J5:K8)/4</f>
        <v>-125.375</v>
      </c>
      <c r="U8" s="25"/>
      <c r="V8" s="15">
        <f>-(L8+M8)+V7</f>
        <v>-994</v>
      </c>
      <c r="W8" s="17"/>
      <c r="X8" s="15">
        <f>F8-G8</f>
        <v>-6126</v>
      </c>
      <c r="Y8" s="24"/>
      <c r="Z8" s="25">
        <v>327.9375</v>
      </c>
      <c r="AA8" s="22"/>
      <c r="AB8" s="20">
        <v>13.761</v>
      </c>
    </row>
    <row r="9" ht="20.05" customHeight="1">
      <c r="B9" s="13"/>
      <c r="C9" s="14">
        <v>1098</v>
      </c>
      <c r="D9" s="15">
        <v>9</v>
      </c>
      <c r="E9" s="15">
        <v>19</v>
      </c>
      <c r="F9" s="15">
        <v>976</v>
      </c>
      <c r="G9" s="15">
        <v>7363</v>
      </c>
      <c r="H9" s="15">
        <v>13809</v>
      </c>
      <c r="I9" s="15">
        <v>1250</v>
      </c>
      <c r="J9" s="15">
        <v>-129.5</v>
      </c>
      <c r="K9" s="15">
        <v>-40</v>
      </c>
      <c r="L9" s="15">
        <v>267</v>
      </c>
      <c r="M9" s="15">
        <v>0</v>
      </c>
      <c r="N9" s="15">
        <f>SUM(C6:C9)/4</f>
        <v>667.5</v>
      </c>
      <c r="O9" s="15"/>
      <c r="P9" s="16"/>
      <c r="Q9" s="16">
        <f>J9/I9</f>
        <v>-0.1036</v>
      </c>
      <c r="R9" s="16"/>
      <c r="S9" s="17"/>
      <c r="T9" s="15">
        <f>SUM(J6:K9)/4</f>
        <v>-122.25</v>
      </c>
      <c r="U9" s="25"/>
      <c r="V9" s="15">
        <f>-(L9+M9)+V8</f>
        <v>-1261</v>
      </c>
      <c r="W9" s="17"/>
      <c r="X9" s="15">
        <f>F13-G9</f>
        <v>-6073</v>
      </c>
      <c r="Y9" s="24"/>
      <c r="Z9" s="25">
        <v>367.6875</v>
      </c>
      <c r="AA9" s="22"/>
      <c r="AB9" s="20">
        <v>14</v>
      </c>
    </row>
    <row r="10" ht="20.05" customHeight="1">
      <c r="B10" s="13"/>
      <c r="C10" s="14">
        <v>612</v>
      </c>
      <c r="D10" s="15">
        <v>9</v>
      </c>
      <c r="E10" s="15">
        <v>-17</v>
      </c>
      <c r="F10" s="15">
        <v>1016</v>
      </c>
      <c r="G10" s="15">
        <v>7435</v>
      </c>
      <c r="H10" s="15">
        <v>13868</v>
      </c>
      <c r="I10" s="15">
        <v>601</v>
      </c>
      <c r="J10" s="15">
        <v>25</v>
      </c>
      <c r="K10" s="15">
        <v>-52</v>
      </c>
      <c r="L10" s="15">
        <v>66</v>
      </c>
      <c r="M10" s="15">
        <v>0</v>
      </c>
      <c r="N10" s="15">
        <f>SUM(C7:C10)/4</f>
        <v>723.75</v>
      </c>
      <c r="O10" s="15"/>
      <c r="P10" s="16">
        <f>C10/C9-1</f>
        <v>-0.442622950819672</v>
      </c>
      <c r="Q10" s="16">
        <f>J10/I10</f>
        <v>0.0415973377703827</v>
      </c>
      <c r="R10" s="16"/>
      <c r="S10" s="17"/>
      <c r="T10" s="15">
        <f>SUM(J7:K10)/4</f>
        <v>-146</v>
      </c>
      <c r="U10" s="25"/>
      <c r="V10" s="15">
        <f>-(L10+M10)+V9</f>
        <v>-1327</v>
      </c>
      <c r="W10" s="17"/>
      <c r="X10" s="15">
        <f>F10-G10</f>
        <v>-6419</v>
      </c>
      <c r="Y10" s="24"/>
      <c r="Z10" s="25">
        <v>290.174988</v>
      </c>
      <c r="AA10" s="22"/>
      <c r="AB10" s="20">
        <v>14.902</v>
      </c>
    </row>
    <row r="11" ht="20.05" customHeight="1">
      <c r="B11" s="13"/>
      <c r="C11" s="14">
        <v>134</v>
      </c>
      <c r="D11" s="15">
        <v>9</v>
      </c>
      <c r="E11" s="15">
        <v>78</v>
      </c>
      <c r="F11" s="15">
        <v>1124</v>
      </c>
      <c r="G11" s="15">
        <v>7700</v>
      </c>
      <c r="H11" s="15">
        <v>14216</v>
      </c>
      <c r="I11" s="15">
        <v>80</v>
      </c>
      <c r="J11" s="15">
        <v>77</v>
      </c>
      <c r="K11" s="15">
        <v>-63</v>
      </c>
      <c r="L11" s="15">
        <v>95</v>
      </c>
      <c r="M11" s="15">
        <v>0</v>
      </c>
      <c r="N11" s="15">
        <f>SUM(C8:C11)/4</f>
        <v>638.25</v>
      </c>
      <c r="O11" s="15"/>
      <c r="P11" s="16">
        <f>C11/C10-1</f>
        <v>-0.781045751633987</v>
      </c>
      <c r="Q11" s="16">
        <f>J11/I11</f>
        <v>0.9625</v>
      </c>
      <c r="R11" s="16"/>
      <c r="S11" s="17"/>
      <c r="T11" s="15">
        <f>SUM(J8:K11)/4</f>
        <v>-47.25</v>
      </c>
      <c r="U11" s="25"/>
      <c r="V11" s="15">
        <f>-(L11+M11)+V10</f>
        <v>-1422</v>
      </c>
      <c r="W11" s="17"/>
      <c r="X11" s="15">
        <f>F11-G11</f>
        <v>-6576</v>
      </c>
      <c r="Y11" s="24"/>
      <c r="Z11" s="25">
        <v>306.074982</v>
      </c>
      <c r="AA11" s="22"/>
      <c r="AB11" s="20">
        <v>14.38</v>
      </c>
    </row>
    <row r="12" ht="20.05" customHeight="1">
      <c r="B12" s="21">
        <v>2019</v>
      </c>
      <c r="C12" s="14">
        <v>888</v>
      </c>
      <c r="D12" s="15">
        <v>9</v>
      </c>
      <c r="E12" s="15">
        <v>102</v>
      </c>
      <c r="F12" s="15">
        <v>1098</v>
      </c>
      <c r="G12" s="15">
        <v>7495</v>
      </c>
      <c r="H12" s="15">
        <v>14116</v>
      </c>
      <c r="I12" s="15">
        <v>512</v>
      </c>
      <c r="J12" s="15">
        <v>-118</v>
      </c>
      <c r="K12" s="15">
        <v>5</v>
      </c>
      <c r="L12" s="15">
        <v>88</v>
      </c>
      <c r="M12" s="15">
        <v>0</v>
      </c>
      <c r="N12" s="15">
        <f>SUM(C9:C12)/4</f>
        <v>683</v>
      </c>
      <c r="O12" s="23"/>
      <c r="P12" s="16">
        <f>C12/C11-1</f>
        <v>5.62686567164179</v>
      </c>
      <c r="Q12" s="16">
        <f>J12/I12</f>
        <v>-0.23046875</v>
      </c>
      <c r="R12" s="16">
        <f>AVERAGE(Q9:Q12)</f>
        <v>0.167507146942596</v>
      </c>
      <c r="S12" s="17"/>
      <c r="T12" s="15">
        <f>SUM(J9:K12)/4</f>
        <v>-73.875</v>
      </c>
      <c r="U12" s="25"/>
      <c r="V12" s="15">
        <f>-(L12+M12)+V11</f>
        <v>-1510</v>
      </c>
      <c r="W12" s="17"/>
      <c r="X12" s="15">
        <f>F12-G12</f>
        <v>-6397</v>
      </c>
      <c r="Y12" s="24"/>
      <c r="Z12" s="25">
        <v>341.850006</v>
      </c>
      <c r="AA12" s="22"/>
      <c r="AB12" s="20">
        <v>14.24</v>
      </c>
    </row>
    <row r="13" ht="20.05" customHeight="1">
      <c r="B13" s="13"/>
      <c r="C13" s="14">
        <v>458</v>
      </c>
      <c r="D13" s="15">
        <v>9</v>
      </c>
      <c r="E13" s="15">
        <v>-26</v>
      </c>
      <c r="F13" s="15">
        <v>1290</v>
      </c>
      <c r="G13" s="15">
        <v>7548</v>
      </c>
      <c r="H13" s="15">
        <v>14577</v>
      </c>
      <c r="I13" s="15">
        <v>506</v>
      </c>
      <c r="J13" s="15">
        <v>-360</v>
      </c>
      <c r="K13" s="15">
        <v>243</v>
      </c>
      <c r="L13" s="15">
        <v>309</v>
      </c>
      <c r="M13" s="15">
        <v>0</v>
      </c>
      <c r="N13" s="15">
        <f>SUM(C10:C13)/4</f>
        <v>523</v>
      </c>
      <c r="O13" s="23"/>
      <c r="P13" s="16">
        <f>C13/C12-1</f>
        <v>-0.484234234234234</v>
      </c>
      <c r="Q13" s="16">
        <f>J13/I13</f>
        <v>-0.711462450592885</v>
      </c>
      <c r="R13" s="16">
        <f>AVERAGE(Q10:Q13)</f>
        <v>0.0155415342943744</v>
      </c>
      <c r="S13" s="17"/>
      <c r="T13" s="15">
        <f>SUM(J10:K13)/4</f>
        <v>-60.75</v>
      </c>
      <c r="U13" s="25"/>
      <c r="V13" s="15">
        <f>-(L13+M13)+V12</f>
        <v>-1819</v>
      </c>
      <c r="W13" s="17"/>
      <c r="X13" s="15">
        <f>F13-G13</f>
        <v>-6258</v>
      </c>
      <c r="Y13" s="24"/>
      <c r="Z13" s="25">
        <v>384</v>
      </c>
      <c r="AA13" s="24"/>
      <c r="AB13" s="15">
        <v>14.127</v>
      </c>
    </row>
    <row r="14" ht="20.05" customHeight="1">
      <c r="B14" s="13"/>
      <c r="C14" s="14">
        <v>508</v>
      </c>
      <c r="D14" s="15">
        <v>9</v>
      </c>
      <c r="E14" s="15">
        <v>7</v>
      </c>
      <c r="F14" s="15">
        <v>1289</v>
      </c>
      <c r="G14" s="15">
        <v>7646</v>
      </c>
      <c r="H14" s="15">
        <v>14684</v>
      </c>
      <c r="I14" s="15">
        <v>550</v>
      </c>
      <c r="J14" s="15">
        <v>-77</v>
      </c>
      <c r="K14" s="15">
        <v>4</v>
      </c>
      <c r="L14" s="15">
        <v>70</v>
      </c>
      <c r="M14" s="15">
        <v>0</v>
      </c>
      <c r="N14" s="15">
        <f>SUM(C11:C14)/4</f>
        <v>497</v>
      </c>
      <c r="O14" s="23"/>
      <c r="P14" s="16">
        <f>C14/C13-1</f>
        <v>0.109170305676856</v>
      </c>
      <c r="Q14" s="16">
        <f>J14/I14</f>
        <v>-0.14</v>
      </c>
      <c r="R14" s="16">
        <f>AVERAGE(Q11:Q14)</f>
        <v>-0.0298578001482213</v>
      </c>
      <c r="S14" s="17"/>
      <c r="T14" s="15">
        <f>SUM(J11:K14)/4</f>
        <v>-72.25</v>
      </c>
      <c r="U14" s="25"/>
      <c r="V14" s="15">
        <f>-(L14+M14)+V13</f>
        <v>-1889</v>
      </c>
      <c r="W14" s="17"/>
      <c r="X14" s="15">
        <f>F14-G14</f>
        <v>-6357</v>
      </c>
      <c r="Y14" s="24"/>
      <c r="Z14" s="25">
        <v>398</v>
      </c>
      <c r="AA14" s="24"/>
      <c r="AB14" s="15">
        <v>14.195</v>
      </c>
    </row>
    <row r="15" ht="20.05" customHeight="1">
      <c r="B15" s="13"/>
      <c r="C15" s="14">
        <v>882</v>
      </c>
      <c r="D15" s="15">
        <v>504</v>
      </c>
      <c r="E15" s="15">
        <v>354</v>
      </c>
      <c r="F15" s="15">
        <v>1416</v>
      </c>
      <c r="G15" s="15">
        <v>7543</v>
      </c>
      <c r="H15" s="15">
        <v>14778</v>
      </c>
      <c r="I15" s="15">
        <v>657</v>
      </c>
      <c r="J15" s="15">
        <v>51</v>
      </c>
      <c r="K15" s="15">
        <v>470</v>
      </c>
      <c r="L15" s="15">
        <v>-394</v>
      </c>
      <c r="M15" s="15">
        <v>0</v>
      </c>
      <c r="N15" s="15">
        <f>SUM(C12:C15)/4</f>
        <v>684</v>
      </c>
      <c r="O15" s="15"/>
      <c r="P15" s="16">
        <f>C15/C14-1</f>
        <v>0.736220472440945</v>
      </c>
      <c r="Q15" s="16">
        <f>J15/I15</f>
        <v>0.0776255707762557</v>
      </c>
      <c r="R15" s="16">
        <f>AVERAGE(Q12:Q15)</f>
        <v>-0.251076407454157</v>
      </c>
      <c r="S15" s="17"/>
      <c r="T15" s="15">
        <f>SUM(J12:K15)/4</f>
        <v>54.5</v>
      </c>
      <c r="U15" s="25"/>
      <c r="V15" s="15">
        <f>-(L15+M15)+V14</f>
        <v>-1495</v>
      </c>
      <c r="W15" s="17"/>
      <c r="X15" s="15">
        <f>F15-G15</f>
        <v>-6127</v>
      </c>
      <c r="Y15" s="24"/>
      <c r="Z15" s="25">
        <v>260</v>
      </c>
      <c r="AA15" s="24"/>
      <c r="AB15" s="15">
        <v>13.882</v>
      </c>
    </row>
    <row r="16" ht="20.05" customHeight="1">
      <c r="B16" s="21">
        <v>2020</v>
      </c>
      <c r="C16" s="14">
        <v>831</v>
      </c>
      <c r="D16" s="15">
        <v>8.5</v>
      </c>
      <c r="E16" s="15">
        <v>82</v>
      </c>
      <c r="F16" s="15">
        <v>1425</v>
      </c>
      <c r="G16" s="15">
        <v>9902</v>
      </c>
      <c r="H16" s="15">
        <v>15928</v>
      </c>
      <c r="I16" s="15">
        <v>1215</v>
      </c>
      <c r="J16" s="15">
        <v>-16</v>
      </c>
      <c r="K16" s="15">
        <v>-3</v>
      </c>
      <c r="L16" s="15">
        <v>27</v>
      </c>
      <c r="M16" s="15">
        <v>0</v>
      </c>
      <c r="N16" s="15">
        <f>SUM(C13:C16)/4</f>
        <v>669.75</v>
      </c>
      <c r="O16" s="15"/>
      <c r="P16" s="16">
        <f>C16/C15-1</f>
        <v>-0.0578231292517007</v>
      </c>
      <c r="Q16" s="16">
        <f>J16/I16</f>
        <v>-0.0131687242798354</v>
      </c>
      <c r="R16" s="16">
        <f>AVERAGE(Q13:Q16)</f>
        <v>-0.196751401024116</v>
      </c>
      <c r="S16" s="17"/>
      <c r="T16" s="15">
        <f>SUM(J13:K16)/4</f>
        <v>78</v>
      </c>
      <c r="U16" s="25"/>
      <c r="V16" s="15">
        <f>-(L16+M16)+V15</f>
        <v>-1522</v>
      </c>
      <c r="W16" s="17"/>
      <c r="X16" s="15">
        <f>F16-G16</f>
        <v>-8477</v>
      </c>
      <c r="Y16" s="24"/>
      <c r="Z16" s="25">
        <v>250</v>
      </c>
      <c r="AA16" s="24"/>
      <c r="AB16" s="15">
        <v>16.31</v>
      </c>
    </row>
    <row r="17" ht="20.05" customHeight="1">
      <c r="B17" s="13"/>
      <c r="C17" s="14">
        <v>679</v>
      </c>
      <c r="D17" s="15">
        <v>8.5</v>
      </c>
      <c r="E17" s="15">
        <v>0</v>
      </c>
      <c r="F17" s="15">
        <v>1351</v>
      </c>
      <c r="G17" s="15">
        <v>9891</v>
      </c>
      <c r="H17" s="15">
        <v>15917</v>
      </c>
      <c r="I17" s="15">
        <v>427</v>
      </c>
      <c r="J17" s="15">
        <v>-107</v>
      </c>
      <c r="K17" s="15">
        <v>-4</v>
      </c>
      <c r="L17" s="15">
        <v>38</v>
      </c>
      <c r="M17" s="15">
        <v>0</v>
      </c>
      <c r="N17" s="15">
        <f>SUM(C14:C17)/4</f>
        <v>725</v>
      </c>
      <c r="O17" s="15"/>
      <c r="P17" s="16">
        <f>C17/C16-1</f>
        <v>-0.182912154031288</v>
      </c>
      <c r="Q17" s="16">
        <f>J17/I17</f>
        <v>-0.250585480093677</v>
      </c>
      <c r="R17" s="16">
        <f>AVERAGE(Q14:Q17)</f>
        <v>-0.0815321583993142</v>
      </c>
      <c r="S17" s="17"/>
      <c r="T17" s="25">
        <f>SUM(J14:K17)/4</f>
        <v>79.5</v>
      </c>
      <c r="U17" s="25"/>
      <c r="V17" s="15">
        <f>-(L17+M17)+V16</f>
        <v>-1560</v>
      </c>
      <c r="W17" s="17"/>
      <c r="X17" s="15">
        <f>F17-G17</f>
        <v>-8540</v>
      </c>
      <c r="Y17" s="24"/>
      <c r="Z17" s="25">
        <v>188</v>
      </c>
      <c r="AA17" s="24"/>
      <c r="AB17" s="15">
        <v>14.255</v>
      </c>
    </row>
    <row r="18" ht="20.05" customHeight="1">
      <c r="B18" s="13"/>
      <c r="C18" s="14">
        <v>555</v>
      </c>
      <c r="D18" s="15">
        <v>8.5</v>
      </c>
      <c r="E18" s="15">
        <v>-53</v>
      </c>
      <c r="F18" s="15">
        <v>1424</v>
      </c>
      <c r="G18" s="15">
        <v>9896</v>
      </c>
      <c r="H18" s="15">
        <v>15870</v>
      </c>
      <c r="I18" s="15">
        <v>491</v>
      </c>
      <c r="J18" s="15">
        <v>90</v>
      </c>
      <c r="K18" s="15">
        <v>-4</v>
      </c>
      <c r="L18" s="15">
        <v>-13</v>
      </c>
      <c r="M18" s="15">
        <v>0</v>
      </c>
      <c r="N18" s="15">
        <f>SUM(C15:C18)/4</f>
        <v>736.75</v>
      </c>
      <c r="O18" s="15"/>
      <c r="P18" s="16">
        <f>C18/C17-1</f>
        <v>-0.182621502209131</v>
      </c>
      <c r="Q18" s="16">
        <f>J18/I18</f>
        <v>0.183299389002037</v>
      </c>
      <c r="R18" s="16">
        <f>AVERAGE(Q15:Q18)</f>
        <v>-0.0007073111488049251</v>
      </c>
      <c r="S18" s="17"/>
      <c r="T18" s="25">
        <f>SUM(J15:K18)/4</f>
        <v>119.25</v>
      </c>
      <c r="U18" s="25"/>
      <c r="V18" s="15">
        <f>-(L18+M18)+V17</f>
        <v>-1547</v>
      </c>
      <c r="W18" s="17"/>
      <c r="X18" s="15">
        <f>F18-G18</f>
        <v>-8472</v>
      </c>
      <c r="Y18" s="24"/>
      <c r="Z18" s="25">
        <v>147</v>
      </c>
      <c r="AA18" s="24"/>
      <c r="AB18" s="15">
        <v>14.79</v>
      </c>
    </row>
    <row r="19" ht="20.05" customHeight="1">
      <c r="B19" s="13"/>
      <c r="C19" s="14">
        <v>826</v>
      </c>
      <c r="D19" s="15">
        <v>8.5</v>
      </c>
      <c r="E19" s="15">
        <v>40</v>
      </c>
      <c r="F19" s="15">
        <v>1425</v>
      </c>
      <c r="G19" s="15">
        <v>9653</v>
      </c>
      <c r="H19" s="15">
        <v>15702</v>
      </c>
      <c r="I19" s="15">
        <v>515</v>
      </c>
      <c r="J19" s="15">
        <v>62</v>
      </c>
      <c r="K19" s="15">
        <v>-83</v>
      </c>
      <c r="L19" s="15">
        <v>22</v>
      </c>
      <c r="M19" s="15">
        <v>0</v>
      </c>
      <c r="N19" s="15">
        <f>SUM(C16:C19)/4</f>
        <v>722.75</v>
      </c>
      <c r="O19" s="15"/>
      <c r="P19" s="16">
        <f>C19/C18-1</f>
        <v>0.488288288288288</v>
      </c>
      <c r="Q19" s="16">
        <f>J19/I19</f>
        <v>0.120388349514563</v>
      </c>
      <c r="R19" s="16">
        <f>AVERAGE(Q16:Q19)</f>
        <v>0.009983383535771899</v>
      </c>
      <c r="S19" s="17"/>
      <c r="T19" s="25">
        <f>SUM(J16:K19)/4</f>
        <v>-16.25</v>
      </c>
      <c r="U19" s="25"/>
      <c r="V19" s="15">
        <f>-(L19+M19)+V18</f>
        <v>-1569</v>
      </c>
      <c r="W19" s="17"/>
      <c r="X19" s="15">
        <f>F19-G19</f>
        <v>-8228</v>
      </c>
      <c r="Y19" s="24"/>
      <c r="Z19" s="25">
        <v>220</v>
      </c>
      <c r="AA19" s="24"/>
      <c r="AB19" s="15">
        <v>14.1</v>
      </c>
    </row>
    <row r="20" ht="20.05" customHeight="1">
      <c r="B20" s="21">
        <v>2021</v>
      </c>
      <c r="C20" s="14">
        <v>551</v>
      </c>
      <c r="D20" s="15">
        <v>29.3</v>
      </c>
      <c r="E20" s="15">
        <v>0.7</v>
      </c>
      <c r="F20" s="15">
        <v>1549</v>
      </c>
      <c r="G20" s="15">
        <v>9917</v>
      </c>
      <c r="H20" s="15">
        <v>15968</v>
      </c>
      <c r="I20" s="15">
        <v>556</v>
      </c>
      <c r="J20" s="15">
        <v>201</v>
      </c>
      <c r="K20" s="15">
        <v>9</v>
      </c>
      <c r="L20" s="15">
        <v>-86</v>
      </c>
      <c r="M20" s="15">
        <v>0</v>
      </c>
      <c r="N20" s="15">
        <f>SUM(C17:C20)/4</f>
        <v>652.75</v>
      </c>
      <c r="O20" s="15"/>
      <c r="P20" s="16">
        <f>C20/C19-1</f>
        <v>-0.332929782082324</v>
      </c>
      <c r="Q20" s="16">
        <f>J20/I20</f>
        <v>0.361510791366906</v>
      </c>
      <c r="R20" s="16">
        <f>AVERAGE(Q17:Q20)</f>
        <v>0.103653262447457</v>
      </c>
      <c r="S20" s="17"/>
      <c r="T20" s="25">
        <f>SUM(J17:K20)/4</f>
        <v>41</v>
      </c>
      <c r="U20" s="25"/>
      <c r="V20" s="15">
        <f>-(L20+M20)+V19</f>
        <v>-1483</v>
      </c>
      <c r="W20" s="17"/>
      <c r="X20" s="15">
        <f>F20-G20</f>
        <v>-8368</v>
      </c>
      <c r="Y20" s="15"/>
      <c r="Z20" s="25">
        <v>192</v>
      </c>
      <c r="AA20" s="15"/>
      <c r="AB20" s="15">
        <v>14.606</v>
      </c>
    </row>
    <row r="21" ht="20.05" customHeight="1">
      <c r="B21" s="13"/>
      <c r="C21" s="14">
        <v>568</v>
      </c>
      <c r="D21" s="15">
        <v>29.9</v>
      </c>
      <c r="E21" s="15">
        <v>-37.7</v>
      </c>
      <c r="F21" s="15">
        <v>1542</v>
      </c>
      <c r="G21" s="15">
        <v>10015</v>
      </c>
      <c r="H21" s="15">
        <v>16029</v>
      </c>
      <c r="I21" s="15">
        <v>545</v>
      </c>
      <c r="J21" s="15">
        <v>160</v>
      </c>
      <c r="K21" s="15">
        <v>-5.5</v>
      </c>
      <c r="L21" s="15">
        <v>-162</v>
      </c>
      <c r="M21" s="15">
        <v>0</v>
      </c>
      <c r="N21" s="15">
        <f>SUM(C18:C21)/4</f>
        <v>625</v>
      </c>
      <c r="O21" s="15"/>
      <c r="P21" s="16">
        <f>C21/C20-1</f>
        <v>0.0308529945553539</v>
      </c>
      <c r="Q21" s="16">
        <f>J21/I21</f>
        <v>0.293577981651376</v>
      </c>
      <c r="R21" s="16">
        <f>AVERAGE(Q18:Q21)</f>
        <v>0.239694127883721</v>
      </c>
      <c r="S21" s="17"/>
      <c r="T21" s="25">
        <f>SUM(J18:K21)/4</f>
        <v>107.375</v>
      </c>
      <c r="U21" s="25"/>
      <c r="V21" s="15">
        <f>-(L21+M21)+V20</f>
        <v>-1321</v>
      </c>
      <c r="W21" s="17"/>
      <c r="X21" s="15">
        <f>F21-G21</f>
        <v>-8473</v>
      </c>
      <c r="Y21" s="15"/>
      <c r="Z21" s="25">
        <v>179</v>
      </c>
      <c r="AA21" s="15"/>
      <c r="AB21" s="15">
        <v>14.45</v>
      </c>
    </row>
    <row r="22" ht="20.05" customHeight="1">
      <c r="B22" s="13"/>
      <c r="C22" s="14">
        <v>709</v>
      </c>
      <c r="D22" s="15">
        <v>29.9</v>
      </c>
      <c r="E22" s="15">
        <v>-71.7</v>
      </c>
      <c r="F22" s="15">
        <v>1712</v>
      </c>
      <c r="G22" s="15">
        <v>10100</v>
      </c>
      <c r="H22" s="15">
        <v>16044</v>
      </c>
      <c r="I22" s="15">
        <v>575.5</v>
      </c>
      <c r="J22" s="15">
        <v>-1.9</v>
      </c>
      <c r="K22" s="15">
        <v>18.1</v>
      </c>
      <c r="L22" s="15">
        <v>154</v>
      </c>
      <c r="M22" s="15">
        <v>0</v>
      </c>
      <c r="N22" s="15">
        <f>SUM(C19:C22)/4</f>
        <v>663.5</v>
      </c>
      <c r="O22" s="15">
        <v>683.9</v>
      </c>
      <c r="P22" s="16">
        <f>C22/C21-1</f>
        <v>0.248239436619718</v>
      </c>
      <c r="Q22" s="16">
        <f>J22/I22</f>
        <v>-0.00330147697654214</v>
      </c>
      <c r="R22" s="16">
        <f>AVERAGE(Q19:Q22)</f>
        <v>0.193043911389076</v>
      </c>
      <c r="S22" s="17"/>
      <c r="T22" s="25">
        <f>SUM(J19:K22)/4</f>
        <v>89.925</v>
      </c>
      <c r="U22" s="25"/>
      <c r="V22" s="15">
        <f>-(L22+M22)+V21</f>
        <v>-1475</v>
      </c>
      <c r="W22" s="17"/>
      <c r="X22" s="15">
        <f>F22-G22</f>
        <v>-8388</v>
      </c>
      <c r="Y22" s="15"/>
      <c r="Z22" s="25">
        <v>165</v>
      </c>
      <c r="AA22" s="15"/>
      <c r="AB22" s="15">
        <v>14.328</v>
      </c>
    </row>
    <row r="23" ht="20.05" customHeight="1">
      <c r="B23" s="13"/>
      <c r="C23" s="14">
        <v>800.6</v>
      </c>
      <c r="D23" s="15">
        <v>28.8</v>
      </c>
      <c r="E23" s="15">
        <v>-30</v>
      </c>
      <c r="F23" s="15">
        <v>1754</v>
      </c>
      <c r="G23" s="15">
        <v>10430</v>
      </c>
      <c r="H23" s="15">
        <v>16462</v>
      </c>
      <c r="I23" s="15">
        <v>1100.8</v>
      </c>
      <c r="J23" s="15">
        <v>419.9</v>
      </c>
      <c r="K23" s="15">
        <v>5</v>
      </c>
      <c r="L23" s="15">
        <v>-92.59999999999999</v>
      </c>
      <c r="M23" s="15">
        <v>-1.4</v>
      </c>
      <c r="N23" s="15">
        <f>SUM(C20:C23)/4</f>
        <v>657.15</v>
      </c>
      <c r="O23" s="15">
        <v>708.8099999999999</v>
      </c>
      <c r="P23" s="16">
        <f>C23/C22-1</f>
        <v>0.12919605077574</v>
      </c>
      <c r="Q23" s="16">
        <f>J23/I23</f>
        <v>0.381449854651163</v>
      </c>
      <c r="R23" s="16">
        <f>AVERAGE(Q20:Q23)</f>
        <v>0.258309287673226</v>
      </c>
      <c r="S23" s="17"/>
      <c r="T23" s="25">
        <f>SUM(J20:K23)/4</f>
        <v>201.4</v>
      </c>
      <c r="U23" s="25"/>
      <c r="V23" s="15">
        <f>-(L23+M23)+V22</f>
        <v>-1381</v>
      </c>
      <c r="W23" s="17"/>
      <c r="X23" s="15">
        <f>F23-G23</f>
        <v>-8676</v>
      </c>
      <c r="Y23" s="15"/>
      <c r="Z23" s="25">
        <v>156</v>
      </c>
      <c r="AA23" s="15"/>
      <c r="AB23" s="15">
        <v>14.275</v>
      </c>
    </row>
    <row r="24" ht="20.05" customHeight="1">
      <c r="B24" s="21">
        <v>2022</v>
      </c>
      <c r="C24" s="14">
        <v>562.5</v>
      </c>
      <c r="D24" s="15">
        <v>28.2</v>
      </c>
      <c r="E24" s="15">
        <v>-99.7</v>
      </c>
      <c r="F24" s="15">
        <v>1450</v>
      </c>
      <c r="G24" s="15">
        <v>10654</v>
      </c>
      <c r="H24" s="15">
        <v>16580</v>
      </c>
      <c r="I24" s="15">
        <v>614.3</v>
      </c>
      <c r="J24" s="15">
        <v>-236.8</v>
      </c>
      <c r="K24" s="15">
        <v>3.7</v>
      </c>
      <c r="L24" s="15">
        <v>-60.23</v>
      </c>
      <c r="M24" s="15">
        <v>-10.1</v>
      </c>
      <c r="N24" s="15">
        <f>SUM(C21:C24)/4</f>
        <v>660.025</v>
      </c>
      <c r="O24" s="15">
        <v>721.265</v>
      </c>
      <c r="P24" s="16">
        <f>C24/C23-1</f>
        <v>-0.297401948538596</v>
      </c>
      <c r="Q24" s="16">
        <f>J24/I24</f>
        <v>-0.385479407455641</v>
      </c>
      <c r="R24" s="16">
        <f>AVERAGE(Q21:Q24)</f>
        <v>0.071561737967589</v>
      </c>
      <c r="S24" s="35"/>
      <c r="T24" s="25">
        <f>SUM(J21:K24)/4</f>
        <v>90.625</v>
      </c>
      <c r="U24" s="15">
        <v>84.77891544828999</v>
      </c>
      <c r="V24" s="15">
        <f>-(L24+M24)+V23</f>
        <v>-1310.67</v>
      </c>
      <c r="W24" s="15"/>
      <c r="X24" s="15">
        <f>F24-G24</f>
        <v>-9204</v>
      </c>
      <c r="Y24" s="15">
        <v>-8092.368955728780</v>
      </c>
      <c r="Z24" s="25">
        <v>145</v>
      </c>
      <c r="AA24" s="15">
        <v>213.3621881654</v>
      </c>
      <c r="AB24" s="15">
        <v>14.327</v>
      </c>
    </row>
    <row r="25" ht="20.05" customHeight="1">
      <c r="B25" s="13"/>
      <c r="C25" s="14">
        <v>397.9</v>
      </c>
      <c r="D25" s="15">
        <v>27.8</v>
      </c>
      <c r="E25" s="15">
        <v>-117.7</v>
      </c>
      <c r="F25" s="15">
        <v>1358</v>
      </c>
      <c r="G25" s="15">
        <v>10763</v>
      </c>
      <c r="H25" s="15">
        <v>16567</v>
      </c>
      <c r="I25" s="15">
        <v>524.2</v>
      </c>
      <c r="J25" s="15">
        <v>158.7</v>
      </c>
      <c r="K25" s="15">
        <v>-193.6</v>
      </c>
      <c r="L25" s="15">
        <v>-54.97</v>
      </c>
      <c r="M25" s="15">
        <v>-2.6</v>
      </c>
      <c r="N25" s="15">
        <f>SUM(C22:C25)/4</f>
        <v>617.5</v>
      </c>
      <c r="O25" s="15">
        <v>673.25875</v>
      </c>
      <c r="P25" s="16">
        <f>C25/C24-1</f>
        <v>-0.292622222222222</v>
      </c>
      <c r="Q25" s="16">
        <f>J25/I25</f>
        <v>0.302747043113316</v>
      </c>
      <c r="R25" s="16">
        <f>AVERAGE(Q22:Q25)</f>
        <v>0.073854003333074</v>
      </c>
      <c r="S25" s="35"/>
      <c r="T25" s="25">
        <f>SUM(J22:K25)/4</f>
        <v>43.275</v>
      </c>
      <c r="U25" s="15">
        <v>41.659974500605</v>
      </c>
      <c r="V25" s="15">
        <f>-(L25+M25)+V24</f>
        <v>-1253.1</v>
      </c>
      <c r="W25" s="15"/>
      <c r="X25" s="15">
        <f>F25-G25</f>
        <v>-9405</v>
      </c>
      <c r="Y25" s="15">
        <v>-9046.552033671311</v>
      </c>
      <c r="Z25" s="25">
        <v>143</v>
      </c>
      <c r="AA25" s="25">
        <v>255.339313665263</v>
      </c>
      <c r="AB25" s="15">
        <v>14.66</v>
      </c>
    </row>
    <row r="26" ht="20.05" customHeight="1">
      <c r="B26" s="13"/>
      <c r="C26" s="14">
        <v>962.9</v>
      </c>
      <c r="D26" s="15">
        <v>27.4</v>
      </c>
      <c r="E26" s="15">
        <v>117.9</v>
      </c>
      <c r="F26" s="15">
        <v>1358</v>
      </c>
      <c r="G26" s="15">
        <v>10941</v>
      </c>
      <c r="H26" s="15">
        <v>16867</v>
      </c>
      <c r="I26" s="15">
        <v>631.7</v>
      </c>
      <c r="J26" s="15">
        <v>-29.4</v>
      </c>
      <c r="K26" s="15">
        <v>5.7</v>
      </c>
      <c r="L26" s="15">
        <v>24</v>
      </c>
      <c r="M26" s="15">
        <v>0</v>
      </c>
      <c r="N26" s="15">
        <f>SUM(C23:C26)/4</f>
        <v>680.975</v>
      </c>
      <c r="O26" s="15">
        <v>697.9712500000001</v>
      </c>
      <c r="P26" s="16">
        <f>C26/C25-1</f>
        <v>1.41995476250314</v>
      </c>
      <c r="Q26" s="16">
        <f>J26/I26</f>
        <v>-0.0465410796264049</v>
      </c>
      <c r="R26" s="16">
        <f>AVERAGE(Q23:Q26)</f>
        <v>0.0630441026706083</v>
      </c>
      <c r="S26" s="35">
        <f>S27</f>
        <v>0.0630441026706083</v>
      </c>
      <c r="T26" s="25">
        <f>SUM(J23:K26)/4</f>
        <v>33.3</v>
      </c>
      <c r="U26" s="15">
        <v>41.659974500605</v>
      </c>
      <c r="V26" s="15">
        <f>-(L26+M26)+V25</f>
        <v>-1277.1</v>
      </c>
      <c r="W26" s="15">
        <f>W27</f>
        <v>-1054.303016754560</v>
      </c>
      <c r="X26" s="15">
        <f>F26-G26</f>
        <v>-9583</v>
      </c>
      <c r="Y26" s="15">
        <v>-9046.552033671311</v>
      </c>
      <c r="Z26" s="25">
        <v>174</v>
      </c>
      <c r="AA26" s="25">
        <v>255.339313665263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970.7370431000001</v>
      </c>
      <c r="P27" s="17"/>
      <c r="Q27" s="17"/>
      <c r="R27" s="17"/>
      <c r="S27" s="35">
        <f>AE53</f>
        <v>0.0630441026706083</v>
      </c>
      <c r="T27" s="25"/>
      <c r="U27" s="15">
        <f>SUM(AE55:AH55)/4</f>
        <v>55.6992458113591</v>
      </c>
      <c r="V27" s="17"/>
      <c r="W27" s="15">
        <f>-SUM(AE76:AH76)+V26</f>
        <v>-1054.303016754560</v>
      </c>
      <c r="X27" s="26"/>
      <c r="Y27" s="15">
        <f>AH75</f>
        <v>-9360.203016754571</v>
      </c>
      <c r="Z27" s="15">
        <v>159</v>
      </c>
      <c r="AA27" s="15">
        <v>213.3621881654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3279.15</v>
      </c>
      <c r="O28" s="15">
        <f>SUM(O22:O26)</f>
        <v>3485.205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236.425864484434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231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0.239781660629516</v>
      </c>
      <c r="AF49" s="35"/>
      <c r="AG49" s="35"/>
      <c r="AH49" s="35">
        <f>AVERAGE(AE51:AH51)</f>
        <v>0.005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0.12919605077574</v>
      </c>
      <c r="AF50" s="35">
        <f>P24</f>
        <v>-0.297401948538596</v>
      </c>
      <c r="AG50" s="35">
        <f>P25</f>
        <v>-0.292622222222222</v>
      </c>
      <c r="AH50" s="35">
        <f>P26</f>
        <v>1.41995476250314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-0.12</v>
      </c>
      <c r="AG51" s="35">
        <v>-0.01</v>
      </c>
      <c r="AH51" s="35">
        <v>0.05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962.9</v>
      </c>
      <c r="AE52" s="23">
        <f>C26*(1+AE51)</f>
        <v>1059.19</v>
      </c>
      <c r="AF52" s="23">
        <f>AE52*(1+AF51)</f>
        <v>932.0872000000001</v>
      </c>
      <c r="AG52" s="23">
        <f>AF52*(1+AG51)</f>
        <v>922.766328</v>
      </c>
      <c r="AH52" s="23">
        <f>AG52*(1+AH51)</f>
        <v>968.9046444000001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0.0630441026706083</v>
      </c>
      <c r="AF53" s="35">
        <f>AE53</f>
        <v>0.0630441026706083</v>
      </c>
      <c r="AG53" s="35">
        <f>AF53</f>
        <v>0.0630441026706083</v>
      </c>
      <c r="AH53" s="35">
        <f>AG53</f>
        <v>0.0630441026706083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AVERAGE(K21)</f>
        <v>-5.5</v>
      </c>
      <c r="AF54" s="15">
        <f>AE54</f>
        <v>-5.5</v>
      </c>
      <c r="AG54" s="15">
        <f>AF54</f>
        <v>-5.5</v>
      </c>
      <c r="AH54" s="15">
        <f>AG54</f>
        <v>-5.5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61.2756831076816</v>
      </c>
      <c r="AF55" s="15">
        <f>(AF52*AF53)+AF54</f>
        <v>53.2626011347598</v>
      </c>
      <c r="AG55" s="15">
        <f>(AG52*AG53)+AG54</f>
        <v>52.6749751234122</v>
      </c>
      <c r="AH55" s="15">
        <f>(AH52*AH53)+AH54</f>
        <v>55.5837238795828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-547.05</v>
      </c>
      <c r="AF56" s="15">
        <f>-AE71/20</f>
        <v>-519.6975</v>
      </c>
      <c r="AG56" s="15">
        <f>-AF71/20</f>
        <v>-493.712625</v>
      </c>
      <c r="AH56" s="15">
        <f>-AG71/20</f>
        <v>-469.02699375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-485.774316892318</v>
      </c>
      <c r="AF59" s="15">
        <f>AF55+AF56+AF58</f>
        <v>-466.434898865240</v>
      </c>
      <c r="AG59" s="15">
        <f>AG55+AG56+AG58</f>
        <v>-441.037649876588</v>
      </c>
      <c r="AH59" s="15">
        <f>AH55+AH56+AH58</f>
        <v>-413.443269870417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485.774316892318</v>
      </c>
      <c r="AF60" s="15">
        <f>-MIN(AE72,AF59)</f>
        <v>466.434898865240</v>
      </c>
      <c r="AG60" s="15">
        <f>-MIN(AF72,AG59)</f>
        <v>441.037649876588</v>
      </c>
      <c r="AH60" s="15">
        <f>-MIN(AG72,AH59)</f>
        <v>413.443269870417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1358</v>
      </c>
      <c r="AF61" s="15">
        <f>AE63</f>
        <v>1358</v>
      </c>
      <c r="AG61" s="15">
        <f>AF63</f>
        <v>1358</v>
      </c>
      <c r="AH61" s="15">
        <f>AG63</f>
        <v>1358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-4e-13</v>
      </c>
      <c r="AF62" s="15">
        <f>AF55+AF56+AF58+AF60</f>
        <v>-2e-13</v>
      </c>
      <c r="AG62" s="15">
        <f>AG55+AG56+AG58+AG60</f>
        <v>2e-13</v>
      </c>
      <c r="AH62" s="15">
        <f>AH55+AH56+AH58+AH60</f>
        <v>-2e-13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1358</v>
      </c>
      <c r="AF63" s="15">
        <f>AF61+AF62</f>
        <v>1358</v>
      </c>
      <c r="AG63" s="15">
        <f>AG61+AG62</f>
        <v>1358</v>
      </c>
      <c r="AH63" s="15">
        <f>AH61+AH62</f>
        <v>1358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-27.8</v>
      </c>
      <c r="AF65" s="15">
        <f>AE65</f>
        <v>-27.8</v>
      </c>
      <c r="AG65" s="15">
        <f>AF65</f>
        <v>-27.8</v>
      </c>
      <c r="AH65" s="15">
        <f>AG65</f>
        <v>-27.8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38.9756831076816</v>
      </c>
      <c r="AF66" s="15">
        <f>(AF52*AF53)+AF65</f>
        <v>30.9626011347598</v>
      </c>
      <c r="AG66" s="15">
        <f>(AG52*AG53)+AG65</f>
        <v>30.3749751234122</v>
      </c>
      <c r="AH66" s="15">
        <f>(AH52*AH53)+AH65</f>
        <v>33.2837238795828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15514.5</v>
      </c>
      <c r="AF68" s="15">
        <f>AE68-AF54</f>
        <v>15520</v>
      </c>
      <c r="AG68" s="15">
        <f>AF68-AG54</f>
        <v>15525.5</v>
      </c>
      <c r="AH68" s="15">
        <f>AG68-AH54</f>
        <v>15531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27.8</v>
      </c>
      <c r="AF69" s="15">
        <f>AE69-AF65</f>
        <v>55.6</v>
      </c>
      <c r="AG69" s="15">
        <f>AF69-AG65</f>
        <v>83.40000000000001</v>
      </c>
      <c r="AH69" s="15">
        <f>AG69-AH65</f>
        <v>111.2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15486.7</v>
      </c>
      <c r="AF70" s="15">
        <f>AF68-AF69</f>
        <v>15464.4</v>
      </c>
      <c r="AG70" s="15">
        <f>AG68-AG69</f>
        <v>15442.1</v>
      </c>
      <c r="AH70" s="15">
        <f>AH68-AH69</f>
        <v>15419.8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10393.95</v>
      </c>
      <c r="AF71" s="15">
        <f>AE71+AF56</f>
        <v>9874.252500000001</v>
      </c>
      <c r="AG71" s="15">
        <f>AF71+AG56</f>
        <v>9380.539875</v>
      </c>
      <c r="AH71" s="15">
        <f>AG71+AH56</f>
        <v>8911.512881250001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485.774316892318</v>
      </c>
      <c r="AF72" s="15">
        <f>AE72+AF60</f>
        <v>952.209215757558</v>
      </c>
      <c r="AG72" s="15">
        <f>AF72+AG60</f>
        <v>1393.246865634150</v>
      </c>
      <c r="AH72" s="15">
        <f>AG72+AH60</f>
        <v>1806.690135504570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5964.975683107680</v>
      </c>
      <c r="AF73" s="15">
        <f>AE73+AF66+AF58</f>
        <v>5995.938284242440</v>
      </c>
      <c r="AG73" s="15">
        <f>AF73+AG66+AG58</f>
        <v>6026.313259365850</v>
      </c>
      <c r="AH73" s="15">
        <f>AG73+AH66+AH58</f>
        <v>6059.596983245430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-2e-12</v>
      </c>
      <c r="AF74" s="15">
        <f>AF71+AF72+AF73-AF63-AF70</f>
        <v>-2e-12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-9521.724316892320</v>
      </c>
      <c r="AF75" s="15">
        <f>AF63-AF71-AF72</f>
        <v>-9468.461715757559</v>
      </c>
      <c r="AG75" s="15">
        <f>AG63-AG71-AG72</f>
        <v>-9415.786740634150</v>
      </c>
      <c r="AH75" s="15">
        <f>AH63-AH71-AH72</f>
        <v>-9360.203016754571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-61.275683107682</v>
      </c>
      <c r="AF76" s="15">
        <f>AF56+AF58+AF60</f>
        <v>-53.262601134760</v>
      </c>
      <c r="AG76" s="15">
        <f>AG56+AG58+AG60</f>
        <v>-52.674975123412</v>
      </c>
      <c r="AH76" s="15">
        <f>AH56+AH58+AH60</f>
        <v>-55.583723879583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549</v>
      </c>
      <c r="AD78" s="14"/>
      <c r="AE78" s="15"/>
      <c r="AF78" s="15"/>
      <c r="AG78" s="15"/>
      <c r="AH78" s="15">
        <v>159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549</v>
      </c>
      <c r="AD79" s="14"/>
      <c r="AE79" s="15"/>
      <c r="AF79" s="15"/>
      <c r="AG79" s="15"/>
      <c r="AH79" s="15">
        <v>1648178064384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1648.178064384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10.365899776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0.0982356485584522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222.796983245436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69.21009331178131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7.39766777976678</v>
      </c>
      <c r="AH86" s="15">
        <v>11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2450.7668156998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236.425864484434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0.48695512254361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0.358110014104372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0.0628379305612735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549</v>
      </c>
      <c r="AF94" t="s" s="44">
        <v>60</v>
      </c>
      <c r="AG94" s="15">
        <f>AH78</f>
        <v>159</v>
      </c>
      <c r="AH94" t="s" s="44">
        <v>61</v>
      </c>
      <c r="AI94" s="15">
        <f>AH88</f>
        <v>236.425864484434</v>
      </c>
      <c r="AJ94" t="s" s="44">
        <f>IF(AK94&gt;0,"+","")</f>
        <v>361</v>
      </c>
      <c r="AK94" s="16">
        <f>AI94/AG94-1</f>
        <v>0.48695512254361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0.358110014104372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0.0808165105933399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0.120071977825991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-5.8142989565764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1.41995476250314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0.248239436619718</v>
      </c>
      <c r="AF103" s="16">
        <f>P23</f>
        <v>0.12919605077574</v>
      </c>
      <c r="AG103" s="16">
        <f>P24</f>
        <v>-0.297401948538596</v>
      </c>
      <c r="AH103" s="16">
        <f>P25</f>
        <v>-0.292622222222222</v>
      </c>
      <c r="AI103" s="16">
        <f>P26</f>
        <v>1.41995476250314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709</v>
      </c>
      <c r="AF104" t="s" s="44">
        <v>72</v>
      </c>
      <c r="AG104" s="15">
        <f>C23</f>
        <v>800.6</v>
      </c>
      <c r="AH104" t="s" s="44">
        <v>72</v>
      </c>
      <c r="AI104" s="15">
        <f>C24</f>
        <v>562.5</v>
      </c>
      <c r="AJ104" t="s" s="44">
        <v>72</v>
      </c>
      <c r="AK104" s="15">
        <f>C25</f>
        <v>397.9</v>
      </c>
      <c r="AL104" t="s" s="44">
        <v>72</v>
      </c>
      <c r="AM104" s="15">
        <f>C26</f>
        <v>962.9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1.41995476250314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962.9</v>
      </c>
      <c r="AM105" t="s" s="44">
        <v>372</v>
      </c>
      <c r="AN105" t="s" s="44">
        <v>373</v>
      </c>
      <c r="AO105" s="16">
        <f>AH91</f>
        <v>0.0628379305612735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0.239781660629516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0.005</v>
      </c>
      <c r="AG107" t="s" s="44">
        <v>82</v>
      </c>
      <c r="AH107" t="s" s="44">
        <v>83</v>
      </c>
      <c r="AI107" s="23">
        <f>AH52</f>
        <v>968.9046444000001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-0.0589562764456982</v>
      </c>
      <c r="AF110" s="16">
        <f>(D23+E23)/C23</f>
        <v>-0.00149887584311766</v>
      </c>
      <c r="AG110" s="16">
        <f>((E24+D24)/C24)</f>
        <v>-0.127111111111111</v>
      </c>
      <c r="AH110" s="16">
        <f>(D25+E25)/C25</f>
        <v>-0.225936164865544</v>
      </c>
      <c r="AI110" s="16">
        <f>(D26+E26)/C26</f>
        <v>0.150898327967598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-71.7</v>
      </c>
      <c r="AF111" t="s" s="44">
        <v>72</v>
      </c>
      <c r="AG111" s="15">
        <f>E23</f>
        <v>-30</v>
      </c>
      <c r="AH111" t="s" s="44">
        <v>72</v>
      </c>
      <c r="AI111" s="15">
        <f>E24</f>
        <v>-99.7</v>
      </c>
      <c r="AJ111" t="s" s="44">
        <v>72</v>
      </c>
      <c r="AK111" s="15">
        <f>E25</f>
        <v>-117.7</v>
      </c>
      <c r="AL111" t="s" s="44">
        <v>72</v>
      </c>
      <c r="AM111" s="15">
        <f>E26</f>
        <v>117.9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-0.225936164865544</v>
      </c>
      <c r="AG112" t="s" s="44">
        <v>76</v>
      </c>
      <c r="AH112" s="16">
        <f>AI110</f>
        <v>0.150898327967598</v>
      </c>
      <c r="AI112" t="s" s="44">
        <v>90</v>
      </c>
      <c r="AJ112" s="15">
        <f>AK111</f>
        <v>-117.7</v>
      </c>
      <c r="AK112" t="s" s="44">
        <v>76</v>
      </c>
      <c r="AL112" s="15">
        <f>AM111</f>
        <v>117.9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-0.0509119559630437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0.0630441026706083</v>
      </c>
      <c r="AG114" t="s" s="44">
        <v>94</v>
      </c>
      <c r="AH114" s="15">
        <f>AH66</f>
        <v>33.2837238795828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-1.9</v>
      </c>
      <c r="AF117" t="s" s="44">
        <v>72</v>
      </c>
      <c r="AG117" s="15">
        <f>J23</f>
        <v>419.9</v>
      </c>
      <c r="AH117" t="s" s="44">
        <v>72</v>
      </c>
      <c r="AI117" s="15">
        <f>J24</f>
        <v>-236.8</v>
      </c>
      <c r="AJ117" t="s" s="44">
        <v>72</v>
      </c>
      <c r="AK117" s="15">
        <f>J25</f>
        <v>158.7</v>
      </c>
      <c r="AL117" t="s" s="44">
        <v>72</v>
      </c>
      <c r="AM117" s="15">
        <f>J26</f>
        <v>-29.4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18.1</v>
      </c>
      <c r="AF118" t="s" s="44">
        <v>72</v>
      </c>
      <c r="AG118" s="15">
        <f>K23</f>
        <v>5</v>
      </c>
      <c r="AH118" t="s" s="44">
        <v>72</v>
      </c>
      <c r="AI118" s="15">
        <f>K24</f>
        <v>3.7</v>
      </c>
      <c r="AJ118" t="s" s="44">
        <v>72</v>
      </c>
      <c r="AK118" s="15">
        <f>K25</f>
        <v>-193.6</v>
      </c>
      <c r="AL118" t="s" s="44">
        <v>72</v>
      </c>
      <c r="AM118" s="15">
        <f>K26</f>
        <v>5.7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-34.9</v>
      </c>
      <c r="AG119" t="s" s="44">
        <v>76</v>
      </c>
      <c r="AH119" s="15">
        <f>AM117+AM118</f>
        <v>-23.7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5.7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33.3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-5.5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55.6992458113591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1712</v>
      </c>
      <c r="AF124" t="s" s="44">
        <v>72</v>
      </c>
      <c r="AG124" s="15">
        <f>F23</f>
        <v>1754</v>
      </c>
      <c r="AH124" t="s" s="44">
        <v>72</v>
      </c>
      <c r="AI124" s="15">
        <f>F24</f>
        <v>1450</v>
      </c>
      <c r="AJ124" t="s" s="44">
        <v>72</v>
      </c>
      <c r="AK124" s="15">
        <f>F25</f>
        <v>1358</v>
      </c>
      <c r="AL124" t="s" s="44">
        <v>72</v>
      </c>
      <c r="AM124" s="15">
        <f>F26</f>
        <v>1358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10100</v>
      </c>
      <c r="AF125" t="s" s="44">
        <v>72</v>
      </c>
      <c r="AG125" s="15">
        <f>G23</f>
        <v>10430</v>
      </c>
      <c r="AH125" t="s" s="44">
        <v>72</v>
      </c>
      <c r="AI125" s="15">
        <f>G24</f>
        <v>10654</v>
      </c>
      <c r="AJ125" t="s" s="44">
        <v>72</v>
      </c>
      <c r="AK125" s="15">
        <f>G25</f>
        <v>10763</v>
      </c>
      <c r="AL125" t="s" s="44">
        <v>72</v>
      </c>
      <c r="AM125" s="15">
        <f>G26</f>
        <v>10941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1358</v>
      </c>
      <c r="AH126" t="s" s="44">
        <v>76</v>
      </c>
      <c r="AI126" s="15">
        <f>AM124</f>
        <v>1358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10763</v>
      </c>
      <c r="AH127" t="s" s="44">
        <v>76</v>
      </c>
      <c r="AI127" s="15">
        <f>AM125</f>
        <v>10941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-9405</v>
      </c>
      <c r="AO127" t="s" s="44">
        <v>76</v>
      </c>
      <c r="AP127" s="15">
        <f>AI126-AI127</f>
        <v>-9583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-222.796983245437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-9360.203016754571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-154</v>
      </c>
      <c r="AF131" t="s" s="44">
        <v>72</v>
      </c>
      <c r="AG131" s="15">
        <f>-L23</f>
        <v>92.59999999999999</v>
      </c>
      <c r="AH131" t="s" s="44">
        <v>72</v>
      </c>
      <c r="AI131" s="15">
        <f>-L24</f>
        <v>60.23</v>
      </c>
      <c r="AJ131" t="s" s="44">
        <v>72</v>
      </c>
      <c r="AK131" s="15">
        <f>-L25</f>
        <v>54.97</v>
      </c>
      <c r="AL131" t="s" s="44">
        <v>72</v>
      </c>
      <c r="AM131" s="15">
        <f>-L26</f>
        <v>-24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1.4</v>
      </c>
      <c r="AH132" t="s" s="44">
        <v>72</v>
      </c>
      <c r="AI132" s="15">
        <f>-M24</f>
        <v>10.1</v>
      </c>
      <c r="AJ132" t="s" s="44">
        <v>72</v>
      </c>
      <c r="AK132" s="15">
        <f>-M25</f>
        <v>2.6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549</v>
      </c>
      <c r="AF133" t="s" s="44">
        <f>IF(AG133&gt;0,"paid","(raised)")</f>
        <v>121</v>
      </c>
      <c r="AG133" s="15">
        <f>SUM(AM131:AM132)</f>
        <v>-24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-24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222.796983245437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1648.178064384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0.0982356485584522</v>
      </c>
      <c r="AK134" t="s" s="44">
        <v>130</v>
      </c>
      <c r="AL134" t="s" s="44">
        <v>131</v>
      </c>
      <c r="AM134" t="s" s="44">
        <v>132</v>
      </c>
      <c r="AN134" s="15">
        <f>AH85</f>
        <v>69.21009331178131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222.796983245436</v>
      </c>
      <c r="AG135" t="s" s="44">
        <f>AG134</f>
        <v>372</v>
      </c>
      <c r="AH135" t="s" s="44">
        <v>136</v>
      </c>
      <c r="AI135" s="15">
        <f>AF134/AF135</f>
        <v>7.39766777976678</v>
      </c>
      <c r="AJ135" t="s" s="44">
        <v>130</v>
      </c>
      <c r="AK135" t="s" s="44">
        <v>137</v>
      </c>
      <c r="AL135" t="s" s="44">
        <v>138</v>
      </c>
      <c r="AM135" s="15">
        <f>AH86</f>
        <v>11</v>
      </c>
      <c r="AN135" t="s" s="44">
        <v>139</v>
      </c>
      <c r="AO135" t="s" s="44">
        <v>140</v>
      </c>
      <c r="AP135" t="s" s="44">
        <v>141</v>
      </c>
      <c r="AQ135" s="16">
        <f>AK94</f>
        <v>0.48695512254361</v>
      </c>
      <c r="AR135" t="s" s="44">
        <f>IF(AQ135&gt;0,"higher","lower")</f>
        <v>363</v>
      </c>
      <c r="AS135" t="s" s="44">
        <v>142</v>
      </c>
      <c r="AT135" s="15">
        <f>AI94</f>
        <v>236.425864484434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709</v>
      </c>
      <c r="AE137" s="15">
        <f>AG104</f>
        <v>800.6</v>
      </c>
      <c r="AF137" s="15">
        <f>AI104</f>
        <v>562.5</v>
      </c>
      <c r="AG137" s="15">
        <f>AK104</f>
        <v>397.9</v>
      </c>
      <c r="AH137" s="15">
        <f>AM104</f>
        <v>962.9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16.2</v>
      </c>
      <c r="AE138" s="15">
        <f>SUM(AG117:AG118)</f>
        <v>424.9</v>
      </c>
      <c r="AF138" s="15">
        <f>SUM(AI117:AI118)</f>
        <v>-233.1</v>
      </c>
      <c r="AG138" s="15">
        <f>SUM(AK117:AK118)</f>
        <v>-34.9</v>
      </c>
      <c r="AH138" s="15">
        <f>SUM(AM117:AM118)</f>
        <v>-23.7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-154</v>
      </c>
      <c r="AE139" s="15">
        <f>SUM(AG131:AG132)</f>
        <v>94</v>
      </c>
      <c r="AF139" s="15">
        <f>SUM(AI131:AI132)</f>
        <v>70.33</v>
      </c>
      <c r="AG139" s="15">
        <f>SUM(AK131:AK132)</f>
        <v>57.57</v>
      </c>
      <c r="AH139" s="15">
        <f>SUM(AM131:AM132)</f>
        <v>-24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-8388</v>
      </c>
      <c r="AE140" s="15">
        <f>(AG124-AG125)</f>
        <v>-8676</v>
      </c>
      <c r="AF140" s="15">
        <f>(AI124-AI125)</f>
        <v>-9204</v>
      </c>
      <c r="AG140" s="15">
        <f>(AK124-AK125)</f>
        <v>-9405</v>
      </c>
      <c r="AH140" s="15">
        <f>(AM124-AM125)</f>
        <v>-9583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236.425864484434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Z2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4.95312" style="170" customWidth="1"/>
    <col min="2" max="26" width="10.4844" style="170" customWidth="1"/>
    <col min="27" max="16384" width="16.3516" style="170" customWidth="1"/>
  </cols>
  <sheetData>
    <row r="1" ht="29.6" customHeight="1"/>
    <row r="2" ht="27.65" customHeight="1">
      <c r="B2" t="s" s="2">
        <v>550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240</v>
      </c>
      <c r="Z3" t="s" s="3">
        <v>19</v>
      </c>
    </row>
    <row r="4" ht="20.25" customHeight="1">
      <c r="B4" s="6">
        <v>2019</v>
      </c>
      <c r="C4" s="7">
        <v>227</v>
      </c>
      <c r="D4" s="8">
        <v>4.25</v>
      </c>
      <c r="E4" s="8">
        <v>86</v>
      </c>
      <c r="F4" s="8">
        <v>1023</v>
      </c>
      <c r="G4" s="8">
        <v>231</v>
      </c>
      <c r="H4" s="8">
        <v>1601</v>
      </c>
      <c r="I4" s="8">
        <v>429</v>
      </c>
      <c r="J4" s="8">
        <v>63</v>
      </c>
      <c r="K4" s="8">
        <v>-3</v>
      </c>
      <c r="L4" s="8">
        <v>0</v>
      </c>
      <c r="M4" s="8">
        <v>0</v>
      </c>
      <c r="N4" s="8">
        <v>56.75</v>
      </c>
      <c r="O4" s="9"/>
      <c r="P4" s="55"/>
      <c r="Q4" s="55"/>
      <c r="R4" s="9"/>
      <c r="S4" s="8">
        <v>15</v>
      </c>
      <c r="T4" s="9"/>
      <c r="U4" s="8">
        <v>0</v>
      </c>
      <c r="V4" s="9"/>
      <c r="W4" s="8">
        <v>792</v>
      </c>
      <c r="X4" s="73"/>
      <c r="Y4" s="8">
        <v>7175</v>
      </c>
      <c r="Z4" s="73"/>
    </row>
    <row r="5" ht="20.05" customHeight="1">
      <c r="B5" s="13"/>
      <c r="C5" s="14">
        <v>162</v>
      </c>
      <c r="D5" s="15">
        <v>4.25</v>
      </c>
      <c r="E5" s="15">
        <v>56</v>
      </c>
      <c r="F5" s="15">
        <v>1055</v>
      </c>
      <c r="G5" s="15">
        <v>581</v>
      </c>
      <c r="H5" s="15">
        <v>1626</v>
      </c>
      <c r="I5" s="15">
        <v>337</v>
      </c>
      <c r="J5" s="15">
        <v>35</v>
      </c>
      <c r="K5" s="15">
        <v>-3</v>
      </c>
      <c r="L5" s="15">
        <v>0</v>
      </c>
      <c r="M5" s="15">
        <v>0</v>
      </c>
      <c r="N5" s="15">
        <v>97.25</v>
      </c>
      <c r="O5" s="17"/>
      <c r="P5" s="16">
        <v>-0.286343612334802</v>
      </c>
      <c r="Q5" s="16"/>
      <c r="R5" s="17"/>
      <c r="S5" s="15">
        <v>23</v>
      </c>
      <c r="T5" s="17"/>
      <c r="U5" s="15">
        <v>0</v>
      </c>
      <c r="V5" s="17"/>
      <c r="W5" s="15">
        <v>474</v>
      </c>
      <c r="X5" s="24"/>
      <c r="Y5" s="15">
        <v>7000</v>
      </c>
      <c r="Z5" s="24"/>
    </row>
    <row r="6" ht="20.05" customHeight="1">
      <c r="B6" s="13"/>
      <c r="C6" s="14">
        <v>217</v>
      </c>
      <c r="D6" s="15">
        <v>4.25</v>
      </c>
      <c r="E6" s="15">
        <v>79</v>
      </c>
      <c r="F6" s="15">
        <v>727</v>
      </c>
      <c r="G6" s="15">
        <v>223</v>
      </c>
      <c r="H6" s="15">
        <v>1348</v>
      </c>
      <c r="I6" s="15">
        <v>423</v>
      </c>
      <c r="J6" s="15">
        <v>57</v>
      </c>
      <c r="K6" s="15">
        <v>-3</v>
      </c>
      <c r="L6" s="15">
        <v>0</v>
      </c>
      <c r="M6" s="15">
        <v>-382</v>
      </c>
      <c r="N6" s="15">
        <v>151.5</v>
      </c>
      <c r="O6" s="17"/>
      <c r="P6" s="16">
        <v>0.339506172839506</v>
      </c>
      <c r="Q6" s="16"/>
      <c r="R6" s="17"/>
      <c r="S6" s="15">
        <v>36.5</v>
      </c>
      <c r="T6" s="17"/>
      <c r="U6" s="15">
        <v>382</v>
      </c>
      <c r="V6" s="17"/>
      <c r="W6" s="15">
        <v>504</v>
      </c>
      <c r="X6" s="24"/>
      <c r="Y6" s="15">
        <v>6800</v>
      </c>
      <c r="Z6" s="24"/>
    </row>
    <row r="7" ht="20.05" customHeight="1">
      <c r="B7" s="13"/>
      <c r="C7" s="14">
        <v>221</v>
      </c>
      <c r="D7" s="15">
        <v>4.25</v>
      </c>
      <c r="E7" s="15">
        <v>97</v>
      </c>
      <c r="F7" s="15">
        <v>844</v>
      </c>
      <c r="G7" s="15">
        <v>212</v>
      </c>
      <c r="H7" s="15">
        <v>1426</v>
      </c>
      <c r="I7" s="15">
        <v>455</v>
      </c>
      <c r="J7" s="15">
        <v>119</v>
      </c>
      <c r="K7" s="15">
        <v>-2</v>
      </c>
      <c r="L7" s="15">
        <v>0</v>
      </c>
      <c r="M7" s="15">
        <v>0</v>
      </c>
      <c r="N7" s="15">
        <v>206.75</v>
      </c>
      <c r="O7" s="17"/>
      <c r="P7" s="16">
        <v>0.0184331797235023</v>
      </c>
      <c r="Q7" s="16">
        <v>-0.594921402660218</v>
      </c>
      <c r="R7" s="17"/>
      <c r="S7" s="15">
        <v>65.75</v>
      </c>
      <c r="T7" s="17"/>
      <c r="U7" s="15">
        <v>382</v>
      </c>
      <c r="V7" s="17"/>
      <c r="W7" s="15">
        <v>632</v>
      </c>
      <c r="X7" s="24"/>
      <c r="Y7" s="15">
        <v>6800</v>
      </c>
      <c r="Z7" s="24"/>
    </row>
    <row r="8" ht="20.05" customHeight="1">
      <c r="B8" s="21">
        <v>2020</v>
      </c>
      <c r="C8" s="14">
        <v>153</v>
      </c>
      <c r="D8" s="15">
        <v>4</v>
      </c>
      <c r="E8" s="15">
        <v>42</v>
      </c>
      <c r="F8" s="15">
        <v>900</v>
      </c>
      <c r="G8" s="15">
        <v>190</v>
      </c>
      <c r="H8" s="15">
        <v>1446</v>
      </c>
      <c r="I8" s="15">
        <v>333</v>
      </c>
      <c r="J8" s="15">
        <v>58</v>
      </c>
      <c r="K8" s="15">
        <v>-2</v>
      </c>
      <c r="L8" s="15">
        <v>0</v>
      </c>
      <c r="M8" s="15">
        <v>0</v>
      </c>
      <c r="N8" s="15">
        <v>188.25</v>
      </c>
      <c r="O8" s="15"/>
      <c r="P8" s="16">
        <v>-0.307692307692308</v>
      </c>
      <c r="Q8" s="16">
        <v>-0.613877822045153</v>
      </c>
      <c r="R8" s="17"/>
      <c r="S8" s="15">
        <v>64.75</v>
      </c>
      <c r="T8" s="17"/>
      <c r="U8" s="15">
        <v>382</v>
      </c>
      <c r="V8" s="17"/>
      <c r="W8" s="15">
        <v>710</v>
      </c>
      <c r="X8" s="24"/>
      <c r="Y8" s="15">
        <v>4750</v>
      </c>
      <c r="Z8" s="24"/>
    </row>
    <row r="9" ht="20.05" customHeight="1">
      <c r="B9" s="13"/>
      <c r="C9" s="14">
        <v>50</v>
      </c>
      <c r="D9" s="15">
        <v>4</v>
      </c>
      <c r="E9" s="15">
        <v>-7</v>
      </c>
      <c r="F9" s="15">
        <v>887</v>
      </c>
      <c r="G9" s="15">
        <v>155</v>
      </c>
      <c r="H9" s="15">
        <v>1406</v>
      </c>
      <c r="I9" s="15">
        <v>150</v>
      </c>
      <c r="J9" s="15">
        <v>-9</v>
      </c>
      <c r="K9" s="15">
        <v>-4</v>
      </c>
      <c r="L9" s="15">
        <v>0</v>
      </c>
      <c r="M9" s="15">
        <v>0</v>
      </c>
      <c r="N9" s="15">
        <v>160.25</v>
      </c>
      <c r="O9" s="15"/>
      <c r="P9" s="16">
        <v>-0.673202614379085</v>
      </c>
      <c r="Q9" s="16">
        <v>-0.645085803432137</v>
      </c>
      <c r="R9" s="17"/>
      <c r="S9" s="15">
        <v>53.5</v>
      </c>
      <c r="T9" s="17"/>
      <c r="U9" s="15">
        <v>382</v>
      </c>
      <c r="V9" s="17"/>
      <c r="W9" s="15">
        <v>732</v>
      </c>
      <c r="X9" s="24"/>
      <c r="Y9" s="15">
        <v>5100</v>
      </c>
      <c r="Z9" s="24"/>
    </row>
    <row r="10" ht="20.05" customHeight="1">
      <c r="B10" s="13"/>
      <c r="C10" s="14">
        <v>146</v>
      </c>
      <c r="D10" s="15">
        <v>4</v>
      </c>
      <c r="E10" s="15">
        <v>36</v>
      </c>
      <c r="F10" s="15">
        <v>651</v>
      </c>
      <c r="G10" s="15">
        <v>225</v>
      </c>
      <c r="H10" s="15">
        <v>1200</v>
      </c>
      <c r="I10" s="15">
        <v>305</v>
      </c>
      <c r="J10" s="15">
        <v>151</v>
      </c>
      <c r="K10" s="15">
        <v>-74</v>
      </c>
      <c r="L10" s="15">
        <v>0</v>
      </c>
      <c r="M10" s="15">
        <v>-313</v>
      </c>
      <c r="N10" s="15">
        <v>142.5</v>
      </c>
      <c r="O10" s="15"/>
      <c r="P10" s="16">
        <v>1.92</v>
      </c>
      <c r="Q10" s="16">
        <v>-0.676754385964912</v>
      </c>
      <c r="R10" s="17"/>
      <c r="S10" s="15">
        <v>59.25</v>
      </c>
      <c r="T10" s="17"/>
      <c r="U10" s="15">
        <v>695</v>
      </c>
      <c r="V10" s="17"/>
      <c r="W10" s="15">
        <v>426</v>
      </c>
      <c r="X10" s="24"/>
      <c r="Y10" s="15">
        <v>3990</v>
      </c>
      <c r="Z10" s="24"/>
    </row>
    <row r="11" ht="20.05" customHeight="1">
      <c r="B11" s="13"/>
      <c r="C11" s="14">
        <v>197</v>
      </c>
      <c r="D11" s="15">
        <v>4</v>
      </c>
      <c r="E11" s="15">
        <v>53</v>
      </c>
      <c r="F11" s="15">
        <v>697</v>
      </c>
      <c r="G11" s="15">
        <v>206</v>
      </c>
      <c r="H11" s="15">
        <v>1226</v>
      </c>
      <c r="I11" s="15">
        <v>370</v>
      </c>
      <c r="J11" s="15">
        <v>47</v>
      </c>
      <c r="K11" s="15">
        <v>-2</v>
      </c>
      <c r="L11" s="15">
        <v>0</v>
      </c>
      <c r="M11" s="15">
        <v>1</v>
      </c>
      <c r="N11" s="15">
        <v>136.5</v>
      </c>
      <c r="O11" s="15"/>
      <c r="P11" s="16">
        <v>0.349315068493151</v>
      </c>
      <c r="Q11" s="16">
        <v>-0.7435897435897439</v>
      </c>
      <c r="R11" s="17"/>
      <c r="S11" s="15">
        <v>41.25</v>
      </c>
      <c r="T11" s="17"/>
      <c r="U11" s="15">
        <v>694</v>
      </c>
      <c r="V11" s="17"/>
      <c r="W11" s="15">
        <v>491</v>
      </c>
      <c r="X11" s="24"/>
      <c r="Y11" s="15">
        <v>4400</v>
      </c>
      <c r="Z11" s="24"/>
    </row>
    <row r="12" ht="20.05" customHeight="1">
      <c r="B12" s="21">
        <v>2021</v>
      </c>
      <c r="C12" s="14">
        <v>175</v>
      </c>
      <c r="D12" s="15">
        <v>4.25</v>
      </c>
      <c r="E12" s="15">
        <v>57</v>
      </c>
      <c r="F12" s="15">
        <v>816</v>
      </c>
      <c r="G12" s="15">
        <v>258</v>
      </c>
      <c r="H12" s="15">
        <v>1335</v>
      </c>
      <c r="I12" s="15">
        <v>354</v>
      </c>
      <c r="J12" s="15">
        <v>121</v>
      </c>
      <c r="K12" s="15">
        <v>-2</v>
      </c>
      <c r="L12" s="15">
        <v>0</v>
      </c>
      <c r="M12" s="15">
        <v>0</v>
      </c>
      <c r="N12" s="15">
        <v>142</v>
      </c>
      <c r="O12" s="15"/>
      <c r="P12" s="16">
        <v>-0.111675126903553</v>
      </c>
      <c r="Q12" s="16">
        <v>-0.726672535211268</v>
      </c>
      <c r="R12" s="17"/>
      <c r="S12" s="15">
        <v>57</v>
      </c>
      <c r="T12" s="17"/>
      <c r="U12" s="15">
        <v>694</v>
      </c>
      <c r="V12" s="17"/>
      <c r="W12" s="15">
        <v>558</v>
      </c>
      <c r="X12" s="15"/>
      <c r="Y12" s="15">
        <v>3840</v>
      </c>
      <c r="Z12" s="15"/>
    </row>
    <row r="13" ht="20.05" customHeight="1">
      <c r="B13" s="13"/>
      <c r="C13" s="14">
        <v>135</v>
      </c>
      <c r="D13" s="15">
        <v>4.25</v>
      </c>
      <c r="E13" s="15">
        <v>37</v>
      </c>
      <c r="F13" s="15">
        <v>859</v>
      </c>
      <c r="G13" s="15">
        <v>262</v>
      </c>
      <c r="H13" s="15">
        <v>1376</v>
      </c>
      <c r="I13" s="15">
        <v>301</v>
      </c>
      <c r="J13" s="15">
        <v>58</v>
      </c>
      <c r="K13" s="15">
        <v>-15</v>
      </c>
      <c r="L13" s="15">
        <v>0</v>
      </c>
      <c r="M13" s="15">
        <v>0</v>
      </c>
      <c r="N13" s="15">
        <v>163.25</v>
      </c>
      <c r="O13" s="15"/>
      <c r="P13" s="16">
        <v>-0.228571428571429</v>
      </c>
      <c r="Q13" s="16">
        <v>-0.6944869831546709</v>
      </c>
      <c r="R13" s="17"/>
      <c r="S13" s="15">
        <v>71</v>
      </c>
      <c r="T13" s="17"/>
      <c r="U13" s="15">
        <v>694</v>
      </c>
      <c r="V13" s="17"/>
      <c r="W13" s="15">
        <v>597</v>
      </c>
      <c r="X13" s="15"/>
      <c r="Y13" s="15">
        <v>3790</v>
      </c>
      <c r="Z13" s="15"/>
    </row>
    <row r="14" ht="20.05" customHeight="1">
      <c r="B14" s="13"/>
      <c r="C14" s="14">
        <v>173</v>
      </c>
      <c r="D14" s="15">
        <v>4.25</v>
      </c>
      <c r="E14" s="15">
        <v>48</v>
      </c>
      <c r="F14" s="15">
        <v>747</v>
      </c>
      <c r="G14" s="15">
        <v>313</v>
      </c>
      <c r="H14" s="15">
        <v>1274</v>
      </c>
      <c r="I14" s="15">
        <v>340</v>
      </c>
      <c r="J14" s="15">
        <v>87</v>
      </c>
      <c r="K14" s="15">
        <v>0</v>
      </c>
      <c r="L14" s="15">
        <v>0</v>
      </c>
      <c r="M14" s="15">
        <v>-200</v>
      </c>
      <c r="N14" s="15">
        <v>170</v>
      </c>
      <c r="O14" s="23"/>
      <c r="P14" s="16">
        <v>0.281481481481481</v>
      </c>
      <c r="Q14" s="16">
        <v>-0.688602941176471</v>
      </c>
      <c r="R14" s="17"/>
      <c r="S14" s="15">
        <v>73.5</v>
      </c>
      <c r="T14" s="17"/>
      <c r="U14" s="15">
        <v>894</v>
      </c>
      <c r="V14" s="17"/>
      <c r="W14" s="15">
        <v>434</v>
      </c>
      <c r="X14" s="15"/>
      <c r="Y14" s="15">
        <v>3710</v>
      </c>
      <c r="Z14" s="15"/>
    </row>
    <row r="15" ht="20.05" customHeight="1">
      <c r="B15" s="13"/>
      <c r="C15" s="14">
        <v>198</v>
      </c>
      <c r="D15" s="15">
        <v>4.25</v>
      </c>
      <c r="E15" s="15">
        <v>46</v>
      </c>
      <c r="F15" s="15">
        <v>813</v>
      </c>
      <c r="G15" s="15">
        <v>299</v>
      </c>
      <c r="H15" s="15">
        <v>1309</v>
      </c>
      <c r="I15" s="15">
        <v>428</v>
      </c>
      <c r="J15" s="15">
        <v>69</v>
      </c>
      <c r="K15" s="15">
        <v>-3</v>
      </c>
      <c r="L15" s="15">
        <v>0</v>
      </c>
      <c r="M15" s="15">
        <v>0</v>
      </c>
      <c r="N15" s="15">
        <v>170.25</v>
      </c>
      <c r="O15" s="23"/>
      <c r="P15" s="16">
        <v>0.144508670520231</v>
      </c>
      <c r="Q15" s="16">
        <v>-0.698972099853157</v>
      </c>
      <c r="R15" s="17"/>
      <c r="S15" s="15">
        <v>78.75</v>
      </c>
      <c r="T15" s="17"/>
      <c r="U15" s="15">
        <v>894</v>
      </c>
      <c r="V15" s="17"/>
      <c r="W15" s="15">
        <v>514</v>
      </c>
      <c r="X15" s="15"/>
      <c r="Y15" s="15">
        <v>3740</v>
      </c>
      <c r="Z15" s="15"/>
    </row>
    <row r="16" ht="20.05" customHeight="1">
      <c r="B16" s="21">
        <v>2022</v>
      </c>
      <c r="C16" s="14">
        <v>199</v>
      </c>
      <c r="D16" s="15">
        <v>4.3</v>
      </c>
      <c r="E16" s="15">
        <v>62</v>
      </c>
      <c r="F16" s="15">
        <v>891</v>
      </c>
      <c r="G16" s="15">
        <v>335</v>
      </c>
      <c r="H16" s="15">
        <v>1407</v>
      </c>
      <c r="I16" s="15">
        <v>382</v>
      </c>
      <c r="J16" s="15">
        <v>79</v>
      </c>
      <c r="K16" s="15">
        <v>-0.5</v>
      </c>
      <c r="L16" s="15">
        <v>0</v>
      </c>
      <c r="M16" s="15">
        <v>0</v>
      </c>
      <c r="N16" s="15">
        <v>176.25</v>
      </c>
      <c r="O16" s="23"/>
      <c r="P16" s="16">
        <v>0.00505050505050505</v>
      </c>
      <c r="Q16" s="16">
        <v>-0.7020567375886519</v>
      </c>
      <c r="R16" s="16"/>
      <c r="S16" s="15">
        <v>68.625</v>
      </c>
      <c r="T16" s="15"/>
      <c r="U16" s="15">
        <v>894</v>
      </c>
      <c r="V16" s="15"/>
      <c r="W16" s="15">
        <v>556</v>
      </c>
      <c r="X16" s="15"/>
      <c r="Y16" s="15">
        <v>3820</v>
      </c>
      <c r="Z16" s="15"/>
    </row>
    <row r="17" ht="20.05" customHeight="1">
      <c r="B17" s="13"/>
      <c r="C17" s="14">
        <v>186</v>
      </c>
      <c r="D17" s="15">
        <v>4</v>
      </c>
      <c r="E17" s="15">
        <v>56</v>
      </c>
      <c r="F17" s="15">
        <v>891</v>
      </c>
      <c r="G17" s="15">
        <v>335</v>
      </c>
      <c r="H17" s="15">
        <v>1407</v>
      </c>
      <c r="I17" s="15">
        <v>346</v>
      </c>
      <c r="J17" s="15">
        <v>-10</v>
      </c>
      <c r="K17" s="15">
        <v>-0.2</v>
      </c>
      <c r="L17" s="15">
        <v>0</v>
      </c>
      <c r="M17" s="15">
        <v>0</v>
      </c>
      <c r="N17" s="15">
        <v>189</v>
      </c>
      <c r="O17" s="23">
        <v>159.2</v>
      </c>
      <c r="P17" s="16">
        <v>-0.0653266331658291</v>
      </c>
      <c r="Q17" s="16">
        <v>-0.6973544973544969</v>
      </c>
      <c r="R17" s="16">
        <v>-0.68410053731758</v>
      </c>
      <c r="S17" s="15">
        <v>55.325</v>
      </c>
      <c r="T17" s="15">
        <v>70.926068930453</v>
      </c>
      <c r="U17" s="15">
        <v>894</v>
      </c>
      <c r="V17" s="15"/>
      <c r="W17" s="15">
        <v>556</v>
      </c>
      <c r="X17" s="15">
        <v>562.584651248004</v>
      </c>
      <c r="Y17" s="15">
        <v>3830</v>
      </c>
      <c r="Z17" s="15"/>
    </row>
    <row r="18" ht="20.05" customHeight="1">
      <c r="B18" s="13"/>
      <c r="C18" s="14">
        <v>203</v>
      </c>
      <c r="D18" s="15">
        <v>3.7</v>
      </c>
      <c r="E18" s="15">
        <v>64</v>
      </c>
      <c r="F18" s="15">
        <v>688</v>
      </c>
      <c r="G18" s="15">
        <v>292</v>
      </c>
      <c r="H18" s="15">
        <v>1245</v>
      </c>
      <c r="I18" s="15">
        <v>408</v>
      </c>
      <c r="J18" s="15">
        <v>54</v>
      </c>
      <c r="K18" s="15">
        <v>-8.300000000000001</v>
      </c>
      <c r="L18" s="15">
        <v>0</v>
      </c>
      <c r="M18" s="15">
        <v>-240</v>
      </c>
      <c r="N18" s="15">
        <v>196.5</v>
      </c>
      <c r="O18" s="23">
        <v>218.7559244975</v>
      </c>
      <c r="P18" s="16">
        <v>0.09139784946236559</v>
      </c>
      <c r="Q18" s="16">
        <v>-0.689249363867684</v>
      </c>
      <c r="R18" s="16">
        <v>-0.67741935483871</v>
      </c>
      <c r="S18" s="15">
        <v>45</v>
      </c>
      <c r="T18" s="15">
        <v>70.366427257258</v>
      </c>
      <c r="U18" s="15">
        <v>1134</v>
      </c>
      <c r="V18" s="15">
        <v>1134</v>
      </c>
      <c r="W18" s="15">
        <v>396</v>
      </c>
      <c r="X18" s="15">
        <v>561.542694491176</v>
      </c>
      <c r="Y18" s="15">
        <v>3840</v>
      </c>
      <c r="Z18" s="15">
        <v>8522.868923433791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23">
        <v>224.9715629</v>
      </c>
      <c r="P19" s="17"/>
      <c r="Q19" s="17"/>
      <c r="R19" s="35">
        <v>-0.689249363867684</v>
      </c>
      <c r="S19" s="17"/>
      <c r="T19" s="15">
        <v>66.9100562828563</v>
      </c>
      <c r="U19" s="17"/>
      <c r="V19" s="15">
        <v>1401.640225131430</v>
      </c>
      <c r="W19" s="17"/>
      <c r="X19" s="15">
        <v>400</v>
      </c>
      <c r="Y19" s="15">
        <v>3840</v>
      </c>
      <c r="Z19" s="15">
        <v>7030.8509919127</v>
      </c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v>385.5</v>
      </c>
      <c r="O20" s="26">
        <v>377.9559244975</v>
      </c>
      <c r="P20" s="17"/>
      <c r="Q20" s="17"/>
      <c r="R20" s="17"/>
      <c r="S20" s="17"/>
      <c r="T20" s="17"/>
      <c r="U20" s="17"/>
      <c r="V20" s="17"/>
      <c r="W20" s="17"/>
      <c r="X20" s="15"/>
      <c r="Y20" s="15"/>
      <c r="Z20" s="15">
        <v>5682.673836796150</v>
      </c>
    </row>
  </sheetData>
  <mergeCells count="1">
    <mergeCell ref="B2:Z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71" customWidth="1"/>
    <col min="2" max="27" width="10.4844" style="171" customWidth="1"/>
    <col min="28" max="28" width="18.9766" style="173" customWidth="1"/>
    <col min="29" max="29" hidden="1" width="16.3333" style="173" customWidth="1"/>
    <col min="30" max="33" width="9" style="173" customWidth="1"/>
    <col min="34" max="47" hidden="1" width="16.3333" style="173" customWidth="1"/>
    <col min="48" max="16384" width="16.3516" style="173" customWidth="1"/>
  </cols>
  <sheetData>
    <row r="1" ht="11.65" customHeight="1"/>
    <row r="2" ht="27.65" customHeight="1">
      <c r="B2" t="s" s="2">
        <v>551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3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90">
        <v>552</v>
      </c>
      <c r="AA3" t="s" s="3">
        <v>19</v>
      </c>
    </row>
    <row r="4" ht="20.7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91"/>
      <c r="AA4" s="9"/>
    </row>
    <row r="5" ht="20.3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92"/>
      <c r="AA5" s="17"/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72"/>
      <c r="AA6" s="17"/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72"/>
      <c r="AA7" s="17"/>
    </row>
    <row r="8" ht="20.05" customHeight="1">
      <c r="B8" s="21">
        <v>2018</v>
      </c>
      <c r="C8" s="14">
        <v>47</v>
      </c>
      <c r="D8" s="15">
        <v>0</v>
      </c>
      <c r="E8" s="15">
        <v>7.49</v>
      </c>
      <c r="F8" s="15"/>
      <c r="G8" s="15"/>
      <c r="H8" s="15"/>
      <c r="I8" s="15"/>
      <c r="J8" s="15"/>
      <c r="K8" s="15"/>
      <c r="L8" s="15"/>
      <c r="M8" s="15"/>
      <c r="N8" s="15">
        <f>SUM(C5:C8)/4</f>
        <v>11.75</v>
      </c>
      <c r="O8" s="17"/>
      <c r="P8" s="16"/>
      <c r="Q8" s="16">
        <f>((D8+E8)/C8)</f>
        <v>0.15936170212766</v>
      </c>
      <c r="R8" s="16"/>
      <c r="S8" s="17"/>
      <c r="T8" s="15">
        <f>SUM(J5:K8)/4</f>
        <v>0</v>
      </c>
      <c r="U8" s="17"/>
      <c r="V8" s="15">
        <f>-(L8+M8)+V7</f>
        <v>0</v>
      </c>
      <c r="W8" s="17"/>
      <c r="X8" s="15">
        <f>F8-G8</f>
        <v>0</v>
      </c>
      <c r="Y8" s="24"/>
      <c r="Z8" s="172"/>
      <c r="AA8" s="24"/>
    </row>
    <row r="9" ht="20.05" customHeight="1">
      <c r="B9" s="13"/>
      <c r="C9" s="14">
        <v>47</v>
      </c>
      <c r="D9" s="15">
        <v>0</v>
      </c>
      <c r="E9" s="15">
        <v>-5.991</v>
      </c>
      <c r="F9" s="15"/>
      <c r="G9" s="15"/>
      <c r="H9" s="15"/>
      <c r="I9" s="15"/>
      <c r="J9" s="15"/>
      <c r="K9" s="15"/>
      <c r="L9" s="15"/>
      <c r="M9" s="15"/>
      <c r="N9" s="15">
        <f>SUM(C6:C9)/4</f>
        <v>23.5</v>
      </c>
      <c r="O9" s="17"/>
      <c r="P9" s="16"/>
      <c r="Q9" s="16">
        <f>((D9+E9)/C9)</f>
        <v>-0.127468085106383</v>
      </c>
      <c r="R9" s="16"/>
      <c r="S9" s="17"/>
      <c r="T9" s="15">
        <f>SUM(J6:K9)/4</f>
        <v>0</v>
      </c>
      <c r="U9" s="17"/>
      <c r="V9" s="15">
        <f>-(L9+M9)+V8</f>
        <v>0</v>
      </c>
      <c r="W9" s="17"/>
      <c r="X9" s="15">
        <f>F9-G9</f>
        <v>0</v>
      </c>
      <c r="Y9" s="24"/>
      <c r="Z9" s="172"/>
      <c r="AA9" s="24"/>
    </row>
    <row r="10" ht="20.05" customHeight="1">
      <c r="B10" s="13"/>
      <c r="C10" s="14">
        <v>47</v>
      </c>
      <c r="D10" s="15">
        <v>0</v>
      </c>
      <c r="E10" s="15">
        <v>1.719</v>
      </c>
      <c r="F10" s="15"/>
      <c r="G10" s="15"/>
      <c r="H10" s="15"/>
      <c r="I10" s="15"/>
      <c r="J10" s="15"/>
      <c r="K10" s="15"/>
      <c r="L10" s="15"/>
      <c r="M10" s="15"/>
      <c r="N10" s="15">
        <f>SUM(C7:C10)/4</f>
        <v>35.25</v>
      </c>
      <c r="O10" s="17"/>
      <c r="P10" s="16"/>
      <c r="Q10" s="16">
        <f>((D10+E10)/C10)</f>
        <v>0.0365744680851064</v>
      </c>
      <c r="R10" s="16"/>
      <c r="S10" s="17"/>
      <c r="T10" s="15">
        <f>SUM(J7:K10)/4</f>
        <v>0</v>
      </c>
      <c r="U10" s="17"/>
      <c r="V10" s="15">
        <f>-(L10+M10)+V9</f>
        <v>0</v>
      </c>
      <c r="W10" s="17"/>
      <c r="X10" s="15">
        <f>F10-G10</f>
        <v>0</v>
      </c>
      <c r="Y10" s="24"/>
      <c r="Z10" s="172"/>
      <c r="AA10" s="24"/>
    </row>
    <row r="11" ht="20.05" customHeight="1">
      <c r="B11" s="13"/>
      <c r="C11" s="14">
        <v>47</v>
      </c>
      <c r="D11" s="15">
        <v>0.062</v>
      </c>
      <c r="E11" s="15">
        <v>4.143</v>
      </c>
      <c r="F11" s="15"/>
      <c r="G11" s="15"/>
      <c r="H11" s="15"/>
      <c r="I11" s="15"/>
      <c r="J11" s="15"/>
      <c r="K11" s="15"/>
      <c r="L11" s="15"/>
      <c r="M11" s="15"/>
      <c r="N11" s="15">
        <f>SUM(C8:C11)/4</f>
        <v>47</v>
      </c>
      <c r="O11" s="17"/>
      <c r="P11" s="16"/>
      <c r="Q11" s="16">
        <f>((D11+E11)/C11)</f>
        <v>0.089468085106383</v>
      </c>
      <c r="R11" s="16"/>
      <c r="S11" s="17"/>
      <c r="T11" s="15">
        <f>SUM(J8:K11)/4</f>
        <v>0</v>
      </c>
      <c r="U11" s="17"/>
      <c r="V11" s="15">
        <f>-(L11+M11)+V10</f>
        <v>0</v>
      </c>
      <c r="W11" s="17"/>
      <c r="X11" s="15">
        <f>F11-G11</f>
        <v>0</v>
      </c>
      <c r="Y11" s="24"/>
      <c r="Z11" s="172"/>
      <c r="AA11" s="24"/>
    </row>
    <row r="12" ht="20.05" customHeight="1">
      <c r="B12" s="21">
        <v>2019</v>
      </c>
      <c r="C12" s="14">
        <v>15</v>
      </c>
      <c r="D12" s="15">
        <v>0.031</v>
      </c>
      <c r="E12" s="15">
        <v>16.58</v>
      </c>
      <c r="F12" s="15"/>
      <c r="G12" s="15"/>
      <c r="H12" s="15"/>
      <c r="I12" s="15">
        <v>13.055</v>
      </c>
      <c r="J12" s="15">
        <v>-18.961</v>
      </c>
      <c r="K12" s="15">
        <v>-0.8</v>
      </c>
      <c r="L12" s="15">
        <v>0.5</v>
      </c>
      <c r="M12" s="15">
        <v>160</v>
      </c>
      <c r="N12" s="15">
        <f>SUM(C9:C12)/4</f>
        <v>39</v>
      </c>
      <c r="O12" s="17"/>
      <c r="P12" s="16"/>
      <c r="Q12" s="16">
        <f>((D12+E12)/C12)</f>
        <v>1.1074</v>
      </c>
      <c r="R12" s="16">
        <f>AVERAGE(Q9:Q12)</f>
        <v>0.276493617021277</v>
      </c>
      <c r="S12" s="17"/>
      <c r="T12" s="15">
        <f>SUM(J9:K12)/4</f>
        <v>-4.94025</v>
      </c>
      <c r="U12" s="17"/>
      <c r="V12" s="15">
        <f>-(L12+M12)+V11</f>
        <v>-160.5</v>
      </c>
      <c r="W12" s="17"/>
      <c r="X12" s="15">
        <f>F12-G12</f>
        <v>0</v>
      </c>
      <c r="Y12" s="24"/>
      <c r="Z12" s="172"/>
      <c r="AA12" s="24"/>
    </row>
    <row r="13" ht="20.05" customHeight="1">
      <c r="B13" s="13"/>
      <c r="C13" s="14">
        <v>29</v>
      </c>
      <c r="D13" s="15">
        <v>0.097</v>
      </c>
      <c r="E13" s="15">
        <v>-13.362</v>
      </c>
      <c r="F13" s="15"/>
      <c r="G13" s="15"/>
      <c r="H13" s="15"/>
      <c r="I13" s="15">
        <v>10.55</v>
      </c>
      <c r="J13" s="15">
        <v>-12.838</v>
      </c>
      <c r="K13" s="15">
        <v>-0.7</v>
      </c>
      <c r="L13" s="15">
        <v>0.5</v>
      </c>
      <c r="M13" s="15">
        <v>160</v>
      </c>
      <c r="N13" s="15">
        <f>SUM(C10:C13)/4</f>
        <v>34.5</v>
      </c>
      <c r="O13" s="17"/>
      <c r="P13" s="16"/>
      <c r="Q13" s="16">
        <f>((D13+E13)/C13)</f>
        <v>-0.457413793103448</v>
      </c>
      <c r="R13" s="16">
        <f>AVERAGE(Q10:Q13)</f>
        <v>0.19400719002201</v>
      </c>
      <c r="S13" s="17"/>
      <c r="T13" s="15">
        <f>SUM(J10:K13)/4</f>
        <v>-8.32475</v>
      </c>
      <c r="U13" s="17"/>
      <c r="V13" s="15">
        <f>-(L13+M13)+V12</f>
        <v>-321</v>
      </c>
      <c r="W13" s="17"/>
      <c r="X13" s="15">
        <f>F13-G13</f>
        <v>0</v>
      </c>
      <c r="Y13" s="24"/>
      <c r="Z13" s="172"/>
      <c r="AA13" s="24"/>
    </row>
    <row r="14" ht="20.05" customHeight="1">
      <c r="B14" s="13"/>
      <c r="C14" s="14">
        <v>50</v>
      </c>
      <c r="D14" s="15">
        <v>0.038</v>
      </c>
      <c r="E14" s="15">
        <v>4.143</v>
      </c>
      <c r="F14" s="15"/>
      <c r="G14" s="15"/>
      <c r="H14" s="15"/>
      <c r="I14" s="15">
        <v>49.449</v>
      </c>
      <c r="J14" s="15">
        <v>8.476000000000001</v>
      </c>
      <c r="K14" s="15">
        <v>-0.175</v>
      </c>
      <c r="L14" s="15">
        <v>0.5</v>
      </c>
      <c r="M14" s="15">
        <v>160</v>
      </c>
      <c r="N14" s="15">
        <f>SUM(C11:C14)/4</f>
        <v>35.25</v>
      </c>
      <c r="O14" s="17"/>
      <c r="P14" s="16"/>
      <c r="Q14" s="16">
        <f>((D14+E14)/C14)</f>
        <v>0.08362</v>
      </c>
      <c r="R14" s="16">
        <f>AVERAGE(Q11:Q14)</f>
        <v>0.205768573000734</v>
      </c>
      <c r="S14" s="17"/>
      <c r="T14" s="15">
        <f>SUM(J11:K14)/4</f>
        <v>-6.2495</v>
      </c>
      <c r="U14" s="17"/>
      <c r="V14" s="15">
        <f>-(L14+M14)+V13</f>
        <v>-481.5</v>
      </c>
      <c r="W14" s="17"/>
      <c r="X14" s="15">
        <f>F14-G14</f>
        <v>0</v>
      </c>
      <c r="Y14" s="24"/>
      <c r="Z14" s="172"/>
      <c r="AA14" s="24"/>
    </row>
    <row r="15" ht="20.05" customHeight="1">
      <c r="B15" s="13"/>
      <c r="C15" s="14">
        <v>117</v>
      </c>
      <c r="D15" s="15">
        <v>0.226</v>
      </c>
      <c r="E15" s="15">
        <v>9.218999999999999</v>
      </c>
      <c r="F15" s="15"/>
      <c r="G15" s="15"/>
      <c r="H15" s="15"/>
      <c r="I15" s="15">
        <v>114.517</v>
      </c>
      <c r="J15" s="15">
        <v>-1.813</v>
      </c>
      <c r="K15" s="15">
        <v>-177.675</v>
      </c>
      <c r="L15" s="15">
        <v>0.5</v>
      </c>
      <c r="M15" s="15">
        <v>160</v>
      </c>
      <c r="N15" s="15">
        <f>SUM(C12:C15)/4</f>
        <v>52.75</v>
      </c>
      <c r="O15" s="17"/>
      <c r="P15" s="16"/>
      <c r="Q15" s="16">
        <f>((D15+E15)/C15)</f>
        <v>0.08072649572649571</v>
      </c>
      <c r="R15" s="16">
        <f>AVERAGE(Q12:Q15)</f>
        <v>0.203583175655762</v>
      </c>
      <c r="S15" s="17"/>
      <c r="T15" s="15">
        <f>SUM(J12:K15)/4</f>
        <v>-51.1215</v>
      </c>
      <c r="U15" s="17"/>
      <c r="V15" s="15">
        <f>-(L15+M15)+V14</f>
        <v>-642</v>
      </c>
      <c r="W15" s="17"/>
      <c r="X15" s="15">
        <f>F15-G15</f>
        <v>0</v>
      </c>
      <c r="Y15" s="24"/>
      <c r="Z15" s="15">
        <v>246</v>
      </c>
      <c r="AA15" s="24"/>
    </row>
    <row r="16" ht="20.05" customHeight="1">
      <c r="B16" s="21">
        <v>2020</v>
      </c>
      <c r="C16" s="14">
        <v>85.23</v>
      </c>
      <c r="D16" s="15">
        <v>0.219</v>
      </c>
      <c r="E16" s="15">
        <v>8.827999999999999</v>
      </c>
      <c r="F16" s="15">
        <v>304</v>
      </c>
      <c r="G16" s="15">
        <v>57</v>
      </c>
      <c r="H16" s="15">
        <v>727</v>
      </c>
      <c r="I16" s="15">
        <v>43.072</v>
      </c>
      <c r="J16" s="15">
        <v>-91.185</v>
      </c>
      <c r="K16" s="15">
        <v>-0.3</v>
      </c>
      <c r="L16" s="15">
        <v>-27.622</v>
      </c>
      <c r="M16" s="15">
        <v>-18.2</v>
      </c>
      <c r="N16" s="15">
        <f>SUM(C13:C16)/4</f>
        <v>70.3075</v>
      </c>
      <c r="O16" s="15"/>
      <c r="P16" s="16"/>
      <c r="Q16" s="16">
        <f>((D16+E16)/C16)</f>
        <v>0.106148069928429</v>
      </c>
      <c r="R16" s="16">
        <f>AVERAGE(Q13:Q16)</f>
        <v>-0.0467298068621308</v>
      </c>
      <c r="S16" s="17"/>
      <c r="T16" s="15">
        <f>SUM(J13:K16)/4</f>
        <v>-69.05249999999999</v>
      </c>
      <c r="U16" s="17"/>
      <c r="V16" s="15">
        <f>-(L16+M16)+V15</f>
        <v>-596.178</v>
      </c>
      <c r="W16" s="17"/>
      <c r="X16" s="15">
        <f>F16-G16</f>
        <v>247</v>
      </c>
      <c r="Y16" s="24"/>
      <c r="Z16" s="15">
        <v>66</v>
      </c>
      <c r="AA16" s="24"/>
    </row>
    <row r="17" ht="20.05" customHeight="1">
      <c r="B17" s="13"/>
      <c r="C17" s="14">
        <v>134.835</v>
      </c>
      <c r="D17" s="15">
        <v>0.5590000000000001</v>
      </c>
      <c r="E17" s="15">
        <v>9.301</v>
      </c>
      <c r="F17" s="15">
        <v>325</v>
      </c>
      <c r="G17" s="15">
        <v>110</v>
      </c>
      <c r="H17" s="15">
        <v>781</v>
      </c>
      <c r="I17" s="15">
        <v>138.736</v>
      </c>
      <c r="J17" s="15">
        <v>151.177</v>
      </c>
      <c r="K17" s="15">
        <v>-105.7</v>
      </c>
      <c r="L17" s="15">
        <v>104.431</v>
      </c>
      <c r="M17" s="15">
        <v>-9.300000000000001</v>
      </c>
      <c r="N17" s="15">
        <f>SUM(C14:C17)/4</f>
        <v>96.76625</v>
      </c>
      <c r="O17" s="15"/>
      <c r="P17" s="16"/>
      <c r="Q17" s="16">
        <f>((D17+E17)/C17)</f>
        <v>0.073126413764972</v>
      </c>
      <c r="R17" s="16">
        <f>AVERAGE(Q14:Q17)</f>
        <v>0.08590524485497419</v>
      </c>
      <c r="S17" s="17"/>
      <c r="T17" s="15">
        <f>SUM(J14:K17)/4</f>
        <v>-54.29875</v>
      </c>
      <c r="U17" s="17"/>
      <c r="V17" s="15">
        <f>-(L17+M17)+V16</f>
        <v>-691.309</v>
      </c>
      <c r="W17" s="17"/>
      <c r="X17" s="15">
        <f>F17-G17</f>
        <v>215</v>
      </c>
      <c r="Y17" s="24"/>
      <c r="Z17" s="15">
        <v>197</v>
      </c>
      <c r="AA17" s="24"/>
    </row>
    <row r="18" ht="20.05" customHeight="1">
      <c r="B18" s="13"/>
      <c r="C18" s="14">
        <v>127.561</v>
      </c>
      <c r="D18" s="15">
        <v>0.619</v>
      </c>
      <c r="E18" s="15">
        <v>6.763</v>
      </c>
      <c r="F18" s="15">
        <v>244</v>
      </c>
      <c r="G18" s="15">
        <v>110</v>
      </c>
      <c r="H18" s="15">
        <v>787</v>
      </c>
      <c r="I18" s="15">
        <v>139.183</v>
      </c>
      <c r="J18" s="15">
        <v>-264.582</v>
      </c>
      <c r="K18" s="15">
        <v>68</v>
      </c>
      <c r="L18" s="15">
        <v>-3.732</v>
      </c>
      <c r="M18" s="15">
        <v>0</v>
      </c>
      <c r="N18" s="15">
        <f>SUM(C15:C18)/4</f>
        <v>116.1565</v>
      </c>
      <c r="O18" s="15"/>
      <c r="P18" s="16"/>
      <c r="Q18" s="16">
        <f>((D18+E18)/C18)</f>
        <v>0.057870352223642</v>
      </c>
      <c r="R18" s="16">
        <f>AVERAGE(Q15:Q18)</f>
        <v>0.0794678329108847</v>
      </c>
      <c r="S18" s="17"/>
      <c r="T18" s="15">
        <f>SUM(J15:K18)/4</f>
        <v>-105.5195</v>
      </c>
      <c r="U18" s="17"/>
      <c r="V18" s="15">
        <f>-(L18+M18)+V17</f>
        <v>-687.577</v>
      </c>
      <c r="W18" s="17"/>
      <c r="X18" s="15">
        <f>F18-G18</f>
        <v>134</v>
      </c>
      <c r="Y18" s="24"/>
      <c r="Z18" s="15">
        <v>171</v>
      </c>
      <c r="AA18" s="24"/>
    </row>
    <row r="19" ht="20.05" customHeight="1">
      <c r="B19" s="13"/>
      <c r="C19" s="14">
        <v>169.574</v>
      </c>
      <c r="D19" s="15">
        <v>2.703</v>
      </c>
      <c r="E19" s="15">
        <v>7.108</v>
      </c>
      <c r="F19" s="15">
        <v>250</v>
      </c>
      <c r="G19" s="15">
        <v>116</v>
      </c>
      <c r="H19" s="15">
        <v>800</v>
      </c>
      <c r="I19" s="15">
        <v>154.109</v>
      </c>
      <c r="J19" s="15">
        <v>4.89</v>
      </c>
      <c r="K19" s="15">
        <v>72.205</v>
      </c>
      <c r="L19" s="15">
        <v>-70.877</v>
      </c>
      <c r="M19" s="15">
        <v>0</v>
      </c>
      <c r="N19" s="15">
        <f>SUM(C16:C19)/4</f>
        <v>129.3</v>
      </c>
      <c r="O19" s="15"/>
      <c r="P19" s="16"/>
      <c r="Q19" s="16">
        <f>((D19+E19)/C19)</f>
        <v>0.0578567469069551</v>
      </c>
      <c r="R19" s="16">
        <f>AVERAGE(Q16:Q19)</f>
        <v>0.07375039570599951</v>
      </c>
      <c r="S19" s="17"/>
      <c r="T19" s="15">
        <f>SUM(J16:K19)/4</f>
        <v>-41.37375</v>
      </c>
      <c r="U19" s="17"/>
      <c r="V19" s="15">
        <f>-(L19+M19)+V18</f>
        <v>-616.7</v>
      </c>
      <c r="W19" s="17"/>
      <c r="X19" s="15">
        <f>F19-G19</f>
        <v>134</v>
      </c>
      <c r="Y19" s="24"/>
      <c r="Z19" s="15">
        <v>236</v>
      </c>
      <c r="AA19" s="24"/>
    </row>
    <row r="20" ht="20.05" customHeight="1">
      <c r="B20" s="21">
        <v>2021</v>
      </c>
      <c r="C20" s="14">
        <v>180.7</v>
      </c>
      <c r="D20" s="15">
        <v>7.8</v>
      </c>
      <c r="E20" s="15">
        <v>10.3</v>
      </c>
      <c r="F20" s="15">
        <v>223</v>
      </c>
      <c r="G20" s="15">
        <v>125</v>
      </c>
      <c r="H20" s="15">
        <v>821</v>
      </c>
      <c r="I20" s="15">
        <v>202.3</v>
      </c>
      <c r="J20" s="15">
        <v>41.5</v>
      </c>
      <c r="K20" s="15">
        <v>-50.7</v>
      </c>
      <c r="L20" s="15">
        <v>-7.8</v>
      </c>
      <c r="M20" s="15">
        <v>0</v>
      </c>
      <c r="N20" s="15">
        <f>SUM(C17:C20)/4</f>
        <v>153.1675</v>
      </c>
      <c r="O20" s="15"/>
      <c r="P20" s="16"/>
      <c r="Q20" s="16">
        <f>((D20+E20)/C20)</f>
        <v>0.10016602102933</v>
      </c>
      <c r="R20" s="16">
        <f>AVERAGE(Q17:Q20)</f>
        <v>0.0722548834812248</v>
      </c>
      <c r="S20" s="17"/>
      <c r="T20" s="15">
        <f>SUM(J17:K20)/4</f>
        <v>-20.8025</v>
      </c>
      <c r="U20" s="17"/>
      <c r="V20" s="15">
        <f>-(L20+M20)+V19</f>
        <v>-608.9</v>
      </c>
      <c r="W20" s="17"/>
      <c r="X20" s="15">
        <f>F20-G20</f>
        <v>98</v>
      </c>
      <c r="Y20" s="15"/>
      <c r="Z20" s="15">
        <v>420</v>
      </c>
      <c r="AA20" s="17"/>
    </row>
    <row r="21" ht="20.05" customHeight="1">
      <c r="B21" s="13"/>
      <c r="C21" s="14">
        <v>182.9</v>
      </c>
      <c r="D21" s="15">
        <v>105.5</v>
      </c>
      <c r="E21" s="15">
        <v>105.6</v>
      </c>
      <c r="F21" s="15">
        <v>298</v>
      </c>
      <c r="G21" s="15">
        <v>127</v>
      </c>
      <c r="H21" s="15">
        <v>928</v>
      </c>
      <c r="I21" s="15">
        <v>164</v>
      </c>
      <c r="J21" s="15">
        <v>25.5</v>
      </c>
      <c r="K21" s="15">
        <v>-6.9</v>
      </c>
      <c r="L21" s="15">
        <v>44.7</v>
      </c>
      <c r="M21" s="15">
        <v>1.3</v>
      </c>
      <c r="N21" s="15">
        <f>SUM(C18:C21)/4</f>
        <v>165.18375</v>
      </c>
      <c r="O21" s="15"/>
      <c r="P21" s="16">
        <f>C21/C20-1</f>
        <v>0.012174875484228</v>
      </c>
      <c r="Q21" s="16">
        <f>((D21+E21)/C21)</f>
        <v>1.15418261344997</v>
      </c>
      <c r="R21" s="16">
        <f>AVERAGE(Q18:Q21)</f>
        <v>0.342518933402474</v>
      </c>
      <c r="S21" s="17"/>
      <c r="T21" s="15">
        <f>SUM(J18:K21)/4</f>
        <v>-27.52175</v>
      </c>
      <c r="U21" s="17"/>
      <c r="V21" s="15">
        <f>-(L21+M21)+V20</f>
        <v>-654.9</v>
      </c>
      <c r="W21" s="17"/>
      <c r="X21" s="15">
        <f>F21-G21</f>
        <v>171</v>
      </c>
      <c r="Y21" s="15"/>
      <c r="Z21" s="15">
        <v>1580</v>
      </c>
      <c r="AA21" s="17"/>
    </row>
    <row r="22" ht="20.05" customHeight="1">
      <c r="B22" s="13"/>
      <c r="C22" s="14">
        <v>352.2</v>
      </c>
      <c r="D22" s="15">
        <v>110.9</v>
      </c>
      <c r="E22" s="15">
        <v>110.6</v>
      </c>
      <c r="F22" s="15">
        <v>197</v>
      </c>
      <c r="G22" s="15">
        <v>116</v>
      </c>
      <c r="H22" s="15">
        <v>1041</v>
      </c>
      <c r="I22" s="15">
        <v>333.7</v>
      </c>
      <c r="J22" s="15">
        <v>-45.5</v>
      </c>
      <c r="K22" s="15">
        <v>-48.6</v>
      </c>
      <c r="L22" s="15">
        <v>-20</v>
      </c>
      <c r="M22" s="15">
        <v>13.1</v>
      </c>
      <c r="N22" s="15">
        <f>SUM(C19:C22)/4</f>
        <v>221.3435</v>
      </c>
      <c r="O22" s="23">
        <v>210.8515</v>
      </c>
      <c r="P22" s="16">
        <f>C22/C21-1</f>
        <v>0.925642427556042</v>
      </c>
      <c r="Q22" s="16">
        <f>((D22+E22)/C22)</f>
        <v>0.628904031800114</v>
      </c>
      <c r="R22" s="16">
        <f>AVERAGE(Q19:Q22)</f>
        <v>0.485277353296592</v>
      </c>
      <c r="S22" s="17"/>
      <c r="T22" s="15">
        <f>SUM(J19:K22)/4</f>
        <v>-1.90125</v>
      </c>
      <c r="U22" s="17"/>
      <c r="V22" s="15">
        <f>-(L22+M22)+V21</f>
        <v>-648</v>
      </c>
      <c r="W22" s="17"/>
      <c r="X22" s="15">
        <f>F22-G22</f>
        <v>81</v>
      </c>
      <c r="Y22" s="15"/>
      <c r="Z22" s="15">
        <v>2790</v>
      </c>
      <c r="AA22" s="17"/>
    </row>
    <row r="23" ht="20.05" customHeight="1">
      <c r="B23" s="13"/>
      <c r="C23" s="14">
        <v>434.6</v>
      </c>
      <c r="D23" s="15">
        <v>8.1</v>
      </c>
      <c r="E23" s="15">
        <v>12.6</v>
      </c>
      <c r="F23" s="15">
        <v>241</v>
      </c>
      <c r="G23" s="15">
        <v>135</v>
      </c>
      <c r="H23" s="15">
        <v>1086</v>
      </c>
      <c r="I23" s="15">
        <v>494</v>
      </c>
      <c r="J23" s="15">
        <v>48.1</v>
      </c>
      <c r="K23" s="15">
        <v>-77.3</v>
      </c>
      <c r="L23" s="15">
        <v>59.5</v>
      </c>
      <c r="M23" s="15">
        <v>13.4</v>
      </c>
      <c r="N23" s="15">
        <f>SUM(C20:C23)/4</f>
        <v>287.6</v>
      </c>
      <c r="O23" s="23">
        <v>276.751666666667</v>
      </c>
      <c r="P23" s="16">
        <f>C23/C22-1</f>
        <v>0.233957978421352</v>
      </c>
      <c r="Q23" s="16">
        <f>((D23+E23)/C23)</f>
        <v>0.0476300046019328</v>
      </c>
      <c r="R23" s="16">
        <f>AVERAGE(Q20:Q23)</f>
        <v>0.482720667720337</v>
      </c>
      <c r="S23" s="17"/>
      <c r="T23" s="15">
        <f>SUM(J20:K23)/4</f>
        <v>-28.475</v>
      </c>
      <c r="U23" s="17"/>
      <c r="V23" s="15">
        <f>-(L23+M23)+V22</f>
        <v>-720.9</v>
      </c>
      <c r="W23" s="17"/>
      <c r="X23" s="15">
        <f>F23-G23</f>
        <v>106</v>
      </c>
      <c r="Y23" s="15"/>
      <c r="Z23" s="15">
        <v>2720</v>
      </c>
      <c r="AA23" s="17"/>
    </row>
    <row r="24" ht="20.05" customHeight="1">
      <c r="B24" s="21">
        <v>2022</v>
      </c>
      <c r="C24" s="14">
        <v>559.6</v>
      </c>
      <c r="D24" s="15">
        <v>7</v>
      </c>
      <c r="E24" s="15">
        <v>7.3</v>
      </c>
      <c r="F24" s="15">
        <v>201</v>
      </c>
      <c r="G24" s="15">
        <v>141</v>
      </c>
      <c r="H24" s="15">
        <v>1100</v>
      </c>
      <c r="I24" s="15">
        <v>509.3</v>
      </c>
      <c r="J24" s="15">
        <v>-20.1</v>
      </c>
      <c r="K24" s="15">
        <v>-18.4</v>
      </c>
      <c r="L24" s="15">
        <v>-0.9</v>
      </c>
      <c r="M24" s="15">
        <v>0</v>
      </c>
      <c r="N24" s="15">
        <f>SUM(C21:C24)/4</f>
        <v>382.325</v>
      </c>
      <c r="O24" s="23">
        <v>309.70175</v>
      </c>
      <c r="P24" s="16">
        <f>C24/C23-1</f>
        <v>0.287620800736309</v>
      </c>
      <c r="Q24" s="16">
        <f>((D24+E24)/C24)</f>
        <v>0.025553967119371</v>
      </c>
      <c r="R24" s="16">
        <f>AVERAGE(Q21:Q24)</f>
        <v>0.464067654242847</v>
      </c>
      <c r="S24" s="35"/>
      <c r="T24" s="15">
        <f>SUM(J21:K24)/4</f>
        <v>-35.8</v>
      </c>
      <c r="U24" s="15">
        <v>19.734404254244</v>
      </c>
      <c r="V24" s="15">
        <f>-(L24+M24)+V23</f>
        <v>-720</v>
      </c>
      <c r="W24" s="15"/>
      <c r="X24" s="15">
        <f>F24-G24</f>
        <v>60</v>
      </c>
      <c r="Y24" s="15">
        <v>132.895469046962</v>
      </c>
      <c r="Z24" s="15">
        <v>1695</v>
      </c>
      <c r="AA24" s="17"/>
    </row>
    <row r="25" ht="20.05" customHeight="1">
      <c r="B25" s="13"/>
      <c r="C25" s="14">
        <v>364.7</v>
      </c>
      <c r="D25" s="15">
        <v>10.5</v>
      </c>
      <c r="E25" s="15">
        <v>3.5</v>
      </c>
      <c r="F25" s="15">
        <v>204</v>
      </c>
      <c r="G25" s="15">
        <v>154</v>
      </c>
      <c r="H25" s="15">
        <v>1116</v>
      </c>
      <c r="I25" s="15">
        <v>339.9</v>
      </c>
      <c r="J25" s="15">
        <v>-4.8</v>
      </c>
      <c r="K25" s="15">
        <v>-5</v>
      </c>
      <c r="L25" s="15">
        <v>12.1</v>
      </c>
      <c r="M25" s="15">
        <v>0</v>
      </c>
      <c r="N25" s="15">
        <f>SUM(C22:C25)/4</f>
        <v>427.775</v>
      </c>
      <c r="O25" s="23">
        <v>407.09175</v>
      </c>
      <c r="P25" s="16">
        <f>C25/C24-1</f>
        <v>-0.348284488920658</v>
      </c>
      <c r="Q25" s="16">
        <f>((D25+E25)/C25)</f>
        <v>0.0383877159309021</v>
      </c>
      <c r="R25" s="16">
        <f>AVERAGE(Q22:Q25)</f>
        <v>0.18511892986308</v>
      </c>
      <c r="S25" s="35"/>
      <c r="T25" s="15">
        <f>SUM(J22:K25)/4</f>
        <v>-42.9</v>
      </c>
      <c r="U25" s="15">
        <v>17.333866792524</v>
      </c>
      <c r="V25" s="15">
        <f>-(L25+M25)+V24</f>
        <v>-732.1</v>
      </c>
      <c r="W25" s="15"/>
      <c r="X25" s="15">
        <f>F25-G25</f>
        <v>50</v>
      </c>
      <c r="Y25" s="15">
        <v>106.848988602490</v>
      </c>
      <c r="Z25" s="15">
        <v>1500</v>
      </c>
      <c r="AA25" s="17"/>
    </row>
    <row r="26" ht="20.05" customHeight="1">
      <c r="B26" s="13"/>
      <c r="C26" s="14">
        <v>403.1</v>
      </c>
      <c r="D26" s="15">
        <v>7.2</v>
      </c>
      <c r="E26" s="15">
        <v>1.5</v>
      </c>
      <c r="F26" s="15">
        <v>239</v>
      </c>
      <c r="G26" s="15">
        <v>147</v>
      </c>
      <c r="H26" s="15">
        <v>1111</v>
      </c>
      <c r="I26" s="15">
        <v>419.4</v>
      </c>
      <c r="J26" s="15">
        <v>23.4</v>
      </c>
      <c r="K26" s="15">
        <v>-14.2</v>
      </c>
      <c r="L26" s="15">
        <v>26.4</v>
      </c>
      <c r="M26" s="15">
        <v>0</v>
      </c>
      <c r="N26" s="15">
        <f>AVERAGE(C26)</f>
        <v>403.1</v>
      </c>
      <c r="O26" s="23">
        <v>446.60575</v>
      </c>
      <c r="P26" s="16">
        <f>C26/C25-1</f>
        <v>0.105292020839046</v>
      </c>
      <c r="Q26" s="16">
        <f>((D26+E26)/C26)</f>
        <v>0.0215827338129496</v>
      </c>
      <c r="R26" s="16">
        <f>AVERAGE(Q23:Q26)</f>
        <v>0.0332886053662889</v>
      </c>
      <c r="S26" s="35">
        <f>S27</f>
        <v>0.0383877159309021</v>
      </c>
      <c r="T26" s="15">
        <f>SUM(J23:K26)/4</f>
        <v>-17.075</v>
      </c>
      <c r="U26" s="15">
        <v>5.70675467295875</v>
      </c>
      <c r="V26" s="15">
        <f>-(L26+M26)+V25</f>
        <v>-758.5</v>
      </c>
      <c r="W26" s="15">
        <f>W27</f>
        <v>-731.23241875</v>
      </c>
      <c r="X26" s="15">
        <f>F26-G26</f>
        <v>92</v>
      </c>
      <c r="Y26" s="15">
        <v>69.81891308428381</v>
      </c>
      <c r="Z26" s="15">
        <v>1160</v>
      </c>
      <c r="AA26" s="26">
        <v>943.337982930259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AVERAGE(AD50:AG50)</f>
        <v>467.307707918750</v>
      </c>
      <c r="P27" s="17"/>
      <c r="Q27" s="17"/>
      <c r="R27" s="17"/>
      <c r="S27" s="35">
        <f>AD51</f>
        <v>0.0383877159309021</v>
      </c>
      <c r="T27" s="17"/>
      <c r="U27" s="15">
        <f>SUM(AD53:AG53)/4</f>
        <v>8.338875543905941</v>
      </c>
      <c r="V27" s="17"/>
      <c r="W27" s="15">
        <f>-SUM(AD74:AG74)+V26</f>
        <v>-731.23241875</v>
      </c>
      <c r="X27" s="17"/>
      <c r="Y27" s="15">
        <f>AG73</f>
        <v>125.355502175624</v>
      </c>
      <c r="Z27" s="15">
        <v>990</v>
      </c>
      <c r="AA27" s="26">
        <v>902.234451725789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SUM(N22:N26)</f>
        <v>1722.1435</v>
      </c>
      <c r="O28" s="15">
        <f>SUM(O22:O26)</f>
        <v>1651.002416666670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AG86</f>
        <v>918.955224851847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26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4" ht="27.65" customHeight="1">
      <c r="AB44" t="s" s="2">
        <v>552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ht="20.25" customHeight="1">
      <c r="AB45" t="s" s="28">
        <v>366</v>
      </c>
      <c r="AC45" t="s" s="29">
        <v>23</v>
      </c>
      <c r="AD45" t="s" s="29">
        <v>24</v>
      </c>
      <c r="AE45" t="s" s="29">
        <v>25</v>
      </c>
      <c r="AF45" t="s" s="29">
        <v>26</v>
      </c>
      <c r="AG45" t="s" s="29">
        <v>23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ht="20.25" customHeight="1">
      <c r="AB46" t="s" s="31">
        <v>15</v>
      </c>
      <c r="AC46" s="174"/>
      <c r="AD46" s="32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ht="20.05" customHeight="1">
      <c r="AB47" t="s" s="33">
        <v>27</v>
      </c>
      <c r="AC47" s="175"/>
      <c r="AD47" s="71">
        <f>AVERAGE(P23:P26)</f>
        <v>0.0696465777690123</v>
      </c>
      <c r="AE47" s="35"/>
      <c r="AF47" s="35"/>
      <c r="AG47" s="35">
        <f>AVERAGE(AD49:AG49)</f>
        <v>0.04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8.35" customHeight="1" hidden="1">
      <c r="AB48" s="36"/>
      <c r="AC48" s="176"/>
      <c r="AD48" s="37">
        <f>P23</f>
        <v>0.233957978421352</v>
      </c>
      <c r="AE48" s="35">
        <f>P24</f>
        <v>0.287620800736309</v>
      </c>
      <c r="AF48" s="35">
        <f>P25</f>
        <v>-0.348284488920658</v>
      </c>
      <c r="AG48" s="35">
        <f>P26</f>
        <v>0.105292020839046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20.05" customHeight="1">
      <c r="AB49" t="s" s="33">
        <v>13</v>
      </c>
      <c r="AC49" s="176"/>
      <c r="AD49" s="37">
        <v>0.15</v>
      </c>
      <c r="AE49" s="35">
        <v>0.05</v>
      </c>
      <c r="AF49" s="35">
        <v>-0.07000000000000001</v>
      </c>
      <c r="AG49" s="35">
        <v>0.03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28</v>
      </c>
      <c r="AC50" s="177">
        <f>C26</f>
        <v>403.1</v>
      </c>
      <c r="AD50" s="38">
        <f>C26*(1+AD49)</f>
        <v>463.565</v>
      </c>
      <c r="AE50" s="23">
        <f>AD50*(1+AE49)</f>
        <v>486.74325</v>
      </c>
      <c r="AF50" s="23">
        <f>AE50*(1+AF49)</f>
        <v>452.6712225</v>
      </c>
      <c r="AG50" s="23">
        <f>AF50*(1+AG49)</f>
        <v>466.251359175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ht="20.05" customHeight="1">
      <c r="AB51" t="s" s="33">
        <v>14</v>
      </c>
      <c r="AC51" s="176"/>
      <c r="AD51" s="37">
        <f>AVERAGE(Q25)</f>
        <v>0.0383877159309021</v>
      </c>
      <c r="AE51" s="35">
        <f>AD51</f>
        <v>0.0383877159309021</v>
      </c>
      <c r="AF51" s="35">
        <f>AE51</f>
        <v>0.0383877159309021</v>
      </c>
      <c r="AG51" s="35">
        <f>AF51</f>
        <v>0.0383877159309021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29</v>
      </c>
      <c r="AC52" s="178"/>
      <c r="AD52" s="14">
        <f>AVERAGE(K25:K26)</f>
        <v>-9.6</v>
      </c>
      <c r="AE52" s="15">
        <f>AD52</f>
        <v>-9.6</v>
      </c>
      <c r="AF52" s="15">
        <f>AE52</f>
        <v>-9.6</v>
      </c>
      <c r="AG52" s="15">
        <f>AF52</f>
        <v>-9.6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30</v>
      </c>
      <c r="AC53" s="178"/>
      <c r="AD53" s="14">
        <f>(AD50*AD51)+AD52</f>
        <v>8.19520153550863</v>
      </c>
      <c r="AE53" s="15">
        <f>(AE50*AE51)+AE52</f>
        <v>9.08496161228406</v>
      </c>
      <c r="AF53" s="15">
        <f>(AF50*AF51)+AF52</f>
        <v>7.77701429942418</v>
      </c>
      <c r="AG53" s="15">
        <f>(AG50*AG51)+AG52</f>
        <v>8.2983247284069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31</v>
      </c>
      <c r="AC54" s="178"/>
      <c r="AD54" s="14">
        <f>-G26/20</f>
        <v>-7.35</v>
      </c>
      <c r="AE54" s="15">
        <f>-AD69/20</f>
        <v>-6.9825</v>
      </c>
      <c r="AF54" s="15">
        <f>-AE69/20</f>
        <v>-6.633375</v>
      </c>
      <c r="AG54" s="15">
        <f>-AF69/20</f>
        <v>-6.30170625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32</v>
      </c>
      <c r="AC55" s="179"/>
      <c r="AD55" s="39">
        <v>0</v>
      </c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33</v>
      </c>
      <c r="AC56" s="178"/>
      <c r="AD56" s="14">
        <f>IF(AD64&gt;0,AD64*$AD$55,0)</f>
        <v>0</v>
      </c>
      <c r="AE56" s="15">
        <f>IF(AE64&gt;0,AE64*$AD$55,0)</f>
        <v>0</v>
      </c>
      <c r="AF56" s="15">
        <f>IF(AF64&gt;0,AF64*$AD$55,0)</f>
        <v>0</v>
      </c>
      <c r="AG56" s="15">
        <f>IF(AG64&gt;0,AG64*$AD$55,0)</f>
        <v>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34</v>
      </c>
      <c r="AC57" s="178"/>
      <c r="AD57" s="14">
        <f>AD53+AD54+AD56</f>
        <v>0.84520153550863</v>
      </c>
      <c r="AE57" s="15">
        <f>AE53+AE54+AE56</f>
        <v>2.10246161228406</v>
      </c>
      <c r="AF57" s="15">
        <f>AF53+AF54+AF56</f>
        <v>1.14363929942418</v>
      </c>
      <c r="AG57" s="15">
        <f>AG53+AG54+AG56</f>
        <v>1.9966184784069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35</v>
      </c>
      <c r="AC58" s="178"/>
      <c r="AD58" s="14">
        <f>-MIN(0,AD57)</f>
        <v>0</v>
      </c>
      <c r="AE58" s="15">
        <f>-MIN(AD70,AE57)</f>
        <v>0</v>
      </c>
      <c r="AF58" s="15">
        <f>-MIN(AE70,AF57)</f>
        <v>0</v>
      </c>
      <c r="AG58" s="15">
        <f>-MIN(AF70,AG57)</f>
        <v>0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36</v>
      </c>
      <c r="AC59" s="178"/>
      <c r="AD59" s="14">
        <f>F26</f>
        <v>239</v>
      </c>
      <c r="AE59" s="15">
        <f>AD61</f>
        <v>239.845201535509</v>
      </c>
      <c r="AF59" s="15">
        <f>AE61</f>
        <v>241.947663147793</v>
      </c>
      <c r="AG59" s="15">
        <f>AF61</f>
        <v>243.091302447217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37</v>
      </c>
      <c r="AC60" s="178"/>
      <c r="AD60" s="14">
        <f>AD53+AD54+AD56+AD58</f>
        <v>0.84520153550863</v>
      </c>
      <c r="AE60" s="15">
        <f>AE53+AE54+AE56+AE58</f>
        <v>2.10246161228406</v>
      </c>
      <c r="AF60" s="15">
        <f>AF53+AF54+AF56+AF58</f>
        <v>1.14363929942418</v>
      </c>
      <c r="AG60" s="15">
        <f>AG53+AG54+AG56+AG58</f>
        <v>1.9966184784069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38</v>
      </c>
      <c r="AC61" s="178"/>
      <c r="AD61" s="14">
        <f>AD59+AD60</f>
        <v>239.845201535509</v>
      </c>
      <c r="AE61" s="15">
        <f>AE59+AE60</f>
        <v>241.947663147793</v>
      </c>
      <c r="AF61" s="15">
        <f>AF59+AF60</f>
        <v>243.091302447217</v>
      </c>
      <c r="AG61" s="15">
        <f>AG59+AG60</f>
        <v>245.087920925624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41">
        <v>4</v>
      </c>
      <c r="AC62" s="178"/>
      <c r="AD62" s="14"/>
      <c r="AE62" s="15"/>
      <c r="AF62" s="1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ht="20.05" customHeight="1">
      <c r="AB63" t="s" s="33">
        <v>3</v>
      </c>
      <c r="AC63" s="178"/>
      <c r="AD63" s="14">
        <f>-AVERAGE(D24:D26)</f>
        <v>-8.233333333333331</v>
      </c>
      <c r="AE63" s="15">
        <f>AD63</f>
        <v>-8.233333333333331</v>
      </c>
      <c r="AF63" s="15">
        <f>AE63</f>
        <v>-8.233333333333331</v>
      </c>
      <c r="AG63" s="15">
        <f>AF63</f>
        <v>-8.233333333333331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4</v>
      </c>
      <c r="AC64" s="178"/>
      <c r="AD64" s="14">
        <f>(AD50*AD51)+AD63</f>
        <v>9.561868202175299</v>
      </c>
      <c r="AE64" s="15">
        <f>(AE50*AE51)+AE63</f>
        <v>10.4516282789507</v>
      </c>
      <c r="AF64" s="15">
        <f>(AF50*AF51)+AF63</f>
        <v>9.14368096609085</v>
      </c>
      <c r="AG64" s="15">
        <f>(AG50*AG51)+AG63</f>
        <v>9.664991395073571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39</v>
      </c>
      <c r="AC65" s="178"/>
      <c r="AD65" s="14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40</v>
      </c>
      <c r="AC66" s="178"/>
      <c r="AD66" s="14">
        <f>H26-F26-AD52</f>
        <v>881.6</v>
      </c>
      <c r="AE66" s="15">
        <f>AD66-AE52</f>
        <v>891.2</v>
      </c>
      <c r="AF66" s="15">
        <f>AE66-AF52</f>
        <v>900.8</v>
      </c>
      <c r="AG66" s="15">
        <f>AF66-AG52</f>
        <v>910.4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41</v>
      </c>
      <c r="AC67" s="178"/>
      <c r="AD67" s="14">
        <f>0-AD63</f>
        <v>8.233333333333331</v>
      </c>
      <c r="AE67" s="15">
        <f>AD67-AE63</f>
        <v>16.4666666666667</v>
      </c>
      <c r="AF67" s="15">
        <f>AE67-AF63</f>
        <v>24.7</v>
      </c>
      <c r="AG67" s="15">
        <f>AF67-AG63</f>
        <v>32.9333333333333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42</v>
      </c>
      <c r="AC68" s="178"/>
      <c r="AD68" s="14">
        <f>AD66-AD67</f>
        <v>873.366666666667</v>
      </c>
      <c r="AE68" s="15">
        <f>AE66-AE67</f>
        <v>874.733333333333</v>
      </c>
      <c r="AF68" s="15">
        <f>AF66-AF67</f>
        <v>876.1</v>
      </c>
      <c r="AG68" s="15">
        <f>AG66-AG67</f>
        <v>877.466666666667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6</v>
      </c>
      <c r="AC69" s="178"/>
      <c r="AD69" s="14">
        <f>G26+AD54</f>
        <v>139.65</v>
      </c>
      <c r="AE69" s="15">
        <f>AD69+AE54</f>
        <v>132.6675</v>
      </c>
      <c r="AF69" s="15">
        <f>AE69+AF54</f>
        <v>126.034125</v>
      </c>
      <c r="AG69" s="15">
        <f>AF69+AG54</f>
        <v>119.73241875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35</v>
      </c>
      <c r="AC70" s="178"/>
      <c r="AD70" s="14">
        <f>AD58</f>
        <v>0</v>
      </c>
      <c r="AE70" s="15">
        <f>AD70+AE58</f>
        <v>0</v>
      </c>
      <c r="AF70" s="15">
        <f>AE70+AF58</f>
        <v>0</v>
      </c>
      <c r="AG70" s="15">
        <f>AF70+AG58</f>
        <v>0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11</v>
      </c>
      <c r="AC71" s="178"/>
      <c r="AD71" s="14">
        <f>(H26-G26)+AD64+AD56</f>
        <v>973.561868202175</v>
      </c>
      <c r="AE71" s="15">
        <f>AD71+AE64+AE56</f>
        <v>984.013496481126</v>
      </c>
      <c r="AF71" s="15">
        <f>AE71+AF64+AF56</f>
        <v>993.157177447217</v>
      </c>
      <c r="AG71" s="15">
        <f>AF71+AG64+AG56</f>
        <v>1002.822168842290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43</v>
      </c>
      <c r="AC72" s="178"/>
      <c r="AD72" s="14">
        <f>AD69+AD70+AD71-AD61-AD68</f>
        <v>-1e-12</v>
      </c>
      <c r="AE72" s="15">
        <f>AE69+AE70+AE71-AE61-AE68</f>
        <v>0</v>
      </c>
      <c r="AF72" s="15">
        <f>AF69+AF70+AF71-AF61-AF68</f>
        <v>0</v>
      </c>
      <c r="AG72" s="15">
        <f>AG69+AG70+AG71-AG61-AG68</f>
        <v>-1e-12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18</v>
      </c>
      <c r="AC73" s="178"/>
      <c r="AD73" s="14">
        <f>AD61-AD69-AD70</f>
        <v>100.195201535509</v>
      </c>
      <c r="AE73" s="15">
        <f>AE61-AE69-AE70</f>
        <v>109.280163147793</v>
      </c>
      <c r="AF73" s="15">
        <f>AF61-AF69-AF70</f>
        <v>117.057177447217</v>
      </c>
      <c r="AG73" s="15">
        <f>AG61-AG69-AG70</f>
        <v>125.355502175624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44</v>
      </c>
      <c r="AC74" s="178"/>
      <c r="AD74" s="14">
        <f>AD54+AD56+AD58</f>
        <v>-7.35</v>
      </c>
      <c r="AE74" s="15">
        <f>AE54+AE56+AE58</f>
        <v>-6.9825</v>
      </c>
      <c r="AF74" s="15">
        <f>AF54+AF56+AF58</f>
        <v>-6.633375</v>
      </c>
      <c r="AG74" s="15">
        <f>AG54+AG56+AG58</f>
        <v>-6.30170625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45</v>
      </c>
      <c r="AC75" s="178"/>
      <c r="AD75" s="14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552</v>
      </c>
      <c r="AC76" s="178"/>
      <c r="AD76" s="14"/>
      <c r="AE76" s="15"/>
      <c r="AF76" s="15"/>
      <c r="AG76" s="15">
        <v>990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8.35" customHeight="1" hidden="1">
      <c r="AB77" t="s" s="33">
        <f>$AB76</f>
        <v>553</v>
      </c>
      <c r="AC77" s="178"/>
      <c r="AD77" s="14"/>
      <c r="AE77" s="15"/>
      <c r="AF77" s="15"/>
      <c r="AG77" s="15">
        <v>7186845726720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46</v>
      </c>
      <c r="AC78" s="178"/>
      <c r="AD78" s="14"/>
      <c r="AE78" s="15"/>
      <c r="AF78" s="15"/>
      <c r="AG78" s="15">
        <f>AG77/1000000000</f>
        <v>7186.84572672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47</v>
      </c>
      <c r="AC79" s="178"/>
      <c r="AD79" s="14"/>
      <c r="AE79" s="15"/>
      <c r="AF79" s="15"/>
      <c r="AG79" s="15">
        <f>AG78/AG76</f>
        <v>7.259440128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48</v>
      </c>
      <c r="AC80" s="178"/>
      <c r="AD80" s="14"/>
      <c r="AE80" s="15"/>
      <c r="AF80" s="15"/>
      <c r="AG80" s="43">
        <f>AG78/(AG61+AG68)</f>
        <v>6.40222382604546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ht="20.05" customHeight="1">
      <c r="AB81" t="s" s="33">
        <v>49</v>
      </c>
      <c r="AC81" s="178"/>
      <c r="AD81" s="14"/>
      <c r="AE81" s="15"/>
      <c r="AF81" s="15"/>
      <c r="AG81" s="16">
        <f>-(AD56+AE56+AF56+AG56)/AG78</f>
        <v>0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ht="20.05" customHeight="1">
      <c r="AB82" t="s" s="33">
        <v>50</v>
      </c>
      <c r="AC82" s="178"/>
      <c r="AD82" s="14"/>
      <c r="AE82" s="15"/>
      <c r="AF82" s="15"/>
      <c r="AG82" s="15">
        <f>SUM(AD53:AG53)</f>
        <v>33.3555021756238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51</v>
      </c>
      <c r="AC83" s="178"/>
      <c r="AD83" s="14"/>
      <c r="AE83" s="15"/>
      <c r="AF83" s="15"/>
      <c r="AG83" s="15">
        <f>(H26+F26)/AG82</f>
        <v>40.4730827583396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52</v>
      </c>
      <c r="AC84" s="178"/>
      <c r="AD84" s="14"/>
      <c r="AE84" s="15"/>
      <c r="AF84" s="15">
        <f>AG78/AG82</f>
        <v>215.462075458488</v>
      </c>
      <c r="AG84" s="15">
        <v>200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53</v>
      </c>
      <c r="AC85" s="178"/>
      <c r="AD85" s="14"/>
      <c r="AE85" s="15"/>
      <c r="AF85" s="15"/>
      <c r="AG85" s="15">
        <f>AG82*AG84</f>
        <v>6671.100435124760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54</v>
      </c>
      <c r="AC86" s="178"/>
      <c r="AD86" s="14"/>
      <c r="AE86" s="15"/>
      <c r="AF86" s="15"/>
      <c r="AG86" s="15">
        <f>(AG85/AG79)</f>
        <v>918.955224851847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55</v>
      </c>
      <c r="AC87" s="177"/>
      <c r="AD87" s="38"/>
      <c r="AE87" s="23"/>
      <c r="AF87" s="23"/>
      <c r="AG87" s="16">
        <f>AG86/AG76-1</f>
        <v>-0.0717623991395485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ht="20.05" customHeight="1">
      <c r="AB88" t="s" s="33">
        <v>56</v>
      </c>
      <c r="AC88" s="177"/>
      <c r="AD88" s="38"/>
      <c r="AE88" s="23"/>
      <c r="AF88" s="23"/>
      <c r="AG88" s="16">
        <f>C26/C22-1</f>
        <v>0.144520159000568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57</v>
      </c>
      <c r="AC89" s="177"/>
      <c r="AD89" s="38"/>
      <c r="AE89" s="23"/>
      <c r="AF89" s="23"/>
      <c r="AG89" s="16">
        <f>O28/N28-1</f>
        <v>-0.0413096140555825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8.35" customHeight="1" hidden="1">
      <c r="AB90" s="36"/>
      <c r="AC90" s="177"/>
      <c r="AD90" s="38"/>
      <c r="AE90" s="23"/>
      <c r="AF90" s="2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8.35" customHeight="1" hidden="1">
      <c r="AB91" s="36"/>
      <c r="AC91" s="177"/>
      <c r="AD91" s="38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8.35" customHeight="1" hidden="1">
      <c r="AB92" s="36"/>
      <c r="AC92" s="180"/>
      <c r="AD92" t="s" s="45">
        <f>$AB76</f>
        <v>553</v>
      </c>
      <c r="AE92" t="s" s="44">
        <v>60</v>
      </c>
      <c r="AF92" s="26">
        <f>AG76</f>
        <v>990</v>
      </c>
      <c r="AG92" t="s" s="44">
        <v>61</v>
      </c>
      <c r="AH92" s="26">
        <f>AG86</f>
        <v>918.955224851847</v>
      </c>
      <c r="AI92" t="s" s="44">
        <f>IF(AJ92&gt;0,"+","")</f>
      </c>
      <c r="AJ92" s="16">
        <f>AH92/AF92-1</f>
        <v>-0.0717623991395485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ht="8.35" customHeight="1" hidden="1">
      <c r="AB93" s="36"/>
      <c r="AC93" s="181"/>
      <c r="AD93" s="46">
        <f>TODAY()</f>
        <v>44942</v>
      </c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8.35" customHeight="1" hidden="1">
      <c r="AB94" s="36"/>
      <c r="AC94" s="175"/>
      <c r="AD94" t="s" s="45">
        <v>62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8.35" customHeight="1" hidden="1">
      <c r="AB95" s="36"/>
      <c r="AC95" s="175"/>
      <c r="AD95" t="s" s="45">
        <v>63</v>
      </c>
      <c r="AE95" t="s" s="44">
        <v>64</v>
      </c>
      <c r="AF95" t="s" s="44">
        <f>IF(AG95&gt;0,"+","")</f>
        <v>361</v>
      </c>
      <c r="AG95" s="16">
        <f>AH102/AD102-1</f>
        <v>0.144520159000568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8.35" customHeight="1" hidden="1">
      <c r="AB96" s="36"/>
      <c r="AC96" s="175"/>
      <c r="AD96" t="s" s="45">
        <v>63</v>
      </c>
      <c r="AE96" t="s" s="44">
        <v>65</v>
      </c>
      <c r="AF96" t="s" s="44">
        <f>IF(AG96&gt;0,"+","")</f>
      </c>
      <c r="AG96" s="16">
        <f>SUM(AE115:AH116)/AE132</f>
        <v>-0.00950347379046515</v>
      </c>
      <c r="AH96" t="s" s="44">
        <v>66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8.35" customHeight="1" hidden="1">
      <c r="AB97" s="36"/>
      <c r="AC97" s="175"/>
      <c r="AD97" t="s" s="45">
        <v>63</v>
      </c>
      <c r="AE97" t="s" s="44">
        <v>17</v>
      </c>
      <c r="AF97" t="s" s="44">
        <f>IF(AG97&gt;0,"+","")</f>
      </c>
      <c r="AG97" s="16">
        <f>SUM(AE129:AH130)/AE132</f>
        <v>-0.0153753126478243</v>
      </c>
      <c r="AH97" t="s" s="44">
        <f>AH96</f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8.35" customHeight="1" hidden="1">
      <c r="AB98" s="36"/>
      <c r="AC98" s="175"/>
      <c r="AD98" t="s" s="45">
        <v>68</v>
      </c>
      <c r="AE98" t="s" s="44">
        <v>369</v>
      </c>
      <c r="AF98" s="16">
        <f>AO125/AE132</f>
        <v>0.0128011652814465</v>
      </c>
      <c r="AG98" t="s" s="44">
        <f>AH97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8.35" customHeight="1" hidden="1">
      <c r="AB99" s="36"/>
      <c r="AC99" s="175"/>
      <c r="AD99" t="s" s="45">
        <v>28</v>
      </c>
      <c r="AE99" t="s" s="44">
        <f>AE103</f>
        <v>362</v>
      </c>
      <c r="AF99" s="16">
        <f>AF103</f>
        <v>0.105292020839046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8.35" customHeight="1" hidden="1">
      <c r="AB100" s="36"/>
      <c r="AC100" s="175"/>
      <c r="AD100" t="s" s="45">
        <v>70</v>
      </c>
      <c r="AE100" t="s" s="44">
        <v>371</v>
      </c>
      <c r="AF100" t="s" s="44">
        <f>AL103</f>
        <v>372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8.35" customHeight="1" hidden="1">
      <c r="AB101" s="36"/>
      <c r="AC101" s="182"/>
      <c r="AD101" s="71">
        <f>P22</f>
        <v>0.925642427556042</v>
      </c>
      <c r="AE101" s="16">
        <f>P23</f>
        <v>0.233957978421352</v>
      </c>
      <c r="AF101" s="16">
        <f>P24</f>
        <v>0.287620800736309</v>
      </c>
      <c r="AG101" s="16">
        <f>P25</f>
        <v>-0.348284488920658</v>
      </c>
      <c r="AH101" s="16">
        <f>P26</f>
        <v>0.105292020839046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8.35" customHeight="1" hidden="1">
      <c r="AB102" s="36"/>
      <c r="AC102" s="175"/>
      <c r="AD102" s="67">
        <f>C22</f>
        <v>352.2</v>
      </c>
      <c r="AE102" s="26">
        <f>C23</f>
        <v>434.6</v>
      </c>
      <c r="AF102" s="26">
        <f>C24</f>
        <v>559.6</v>
      </c>
      <c r="AG102" s="26">
        <f>C25</f>
        <v>364.7</v>
      </c>
      <c r="AH102" s="26">
        <f>C26</f>
        <v>403.1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8.35" customHeight="1" hidden="1">
      <c r="AB103" s="36"/>
      <c r="AC103" s="175"/>
      <c r="AD103" t="s" s="45">
        <v>2</v>
      </c>
      <c r="AE103" t="s" s="44">
        <f>IF(AF103&lt;0,"declined","grew")</f>
        <v>362</v>
      </c>
      <c r="AF103" s="16">
        <f>AH102/AG102-1</f>
        <v>0.105292020839046</v>
      </c>
      <c r="AG103" t="s" s="44">
        <v>73</v>
      </c>
      <c r="AH103" t="s" s="44">
        <v>74</v>
      </c>
      <c r="AI103" t="s" s="44">
        <v>75</v>
      </c>
      <c r="AJ103" t="s" s="44">
        <v>76</v>
      </c>
      <c r="AK103" s="26">
        <f>AH102</f>
        <v>403.1</v>
      </c>
      <c r="AL103" t="s" s="44">
        <v>372</v>
      </c>
      <c r="AM103" t="s" s="44">
        <v>378</v>
      </c>
      <c r="AN103" s="16">
        <v>0.0297063450445726</v>
      </c>
      <c r="AO103" t="s" s="44">
        <v>78</v>
      </c>
      <c r="AP103" s="17"/>
      <c r="AQ103" s="17"/>
      <c r="AR103" s="17"/>
      <c r="AS103" s="17"/>
      <c r="AT103" s="17"/>
      <c r="AU103" s="17"/>
    </row>
    <row r="104" ht="8.35" customHeight="1" hidden="1">
      <c r="AB104" s="36"/>
      <c r="AC104" s="175"/>
      <c r="AD104" t="s" s="45">
        <v>79</v>
      </c>
      <c r="AE104" s="16">
        <f>AVERAGE(AE101:AH101)</f>
        <v>0.0696465777690123</v>
      </c>
      <c r="AF104" t="s" s="44">
        <v>80</v>
      </c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8.35" customHeight="1" hidden="1">
      <c r="AB105" s="36"/>
      <c r="AC105" s="175"/>
      <c r="AD105" t="s" s="45">
        <v>81</v>
      </c>
      <c r="AE105" s="35">
        <f>AG47</f>
        <v>0.04</v>
      </c>
      <c r="AF105" t="s" s="44">
        <v>82</v>
      </c>
      <c r="AG105" t="s" s="44">
        <v>83</v>
      </c>
      <c r="AH105" s="26">
        <f>AG50</f>
        <v>466.251359175</v>
      </c>
      <c r="AI105" t="s" s="44">
        <f>AL103</f>
        <v>372</v>
      </c>
      <c r="AJ105" t="s" s="44">
        <v>84</v>
      </c>
      <c r="AK105" t="s" s="44">
        <f>AH103</f>
        <v>74</v>
      </c>
      <c r="AL105" t="s" s="44">
        <f>AI103</f>
        <v>75</v>
      </c>
      <c r="AM105" t="s" s="44">
        <v>85</v>
      </c>
      <c r="AN105" s="17"/>
      <c r="AO105" s="17"/>
      <c r="AP105" s="17"/>
      <c r="AQ105" s="17"/>
      <c r="AR105" s="17"/>
      <c r="AS105" s="17"/>
      <c r="AT105" s="17"/>
      <c r="AU105" s="17"/>
    </row>
    <row r="106" ht="8.35" customHeight="1" hidden="1">
      <c r="AB106" s="36"/>
      <c r="AC106" s="175"/>
      <c r="AD106" t="s" s="45">
        <v>14</v>
      </c>
      <c r="AE106" t="s" s="44">
        <f>IF(AG110&lt;AE110,"down","up")</f>
        <v>87</v>
      </c>
      <c r="AF106" t="s" s="44">
        <v>86</v>
      </c>
      <c r="AG106" t="s" s="44">
        <f>IF(AK110&gt;AI110,"up","down")</f>
        <v>87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8.35" customHeight="1" hidden="1">
      <c r="AB107" s="36"/>
      <c r="AC107" s="175"/>
      <c r="AD107" t="s" s="45">
        <f>AD100</f>
        <v>70</v>
      </c>
      <c r="AE107" t="s" s="44">
        <v>88</v>
      </c>
      <c r="AF107" t="s" s="44">
        <f>AL103</f>
        <v>372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8.35" customHeight="1" hidden="1">
      <c r="AB108" s="36"/>
      <c r="AC108" s="182"/>
      <c r="AD108" s="71">
        <f>(D22+E22)/C22</f>
        <v>0.628904031800114</v>
      </c>
      <c r="AE108" s="16">
        <f>(D23+E23)/C23</f>
        <v>0.0476300046019328</v>
      </c>
      <c r="AF108" s="16">
        <f>((E24+D24)/C24)</f>
        <v>0.025553967119371</v>
      </c>
      <c r="AG108" s="16">
        <f>(D25+E25)/C25</f>
        <v>0.0383877159309021</v>
      </c>
      <c r="AH108" s="16">
        <f>(D26+E26)/C26</f>
        <v>0.0215827338129496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8.35" customHeight="1" hidden="1">
      <c r="AB109" s="36"/>
      <c r="AC109" s="175"/>
      <c r="AD109" s="67">
        <f>E22</f>
        <v>110.6</v>
      </c>
      <c r="AE109" s="26">
        <f>E23</f>
        <v>12.6</v>
      </c>
      <c r="AF109" s="26">
        <f>E24</f>
        <v>7.3</v>
      </c>
      <c r="AG109" s="26">
        <f>E25</f>
        <v>3.5</v>
      </c>
      <c r="AH109" s="26">
        <f>E26</f>
        <v>1.5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8.35" customHeight="1" hidden="1">
      <c r="AB110" s="36"/>
      <c r="AC110" s="175"/>
      <c r="AD110" t="s" s="45">
        <v>89</v>
      </c>
      <c r="AE110" s="16">
        <f>AG108</f>
        <v>0.0383877159309021</v>
      </c>
      <c r="AF110" t="s" s="44">
        <v>76</v>
      </c>
      <c r="AG110" s="16">
        <f>AH108</f>
        <v>0.0215827338129496</v>
      </c>
      <c r="AH110" t="s" s="44">
        <v>90</v>
      </c>
      <c r="AI110" s="26">
        <f>AG109</f>
        <v>3.5</v>
      </c>
      <c r="AJ110" t="s" s="44">
        <v>76</v>
      </c>
      <c r="AK110" s="26">
        <f>AH109</f>
        <v>1.5</v>
      </c>
      <c r="AL110" t="s" s="44">
        <f>AI105</f>
        <v>372</v>
      </c>
      <c r="AM110" t="s" s="44">
        <v>73</v>
      </c>
      <c r="AN110" t="s" s="44">
        <f>AK105</f>
        <v>74</v>
      </c>
      <c r="AO110" t="s" s="44">
        <v>91</v>
      </c>
      <c r="AP110" s="17"/>
      <c r="AQ110" s="17"/>
      <c r="AR110" s="17"/>
      <c r="AS110" s="17"/>
      <c r="AT110" s="17"/>
      <c r="AU110" s="17"/>
    </row>
    <row r="111" ht="8.35" customHeight="1" hidden="1">
      <c r="AB111" s="36"/>
      <c r="AC111" s="175"/>
      <c r="AD111" t="s" s="45">
        <v>92</v>
      </c>
      <c r="AE111" s="16">
        <f>AVERAGE(AE108:AH108)</f>
        <v>0.0332886053662889</v>
      </c>
      <c r="AF111" t="s" s="44">
        <v>78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8.35" customHeight="1" hidden="1">
      <c r="AB112" s="36"/>
      <c r="AC112" s="175"/>
      <c r="AD112" t="s" s="45">
        <v>93</v>
      </c>
      <c r="AE112" s="35">
        <f>AD51</f>
        <v>0.0383877159309021</v>
      </c>
      <c r="AF112" t="s" s="44">
        <v>94</v>
      </c>
      <c r="AG112" s="26">
        <f>AG64</f>
        <v>9.664991395073571</v>
      </c>
      <c r="AH112" t="s" s="44">
        <f>AL110</f>
        <v>372</v>
      </c>
      <c r="AI112" t="s" s="44">
        <v>95</v>
      </c>
      <c r="AJ112" t="s" s="44">
        <f>AN110</f>
        <v>74</v>
      </c>
      <c r="AK112" t="s" s="44">
        <f>AI103</f>
        <v>75</v>
      </c>
      <c r="AL112" t="s" s="44">
        <f>AM105</f>
        <v>85</v>
      </c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8.35" customHeight="1" hidden="1">
      <c r="AB113" s="36"/>
      <c r="AC113" s="175"/>
      <c r="AD113" t="s" s="45">
        <v>15</v>
      </c>
      <c r="AE113" t="s" s="44">
        <f>IF(AG117&lt;AE117,"lower","higher")</f>
        <v>363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8.35" customHeight="1" hidden="1">
      <c r="AB114" s="36"/>
      <c r="AC114" s="175"/>
      <c r="AD114" t="s" s="45">
        <f>AD107</f>
        <v>70</v>
      </c>
      <c r="AE114" t="s" s="44">
        <v>96</v>
      </c>
      <c r="AF114" t="s" s="44">
        <f>AL103</f>
        <v>372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8.35" customHeight="1" hidden="1">
      <c r="AB115" s="36"/>
      <c r="AC115" s="175"/>
      <c r="AD115" s="67">
        <f>J22</f>
        <v>-45.5</v>
      </c>
      <c r="AE115" s="26">
        <f>J23</f>
        <v>48.1</v>
      </c>
      <c r="AF115" s="26">
        <f>J24</f>
        <v>-20.1</v>
      </c>
      <c r="AG115" s="26">
        <f>J25</f>
        <v>-4.8</v>
      </c>
      <c r="AH115" s="26">
        <f>J26</f>
        <v>23.4</v>
      </c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8.35" customHeight="1" hidden="1">
      <c r="AB116" s="36"/>
      <c r="AC116" s="175"/>
      <c r="AD116" s="67">
        <f>K22</f>
        <v>-48.6</v>
      </c>
      <c r="AE116" s="26">
        <f>K23</f>
        <v>-77.3</v>
      </c>
      <c r="AF116" s="26">
        <f>K24</f>
        <v>-18.4</v>
      </c>
      <c r="AG116" s="26">
        <f>K25</f>
        <v>-5</v>
      </c>
      <c r="AH116" s="26">
        <f>K26</f>
        <v>-14.2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8.35" customHeight="1" hidden="1">
      <c r="AB117" s="36"/>
      <c r="AC117" s="175"/>
      <c r="AD117" t="s" s="45">
        <v>97</v>
      </c>
      <c r="AE117" s="26">
        <f>AG115+AG116</f>
        <v>-9.800000000000001</v>
      </c>
      <c r="AF117" t="s" s="44">
        <v>76</v>
      </c>
      <c r="AG117" s="26">
        <f>AH115+AH116</f>
        <v>9.199999999999999</v>
      </c>
      <c r="AH117" t="s" s="44">
        <f>AH112</f>
        <v>372</v>
      </c>
      <c r="AI117" t="s" s="44">
        <v>84</v>
      </c>
      <c r="AJ117" t="s" s="44">
        <f>AJ112</f>
        <v>74</v>
      </c>
      <c r="AK117" t="s" s="44">
        <v>98</v>
      </c>
      <c r="AL117" s="26">
        <f>AH116</f>
        <v>-14.2</v>
      </c>
      <c r="AM117" t="s" s="44">
        <f>AL103</f>
        <v>372</v>
      </c>
      <c r="AN117" t="s" s="44">
        <v>99</v>
      </c>
      <c r="AO117" s="17"/>
      <c r="AP117" s="17"/>
      <c r="AQ117" s="17"/>
      <c r="AR117" s="17"/>
      <c r="AS117" s="17"/>
      <c r="AT117" s="17"/>
      <c r="AU117" s="17"/>
    </row>
    <row r="118" ht="8.35" customHeight="1" hidden="1">
      <c r="AB118" s="36"/>
      <c r="AC118" s="175"/>
      <c r="AD118" t="s" s="45">
        <v>100</v>
      </c>
      <c r="AE118" s="26">
        <f>SUM(AE115:AH116)/4</f>
        <v>-17.075</v>
      </c>
      <c r="AF118" t="s" s="44">
        <f>AL103</f>
        <v>372</v>
      </c>
      <c r="AG118" t="s" s="44">
        <v>78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8.35" customHeight="1" hidden="1">
      <c r="AB119" s="36"/>
      <c r="AC119" s="175"/>
      <c r="AD119" t="s" s="45">
        <v>101</v>
      </c>
      <c r="AE119" s="26">
        <f>AD52</f>
        <v>-9.6</v>
      </c>
      <c r="AF119" t="s" s="44">
        <f>AF118</f>
        <v>372</v>
      </c>
      <c r="AG119" t="s" s="44">
        <v>102</v>
      </c>
      <c r="AH119" t="s" s="44">
        <v>103</v>
      </c>
      <c r="AI119" t="s" s="44">
        <f>IF(AH105&gt;AK103,"higher","lower")</f>
        <v>363</v>
      </c>
      <c r="AJ119" t="s" s="44">
        <v>105</v>
      </c>
      <c r="AK119" s="26">
        <f>SUM(AD53:AG53)/4</f>
        <v>8.338875543905941</v>
      </c>
      <c r="AL119" t="s" s="44">
        <f>AF119</f>
        <v>372</v>
      </c>
      <c r="AM119" t="s" s="44">
        <v>106</v>
      </c>
      <c r="AN119" t="s" s="44">
        <v>107</v>
      </c>
      <c r="AO119" s="17"/>
      <c r="AP119" s="17"/>
      <c r="AQ119" s="17"/>
      <c r="AR119" s="17"/>
      <c r="AS119" s="17"/>
      <c r="AT119" s="17"/>
      <c r="AU119" s="17"/>
    </row>
    <row r="120" ht="8.35" customHeight="1" hidden="1">
      <c r="AB120" s="36"/>
      <c r="AC120" s="175"/>
      <c r="AD120" t="s" s="45">
        <v>18</v>
      </c>
      <c r="AE120" t="s" s="44">
        <f>AL125</f>
        <v>108</v>
      </c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8.35" customHeight="1" hidden="1">
      <c r="AB121" s="36"/>
      <c r="AC121" s="175"/>
      <c r="AD121" t="s" s="45">
        <f>AD100</f>
        <v>70</v>
      </c>
      <c r="AE121" t="s" s="44">
        <v>109</v>
      </c>
      <c r="AF121" t="s" s="44">
        <f>AL103</f>
        <v>372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8.35" customHeight="1" hidden="1">
      <c r="AB122" s="36"/>
      <c r="AC122" s="175"/>
      <c r="AD122" s="67">
        <f>F22</f>
        <v>197</v>
      </c>
      <c r="AE122" s="26">
        <f>F23</f>
        <v>241</v>
      </c>
      <c r="AF122" s="26">
        <f>F24</f>
        <v>201</v>
      </c>
      <c r="AG122" s="26">
        <f>F25</f>
        <v>204</v>
      </c>
      <c r="AH122" s="26">
        <f>F26</f>
        <v>239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8.35" customHeight="1" hidden="1">
      <c r="AB123" s="36"/>
      <c r="AC123" s="175"/>
      <c r="AD123" s="67">
        <f>G22</f>
        <v>116</v>
      </c>
      <c r="AE123" s="26">
        <f>G23</f>
        <v>135</v>
      </c>
      <c r="AF123" s="26">
        <f>G24</f>
        <v>141</v>
      </c>
      <c r="AG123" s="26">
        <f>G25</f>
        <v>154</v>
      </c>
      <c r="AH123" s="26">
        <f>G26</f>
        <v>147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8.35" customHeight="1" hidden="1">
      <c r="AB124" s="36"/>
      <c r="AC124" s="175"/>
      <c r="AD124" t="s" s="45">
        <v>110</v>
      </c>
      <c r="AE124" t="s" s="44">
        <f>IF(AH124&lt;AF124,"declined","increased")</f>
        <v>111</v>
      </c>
      <c r="AF124" s="26">
        <f>AG122</f>
        <v>204</v>
      </c>
      <c r="AG124" t="s" s="44">
        <v>76</v>
      </c>
      <c r="AH124" s="26">
        <f>AH122</f>
        <v>239</v>
      </c>
      <c r="AI124" t="s" s="44">
        <f>AL119</f>
        <v>372</v>
      </c>
      <c r="AJ124" t="s" s="44">
        <v>84</v>
      </c>
      <c r="AK124" t="s" s="44">
        <f>AH103</f>
        <v>74</v>
      </c>
      <c r="AL124" t="s" s="44">
        <f>AO110</f>
        <v>91</v>
      </c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8.35" customHeight="1" hidden="1">
      <c r="AB125" s="36"/>
      <c r="AC125" s="175"/>
      <c r="AD125" t="s" s="45">
        <v>112</v>
      </c>
      <c r="AE125" t="s" s="44">
        <f>IF(AH125&lt;AF125,"declined","increased")</f>
        <v>370</v>
      </c>
      <c r="AF125" s="26">
        <f>AG123</f>
        <v>154</v>
      </c>
      <c r="AG125" t="s" s="44">
        <v>76</v>
      </c>
      <c r="AH125" s="26">
        <f>AH123</f>
        <v>147</v>
      </c>
      <c r="AI125" t="s" s="44">
        <f>AI124</f>
        <v>372</v>
      </c>
      <c r="AJ125" t="s" s="44">
        <v>113</v>
      </c>
      <c r="AK125" t="s" s="44">
        <v>114</v>
      </c>
      <c r="AL125" t="s" s="44">
        <f>IF(AO125&lt;AM125,"down","up")</f>
        <v>108</v>
      </c>
      <c r="AM125" s="26">
        <f>AF124-AF125</f>
        <v>50</v>
      </c>
      <c r="AN125" t="s" s="44">
        <v>76</v>
      </c>
      <c r="AO125" s="26">
        <f>AH124-AH125</f>
        <v>92</v>
      </c>
      <c r="AP125" t="s" s="44">
        <f>AI125</f>
        <v>372</v>
      </c>
      <c r="AQ125" t="s" s="44">
        <v>115</v>
      </c>
      <c r="AR125" s="17"/>
      <c r="AS125" s="17"/>
      <c r="AT125" s="17"/>
      <c r="AU125" s="17"/>
    </row>
    <row r="126" ht="8.35" customHeight="1" hidden="1">
      <c r="AB126" s="36"/>
      <c r="AC126" s="175"/>
      <c r="AD126" t="s" s="45">
        <v>116</v>
      </c>
      <c r="AE126" s="26">
        <f>SUM(AD56:AG56)</f>
        <v>0</v>
      </c>
      <c r="AF126" t="s" s="44">
        <f>AI125</f>
        <v>372</v>
      </c>
      <c r="AG126" t="s" s="44">
        <v>117</v>
      </c>
      <c r="AH126" t="s" s="44">
        <f>IF(AI126&gt;0,"+","")</f>
      </c>
      <c r="AI126" s="26">
        <f>AD54+AE54+AF54+AG54+AD58+AE58+AF58+AG58</f>
        <v>-27.26758125</v>
      </c>
      <c r="AJ126" t="s" s="44">
        <f>AP125</f>
        <v>372</v>
      </c>
      <c r="AK126" t="s" s="44">
        <v>118</v>
      </c>
      <c r="AL126" t="s" s="44">
        <v>119</v>
      </c>
      <c r="AM126" s="26">
        <f>AG73</f>
        <v>125.355502175624</v>
      </c>
      <c r="AN126" t="s" s="44">
        <f>AI125</f>
        <v>372</v>
      </c>
      <c r="AO126" t="s" s="44">
        <v>120</v>
      </c>
      <c r="AP126" s="17"/>
      <c r="AQ126" s="17"/>
      <c r="AR126" s="17"/>
      <c r="AS126" s="17"/>
      <c r="AT126" s="17"/>
      <c r="AU126" s="17"/>
    </row>
    <row r="127" ht="8.35" customHeight="1" hidden="1">
      <c r="AB127" s="36"/>
      <c r="AC127" s="175"/>
      <c r="AD127" t="s" s="45">
        <v>17</v>
      </c>
      <c r="AE127" t="s" s="44">
        <f>AE131</f>
        <v>121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8.35" customHeight="1" hidden="1">
      <c r="AB128" s="36"/>
      <c r="AC128" s="175"/>
      <c r="AD128" t="s" s="45">
        <f>AD100</f>
        <v>70</v>
      </c>
      <c r="AE128" t="s" s="44">
        <v>379</v>
      </c>
      <c r="AF128" t="s" s="44">
        <f>AL103</f>
        <v>372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8.35" customHeight="1" hidden="1">
      <c r="AB129" s="36"/>
      <c r="AC129" s="175"/>
      <c r="AD129" s="67">
        <f>-L22</f>
        <v>20</v>
      </c>
      <c r="AE129" s="26">
        <f>-L23</f>
        <v>-59.5</v>
      </c>
      <c r="AF129" s="26">
        <f>-L24</f>
        <v>0.9</v>
      </c>
      <c r="AG129" s="26">
        <f>-L25</f>
        <v>-12.1</v>
      </c>
      <c r="AH129" s="26">
        <f>-L26</f>
        <v>-26.4</v>
      </c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8.35" customHeight="1" hidden="1">
      <c r="AB130" s="36"/>
      <c r="AC130" s="175"/>
      <c r="AD130" s="67">
        <f>-M22</f>
        <v>-13.1</v>
      </c>
      <c r="AE130" s="26">
        <f>-M23</f>
        <v>-13.4</v>
      </c>
      <c r="AF130" s="26">
        <f>-M24</f>
        <v>0</v>
      </c>
      <c r="AG130" s="26">
        <f>-M25</f>
        <v>0</v>
      </c>
      <c r="AH130" s="26">
        <f>-M26</f>
        <v>0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8.35" customHeight="1" hidden="1">
      <c r="AB131" s="36"/>
      <c r="AC131" s="175"/>
      <c r="AD131" t="s" s="45">
        <f>AD92</f>
        <v>553</v>
      </c>
      <c r="AE131" t="s" s="44">
        <f>IF(AF131&gt;0,"paid","(raised)")</f>
        <v>121</v>
      </c>
      <c r="AF131" s="26">
        <f>SUM(AH129:AH130)</f>
        <v>-26.4</v>
      </c>
      <c r="AG131" t="s" s="44">
        <f>AL103</f>
        <v>372</v>
      </c>
      <c r="AH131" t="s" s="44">
        <f>AG103</f>
        <v>73</v>
      </c>
      <c r="AI131" t="s" s="44">
        <f>AH103</f>
        <v>74</v>
      </c>
      <c r="AJ131" t="s" s="44">
        <f>AI103</f>
        <v>75</v>
      </c>
      <c r="AK131" s="26">
        <f>AH129</f>
        <v>-26.4</v>
      </c>
      <c r="AL131" t="s" s="44">
        <f>AL103</f>
        <v>372</v>
      </c>
      <c r="AM131" t="s" s="44">
        <v>123</v>
      </c>
      <c r="AN131" s="26">
        <f>AH130</f>
        <v>0</v>
      </c>
      <c r="AO131" t="s" s="44">
        <f>AL103</f>
        <v>372</v>
      </c>
      <c r="AP131" t="s" s="44">
        <v>389</v>
      </c>
      <c r="AQ131" t="s" s="44">
        <v>390</v>
      </c>
      <c r="AR131" t="s" s="44">
        <f>IF(AS131&gt;0,"pay","raise")</f>
        <v>364</v>
      </c>
      <c r="AS131" s="26">
        <f>-SUM(AD74:AG74)</f>
        <v>27.26758125</v>
      </c>
      <c r="AT131" t="s" s="44">
        <f>AL103</f>
        <v>372</v>
      </c>
      <c r="AU131" t="s" s="44">
        <v>126</v>
      </c>
    </row>
    <row r="132" ht="8.35" customHeight="1" hidden="1">
      <c r="AB132" s="36"/>
      <c r="AC132" s="175"/>
      <c r="AD132" t="s" s="45">
        <v>375</v>
      </c>
      <c r="AE132" s="26">
        <f>AG78</f>
        <v>7186.84572672</v>
      </c>
      <c r="AF132" t="s" s="44">
        <f>AL103</f>
        <v>372</v>
      </c>
      <c r="AG132" t="s" s="44">
        <v>128</v>
      </c>
      <c r="AH132" t="s" s="44">
        <v>129</v>
      </c>
      <c r="AI132" s="26">
        <f>AG80</f>
        <v>6.40222382604546</v>
      </c>
      <c r="AJ132" t="s" s="44">
        <v>130</v>
      </c>
      <c r="AK132" t="s" s="44">
        <v>131</v>
      </c>
      <c r="AL132" t="s" s="44">
        <v>132</v>
      </c>
      <c r="AM132" s="26">
        <f>AG83</f>
        <v>40.4730827583396</v>
      </c>
      <c r="AN132" t="s" s="44">
        <v>133</v>
      </c>
      <c r="AO132" s="16">
        <f>-AE126/AE132</f>
        <v>0</v>
      </c>
      <c r="AP132" t="s" s="44">
        <v>134</v>
      </c>
      <c r="AQ132" s="17"/>
      <c r="AR132" s="17"/>
      <c r="AS132" s="17"/>
      <c r="AT132" s="17"/>
      <c r="AU132" s="17"/>
    </row>
    <row r="133" ht="8.35" customHeight="1" hidden="1">
      <c r="AB133" s="36"/>
      <c r="AC133" s="175"/>
      <c r="AD133" t="s" s="45">
        <v>135</v>
      </c>
      <c r="AE133" s="26">
        <f>AG82</f>
        <v>33.3555021756238</v>
      </c>
      <c r="AF133" t="s" s="44">
        <f>AF132</f>
        <v>372</v>
      </c>
      <c r="AG133" t="s" s="44">
        <v>136</v>
      </c>
      <c r="AH133" s="26">
        <f>AE132/AE133</f>
        <v>215.462075458488</v>
      </c>
      <c r="AI133" t="s" s="44">
        <v>130</v>
      </c>
      <c r="AJ133" t="s" s="44">
        <v>137</v>
      </c>
      <c r="AK133" t="s" s="44">
        <v>138</v>
      </c>
      <c r="AL133" s="26">
        <f>AG84</f>
        <v>200</v>
      </c>
      <c r="AM133" t="s" s="44">
        <v>139</v>
      </c>
      <c r="AN133" t="s" s="44">
        <v>140</v>
      </c>
      <c r="AO133" t="s" s="44">
        <v>141</v>
      </c>
      <c r="AP133" s="16">
        <f>AJ92</f>
        <v>-0.0717623991395485</v>
      </c>
      <c r="AQ133" t="s" s="44">
        <f>IF(AP133&gt;0,"higher","lower")</f>
        <v>104</v>
      </c>
      <c r="AR133" t="s" s="44">
        <v>142</v>
      </c>
      <c r="AS133" s="26">
        <f>AH92</f>
        <v>918.955224851847</v>
      </c>
      <c r="AT133" t="s" s="44">
        <v>143</v>
      </c>
      <c r="AU133" s="17"/>
    </row>
    <row r="134" ht="8.35" customHeight="1" hidden="1">
      <c r="AB134" s="36"/>
      <c r="AC134" s="175"/>
      <c r="AD134" s="34"/>
      <c r="AE134" s="17"/>
      <c r="AF134" s="17"/>
      <c r="AG134" s="17"/>
      <c r="AH134" s="26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ht="8.35" customHeight="1" hidden="1">
      <c r="AB135" t="s" s="33">
        <v>28</v>
      </c>
      <c r="AC135" s="183">
        <f>AD102</f>
        <v>352.2</v>
      </c>
      <c r="AD135" s="67">
        <f>AE102</f>
        <v>434.6</v>
      </c>
      <c r="AE135" s="26">
        <f>AF102</f>
        <v>559.6</v>
      </c>
      <c r="AF135" s="26">
        <f>AG102</f>
        <v>364.7</v>
      </c>
      <c r="AG135" s="26">
        <f>AH102</f>
        <v>403.1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8.35" customHeight="1" hidden="1">
      <c r="AB136" t="s" s="33">
        <v>144</v>
      </c>
      <c r="AC136" s="183">
        <f>SUM(AD115:AD116)</f>
        <v>-94.09999999999999</v>
      </c>
      <c r="AD136" s="67">
        <f>SUM(AE115:AE116)</f>
        <v>-29.2</v>
      </c>
      <c r="AE136" s="26">
        <f>SUM(AF115:AF116)</f>
        <v>-38.5</v>
      </c>
      <c r="AF136" s="26">
        <f>SUM(AG115:AG116)</f>
        <v>-9.800000000000001</v>
      </c>
      <c r="AG136" s="26">
        <f>SUM(AH115:AH116)</f>
        <v>9.199999999999999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8.35" customHeight="1" hidden="1">
      <c r="AB137" t="s" s="33">
        <v>145</v>
      </c>
      <c r="AC137" s="183">
        <f>SUM(AD129:AD130)</f>
        <v>6.9</v>
      </c>
      <c r="AD137" s="67">
        <f>SUM(AE129:AE130)</f>
        <v>-72.90000000000001</v>
      </c>
      <c r="AE137" s="26">
        <f>SUM(AF129:AF130)</f>
        <v>0.9</v>
      </c>
      <c r="AF137" s="26">
        <f>SUM(AG129:AG130)</f>
        <v>-12.1</v>
      </c>
      <c r="AG137" s="26">
        <f>SUM(AH129:AH130)</f>
        <v>-26.4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8.35" customHeight="1" hidden="1">
      <c r="AB138" t="s" s="33">
        <v>146</v>
      </c>
      <c r="AC138" s="183">
        <f>(AD122-AD123)</f>
        <v>81</v>
      </c>
      <c r="AD138" s="67">
        <f>(AE122-AE123)</f>
        <v>106</v>
      </c>
      <c r="AE138" s="26">
        <f>(AF122-AF123)</f>
        <v>60</v>
      </c>
      <c r="AF138" s="26">
        <f>(AG122-AG123)</f>
        <v>50</v>
      </c>
      <c r="AG138" s="26">
        <f>(AH122-AH123)</f>
        <v>92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8.35" customHeight="1" hidden="1">
      <c r="AB139" s="36"/>
      <c r="AC139" s="175"/>
      <c r="AD139" s="34"/>
      <c r="AE139" s="17"/>
      <c r="AF139" s="17"/>
      <c r="AG139" s="26">
        <f>AS133</f>
        <v>918.955224851847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8.35" customHeight="1" hidden="1">
      <c r="AB140" s="36"/>
      <c r="AC140" s="175"/>
      <c r="AD140" s="34"/>
      <c r="AE140" s="17"/>
      <c r="AF140" s="17"/>
      <c r="AG140" s="17"/>
      <c r="AH140" s="26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8.35" customHeight="1" hidden="1">
      <c r="AB141" s="36"/>
      <c r="AC141" s="175"/>
      <c r="AD141" s="34"/>
      <c r="AE141" s="17"/>
      <c r="AF141" s="17"/>
      <c r="AG141" s="17"/>
      <c r="AH141" s="26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8.35" customHeight="1" hidden="1">
      <c r="AB142" s="36"/>
      <c r="AC142" s="175"/>
      <c r="AD142" s="34"/>
      <c r="AE142" s="17"/>
      <c r="AF142" s="17"/>
      <c r="AG142" s="17"/>
      <c r="AH142" s="26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8.35" customHeight="1" hidden="1">
      <c r="AB143" s="36"/>
      <c r="AC143" s="175"/>
      <c r="AD143" s="34"/>
      <c r="AE143" s="17"/>
      <c r="AF143" s="17"/>
      <c r="AG143" s="17"/>
      <c r="AH143" s="26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8.35" customHeight="1" hidden="1">
      <c r="AB144" s="36"/>
      <c r="AC144" s="175"/>
      <c r="AD144" s="34"/>
      <c r="AE144" s="17"/>
      <c r="AF144" s="17"/>
      <c r="AG144" s="17"/>
      <c r="AH144" s="26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8.35" customHeight="1" hidden="1">
      <c r="AB145" s="36"/>
      <c r="AC145" s="175"/>
      <c r="AD145" s="34"/>
      <c r="AE145" s="17"/>
      <c r="AF145" s="17"/>
      <c r="AG145" s="17"/>
      <c r="AH145" s="26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8.35" customHeight="1" hidden="1">
      <c r="AB146" s="36"/>
      <c r="AC146" s="175"/>
      <c r="AD146" s="34"/>
      <c r="AE146" s="17"/>
      <c r="AF146" s="17"/>
      <c r="AG146" s="17"/>
      <c r="AH146" s="26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</sheetData>
  <mergeCells count="2">
    <mergeCell ref="B2:AA2"/>
    <mergeCell ref="AB44:AU4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84" customWidth="1"/>
    <col min="2" max="28" width="10.4844" style="184" customWidth="1"/>
    <col min="29" max="29" width="18.9766" style="185" customWidth="1"/>
    <col min="30" max="48" width="9" style="185" customWidth="1"/>
    <col min="49" max="16384" width="16.3516" style="185" customWidth="1"/>
  </cols>
  <sheetData>
    <row r="1" ht="11.65" customHeight="1"/>
    <row r="2" ht="27.65" customHeight="1">
      <c r="B2" t="s" s="2">
        <v>554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380</v>
      </c>
      <c r="AA3" t="s" s="3">
        <v>19</v>
      </c>
      <c r="AB3" t="s" s="3">
        <v>20</v>
      </c>
    </row>
    <row r="4" ht="20.25" customHeight="1">
      <c r="B4" s="6">
        <v>2017</v>
      </c>
      <c r="C4" s="7">
        <v>9.42</v>
      </c>
      <c r="D4" s="8">
        <v>32.225</v>
      </c>
      <c r="E4" s="8">
        <v>-35.14</v>
      </c>
      <c r="F4" s="8">
        <v>69</v>
      </c>
      <c r="G4" s="8">
        <v>185</v>
      </c>
      <c r="H4" s="8">
        <v>8368</v>
      </c>
      <c r="I4" s="8">
        <v>0.47</v>
      </c>
      <c r="J4" s="8">
        <v>-38.08</v>
      </c>
      <c r="K4" s="8">
        <v>-45</v>
      </c>
      <c r="L4" s="8">
        <v>535.75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-535.75</v>
      </c>
      <c r="W4" s="9"/>
      <c r="X4" s="8">
        <f>F4-G4</f>
        <v>-116</v>
      </c>
      <c r="Y4" s="9"/>
      <c r="Z4" s="73"/>
      <c r="AA4" s="11"/>
      <c r="AB4" s="12">
        <v>13.3</v>
      </c>
    </row>
    <row r="5" ht="20.05" customHeight="1">
      <c r="B5" s="13"/>
      <c r="C5" s="14">
        <v>13.12</v>
      </c>
      <c r="D5" s="15">
        <v>-66.77500000000001</v>
      </c>
      <c r="E5" s="15">
        <v>56.84</v>
      </c>
      <c r="F5" s="15">
        <v>79</v>
      </c>
      <c r="G5" s="15">
        <v>243</v>
      </c>
      <c r="H5" s="15">
        <v>8475</v>
      </c>
      <c r="I5" s="15">
        <v>0.62</v>
      </c>
      <c r="J5" s="15">
        <v>-16.82</v>
      </c>
      <c r="K5" s="15">
        <v>-22.9</v>
      </c>
      <c r="L5" s="15">
        <v>535.75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-1071.5</v>
      </c>
      <c r="W5" s="17"/>
      <c r="X5" s="15">
        <f>F5-G5</f>
        <v>-164</v>
      </c>
      <c r="Y5" s="17"/>
      <c r="Z5" s="24"/>
      <c r="AA5" s="19"/>
      <c r="AB5" s="20">
        <v>13.327</v>
      </c>
    </row>
    <row r="6" ht="20.05" customHeight="1">
      <c r="B6" s="13"/>
      <c r="C6" s="14">
        <v>17.06</v>
      </c>
      <c r="D6" s="15">
        <v>-18.775</v>
      </c>
      <c r="E6" s="15">
        <v>10.1</v>
      </c>
      <c r="F6" s="15">
        <v>134</v>
      </c>
      <c r="G6" s="15">
        <v>325</v>
      </c>
      <c r="H6" s="15">
        <v>8590</v>
      </c>
      <c r="I6" s="15">
        <v>4.91</v>
      </c>
      <c r="J6" s="15">
        <v>-27.2</v>
      </c>
      <c r="K6" s="15">
        <v>-25.2</v>
      </c>
      <c r="L6" s="15">
        <v>535.75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-1607.25</v>
      </c>
      <c r="W6" s="17"/>
      <c r="X6" s="15">
        <f>F6-G6</f>
        <v>-191</v>
      </c>
      <c r="Y6" s="17"/>
      <c r="Z6" s="24"/>
      <c r="AA6" s="19"/>
      <c r="AB6" s="20">
        <v>13.305</v>
      </c>
    </row>
    <row r="7" ht="20.05" customHeight="1">
      <c r="B7" s="13"/>
      <c r="C7" s="14">
        <v>16.8</v>
      </c>
      <c r="D7" s="15">
        <v>-178.775</v>
      </c>
      <c r="E7" s="15">
        <v>139</v>
      </c>
      <c r="F7" s="15">
        <v>1038</v>
      </c>
      <c r="G7" s="15">
        <v>2429</v>
      </c>
      <c r="H7" s="15">
        <v>10900</v>
      </c>
      <c r="I7" s="15">
        <v>12</v>
      </c>
      <c r="J7" s="15">
        <v>-39.7</v>
      </c>
      <c r="K7" s="15">
        <v>-952.7</v>
      </c>
      <c r="L7" s="15">
        <v>535.75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-2143</v>
      </c>
      <c r="W7" s="17"/>
      <c r="X7" s="15">
        <f>F7-G7</f>
        <v>-1391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24.69</v>
      </c>
      <c r="D8" s="15">
        <v>10.45</v>
      </c>
      <c r="E8" s="15">
        <v>-37.03</v>
      </c>
      <c r="F8" s="15">
        <v>120</v>
      </c>
      <c r="G8" s="15">
        <v>2397</v>
      </c>
      <c r="H8" s="15">
        <v>10822</v>
      </c>
      <c r="I8" s="15">
        <v>12.79</v>
      </c>
      <c r="J8" s="15">
        <v>-48.16</v>
      </c>
      <c r="K8" s="15">
        <v>-966.6</v>
      </c>
      <c r="L8" s="15">
        <v>787.25</v>
      </c>
      <c r="M8" s="15">
        <v>0</v>
      </c>
      <c r="N8" s="15">
        <f>SUM(C5:C8)/4</f>
        <v>17.9175</v>
      </c>
      <c r="O8" s="15"/>
      <c r="P8" s="16"/>
      <c r="Q8" s="16">
        <f>J8/I8</f>
        <v>-3.76544175136826</v>
      </c>
      <c r="R8" s="16"/>
      <c r="S8" s="17"/>
      <c r="T8" s="15">
        <f>SUM(J5:K8)/4</f>
        <v>-524.8200000000001</v>
      </c>
      <c r="U8" s="25"/>
      <c r="V8" s="15">
        <f>-(L8+M8)+V7</f>
        <v>-2930.25</v>
      </c>
      <c r="W8" s="17"/>
      <c r="X8" s="15">
        <f>F8-G8</f>
        <v>-2277</v>
      </c>
      <c r="Y8" s="24"/>
      <c r="Z8" s="18">
        <v>2580</v>
      </c>
      <c r="AA8" s="22"/>
      <c r="AB8" s="20">
        <v>13.761</v>
      </c>
    </row>
    <row r="9" ht="20.05" customHeight="1">
      <c r="B9" s="13"/>
      <c r="C9" s="14">
        <v>36.2</v>
      </c>
      <c r="D9" s="15">
        <v>-115.55</v>
      </c>
      <c r="E9" s="15">
        <v>117.26</v>
      </c>
      <c r="F9" s="15">
        <v>138</v>
      </c>
      <c r="G9" s="15">
        <v>2474</v>
      </c>
      <c r="H9" s="15">
        <v>11079</v>
      </c>
      <c r="I9" s="15">
        <v>10.53</v>
      </c>
      <c r="J9" s="15">
        <v>-91.64</v>
      </c>
      <c r="K9" s="15">
        <v>-11.4</v>
      </c>
      <c r="L9" s="15">
        <v>173</v>
      </c>
      <c r="M9" s="15">
        <v>0</v>
      </c>
      <c r="N9" s="15">
        <f>SUM(C6:C9)/4</f>
        <v>23.6875</v>
      </c>
      <c r="O9" s="15"/>
      <c r="P9" s="16"/>
      <c r="Q9" s="16">
        <f>J9/I9</f>
        <v>-8.70275403608737</v>
      </c>
      <c r="R9" s="16"/>
      <c r="S9" s="17"/>
      <c r="T9" s="15">
        <f>SUM(J6:K9)/4</f>
        <v>-540.65</v>
      </c>
      <c r="U9" s="25"/>
      <c r="V9" s="15">
        <f>-(L9+M9)+V8</f>
        <v>-3103.25</v>
      </c>
      <c r="W9" s="17"/>
      <c r="X9" s="15">
        <f>F13-G9</f>
        <v>-2331</v>
      </c>
      <c r="Y9" s="24"/>
      <c r="Z9" s="18">
        <v>3120</v>
      </c>
      <c r="AA9" s="22"/>
      <c r="AB9" s="20">
        <v>14</v>
      </c>
    </row>
    <row r="10" ht="20.05" customHeight="1">
      <c r="B10" s="13"/>
      <c r="C10" s="14">
        <v>34.11</v>
      </c>
      <c r="D10" s="15">
        <v>-47.55</v>
      </c>
      <c r="E10" s="15">
        <v>39.17</v>
      </c>
      <c r="F10" s="15">
        <v>185</v>
      </c>
      <c r="G10" s="15">
        <v>2550</v>
      </c>
      <c r="H10" s="15">
        <v>11279</v>
      </c>
      <c r="I10" s="15">
        <v>38.98</v>
      </c>
      <c r="J10" s="15">
        <v>-56.8</v>
      </c>
      <c r="K10" s="15">
        <v>-37</v>
      </c>
      <c r="L10" s="15">
        <v>277</v>
      </c>
      <c r="M10" s="15">
        <v>0</v>
      </c>
      <c r="N10" s="15">
        <f>SUM(C7:C10)/4</f>
        <v>27.95</v>
      </c>
      <c r="O10" s="15"/>
      <c r="P10" s="16">
        <f>C10/C9-1</f>
        <v>-0.0577348066298343</v>
      </c>
      <c r="Q10" s="16">
        <f>J10/I10</f>
        <v>-1.45715751667522</v>
      </c>
      <c r="R10" s="16"/>
      <c r="S10" s="17"/>
      <c r="T10" s="15">
        <f>SUM(J7:K10)/4</f>
        <v>-551</v>
      </c>
      <c r="U10" s="25"/>
      <c r="V10" s="15">
        <f>-(L10+M10)+V9</f>
        <v>-3380.25</v>
      </c>
      <c r="W10" s="17"/>
      <c r="X10" s="15">
        <f>F10-G10</f>
        <v>-2365</v>
      </c>
      <c r="Y10" s="24"/>
      <c r="Z10" s="18">
        <v>3280</v>
      </c>
      <c r="AA10" s="22"/>
      <c r="AB10" s="20">
        <v>14.902</v>
      </c>
    </row>
    <row r="11" ht="20.05" customHeight="1">
      <c r="B11" s="13"/>
      <c r="C11" s="14">
        <v>34.8</v>
      </c>
      <c r="D11" s="15">
        <v>-188.55</v>
      </c>
      <c r="E11" s="15">
        <v>163.5</v>
      </c>
      <c r="F11" s="15">
        <v>342</v>
      </c>
      <c r="G11" s="15">
        <v>5489</v>
      </c>
      <c r="H11" s="15">
        <v>14528</v>
      </c>
      <c r="I11" s="15">
        <v>22.7</v>
      </c>
      <c r="J11" s="15">
        <v>-97.7</v>
      </c>
      <c r="K11" s="15">
        <v>-2534</v>
      </c>
      <c r="L11" s="15">
        <v>787.25</v>
      </c>
      <c r="M11" s="15">
        <v>0</v>
      </c>
      <c r="N11" s="15">
        <f>SUM(C8:C11)/4</f>
        <v>32.45</v>
      </c>
      <c r="O11" s="15"/>
      <c r="P11" s="16">
        <f>C11/C10-1</f>
        <v>0.0202286719437115</v>
      </c>
      <c r="Q11" s="16">
        <f>J11/I11</f>
        <v>-4.30396475770925</v>
      </c>
      <c r="R11" s="16"/>
      <c r="S11" s="17"/>
      <c r="T11" s="15">
        <f>SUM(J8:K11)/4</f>
        <v>-960.825</v>
      </c>
      <c r="U11" s="25"/>
      <c r="V11" s="15">
        <f>-(L11+M11)+V10</f>
        <v>-4167.5</v>
      </c>
      <c r="W11" s="17"/>
      <c r="X11" s="15">
        <f>F11-G11</f>
        <v>-5147</v>
      </c>
      <c r="Y11" s="24"/>
      <c r="Z11" s="18">
        <v>3290</v>
      </c>
      <c r="AA11" s="22"/>
      <c r="AB11" s="20">
        <v>14.38</v>
      </c>
    </row>
    <row r="12" ht="20.05" customHeight="1">
      <c r="B12" s="21">
        <v>2019</v>
      </c>
      <c r="C12" s="14">
        <v>38.9</v>
      </c>
      <c r="D12" s="15">
        <v>-46.65</v>
      </c>
      <c r="E12" s="15">
        <v>50.4</v>
      </c>
      <c r="F12" s="15">
        <v>245</v>
      </c>
      <c r="G12" s="15">
        <v>5508</v>
      </c>
      <c r="H12" s="15">
        <v>14637</v>
      </c>
      <c r="I12" s="15">
        <v>35.7</v>
      </c>
      <c r="J12" s="15">
        <v>-111</v>
      </c>
      <c r="K12" s="15">
        <v>-154.5</v>
      </c>
      <c r="L12" s="15">
        <v>173</v>
      </c>
      <c r="M12" s="15">
        <v>0</v>
      </c>
      <c r="N12" s="15">
        <f>SUM(C9:C12)/4</f>
        <v>36.0025</v>
      </c>
      <c r="O12" s="23"/>
      <c r="P12" s="16">
        <f>C12/C11-1</f>
        <v>0.117816091954023</v>
      </c>
      <c r="Q12" s="16">
        <f>J12/I12</f>
        <v>-3.10924369747899</v>
      </c>
      <c r="R12" s="16">
        <f>AVERAGE(Q9:Q12)</f>
        <v>-4.39328000198771</v>
      </c>
      <c r="S12" s="17"/>
      <c r="T12" s="15">
        <f>SUM(J9:K12)/4</f>
        <v>-773.51</v>
      </c>
      <c r="U12" s="25"/>
      <c r="V12" s="15">
        <f>-(L12+M12)+V11</f>
        <v>-4340.5</v>
      </c>
      <c r="W12" s="17"/>
      <c r="X12" s="15">
        <f>F12-G12</f>
        <v>-5263</v>
      </c>
      <c r="Y12" s="24"/>
      <c r="Z12" s="18">
        <v>3280</v>
      </c>
      <c r="AA12" s="22"/>
      <c r="AB12" s="20">
        <v>14.24</v>
      </c>
    </row>
    <row r="13" ht="20.05" customHeight="1">
      <c r="B13" s="13"/>
      <c r="C13" s="14">
        <v>51.1</v>
      </c>
      <c r="D13" s="15">
        <v>-160.65</v>
      </c>
      <c r="E13" s="15">
        <v>151.7</v>
      </c>
      <c r="F13" s="15">
        <v>143</v>
      </c>
      <c r="G13" s="15">
        <v>5576</v>
      </c>
      <c r="H13" s="15">
        <v>14882</v>
      </c>
      <c r="I13" s="15">
        <v>35.2</v>
      </c>
      <c r="J13" s="15">
        <v>-148.4</v>
      </c>
      <c r="K13" s="15">
        <v>-60.3</v>
      </c>
      <c r="L13" s="15">
        <v>173</v>
      </c>
      <c r="M13" s="15">
        <v>0</v>
      </c>
      <c r="N13" s="15">
        <f>SUM(C10:C13)/4</f>
        <v>39.7275</v>
      </c>
      <c r="O13" s="23"/>
      <c r="P13" s="16">
        <f>C13/C12-1</f>
        <v>0.313624678663239</v>
      </c>
      <c r="Q13" s="16">
        <f>J13/I13</f>
        <v>-4.21590909090909</v>
      </c>
      <c r="R13" s="16">
        <f>AVERAGE(Q10:Q13)</f>
        <v>-3.27156876569314</v>
      </c>
      <c r="S13" s="17"/>
      <c r="T13" s="15">
        <f>SUM(J10:K13)/4</f>
        <v>-799.925</v>
      </c>
      <c r="U13" s="25"/>
      <c r="V13" s="15">
        <f>-(L13+M13)+V12</f>
        <v>-4513.5</v>
      </c>
      <c r="W13" s="17"/>
      <c r="X13" s="15">
        <f>F13-G13</f>
        <v>-5433</v>
      </c>
      <c r="Y13" s="24"/>
      <c r="Z13" s="18">
        <v>3000</v>
      </c>
      <c r="AA13" s="24"/>
      <c r="AB13" s="15">
        <v>14.127</v>
      </c>
    </row>
    <row r="14" ht="20.05" customHeight="1">
      <c r="B14" s="13"/>
      <c r="C14" s="14">
        <v>66</v>
      </c>
      <c r="D14" s="15">
        <v>-63.65</v>
      </c>
      <c r="E14" s="15">
        <v>61</v>
      </c>
      <c r="F14" s="15">
        <v>90</v>
      </c>
      <c r="G14" s="15">
        <v>5776</v>
      </c>
      <c r="H14" s="15">
        <v>15187</v>
      </c>
      <c r="I14" s="15">
        <v>51.2</v>
      </c>
      <c r="J14" s="15">
        <v>-105.4</v>
      </c>
      <c r="K14" s="15">
        <v>-145.9</v>
      </c>
      <c r="L14" s="15">
        <v>173</v>
      </c>
      <c r="M14" s="15">
        <v>0</v>
      </c>
      <c r="N14" s="15">
        <f>SUM(C11:C14)/4</f>
        <v>47.7</v>
      </c>
      <c r="O14" s="23"/>
      <c r="P14" s="16">
        <f>C14/C13-1</f>
        <v>0.291585127201566</v>
      </c>
      <c r="Q14" s="16">
        <f>J14/I14</f>
        <v>-2.05859375</v>
      </c>
      <c r="R14" s="16">
        <f>AVERAGE(Q11:Q14)</f>
        <v>-3.42192782402433</v>
      </c>
      <c r="S14" s="17"/>
      <c r="T14" s="15">
        <f>SUM(J11:K14)/4</f>
        <v>-839.3</v>
      </c>
      <c r="U14" s="25"/>
      <c r="V14" s="15">
        <f>-(L14+M14)+V13</f>
        <v>-4686.5</v>
      </c>
      <c r="W14" s="17"/>
      <c r="X14" s="15">
        <f>F14-G14</f>
        <v>-5686</v>
      </c>
      <c r="Y14" s="24"/>
      <c r="Z14" s="18">
        <v>3080</v>
      </c>
      <c r="AA14" s="24"/>
      <c r="AB14" s="15">
        <v>14.195</v>
      </c>
    </row>
    <row r="15" ht="20.05" customHeight="1">
      <c r="B15" s="13"/>
      <c r="C15" s="14">
        <v>101.8</v>
      </c>
      <c r="D15" s="15">
        <v>-263.65</v>
      </c>
      <c r="E15" s="15">
        <v>256</v>
      </c>
      <c r="F15" s="15">
        <v>158</v>
      </c>
      <c r="G15" s="15">
        <v>5949</v>
      </c>
      <c r="H15" s="15">
        <v>15484</v>
      </c>
      <c r="I15" s="15">
        <v>83.2</v>
      </c>
      <c r="J15" s="15">
        <v>-166.9</v>
      </c>
      <c r="K15" s="15">
        <v>17.3</v>
      </c>
      <c r="L15" s="15">
        <v>173</v>
      </c>
      <c r="M15" s="15">
        <v>0</v>
      </c>
      <c r="N15" s="15">
        <f>SUM(C12:C15)/4</f>
        <v>64.45</v>
      </c>
      <c r="O15" s="15"/>
      <c r="P15" s="16">
        <f>C15/C14-1</f>
        <v>0.542424242424242</v>
      </c>
      <c r="Q15" s="16">
        <f>J15/I15</f>
        <v>-2.00600961538462</v>
      </c>
      <c r="R15" s="16">
        <f>AVERAGE(Q12:Q15)</f>
        <v>-2.84743903844318</v>
      </c>
      <c r="S15" s="17"/>
      <c r="T15" s="15">
        <f>SUM(J12:K15)/4</f>
        <v>-218.775</v>
      </c>
      <c r="U15" s="25"/>
      <c r="V15" s="15">
        <f>-(L15+M15)+V14</f>
        <v>-4859.5</v>
      </c>
      <c r="W15" s="17"/>
      <c r="X15" s="15">
        <f>F15-G15</f>
        <v>-5791</v>
      </c>
      <c r="Y15" s="24"/>
      <c r="Z15" s="18">
        <v>3070</v>
      </c>
      <c r="AA15" s="24"/>
      <c r="AB15" s="15">
        <v>13.882</v>
      </c>
    </row>
    <row r="16" ht="20.05" customHeight="1">
      <c r="B16" s="21">
        <v>2020</v>
      </c>
      <c r="C16" s="14">
        <v>85</v>
      </c>
      <c r="D16" s="15">
        <v>-28</v>
      </c>
      <c r="E16" s="15">
        <v>48.9</v>
      </c>
      <c r="F16" s="15">
        <v>29</v>
      </c>
      <c r="G16" s="15">
        <v>5928</v>
      </c>
      <c r="H16" s="15">
        <v>15514</v>
      </c>
      <c r="I16" s="15">
        <v>53.1</v>
      </c>
      <c r="J16" s="15">
        <v>-112.6</v>
      </c>
      <c r="K16" s="15">
        <v>31.7</v>
      </c>
      <c r="L16" s="15">
        <v>277</v>
      </c>
      <c r="M16" s="15">
        <v>0</v>
      </c>
      <c r="N16" s="15">
        <f>SUM(C13:C16)/4</f>
        <v>75.97499999999999</v>
      </c>
      <c r="O16" s="17"/>
      <c r="P16" s="16">
        <f>C16/C15-1</f>
        <v>-0.165029469548134</v>
      </c>
      <c r="Q16" s="16">
        <f>J16/I16</f>
        <v>-2.12052730696798</v>
      </c>
      <c r="R16" s="16">
        <f>AVERAGE(Q13:Q16)</f>
        <v>-2.60025994081542</v>
      </c>
      <c r="S16" s="17"/>
      <c r="T16" s="15">
        <f>SUM(J13:K16)/4</f>
        <v>-172.625</v>
      </c>
      <c r="U16" s="25"/>
      <c r="V16" s="15">
        <f>-(L16+M16)+V15</f>
        <v>-5136.5</v>
      </c>
      <c r="W16" s="17"/>
      <c r="X16" s="15">
        <f>F16-G16</f>
        <v>-5899</v>
      </c>
      <c r="Y16" s="24"/>
      <c r="Z16" s="18">
        <v>3500</v>
      </c>
      <c r="AA16" s="24"/>
      <c r="AB16" s="15">
        <v>16.31</v>
      </c>
    </row>
    <row r="17" ht="20.05" customHeight="1">
      <c r="B17" s="13"/>
      <c r="C17" s="14">
        <v>118.2</v>
      </c>
      <c r="D17" s="15">
        <v>45.5</v>
      </c>
      <c r="E17" s="15">
        <v>-18.1</v>
      </c>
      <c r="F17" s="15">
        <v>46</v>
      </c>
      <c r="G17" s="15">
        <v>6139</v>
      </c>
      <c r="H17" s="15">
        <v>15754</v>
      </c>
      <c r="I17" s="15">
        <v>60.5</v>
      </c>
      <c r="J17" s="15">
        <v>-139.7</v>
      </c>
      <c r="K17" s="15">
        <v>-77.5</v>
      </c>
      <c r="L17" s="15">
        <v>277</v>
      </c>
      <c r="M17" s="15">
        <v>0</v>
      </c>
      <c r="N17" s="15">
        <f>SUM(C14:C17)/4</f>
        <v>92.75</v>
      </c>
      <c r="O17" s="17"/>
      <c r="P17" s="16">
        <f>C17/C16-1</f>
        <v>0.390588235294118</v>
      </c>
      <c r="Q17" s="16">
        <f>J17/I17</f>
        <v>-2.30909090909091</v>
      </c>
      <c r="R17" s="16">
        <f>AVERAGE(Q14:Q17)</f>
        <v>-2.12355539536088</v>
      </c>
      <c r="S17" s="17"/>
      <c r="T17" s="25">
        <f>SUM(J14:K17)/4</f>
        <v>-174.75</v>
      </c>
      <c r="U17" s="25"/>
      <c r="V17" s="15">
        <f>-(L17+M17)+V16</f>
        <v>-5413.5</v>
      </c>
      <c r="W17" s="17"/>
      <c r="X17" s="15">
        <f>F17-G17</f>
        <v>-6093</v>
      </c>
      <c r="Y17" s="24"/>
      <c r="Z17" s="18">
        <v>3500</v>
      </c>
      <c r="AA17" s="24"/>
      <c r="AB17" s="15">
        <v>14.255</v>
      </c>
    </row>
    <row r="18" ht="20.05" customHeight="1">
      <c r="B18" s="13"/>
      <c r="C18" s="14">
        <v>113.3</v>
      </c>
      <c r="D18" s="15">
        <v>8.5</v>
      </c>
      <c r="E18" s="15">
        <v>39.3</v>
      </c>
      <c r="F18" s="15">
        <v>101</v>
      </c>
      <c r="G18" s="15">
        <v>6161</v>
      </c>
      <c r="H18" s="15">
        <v>15861</v>
      </c>
      <c r="I18" s="15">
        <v>108.5</v>
      </c>
      <c r="J18" s="15">
        <v>-70.90000000000001</v>
      </c>
      <c r="K18" s="15">
        <v>64.3</v>
      </c>
      <c r="L18" s="15">
        <v>277</v>
      </c>
      <c r="M18" s="15">
        <v>0</v>
      </c>
      <c r="N18" s="15">
        <f>SUM(C15:C18)/4</f>
        <v>104.575</v>
      </c>
      <c r="O18" s="17"/>
      <c r="P18" s="16">
        <f>C18/C17-1</f>
        <v>-0.0414551607445008</v>
      </c>
      <c r="Q18" s="16">
        <f>J18/I18</f>
        <v>-0.6534562211981571</v>
      </c>
      <c r="R18" s="16">
        <f>AVERAGE(Q15:Q18)</f>
        <v>-1.77227101316042</v>
      </c>
      <c r="S18" s="17"/>
      <c r="T18" s="25">
        <f>SUM(J15:K18)/4</f>
        <v>-113.575</v>
      </c>
      <c r="U18" s="25"/>
      <c r="V18" s="15">
        <f>-(L18+M18)+V17</f>
        <v>-5690.5</v>
      </c>
      <c r="W18" s="17"/>
      <c r="X18" s="15">
        <f>F18-G18</f>
        <v>-6060</v>
      </c>
      <c r="Y18" s="24"/>
      <c r="Z18" s="18">
        <v>3490</v>
      </c>
      <c r="AA18" s="24"/>
      <c r="AB18" s="15">
        <v>14.79</v>
      </c>
    </row>
    <row r="19" ht="20.05" customHeight="1">
      <c r="B19" s="13"/>
      <c r="C19" s="14">
        <v>172.4</v>
      </c>
      <c r="D19" s="15">
        <v>-144.9</v>
      </c>
      <c r="E19" s="15">
        <v>256.9</v>
      </c>
      <c r="F19" s="15">
        <v>177</v>
      </c>
      <c r="G19" s="15">
        <v>7087</v>
      </c>
      <c r="H19" s="15">
        <v>17223</v>
      </c>
      <c r="I19" s="15">
        <v>197.3</v>
      </c>
      <c r="J19" s="15">
        <v>-10.9</v>
      </c>
      <c r="K19" s="15">
        <v>-772</v>
      </c>
      <c r="L19" s="15">
        <v>277</v>
      </c>
      <c r="M19" s="15">
        <v>0</v>
      </c>
      <c r="N19" s="15">
        <f>SUM(C16:C19)/4</f>
        <v>122.225</v>
      </c>
      <c r="O19" s="17"/>
      <c r="P19" s="16">
        <f>C19/C18-1</f>
        <v>0.5216240070609</v>
      </c>
      <c r="Q19" s="16">
        <f>J19/I19</f>
        <v>-0.0552458185504308</v>
      </c>
      <c r="R19" s="16">
        <f>AVERAGE(Q16:Q19)</f>
        <v>-1.28458006395187</v>
      </c>
      <c r="S19" s="17"/>
      <c r="T19" s="25">
        <f>SUM(J16:K19)/4</f>
        <v>-271.9</v>
      </c>
      <c r="U19" s="25"/>
      <c r="V19" s="15">
        <f>-(L19+M19)+V18</f>
        <v>-5967.5</v>
      </c>
      <c r="W19" s="17"/>
      <c r="X19" s="15">
        <f>F19-G19</f>
        <v>-6910</v>
      </c>
      <c r="Y19" s="24"/>
      <c r="Z19" s="18">
        <v>3500</v>
      </c>
      <c r="AA19" s="24"/>
      <c r="AB19" s="15">
        <v>14.1</v>
      </c>
    </row>
    <row r="20" ht="20.05" customHeight="1">
      <c r="B20" s="21">
        <v>2021</v>
      </c>
      <c r="C20" s="14">
        <v>135.4</v>
      </c>
      <c r="D20" s="15">
        <v>39.8</v>
      </c>
      <c r="E20" s="15">
        <v>63.9</v>
      </c>
      <c r="F20" s="15">
        <v>186</v>
      </c>
      <c r="G20" s="15">
        <v>6936</v>
      </c>
      <c r="H20" s="15">
        <v>17137</v>
      </c>
      <c r="I20" s="15">
        <v>137.8</v>
      </c>
      <c r="J20" s="15">
        <v>-57.15</v>
      </c>
      <c r="K20" s="15">
        <v>183.1</v>
      </c>
      <c r="L20" s="15">
        <v>-127.6</v>
      </c>
      <c r="M20" s="15">
        <v>0</v>
      </c>
      <c r="N20" s="15">
        <f>SUM(C17:C20)/4</f>
        <v>134.825</v>
      </c>
      <c r="O20" s="15"/>
      <c r="P20" s="16">
        <f>C20/C19-1</f>
        <v>-0.21461716937355</v>
      </c>
      <c r="Q20" s="16">
        <f>J20/I20</f>
        <v>-0.414731494920174</v>
      </c>
      <c r="R20" s="16">
        <f>AVERAGE(Q17:Q20)</f>
        <v>-0.858131110939918</v>
      </c>
      <c r="S20" s="17"/>
      <c r="T20" s="25">
        <f>SUM(J17:K20)/4</f>
        <v>-220.1875</v>
      </c>
      <c r="U20" s="25"/>
      <c r="V20" s="15">
        <f>-(L20+M20)+V19</f>
        <v>-5839.9</v>
      </c>
      <c r="W20" s="17"/>
      <c r="X20" s="15">
        <f>F20-G20</f>
        <v>-6750</v>
      </c>
      <c r="Y20" s="15"/>
      <c r="Z20" s="15">
        <v>3180</v>
      </c>
      <c r="AA20" s="17"/>
      <c r="AB20" s="15">
        <v>14.606</v>
      </c>
    </row>
    <row r="21" ht="20.05" customHeight="1">
      <c r="B21" s="13"/>
      <c r="C21" s="14">
        <v>184.8</v>
      </c>
      <c r="D21" s="15">
        <v>-108.8</v>
      </c>
      <c r="E21" s="15">
        <v>224.3</v>
      </c>
      <c r="F21" s="15">
        <v>287</v>
      </c>
      <c r="G21" s="15">
        <v>6862</v>
      </c>
      <c r="H21" s="15">
        <v>17290</v>
      </c>
      <c r="I21" s="15">
        <v>178.8</v>
      </c>
      <c r="J21" s="15">
        <v>-9.65</v>
      </c>
      <c r="K21" s="15">
        <v>211.4</v>
      </c>
      <c r="L21" s="15">
        <v>-112.357</v>
      </c>
      <c r="M21" s="15">
        <v>0</v>
      </c>
      <c r="N21" s="15">
        <f>SUM(C18:C21)/4</f>
        <v>151.475</v>
      </c>
      <c r="O21" s="15">
        <v>162.48</v>
      </c>
      <c r="P21" s="16">
        <f>C21/C20-1</f>
        <v>0.364844903988183</v>
      </c>
      <c r="Q21" s="16">
        <f>J21/I21</f>
        <v>-0.0539709172259508</v>
      </c>
      <c r="R21" s="16">
        <f>AVERAGE(Q18:Q21)</f>
        <v>-0.294351112973678</v>
      </c>
      <c r="S21" s="17"/>
      <c r="T21" s="25">
        <f>SUM(J18:K21)/4</f>
        <v>-115.45</v>
      </c>
      <c r="U21" s="25"/>
      <c r="V21" s="15">
        <f>-(L21+M21)+V20</f>
        <v>-5727.543</v>
      </c>
      <c r="W21" s="17"/>
      <c r="X21" s="15">
        <f>F21-G21</f>
        <v>-6575</v>
      </c>
      <c r="Y21" s="15"/>
      <c r="Z21" s="15">
        <v>3210</v>
      </c>
      <c r="AA21" s="17"/>
      <c r="AB21" s="15">
        <v>14.45</v>
      </c>
    </row>
    <row r="22" ht="20.05" customHeight="1">
      <c r="B22" s="13"/>
      <c r="C22" s="14">
        <v>212.4</v>
      </c>
      <c r="D22" s="15">
        <v>-13.5</v>
      </c>
      <c r="E22" s="15">
        <v>134.4</v>
      </c>
      <c r="F22" s="15">
        <v>328</v>
      </c>
      <c r="G22" s="15">
        <v>6773</v>
      </c>
      <c r="H22" s="15">
        <v>17411</v>
      </c>
      <c r="I22" s="15">
        <v>162.7</v>
      </c>
      <c r="J22" s="15">
        <v>-33.25</v>
      </c>
      <c r="K22" s="15">
        <v>119.2</v>
      </c>
      <c r="L22" s="15">
        <v>-130.497</v>
      </c>
      <c r="M22" s="15">
        <v>75</v>
      </c>
      <c r="N22" s="15">
        <f>SUM(C19:C22)/4</f>
        <v>176.25</v>
      </c>
      <c r="O22" s="15">
        <v>177.336</v>
      </c>
      <c r="P22" s="16">
        <f>C22/C21-1</f>
        <v>0.149350649350649</v>
      </c>
      <c r="Q22" s="16">
        <f>J22/I22</f>
        <v>-0.204363859864782</v>
      </c>
      <c r="R22" s="16">
        <f>AVERAGE(Q19:Q22)</f>
        <v>-0.182078022640334</v>
      </c>
      <c r="S22" s="17"/>
      <c r="T22" s="25">
        <f>SUM(J19:K22)/4</f>
        <v>-92.3125</v>
      </c>
      <c r="U22" s="25"/>
      <c r="V22" s="15">
        <f>-(L22+M22)+V21</f>
        <v>-5672.046</v>
      </c>
      <c r="W22" s="17"/>
      <c r="X22" s="15">
        <f>F22-G22</f>
        <v>-6445</v>
      </c>
      <c r="Y22" s="15"/>
      <c r="Z22" s="15">
        <v>3170</v>
      </c>
      <c r="AA22" s="17"/>
      <c r="AB22" s="15">
        <v>14.328</v>
      </c>
    </row>
    <row r="23" ht="20.05" customHeight="1">
      <c r="B23" s="13"/>
      <c r="C23" s="14">
        <v>311.8</v>
      </c>
      <c r="D23" s="15">
        <v>-356.7</v>
      </c>
      <c r="E23" s="15">
        <v>562.1</v>
      </c>
      <c r="F23" s="15">
        <v>440</v>
      </c>
      <c r="G23" s="15">
        <v>6825</v>
      </c>
      <c r="H23" s="15">
        <v>18046</v>
      </c>
      <c r="I23" s="15">
        <v>289.2</v>
      </c>
      <c r="J23" s="15">
        <v>9.35</v>
      </c>
      <c r="K23" s="15">
        <v>198.3</v>
      </c>
      <c r="L23" s="15">
        <v>-133.046</v>
      </c>
      <c r="M23" s="15">
        <v>70</v>
      </c>
      <c r="N23" s="15">
        <f>SUM(C20:C23)/4</f>
        <v>211.1</v>
      </c>
      <c r="O23" s="15">
        <v>203.184</v>
      </c>
      <c r="P23" s="16">
        <f>C23/C22-1</f>
        <v>0.467984934086629</v>
      </c>
      <c r="Q23" s="16">
        <f>J23/I23</f>
        <v>0.0323305670816044</v>
      </c>
      <c r="R23" s="16">
        <f>AVERAGE(Q20:Q23)</f>
        <v>-0.160183926232326</v>
      </c>
      <c r="S23" s="17"/>
      <c r="T23" s="25">
        <f>SUM(J20:K23)/4</f>
        <v>155.325</v>
      </c>
      <c r="U23" s="25"/>
      <c r="V23" s="15">
        <f>-(L23+M23)+V22</f>
        <v>-5609</v>
      </c>
      <c r="W23" s="17"/>
      <c r="X23" s="15">
        <f>F23-G23</f>
        <v>-6385</v>
      </c>
      <c r="Y23" s="15"/>
      <c r="Z23" s="15">
        <v>3290</v>
      </c>
      <c r="AA23" s="17"/>
      <c r="AB23" s="15">
        <v>14.275</v>
      </c>
    </row>
    <row r="24" ht="20.05" customHeight="1">
      <c r="B24" s="21">
        <v>2022</v>
      </c>
      <c r="C24" s="14">
        <v>224.8</v>
      </c>
      <c r="D24" s="15">
        <v>-138.9</v>
      </c>
      <c r="E24" s="15">
        <v>314.8</v>
      </c>
      <c r="F24" s="15">
        <v>654</v>
      </c>
      <c r="G24" s="15">
        <v>6701</v>
      </c>
      <c r="H24" s="15">
        <v>18342</v>
      </c>
      <c r="I24" s="15">
        <v>210.7</v>
      </c>
      <c r="J24" s="15">
        <v>11.2</v>
      </c>
      <c r="K24" s="15">
        <v>189.2</v>
      </c>
      <c r="L24" s="15">
        <v>-86.3</v>
      </c>
      <c r="M24" s="15">
        <v>100</v>
      </c>
      <c r="N24" s="15">
        <f>SUM(C21:C24)/4</f>
        <v>233.45</v>
      </c>
      <c r="O24" s="15">
        <v>216.108</v>
      </c>
      <c r="P24" s="16">
        <f>C24/C23-1</f>
        <v>-0.27902501603592</v>
      </c>
      <c r="Q24" s="16">
        <f>J24/I24</f>
        <v>0.053156146179402</v>
      </c>
      <c r="R24" s="16">
        <f>AVERAGE(Q21:Q24)</f>
        <v>-0.0432120159574316</v>
      </c>
      <c r="S24" s="35"/>
      <c r="T24" s="25">
        <f>SUM(J21:K24)/4</f>
        <v>173.9375</v>
      </c>
      <c r="U24" s="15">
        <v>-26.142836429530</v>
      </c>
      <c r="V24" s="15">
        <f>-(L24+M24)+V23</f>
        <v>-5622.7</v>
      </c>
      <c r="W24" s="15"/>
      <c r="X24" s="15">
        <f>F24-G24</f>
        <v>-6047</v>
      </c>
      <c r="Y24" s="15">
        <v>-6568.155163661750</v>
      </c>
      <c r="Z24" s="15">
        <v>3200</v>
      </c>
      <c r="AA24" s="140">
        <v>2109.320174896230</v>
      </c>
      <c r="AB24" s="15">
        <v>14.327</v>
      </c>
    </row>
    <row r="25" ht="20.05" customHeight="1">
      <c r="B25" s="13"/>
      <c r="C25" s="14">
        <v>244.9</v>
      </c>
      <c r="D25" s="15">
        <v>-170.2</v>
      </c>
      <c r="E25" s="15">
        <v>330.4</v>
      </c>
      <c r="F25" s="15">
        <v>530</v>
      </c>
      <c r="G25" s="15">
        <v>6579</v>
      </c>
      <c r="H25" s="15">
        <v>18309</v>
      </c>
      <c r="I25" s="15">
        <v>254.3</v>
      </c>
      <c r="J25" s="15">
        <v>49.7</v>
      </c>
      <c r="K25" s="15">
        <v>239.9</v>
      </c>
      <c r="L25" s="15">
        <v>-168.5</v>
      </c>
      <c r="M25" s="15">
        <v>-245</v>
      </c>
      <c r="N25" s="15">
        <f>SUM(C22:C25)/4</f>
        <v>248.475</v>
      </c>
      <c r="O25" s="15">
        <v>240.118</v>
      </c>
      <c r="P25" s="16">
        <f>C25/C24-1</f>
        <v>0.0894128113879004</v>
      </c>
      <c r="Q25" s="16">
        <f>J25/I25</f>
        <v>0.195438458513567</v>
      </c>
      <c r="R25" s="16">
        <f>AVERAGE(Q22:Q25)</f>
        <v>0.0191403279774479</v>
      </c>
      <c r="S25" s="35"/>
      <c r="T25" s="25">
        <f>SUM(J22:K25)/4</f>
        <v>195.9</v>
      </c>
      <c r="U25" s="15">
        <v>207.300268573446</v>
      </c>
      <c r="V25" s="15">
        <f>-(L25+M25)+V24</f>
        <v>-5209.2</v>
      </c>
      <c r="W25" s="15"/>
      <c r="X25" s="15">
        <f>F25-G25</f>
        <v>-6049</v>
      </c>
      <c r="Y25" s="15">
        <v>-5311.792215183620</v>
      </c>
      <c r="Z25" s="15">
        <v>3340</v>
      </c>
      <c r="AA25" s="140">
        <v>2630.714163151860</v>
      </c>
      <c r="AB25" s="15">
        <v>14.66</v>
      </c>
    </row>
    <row r="26" ht="20.05" customHeight="1">
      <c r="B26" s="13"/>
      <c r="C26" s="14">
        <v>286.1</v>
      </c>
      <c r="D26" s="15">
        <v>-157.1</v>
      </c>
      <c r="E26" s="15">
        <v>341.2</v>
      </c>
      <c r="F26" s="15">
        <v>775</v>
      </c>
      <c r="G26" s="15">
        <v>6669</v>
      </c>
      <c r="H26" s="15">
        <v>18735</v>
      </c>
      <c r="I26" s="15">
        <v>252.3</v>
      </c>
      <c r="J26" s="15">
        <v>33.9</v>
      </c>
      <c r="K26" s="15">
        <v>149.2</v>
      </c>
      <c r="L26" s="15">
        <v>62</v>
      </c>
      <c r="M26" s="15">
        <v>0</v>
      </c>
      <c r="N26" s="15">
        <f>SUM(C23:C26)/4</f>
        <v>266.9</v>
      </c>
      <c r="O26" s="15">
        <v>266.3945</v>
      </c>
      <c r="P26" s="16">
        <f>C26/C25-1</f>
        <v>0.168231931400572</v>
      </c>
      <c r="Q26" s="16">
        <f>J26/I26</f>
        <v>0.13436385255648</v>
      </c>
      <c r="R26" s="16">
        <f>AVERAGE(Q23:Q26)</f>
        <v>0.103822256082763</v>
      </c>
      <c r="S26" s="35">
        <f>S27</f>
        <v>0.13436385255648</v>
      </c>
      <c r="T26" s="25">
        <f>SUM(J23:K26)/4</f>
        <v>220.1875</v>
      </c>
      <c r="U26" s="15">
        <v>207.300268573446</v>
      </c>
      <c r="V26" s="15">
        <f>-(L26+M26)+V25</f>
        <v>-5271.2</v>
      </c>
      <c r="W26" s="15">
        <f>W27</f>
        <v>-5039.568386985860</v>
      </c>
      <c r="X26" s="15">
        <f>F26-G26</f>
        <v>-5894</v>
      </c>
      <c r="Y26" s="15">
        <v>-5311.792215183620</v>
      </c>
      <c r="Z26" s="15">
        <v>3710</v>
      </c>
      <c r="AA26" s="140">
        <v>2630.714163151860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302.2234215595</v>
      </c>
      <c r="P27" s="17"/>
      <c r="Q27" s="17"/>
      <c r="R27" s="17"/>
      <c r="S27" s="35">
        <f>AE53</f>
        <v>0.13436385255648</v>
      </c>
      <c r="T27" s="25"/>
      <c r="U27" s="15">
        <f>SUM(AE55:AH55)/4</f>
        <v>57.9079032535356</v>
      </c>
      <c r="V27" s="17"/>
      <c r="W27" s="15">
        <f>-SUM(AE76:AH76)+V26</f>
        <v>-5039.568386985860</v>
      </c>
      <c r="X27" s="26"/>
      <c r="Y27" s="15">
        <f>AH75</f>
        <v>-5662.368386985860</v>
      </c>
      <c r="Z27" s="15">
        <v>4070</v>
      </c>
      <c r="AA27" s="140">
        <v>2135.604538446330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1287.65</v>
      </c>
      <c r="O28" s="15">
        <f>SUM(O21:O26)</f>
        <v>1265.6205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2449.572984087890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380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0.111651165209795</v>
      </c>
      <c r="AF49" s="35"/>
      <c r="AG49" s="35"/>
      <c r="AH49" s="35">
        <f>AVERAGE(AE51:AH51)</f>
        <v>0.0175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0.467984934086629</v>
      </c>
      <c r="AF50" s="35">
        <f>P24</f>
        <v>-0.27902501603592</v>
      </c>
      <c r="AG50" s="35">
        <f>P25</f>
        <v>0.0894128113879004</v>
      </c>
      <c r="AH50" s="35">
        <f>P26</f>
        <v>0.168231931400572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-0.03</v>
      </c>
      <c r="AG51" s="35">
        <v>0.01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286.1</v>
      </c>
      <c r="AE52" s="23">
        <f>C26*(1+AE51)</f>
        <v>306.127</v>
      </c>
      <c r="AF52" s="23">
        <f>AE52*(1+AF51)</f>
        <v>296.94319</v>
      </c>
      <c r="AG52" s="23">
        <f>AF52*(1+AG51)</f>
        <v>299.9126219</v>
      </c>
      <c r="AH52" s="23">
        <f>AG52*(1+AH51)</f>
        <v>305.910874338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0.13436385255648</v>
      </c>
      <c r="AF53" s="35">
        <f>AE53</f>
        <v>0.13436385255648</v>
      </c>
      <c r="AG53" s="35">
        <f>AF53</f>
        <v>0.13436385255648</v>
      </c>
      <c r="AH53" s="35">
        <f>AG53</f>
        <v>0.13436385255648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AVERAGE(K15)</f>
        <v>17.3</v>
      </c>
      <c r="AF54" s="15">
        <f>AE54</f>
        <v>17.3</v>
      </c>
      <c r="AG54" s="15">
        <f>AF54</f>
        <v>17.3</v>
      </c>
      <c r="AH54" s="15">
        <f>AG54</f>
        <v>17.3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58.4324030915576</v>
      </c>
      <c r="AF55" s="15">
        <f>(AF52*AF53)+AF54</f>
        <v>57.1984309988108</v>
      </c>
      <c r="AG55" s="15">
        <f>(AG52*AG53)+AG54</f>
        <v>57.5974153087989</v>
      </c>
      <c r="AH55" s="15">
        <f>(AH52*AH53)+AH54</f>
        <v>58.4033636149749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-333.45</v>
      </c>
      <c r="AF56" s="15">
        <f>-AE71/20</f>
        <v>-316.7775</v>
      </c>
      <c r="AG56" s="15">
        <f>-AF71/20</f>
        <v>-300.938625</v>
      </c>
      <c r="AH56" s="15">
        <f>-AG71/20</f>
        <v>-285.89169375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-275.017596908442</v>
      </c>
      <c r="AF59" s="15">
        <f>AF55+AF56+AF58</f>
        <v>-259.579069001189</v>
      </c>
      <c r="AG59" s="15">
        <f>AG55+AG56+AG58</f>
        <v>-243.341209691201</v>
      </c>
      <c r="AH59" s="15">
        <f>AH55+AH56+AH58</f>
        <v>-227.488330135025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275.017596908442</v>
      </c>
      <c r="AF60" s="15">
        <f>-MIN(AE72,AF59)</f>
        <v>259.579069001189</v>
      </c>
      <c r="AG60" s="15">
        <f>-MIN(AF72,AG59)</f>
        <v>243.341209691201</v>
      </c>
      <c r="AH60" s="15">
        <f>-MIN(AG72,AH59)</f>
        <v>227.488330135025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775</v>
      </c>
      <c r="AF61" s="15">
        <f>AE63</f>
        <v>775</v>
      </c>
      <c r="AG61" s="15">
        <f>AF63</f>
        <v>775</v>
      </c>
      <c r="AH61" s="15">
        <f>AG63</f>
        <v>775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-4e-13</v>
      </c>
      <c r="AF62" s="15">
        <f>AF55+AF56+AF58+AF60</f>
        <v>-2e-13</v>
      </c>
      <c r="AG62" s="15">
        <f>AG55+AG56+AG58+AG60</f>
        <v>-1e-13</v>
      </c>
      <c r="AH62" s="15">
        <f>AH55+AH56+AH58+AH60</f>
        <v>-1e-13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775</v>
      </c>
      <c r="AF63" s="15">
        <f>AF61+AF62</f>
        <v>775</v>
      </c>
      <c r="AG63" s="15">
        <f>AG61+AG62</f>
        <v>775</v>
      </c>
      <c r="AH63" s="15">
        <f>AH61+AH62</f>
        <v>775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155.4</v>
      </c>
      <c r="AF65" s="15">
        <f>AE65</f>
        <v>155.4</v>
      </c>
      <c r="AG65" s="15">
        <f>AF65</f>
        <v>155.4</v>
      </c>
      <c r="AH65" s="15">
        <f>AG65</f>
        <v>155.4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196.532403091558</v>
      </c>
      <c r="AF66" s="15">
        <f>(AF52*AF53)+AF65</f>
        <v>195.298430998811</v>
      </c>
      <c r="AG66" s="15">
        <f>(AG52*AG53)+AG65</f>
        <v>195.697415308799</v>
      </c>
      <c r="AH66" s="15">
        <f>(AH52*AH53)+AH65</f>
        <v>196.503363614975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17942.7</v>
      </c>
      <c r="AF68" s="15">
        <f>AE68-AF54</f>
        <v>17925.4</v>
      </c>
      <c r="AG68" s="15">
        <f>AF68-AG54</f>
        <v>17908.1</v>
      </c>
      <c r="AH68" s="15">
        <f>AG68-AH54</f>
        <v>17890.8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-155.4</v>
      </c>
      <c r="AF69" s="15">
        <f>AE69-AF65</f>
        <v>-310.8</v>
      </c>
      <c r="AG69" s="15">
        <f>AF69-AG65</f>
        <v>-466.2</v>
      </c>
      <c r="AH69" s="15">
        <f>AG69-AH65</f>
        <v>-621.6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18098.1</v>
      </c>
      <c r="AF70" s="15">
        <f>AF68-AF69</f>
        <v>18236.2</v>
      </c>
      <c r="AG70" s="15">
        <f>AG68-AG69</f>
        <v>18374.3</v>
      </c>
      <c r="AH70" s="15">
        <f>AH68-AH69</f>
        <v>18512.4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6335.55</v>
      </c>
      <c r="AF71" s="15">
        <f>AE71+AF56</f>
        <v>6018.7725</v>
      </c>
      <c r="AG71" s="15">
        <f>AF71+AG56</f>
        <v>5717.833875</v>
      </c>
      <c r="AH71" s="15">
        <f>AG71+AH56</f>
        <v>5431.94218125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275.017596908442</v>
      </c>
      <c r="AF72" s="15">
        <f>AE72+AF60</f>
        <v>534.596665909631</v>
      </c>
      <c r="AG72" s="15">
        <f>AF72+AG60</f>
        <v>777.9378756008319</v>
      </c>
      <c r="AH72" s="15">
        <f>AG72+AH60</f>
        <v>1005.426205735860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12262.5324030916</v>
      </c>
      <c r="AF73" s="15">
        <f>AE73+AF66+AF58</f>
        <v>12457.8308340904</v>
      </c>
      <c r="AG73" s="15">
        <f>AF73+AG66+AG58</f>
        <v>12653.5282493992</v>
      </c>
      <c r="AH73" s="15">
        <f>AG73+AH66+AH58</f>
        <v>12850.0316130142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4.2e-11</v>
      </c>
      <c r="AF74" s="15">
        <f>AF71+AF72+AF73-AF63-AF70</f>
        <v>3.1e-11</v>
      </c>
      <c r="AG74" s="15">
        <f>AG71+AG72+AG73-AG63-AG70</f>
        <v>3.2e-11</v>
      </c>
      <c r="AH74" s="15">
        <f>AH71+AH72+AH73-AH63-AH70</f>
        <v>6e-11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-5835.567596908440</v>
      </c>
      <c r="AF75" s="15">
        <f>AF63-AF71-AF72</f>
        <v>-5778.369165909630</v>
      </c>
      <c r="AG75" s="15">
        <f>AG63-AG71-AG72</f>
        <v>-5720.771750600830</v>
      </c>
      <c r="AH75" s="15">
        <f>AH63-AH71-AH72</f>
        <v>-5662.368386985860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-58.432403091558</v>
      </c>
      <c r="AF76" s="15">
        <f>AF56+AF58+AF60</f>
        <v>-57.198430998811</v>
      </c>
      <c r="AG76" s="15">
        <f>AG56+AG58+AG60</f>
        <v>-57.597415308799</v>
      </c>
      <c r="AH76" s="15">
        <f>AH56+AH58+AH60</f>
        <v>-58.403363614975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555</v>
      </c>
      <c r="AD78" s="14"/>
      <c r="AE78" s="15"/>
      <c r="AF78" s="15"/>
      <c r="AG78" s="15"/>
      <c r="AH78" s="15">
        <v>4070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555</v>
      </c>
      <c r="AD79" s="14"/>
      <c r="AE79" s="15"/>
      <c r="AF79" s="15"/>
      <c r="AG79" s="15"/>
      <c r="AH79" s="15">
        <v>57728877916160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57728.87791616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14.183999488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2.99308760725448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231.631613014142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79.9217333036046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249.227111813254</v>
      </c>
      <c r="AH86" s="15">
        <v>150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34744.7419521213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2449.572984087890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-0.398139315948921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0.3469868173258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-0.0171082980623617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555</v>
      </c>
      <c r="AF94" t="s" s="44">
        <v>60</v>
      </c>
      <c r="AG94" s="15">
        <f>AH78</f>
        <v>4070</v>
      </c>
      <c r="AH94" t="s" s="44">
        <v>61</v>
      </c>
      <c r="AI94" s="15">
        <f>AH88</f>
        <v>2449.572984087890</v>
      </c>
      <c r="AJ94" t="s" s="44">
        <f>IF(AK94&gt;0,"+","")</f>
      </c>
      <c r="AK94" s="16">
        <f>AI94/AG94-1</f>
        <v>-0.398139315948921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0.3469868173258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0.0152566623809858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0.00694359589982246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-0.102097948422969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0.168231931400572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0.149350649350649</v>
      </c>
      <c r="AF103" s="16">
        <f>P23</f>
        <v>0.467984934086629</v>
      </c>
      <c r="AG103" s="16">
        <f>P24</f>
        <v>-0.27902501603592</v>
      </c>
      <c r="AH103" s="16">
        <f>P25</f>
        <v>0.0894128113879004</v>
      </c>
      <c r="AI103" s="16">
        <f>P26</f>
        <v>0.168231931400572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212.4</v>
      </c>
      <c r="AF104" t="s" s="44">
        <v>72</v>
      </c>
      <c r="AG104" s="15">
        <f>C23</f>
        <v>311.8</v>
      </c>
      <c r="AH104" t="s" s="44">
        <v>72</v>
      </c>
      <c r="AI104" s="15">
        <f>C24</f>
        <v>224.8</v>
      </c>
      <c r="AJ104" t="s" s="44">
        <v>72</v>
      </c>
      <c r="AK104" s="15">
        <f>C25</f>
        <v>244.9</v>
      </c>
      <c r="AL104" t="s" s="44">
        <v>72</v>
      </c>
      <c r="AM104" s="15">
        <f>C26</f>
        <v>286.1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0.168231931400572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286.1</v>
      </c>
      <c r="AM105" t="s" s="44">
        <v>372</v>
      </c>
      <c r="AN105" t="s" s="44">
        <v>373</v>
      </c>
      <c r="AO105" s="16">
        <f>AH91</f>
        <v>-0.0171082980623617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0.111651165209795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0.0175</v>
      </c>
      <c r="AG107" t="s" s="44">
        <v>82</v>
      </c>
      <c r="AH107" t="s" s="44">
        <v>83</v>
      </c>
      <c r="AI107" s="23">
        <f>AH52</f>
        <v>305.910874338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0.569209039548023</v>
      </c>
      <c r="AF110" s="16">
        <f>(D23+E23)/C23</f>
        <v>0.658755612572162</v>
      </c>
      <c r="AG110" s="16">
        <f>((E24+D24)/C24)</f>
        <v>0.782473309608541</v>
      </c>
      <c r="AH110" s="16">
        <f>(D25+E25)/C25</f>
        <v>0.654144548795427</v>
      </c>
      <c r="AI110" s="16">
        <f>(D26+E26)/C26</f>
        <v>0.64348130024467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134.4</v>
      </c>
      <c r="AF111" t="s" s="44">
        <v>72</v>
      </c>
      <c r="AG111" s="15">
        <f>E23</f>
        <v>562.1</v>
      </c>
      <c r="AH111" t="s" s="44">
        <v>72</v>
      </c>
      <c r="AI111" s="15">
        <f>E24</f>
        <v>314.8</v>
      </c>
      <c r="AJ111" t="s" s="44">
        <v>72</v>
      </c>
      <c r="AK111" s="15">
        <f>E25</f>
        <v>330.4</v>
      </c>
      <c r="AL111" t="s" s="44">
        <v>72</v>
      </c>
      <c r="AM111" s="15">
        <f>E26</f>
        <v>341.2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0.654144548795427</v>
      </c>
      <c r="AG112" t="s" s="44">
        <v>76</v>
      </c>
      <c r="AH112" s="16">
        <f>AI110</f>
        <v>0.64348130024467</v>
      </c>
      <c r="AI112" t="s" s="44">
        <v>90</v>
      </c>
      <c r="AJ112" s="15">
        <f>AK111</f>
        <v>330.4</v>
      </c>
      <c r="AK112" t="s" s="44">
        <v>76</v>
      </c>
      <c r="AL112" s="15">
        <f>AM111</f>
        <v>341.2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0.6847136928052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0.13436385255648</v>
      </c>
      <c r="AG114" t="s" s="44">
        <v>94</v>
      </c>
      <c r="AH114" s="15">
        <f>AH66</f>
        <v>196.503363614975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-33.25</v>
      </c>
      <c r="AF117" t="s" s="44">
        <v>72</v>
      </c>
      <c r="AG117" s="15">
        <f>J23</f>
        <v>9.35</v>
      </c>
      <c r="AH117" t="s" s="44">
        <v>72</v>
      </c>
      <c r="AI117" s="15">
        <f>J24</f>
        <v>11.2</v>
      </c>
      <c r="AJ117" t="s" s="44">
        <v>72</v>
      </c>
      <c r="AK117" s="15">
        <f>J25</f>
        <v>49.7</v>
      </c>
      <c r="AL117" t="s" s="44">
        <v>72</v>
      </c>
      <c r="AM117" s="15">
        <f>J26</f>
        <v>33.9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119.2</v>
      </c>
      <c r="AF118" t="s" s="44">
        <v>72</v>
      </c>
      <c r="AG118" s="15">
        <f>K23</f>
        <v>198.3</v>
      </c>
      <c r="AH118" t="s" s="44">
        <v>72</v>
      </c>
      <c r="AI118" s="15">
        <f>K24</f>
        <v>189.2</v>
      </c>
      <c r="AJ118" t="s" s="44">
        <v>72</v>
      </c>
      <c r="AK118" s="15">
        <f>K25</f>
        <v>239.9</v>
      </c>
      <c r="AL118" t="s" s="44">
        <v>72</v>
      </c>
      <c r="AM118" s="15">
        <f>K26</f>
        <v>149.2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289.6</v>
      </c>
      <c r="AG119" t="s" s="44">
        <v>76</v>
      </c>
      <c r="AH119" s="15">
        <f>AM117+AM118</f>
        <v>183.1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149.2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220.1875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17.3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57.9079032535356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328</v>
      </c>
      <c r="AF124" t="s" s="44">
        <v>72</v>
      </c>
      <c r="AG124" s="15">
        <f>F23</f>
        <v>440</v>
      </c>
      <c r="AH124" t="s" s="44">
        <v>72</v>
      </c>
      <c r="AI124" s="15">
        <f>F24</f>
        <v>654</v>
      </c>
      <c r="AJ124" t="s" s="44">
        <v>72</v>
      </c>
      <c r="AK124" s="15">
        <f>F25</f>
        <v>530</v>
      </c>
      <c r="AL124" t="s" s="44">
        <v>72</v>
      </c>
      <c r="AM124" s="15">
        <f>F26</f>
        <v>775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6773</v>
      </c>
      <c r="AF125" t="s" s="44">
        <v>72</v>
      </c>
      <c r="AG125" s="15">
        <f>G23</f>
        <v>6825</v>
      </c>
      <c r="AH125" t="s" s="44">
        <v>72</v>
      </c>
      <c r="AI125" s="15">
        <f>G24</f>
        <v>6701</v>
      </c>
      <c r="AJ125" t="s" s="44">
        <v>72</v>
      </c>
      <c r="AK125" s="15">
        <f>G25</f>
        <v>6579</v>
      </c>
      <c r="AL125" t="s" s="44">
        <v>72</v>
      </c>
      <c r="AM125" s="15">
        <f>G26</f>
        <v>6669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530</v>
      </c>
      <c r="AH126" t="s" s="44">
        <v>76</v>
      </c>
      <c r="AI126" s="15">
        <f>AM124</f>
        <v>775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6579</v>
      </c>
      <c r="AH127" t="s" s="44">
        <v>76</v>
      </c>
      <c r="AI127" s="15">
        <f>AM125</f>
        <v>6669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-6049</v>
      </c>
      <c r="AO127" t="s" s="44">
        <v>76</v>
      </c>
      <c r="AP127" s="15">
        <f>AI126-AI127</f>
        <v>-5894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-231.631613014143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-5662.368386985860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130.497</v>
      </c>
      <c r="AF131" t="s" s="44">
        <v>72</v>
      </c>
      <c r="AG131" s="15">
        <f>-L23</f>
        <v>133.046</v>
      </c>
      <c r="AH131" t="s" s="44">
        <v>72</v>
      </c>
      <c r="AI131" s="15">
        <f>-L24</f>
        <v>86.3</v>
      </c>
      <c r="AJ131" t="s" s="44">
        <v>72</v>
      </c>
      <c r="AK131" s="15">
        <f>-L25</f>
        <v>168.5</v>
      </c>
      <c r="AL131" t="s" s="44">
        <v>72</v>
      </c>
      <c r="AM131" s="15">
        <f>-L26</f>
        <v>-62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-75</v>
      </c>
      <c r="AF132" t="s" s="44">
        <v>72</v>
      </c>
      <c r="AG132" s="15">
        <f>-M23</f>
        <v>-70</v>
      </c>
      <c r="AH132" t="s" s="44">
        <v>72</v>
      </c>
      <c r="AI132" s="15">
        <f>-M24</f>
        <v>-100</v>
      </c>
      <c r="AJ132" t="s" s="44">
        <v>72</v>
      </c>
      <c r="AK132" s="15">
        <f>-M25</f>
        <v>245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555</v>
      </c>
      <c r="AF133" t="s" s="44">
        <f>IF(AG133&gt;0,"paid","(raised)")</f>
        <v>121</v>
      </c>
      <c r="AG133" s="15">
        <f>SUM(AM131:AM132)</f>
        <v>-62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-62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231.631613014143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57728.87791616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2.99308760725448</v>
      </c>
      <c r="AK134" t="s" s="44">
        <v>130</v>
      </c>
      <c r="AL134" t="s" s="44">
        <v>131</v>
      </c>
      <c r="AM134" t="s" s="44">
        <v>132</v>
      </c>
      <c r="AN134" s="15">
        <f>AH85</f>
        <v>79.9217333036046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231.631613014142</v>
      </c>
      <c r="AG135" t="s" s="44">
        <f>AG134</f>
        <v>372</v>
      </c>
      <c r="AH135" t="s" s="44">
        <v>136</v>
      </c>
      <c r="AI135" s="15">
        <f>AF134/AF135</f>
        <v>249.227111813254</v>
      </c>
      <c r="AJ135" t="s" s="44">
        <v>130</v>
      </c>
      <c r="AK135" t="s" s="44">
        <v>137</v>
      </c>
      <c r="AL135" t="s" s="44">
        <v>138</v>
      </c>
      <c r="AM135" s="15">
        <f>AH86</f>
        <v>150</v>
      </c>
      <c r="AN135" t="s" s="44">
        <v>139</v>
      </c>
      <c r="AO135" t="s" s="44">
        <v>140</v>
      </c>
      <c r="AP135" t="s" s="44">
        <v>141</v>
      </c>
      <c r="AQ135" s="16">
        <f>AK94</f>
        <v>-0.398139315948921</v>
      </c>
      <c r="AR135" t="s" s="44">
        <f>IF(AQ135&gt;0,"higher","lower")</f>
        <v>104</v>
      </c>
      <c r="AS135" t="s" s="44">
        <v>142</v>
      </c>
      <c r="AT135" s="15">
        <f>AI94</f>
        <v>2449.572984087890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212.4</v>
      </c>
      <c r="AE137" s="15">
        <f>AG104</f>
        <v>311.8</v>
      </c>
      <c r="AF137" s="15">
        <f>AI104</f>
        <v>224.8</v>
      </c>
      <c r="AG137" s="15">
        <f>AK104</f>
        <v>244.9</v>
      </c>
      <c r="AH137" s="15">
        <f>AM104</f>
        <v>286.1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85.95</v>
      </c>
      <c r="AE138" s="15">
        <f>SUM(AG117:AG118)</f>
        <v>207.65</v>
      </c>
      <c r="AF138" s="15">
        <f>SUM(AI117:AI118)</f>
        <v>200.4</v>
      </c>
      <c r="AG138" s="15">
        <f>SUM(AK117:AK118)</f>
        <v>289.6</v>
      </c>
      <c r="AH138" s="15">
        <f>SUM(AM117:AM118)</f>
        <v>183.1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55.497</v>
      </c>
      <c r="AE139" s="15">
        <f>SUM(AG131:AG132)</f>
        <v>63.046</v>
      </c>
      <c r="AF139" s="15">
        <f>SUM(AI131:AI132)</f>
        <v>-13.7</v>
      </c>
      <c r="AG139" s="15">
        <f>SUM(AK131:AK132)</f>
        <v>413.5</v>
      </c>
      <c r="AH139" s="15">
        <f>SUM(AM131:AM132)</f>
        <v>-62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-6445</v>
      </c>
      <c r="AE140" s="15">
        <f>(AG124-AG125)</f>
        <v>-6385</v>
      </c>
      <c r="AF140" s="15">
        <f>(AI124-AI125)</f>
        <v>-6047</v>
      </c>
      <c r="AG140" s="15">
        <f>(AK124-AK125)</f>
        <v>-6049</v>
      </c>
      <c r="AH140" s="15">
        <f>(AM124-AM125)</f>
        <v>-5894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2449.572984087890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86" customWidth="1"/>
    <col min="2" max="27" width="10.4844" style="186" customWidth="1"/>
    <col min="28" max="28" width="18.9766" style="187" customWidth="1"/>
    <col min="29" max="32" width="9" style="187" customWidth="1"/>
    <col min="33" max="46" hidden="1" width="16.3333" style="187" customWidth="1"/>
    <col min="47" max="16384" width="16.3516" style="187" customWidth="1"/>
  </cols>
  <sheetData>
    <row r="1" ht="11.65" customHeight="1"/>
    <row r="2" ht="27.65" customHeight="1">
      <c r="B2" t="s" s="2">
        <v>556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266</v>
      </c>
      <c r="AA3" t="s" s="3">
        <v>19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8"/>
      <c r="AA4" s="9"/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15"/>
      <c r="AA5" s="17"/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5"/>
      <c r="AA6" s="17"/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5"/>
      <c r="AA7" s="17"/>
    </row>
    <row r="8" ht="20.05" customHeight="1">
      <c r="B8" s="21">
        <v>2018</v>
      </c>
      <c r="C8" s="14">
        <f>C9</f>
        <v>613</v>
      </c>
      <c r="D8" s="15">
        <f>D9</f>
        <v>24.5</v>
      </c>
      <c r="E8" s="15">
        <f>E9</f>
        <v>31</v>
      </c>
      <c r="F8" s="15">
        <f>F9</f>
        <v>91</v>
      </c>
      <c r="G8" s="15">
        <f>G9</f>
        <v>951</v>
      </c>
      <c r="H8" s="15">
        <f>H9</f>
        <v>1343</v>
      </c>
      <c r="I8" s="15">
        <f>I9</f>
        <v>598.25</v>
      </c>
      <c r="J8" s="15">
        <f>J9</f>
        <v>44</v>
      </c>
      <c r="K8" s="15">
        <f>K9</f>
        <v>-30.25</v>
      </c>
      <c r="L8" s="15">
        <f>L9</f>
        <v>-7.25</v>
      </c>
      <c r="M8" s="15">
        <f>M9</f>
        <v>-3.5</v>
      </c>
      <c r="N8" s="15">
        <f>SUM(C5:C8)/4</f>
        <v>153.25</v>
      </c>
      <c r="O8" s="17"/>
      <c r="P8" s="16"/>
      <c r="Q8" s="16">
        <f>((D8+E8)/C8)</f>
        <v>0.0905383360522023</v>
      </c>
      <c r="R8" s="16"/>
      <c r="S8" s="17"/>
      <c r="T8" s="15">
        <f>SUM(J5:K8)/4</f>
        <v>3.4375</v>
      </c>
      <c r="U8" s="17"/>
      <c r="V8" s="15">
        <f>-(L8+M8)+V7</f>
        <v>10.75</v>
      </c>
      <c r="W8" s="17"/>
      <c r="X8" s="15">
        <f>F8-G8</f>
        <v>-860</v>
      </c>
      <c r="Y8" s="24"/>
      <c r="Z8" s="15"/>
      <c r="AA8" s="24"/>
    </row>
    <row r="9" ht="20.05" customHeight="1">
      <c r="B9" s="13"/>
      <c r="C9" s="14">
        <f>C10</f>
        <v>613</v>
      </c>
      <c r="D9" s="15">
        <f>D10</f>
        <v>24.5</v>
      </c>
      <c r="E9" s="15">
        <f>E10</f>
        <v>31</v>
      </c>
      <c r="F9" s="15">
        <f>F10</f>
        <v>91</v>
      </c>
      <c r="G9" s="15">
        <f>G10</f>
        <v>951</v>
      </c>
      <c r="H9" s="15">
        <f>H10</f>
        <v>1343</v>
      </c>
      <c r="I9" s="15">
        <f>I10</f>
        <v>598.25</v>
      </c>
      <c r="J9" s="15">
        <f>J10</f>
        <v>44</v>
      </c>
      <c r="K9" s="15">
        <f>K10</f>
        <v>-30.25</v>
      </c>
      <c r="L9" s="15">
        <f>L10</f>
        <v>-7.25</v>
      </c>
      <c r="M9" s="15">
        <f>M10</f>
        <v>-3.5</v>
      </c>
      <c r="N9" s="15">
        <f>SUM(C6:C9)/4</f>
        <v>306.5</v>
      </c>
      <c r="O9" s="17"/>
      <c r="P9" s="16"/>
      <c r="Q9" s="16">
        <f>((D9+E9)/C9)</f>
        <v>0.0905383360522023</v>
      </c>
      <c r="R9" s="16"/>
      <c r="S9" s="17"/>
      <c r="T9" s="15">
        <f>SUM(J6:K9)/4</f>
        <v>6.875</v>
      </c>
      <c r="U9" s="17"/>
      <c r="V9" s="15">
        <f>-(L9+M9)+V8</f>
        <v>21.5</v>
      </c>
      <c r="W9" s="17"/>
      <c r="X9" s="15">
        <f>F9-G9</f>
        <v>-860</v>
      </c>
      <c r="Y9" s="24"/>
      <c r="Z9" s="15"/>
      <c r="AA9" s="24"/>
    </row>
    <row r="10" ht="20.05" customHeight="1">
      <c r="B10" s="13"/>
      <c r="C10" s="14">
        <f>C11</f>
        <v>613</v>
      </c>
      <c r="D10" s="15">
        <f>D11</f>
        <v>24.5</v>
      </c>
      <c r="E10" s="15">
        <f>E11</f>
        <v>31</v>
      </c>
      <c r="F10" s="15">
        <f>F11</f>
        <v>91</v>
      </c>
      <c r="G10" s="15">
        <f>G11</f>
        <v>951</v>
      </c>
      <c r="H10" s="15">
        <f>H11</f>
        <v>1343</v>
      </c>
      <c r="I10" s="15">
        <f>I11</f>
        <v>598.25</v>
      </c>
      <c r="J10" s="15">
        <f>J11</f>
        <v>44</v>
      </c>
      <c r="K10" s="15">
        <f>K11</f>
        <v>-30.25</v>
      </c>
      <c r="L10" s="15">
        <f>L11</f>
        <v>-7.25</v>
      </c>
      <c r="M10" s="15">
        <f>M11</f>
        <v>-3.5</v>
      </c>
      <c r="N10" s="15">
        <f>SUM(C7:C10)/4</f>
        <v>459.75</v>
      </c>
      <c r="O10" s="17"/>
      <c r="P10" s="16"/>
      <c r="Q10" s="16">
        <f>((D10+E10)/C10)</f>
        <v>0.0905383360522023</v>
      </c>
      <c r="R10" s="16"/>
      <c r="S10" s="17"/>
      <c r="T10" s="15">
        <f>SUM(J7:K10)/4</f>
        <v>10.3125</v>
      </c>
      <c r="U10" s="17"/>
      <c r="V10" s="15">
        <f>-(L10+M10)+V9</f>
        <v>32.25</v>
      </c>
      <c r="W10" s="17"/>
      <c r="X10" s="15">
        <f>F10-G10</f>
        <v>-860</v>
      </c>
      <c r="Y10" s="24"/>
      <c r="Z10" s="15"/>
      <c r="AA10" s="24"/>
    </row>
    <row r="11" ht="20.05" customHeight="1">
      <c r="B11" s="13"/>
      <c r="C11" s="14">
        <f>C31/4</f>
        <v>613</v>
      </c>
      <c r="D11" s="15">
        <f>D31/4</f>
        <v>24.5</v>
      </c>
      <c r="E11" s="15">
        <f>E31/4</f>
        <v>31</v>
      </c>
      <c r="F11" s="15">
        <f>F31</f>
        <v>91</v>
      </c>
      <c r="G11" s="15">
        <f>G31</f>
        <v>951</v>
      </c>
      <c r="H11" s="15">
        <f>H31</f>
        <v>1343</v>
      </c>
      <c r="I11" s="15">
        <f>I31/4</f>
        <v>598.25</v>
      </c>
      <c r="J11" s="15">
        <f>J31/4</f>
        <v>44</v>
      </c>
      <c r="K11" s="15">
        <f>K31/4</f>
        <v>-30.25</v>
      </c>
      <c r="L11" s="15">
        <f>L31/4</f>
        <v>-7.25</v>
      </c>
      <c r="M11" s="15">
        <f>M31/4</f>
        <v>-3.5</v>
      </c>
      <c r="N11" s="15">
        <f>SUM(C8:C11)/4</f>
        <v>613</v>
      </c>
      <c r="O11" s="17"/>
      <c r="P11" s="16"/>
      <c r="Q11" s="16">
        <f>((D11+E11)/C11)</f>
        <v>0.0905383360522023</v>
      </c>
      <c r="R11" s="16"/>
      <c r="S11" s="17"/>
      <c r="T11" s="15">
        <f>SUM(J8:K11)/4</f>
        <v>13.75</v>
      </c>
      <c r="U11" s="17"/>
      <c r="V11" s="15">
        <f>-(L11+M11)+V10</f>
        <v>43</v>
      </c>
      <c r="W11" s="17"/>
      <c r="X11" s="15">
        <f>F11-G11</f>
        <v>-860</v>
      </c>
      <c r="Y11" s="24"/>
      <c r="Z11" s="15"/>
      <c r="AA11" s="24"/>
    </row>
    <row r="12" ht="20.05" customHeight="1">
      <c r="B12" s="21">
        <v>2019</v>
      </c>
      <c r="C12" s="14">
        <f>C13</f>
        <v>682.25</v>
      </c>
      <c r="D12" s="15">
        <f>D13</f>
        <v>25</v>
      </c>
      <c r="E12" s="15">
        <f>E13</f>
        <v>43.5</v>
      </c>
      <c r="F12" s="15">
        <f>F13</f>
        <v>61</v>
      </c>
      <c r="G12" s="15">
        <f>G13</f>
        <v>975</v>
      </c>
      <c r="H12" s="15">
        <f>H13</f>
        <v>1515</v>
      </c>
      <c r="I12" s="15">
        <f>I13</f>
        <v>671.5</v>
      </c>
      <c r="J12" s="15">
        <f>J13</f>
        <v>59</v>
      </c>
      <c r="K12" s="15">
        <f>K13</f>
        <v>-53.5</v>
      </c>
      <c r="L12" s="15">
        <f>L13</f>
        <v>-8</v>
      </c>
      <c r="M12" s="15">
        <f>M13</f>
        <v>-5</v>
      </c>
      <c r="N12" s="15">
        <f>SUM(C9:C12)/4</f>
        <v>630.3125</v>
      </c>
      <c r="O12" s="17"/>
      <c r="P12" s="16"/>
      <c r="Q12" s="16">
        <f>((D12+E12)/C12)</f>
        <v>0.100403078050568</v>
      </c>
      <c r="R12" s="16">
        <f>AVERAGE(Q9:Q12)</f>
        <v>0.0930045215517937</v>
      </c>
      <c r="S12" s="17"/>
      <c r="T12" s="15">
        <f>SUM(J9:K12)/4</f>
        <v>11.6875</v>
      </c>
      <c r="U12" s="17"/>
      <c r="V12" s="15">
        <f>-(L12+M12)+V11</f>
        <v>56</v>
      </c>
      <c r="W12" s="17"/>
      <c r="X12" s="15">
        <f>F12-G12</f>
        <v>-914</v>
      </c>
      <c r="Y12" s="24"/>
      <c r="Z12" s="15"/>
      <c r="AA12" s="24"/>
    </row>
    <row r="13" ht="20.05" customHeight="1">
      <c r="B13" s="13"/>
      <c r="C13" s="14">
        <f>C14</f>
        <v>682.25</v>
      </c>
      <c r="D13" s="15">
        <f>D14</f>
        <v>25</v>
      </c>
      <c r="E13" s="15">
        <f>E14</f>
        <v>43.5</v>
      </c>
      <c r="F13" s="15">
        <f>F14</f>
        <v>61</v>
      </c>
      <c r="G13" s="15">
        <f>G14</f>
        <v>975</v>
      </c>
      <c r="H13" s="15">
        <f>H14</f>
        <v>1515</v>
      </c>
      <c r="I13" s="15">
        <f>I14</f>
        <v>671.5</v>
      </c>
      <c r="J13" s="15">
        <f>J14</f>
        <v>59</v>
      </c>
      <c r="K13" s="15">
        <f>K14</f>
        <v>-53.5</v>
      </c>
      <c r="L13" s="15">
        <f>L14</f>
        <v>-8</v>
      </c>
      <c r="M13" s="15">
        <f>M14</f>
        <v>-5</v>
      </c>
      <c r="N13" s="15">
        <f>SUM(C10:C13)/4</f>
        <v>647.625</v>
      </c>
      <c r="O13" s="17"/>
      <c r="P13" s="16"/>
      <c r="Q13" s="16">
        <f>((D13+E13)/C13)</f>
        <v>0.100403078050568</v>
      </c>
      <c r="R13" s="16">
        <f>AVERAGE(Q10:Q13)</f>
        <v>0.0954707070513852</v>
      </c>
      <c r="S13" s="17"/>
      <c r="T13" s="15">
        <f>SUM(J10:K13)/4</f>
        <v>9.625</v>
      </c>
      <c r="U13" s="17"/>
      <c r="V13" s="15">
        <f>-(L13+M13)+V12</f>
        <v>69</v>
      </c>
      <c r="W13" s="17"/>
      <c r="X13" s="15">
        <f>F13-G13</f>
        <v>-914</v>
      </c>
      <c r="Y13" s="24"/>
      <c r="Z13" s="15"/>
      <c r="AA13" s="24"/>
    </row>
    <row r="14" ht="20.05" customHeight="1">
      <c r="B14" s="13"/>
      <c r="C14" s="14">
        <f>C15</f>
        <v>682.25</v>
      </c>
      <c r="D14" s="15">
        <f>D15</f>
        <v>25</v>
      </c>
      <c r="E14" s="15">
        <f>E15</f>
        <v>43.5</v>
      </c>
      <c r="F14" s="15">
        <f>F15</f>
        <v>61</v>
      </c>
      <c r="G14" s="15">
        <f>G15</f>
        <v>975</v>
      </c>
      <c r="H14" s="15">
        <f>H15</f>
        <v>1515</v>
      </c>
      <c r="I14" s="15">
        <f>I15</f>
        <v>671.5</v>
      </c>
      <c r="J14" s="15">
        <f>J15</f>
        <v>59</v>
      </c>
      <c r="K14" s="15">
        <f>K15</f>
        <v>-53.5</v>
      </c>
      <c r="L14" s="15">
        <f>L15</f>
        <v>-8</v>
      </c>
      <c r="M14" s="15">
        <f>M15</f>
        <v>-5</v>
      </c>
      <c r="N14" s="15">
        <f>SUM(C11:C14)/4</f>
        <v>664.9375</v>
      </c>
      <c r="O14" s="17"/>
      <c r="P14" s="16"/>
      <c r="Q14" s="16">
        <f>((D14+E14)/C14)</f>
        <v>0.100403078050568</v>
      </c>
      <c r="R14" s="16">
        <f>AVERAGE(Q11:Q14)</f>
        <v>0.0979368925509766</v>
      </c>
      <c r="S14" s="17"/>
      <c r="T14" s="15">
        <f>SUM(J11:K14)/4</f>
        <v>7.5625</v>
      </c>
      <c r="U14" s="17"/>
      <c r="V14" s="15">
        <f>-(L14+M14)+V13</f>
        <v>82</v>
      </c>
      <c r="W14" s="17"/>
      <c r="X14" s="15">
        <f>F14-G14</f>
        <v>-914</v>
      </c>
      <c r="Y14" s="24"/>
      <c r="Z14" s="15"/>
      <c r="AA14" s="24"/>
    </row>
    <row r="15" ht="20.05" customHeight="1">
      <c r="B15" s="13"/>
      <c r="C15" s="14">
        <f>C32/4</f>
        <v>682.25</v>
      </c>
      <c r="D15" s="15">
        <f>D32/4</f>
        <v>25</v>
      </c>
      <c r="E15" s="15">
        <f>E32/4</f>
        <v>43.5</v>
      </c>
      <c r="F15" s="15">
        <f>F32</f>
        <v>61</v>
      </c>
      <c r="G15" s="15">
        <f>G32</f>
        <v>975</v>
      </c>
      <c r="H15" s="15">
        <f>H32</f>
        <v>1515</v>
      </c>
      <c r="I15" s="15">
        <f>I32/4</f>
        <v>671.5</v>
      </c>
      <c r="J15" s="15">
        <f>J32/4</f>
        <v>59</v>
      </c>
      <c r="K15" s="15">
        <f>K32/4</f>
        <v>-53.5</v>
      </c>
      <c r="L15" s="15">
        <f>L32/4</f>
        <v>-8</v>
      </c>
      <c r="M15" s="15">
        <f>M32/4</f>
        <v>-5</v>
      </c>
      <c r="N15" s="15">
        <f>SUM(C12:C15)/4</f>
        <v>682.25</v>
      </c>
      <c r="O15" s="17"/>
      <c r="P15" s="16"/>
      <c r="Q15" s="16">
        <f>((D15+E15)/C15)</f>
        <v>0.100403078050568</v>
      </c>
      <c r="R15" s="16">
        <f>AVERAGE(Q12:Q15)</f>
        <v>0.100403078050568</v>
      </c>
      <c r="S15" s="17"/>
      <c r="T15" s="15">
        <f>SUM(J12:K15)/4</f>
        <v>5.5</v>
      </c>
      <c r="U15" s="17"/>
      <c r="V15" s="15">
        <f>-(L15+M15)+V14</f>
        <v>95</v>
      </c>
      <c r="W15" s="17"/>
      <c r="X15" s="15">
        <f>F15-G15</f>
        <v>-914</v>
      </c>
      <c r="Y15" s="24"/>
      <c r="Z15" s="15"/>
      <c r="AA15" s="24"/>
    </row>
    <row r="16" ht="20.05" customHeight="1">
      <c r="B16" s="21">
        <v>2020</v>
      </c>
      <c r="C16" s="14">
        <f>C17</f>
        <v>468.75</v>
      </c>
      <c r="D16" s="15">
        <f>D17</f>
        <v>27</v>
      </c>
      <c r="E16" s="15">
        <f>E17</f>
        <v>2</v>
      </c>
      <c r="F16" s="15">
        <f>F17</f>
        <v>69</v>
      </c>
      <c r="G16" s="15">
        <f>G17</f>
        <v>1087</v>
      </c>
      <c r="H16" s="15">
        <f>H17</f>
        <v>1619</v>
      </c>
      <c r="I16" s="15">
        <f>I17</f>
        <v>513.5</v>
      </c>
      <c r="J16" s="15">
        <f>J17</f>
        <v>57</v>
      </c>
      <c r="K16" s="15">
        <f>K17</f>
        <v>-80</v>
      </c>
      <c r="L16" s="15">
        <f>L17</f>
        <v>24.75</v>
      </c>
      <c r="M16" s="15">
        <f>M17</f>
        <v>0</v>
      </c>
      <c r="N16" s="15">
        <f>SUM(C13:C16)/4</f>
        <v>628.875</v>
      </c>
      <c r="O16" s="15"/>
      <c r="P16" s="16"/>
      <c r="Q16" s="16">
        <f>((D16+E16)/C16)</f>
        <v>0.0618666666666667</v>
      </c>
      <c r="R16" s="16">
        <f>AVERAGE(Q13:Q16)</f>
        <v>0.09076897520459271</v>
      </c>
      <c r="S16" s="17"/>
      <c r="T16" s="15">
        <f>SUM(J13:K16)/4</f>
        <v>-1.625</v>
      </c>
      <c r="U16" s="17"/>
      <c r="V16" s="15">
        <f>-(L16+M16)+V15</f>
        <v>70.25</v>
      </c>
      <c r="W16" s="17"/>
      <c r="X16" s="15">
        <f>F16-G16</f>
        <v>-1018</v>
      </c>
      <c r="Y16" s="24"/>
      <c r="Z16" s="15"/>
      <c r="AA16" s="24"/>
    </row>
    <row r="17" ht="20.05" customHeight="1">
      <c r="B17" s="13"/>
      <c r="C17" s="14">
        <f>C18</f>
        <v>468.75</v>
      </c>
      <c r="D17" s="15">
        <f>D18</f>
        <v>27</v>
      </c>
      <c r="E17" s="15">
        <f>E18</f>
        <v>2</v>
      </c>
      <c r="F17" s="15">
        <f>F18</f>
        <v>69</v>
      </c>
      <c r="G17" s="15">
        <f>G18</f>
        <v>1087</v>
      </c>
      <c r="H17" s="15">
        <f>H18</f>
        <v>1619</v>
      </c>
      <c r="I17" s="15">
        <f>I18</f>
        <v>513.5</v>
      </c>
      <c r="J17" s="15">
        <f>J18</f>
        <v>57</v>
      </c>
      <c r="K17" s="15">
        <f>K18</f>
        <v>-80</v>
      </c>
      <c r="L17" s="15">
        <f>L18</f>
        <v>24.75</v>
      </c>
      <c r="M17" s="15">
        <f>M18</f>
        <v>0</v>
      </c>
      <c r="N17" s="15">
        <f>SUM(C14:C17)/4</f>
        <v>575.5</v>
      </c>
      <c r="O17" s="15"/>
      <c r="P17" s="16"/>
      <c r="Q17" s="16">
        <f>((D17+E17)/C17)</f>
        <v>0.0618666666666667</v>
      </c>
      <c r="R17" s="16">
        <f>AVERAGE(Q14:Q17)</f>
        <v>0.0811348723586174</v>
      </c>
      <c r="S17" s="17"/>
      <c r="T17" s="15">
        <f>SUM(J14:K17)/4</f>
        <v>-8.75</v>
      </c>
      <c r="U17" s="17"/>
      <c r="V17" s="15">
        <f>-(L17+M17)+V16</f>
        <v>45.5</v>
      </c>
      <c r="W17" s="17"/>
      <c r="X17" s="15">
        <f>F17-G17</f>
        <v>-1018</v>
      </c>
      <c r="Y17" s="24"/>
      <c r="Z17" s="15"/>
      <c r="AA17" s="24"/>
    </row>
    <row r="18" ht="20.05" customHeight="1">
      <c r="B18" s="13"/>
      <c r="C18" s="14">
        <f>C19</f>
        <v>468.75</v>
      </c>
      <c r="D18" s="15">
        <f>D19</f>
        <v>27</v>
      </c>
      <c r="E18" s="15">
        <f>E19</f>
        <v>2</v>
      </c>
      <c r="F18" s="15">
        <f>F19</f>
        <v>69</v>
      </c>
      <c r="G18" s="15">
        <f>G19</f>
        <v>1087</v>
      </c>
      <c r="H18" s="15">
        <f>H19</f>
        <v>1619</v>
      </c>
      <c r="I18" s="15">
        <f>I19</f>
        <v>513.5</v>
      </c>
      <c r="J18" s="15">
        <f>J19</f>
        <v>57</v>
      </c>
      <c r="K18" s="15">
        <f>K19</f>
        <v>-80</v>
      </c>
      <c r="L18" s="15">
        <f>L19</f>
        <v>24.75</v>
      </c>
      <c r="M18" s="15">
        <f>M19</f>
        <v>0</v>
      </c>
      <c r="N18" s="15">
        <f>SUM(C15:C18)/4</f>
        <v>522.125</v>
      </c>
      <c r="O18" s="15"/>
      <c r="P18" s="16"/>
      <c r="Q18" s="16">
        <f>((D18+E18)/C18)</f>
        <v>0.0618666666666667</v>
      </c>
      <c r="R18" s="16">
        <f>AVERAGE(Q15:Q18)</f>
        <v>0.071500769512642</v>
      </c>
      <c r="S18" s="17"/>
      <c r="T18" s="15">
        <f>SUM(J15:K18)/4</f>
        <v>-15.875</v>
      </c>
      <c r="U18" s="17"/>
      <c r="V18" s="15">
        <f>-(L18+M18)+V17</f>
        <v>20.75</v>
      </c>
      <c r="W18" s="17"/>
      <c r="X18" s="15">
        <f>F18-G18</f>
        <v>-1018</v>
      </c>
      <c r="Y18" s="24"/>
      <c r="Z18" s="15"/>
      <c r="AA18" s="24"/>
    </row>
    <row r="19" ht="20.05" customHeight="1">
      <c r="B19" s="13"/>
      <c r="C19" s="14">
        <f>C33/4</f>
        <v>468.75</v>
      </c>
      <c r="D19" s="15">
        <f>D33/4</f>
        <v>27</v>
      </c>
      <c r="E19" s="15">
        <f>E33/4</f>
        <v>2</v>
      </c>
      <c r="F19" s="15">
        <f>F33</f>
        <v>69</v>
      </c>
      <c r="G19" s="15">
        <f>G33</f>
        <v>1087</v>
      </c>
      <c r="H19" s="15">
        <f>H33</f>
        <v>1619</v>
      </c>
      <c r="I19" s="15">
        <f>I33/4</f>
        <v>513.5</v>
      </c>
      <c r="J19" s="15">
        <f>J33/4</f>
        <v>57</v>
      </c>
      <c r="K19" s="15">
        <f>K33/4</f>
        <v>-80</v>
      </c>
      <c r="L19" s="15">
        <f>L33/4</f>
        <v>24.75</v>
      </c>
      <c r="M19" s="15">
        <f>M33/4</f>
        <v>0</v>
      </c>
      <c r="N19" s="15">
        <f>SUM(C16:C19)/4</f>
        <v>468.75</v>
      </c>
      <c r="O19" s="15"/>
      <c r="P19" s="16"/>
      <c r="Q19" s="16">
        <f>((D19+E19)/C19)</f>
        <v>0.0618666666666667</v>
      </c>
      <c r="R19" s="16">
        <f>AVERAGE(Q16:Q19)</f>
        <v>0.0618666666666667</v>
      </c>
      <c r="S19" s="17"/>
      <c r="T19" s="15">
        <f>SUM(J16:K19)/4</f>
        <v>-23</v>
      </c>
      <c r="U19" s="17"/>
      <c r="V19" s="15">
        <f>-(L19+M19)+V18</f>
        <v>-4</v>
      </c>
      <c r="W19" s="17"/>
      <c r="X19" s="15">
        <f>F19-G19</f>
        <v>-1018</v>
      </c>
      <c r="Y19" s="24"/>
      <c r="Z19" s="15"/>
      <c r="AA19" s="24"/>
    </row>
    <row r="20" ht="20.05" customHeight="1">
      <c r="B20" s="21">
        <v>2021</v>
      </c>
      <c r="C20" s="14">
        <f>C34</f>
        <v>676</v>
      </c>
      <c r="D20" s="15">
        <f>D34</f>
        <v>28</v>
      </c>
      <c r="E20" s="15">
        <f>E34</f>
        <v>53</v>
      </c>
      <c r="F20" s="15">
        <f>F21</f>
        <v>415</v>
      </c>
      <c r="G20" s="15">
        <f>G21</f>
        <v>1455</v>
      </c>
      <c r="H20" s="15">
        <f>H21</f>
        <v>2537</v>
      </c>
      <c r="I20" s="15">
        <f>I34</f>
        <v>573</v>
      </c>
      <c r="J20" s="15">
        <f>J34</f>
        <v>9</v>
      </c>
      <c r="K20" s="15">
        <f>K34</f>
        <v>-56</v>
      </c>
      <c r="L20" s="15">
        <f>L34</f>
        <v>56</v>
      </c>
      <c r="M20" s="15">
        <f>M34</f>
        <v>0</v>
      </c>
      <c r="N20" s="15">
        <f>SUM(C17:C20)/4</f>
        <v>520.5625</v>
      </c>
      <c r="O20" s="15"/>
      <c r="P20" s="16"/>
      <c r="Q20" s="16">
        <f>((D20+E20)/C20)</f>
        <v>0.119822485207101</v>
      </c>
      <c r="R20" s="16">
        <f>AVERAGE(Q17:Q20)</f>
        <v>0.0763556213017753</v>
      </c>
      <c r="S20" s="17"/>
      <c r="T20" s="15">
        <f>SUM(J17:K20)/4</f>
        <v>-29</v>
      </c>
      <c r="U20" s="17"/>
      <c r="V20" s="15">
        <f>-(L20+M20)+V19</f>
        <v>-60</v>
      </c>
      <c r="W20" s="17"/>
      <c r="X20" s="15">
        <f>F20-G20</f>
        <v>-1040</v>
      </c>
      <c r="Y20" s="15"/>
      <c r="Z20" s="15"/>
      <c r="AA20" s="17"/>
    </row>
    <row r="21" ht="20.05" customHeight="1">
      <c r="B21" s="13"/>
      <c r="C21" s="14">
        <f>C35-C34</f>
        <v>631</v>
      </c>
      <c r="D21" s="15">
        <f>D35-D34</f>
        <v>28</v>
      </c>
      <c r="E21" s="15">
        <f>E35-E34</f>
        <v>47</v>
      </c>
      <c r="F21" s="15">
        <f>F22</f>
        <v>415</v>
      </c>
      <c r="G21" s="15">
        <f>G22</f>
        <v>1455</v>
      </c>
      <c r="H21" s="15">
        <f>H22</f>
        <v>2537</v>
      </c>
      <c r="I21" s="15">
        <f>I35-I34</f>
        <v>592</v>
      </c>
      <c r="J21" s="15">
        <f>J35-J34</f>
        <v>12</v>
      </c>
      <c r="K21" s="15">
        <f>K35-K34</f>
        <v>-83</v>
      </c>
      <c r="L21" s="15">
        <f>L35-L34</f>
        <v>32</v>
      </c>
      <c r="M21" s="15">
        <f>M35-M34</f>
        <v>0</v>
      </c>
      <c r="N21" s="15">
        <f>SUM(C18:C21)/4</f>
        <v>561.125</v>
      </c>
      <c r="O21" s="15"/>
      <c r="P21" s="16">
        <f>C21/C20-1</f>
        <v>-0.0665680473372781</v>
      </c>
      <c r="Q21" s="16">
        <f>((D21+E21)/C21)</f>
        <v>0.118858954041204</v>
      </c>
      <c r="R21" s="16">
        <f>AVERAGE(Q18:Q21)</f>
        <v>0.0906036931454096</v>
      </c>
      <c r="S21" s="17"/>
      <c r="T21" s="15">
        <f>SUM(J18:K21)/4</f>
        <v>-41</v>
      </c>
      <c r="U21" s="17"/>
      <c r="V21" s="15">
        <f>-(L21+M21)+V20</f>
        <v>-92</v>
      </c>
      <c r="W21" s="17"/>
      <c r="X21" s="15">
        <f>F21-G21</f>
        <v>-1040</v>
      </c>
      <c r="Y21" s="15"/>
      <c r="Z21" s="15"/>
      <c r="AA21" s="17"/>
    </row>
    <row r="22" ht="20.05" customHeight="1">
      <c r="B22" s="13"/>
      <c r="C22" s="14">
        <f>C36-C35</f>
        <v>772</v>
      </c>
      <c r="D22" s="15">
        <f>D36-D35</f>
        <v>28</v>
      </c>
      <c r="E22" s="15">
        <f>E36-E35</f>
        <v>48</v>
      </c>
      <c r="F22" s="15">
        <f>F23</f>
        <v>415</v>
      </c>
      <c r="G22" s="15">
        <f>G23</f>
        <v>1455</v>
      </c>
      <c r="H22" s="15">
        <f>H23</f>
        <v>2537</v>
      </c>
      <c r="I22" s="15">
        <f>I36-I35</f>
        <v>775</v>
      </c>
      <c r="J22" s="15">
        <f>J36-J35</f>
        <v>58</v>
      </c>
      <c r="K22" s="15">
        <f>K36-K35</f>
        <v>-23</v>
      </c>
      <c r="L22" s="15">
        <f>L36-L35</f>
        <v>-21</v>
      </c>
      <c r="M22" s="15">
        <f>M36-M35</f>
        <v>0</v>
      </c>
      <c r="N22" s="15">
        <f>SUM(C19:C22)/4</f>
        <v>636.9375</v>
      </c>
      <c r="O22" s="23"/>
      <c r="P22" s="16">
        <f>C22/C21-1</f>
        <v>0.223454833597464</v>
      </c>
      <c r="Q22" s="16">
        <f>((D22+E22)/C22)</f>
        <v>0.0984455958549223</v>
      </c>
      <c r="R22" s="16">
        <f>AVERAGE(Q19:Q22)</f>
        <v>0.0997484254424735</v>
      </c>
      <c r="S22" s="17"/>
      <c r="T22" s="15">
        <f>SUM(J19:K22)/4</f>
        <v>-26.5</v>
      </c>
      <c r="U22" s="17"/>
      <c r="V22" s="15">
        <f>-(L22+M22)+V21</f>
        <v>-71</v>
      </c>
      <c r="W22" s="17"/>
      <c r="X22" s="15">
        <f>F22-G22</f>
        <v>-1040</v>
      </c>
      <c r="Y22" s="15"/>
      <c r="Z22" s="15"/>
      <c r="AA22" s="17"/>
    </row>
    <row r="23" ht="20.05" customHeight="1">
      <c r="B23" s="13"/>
      <c r="C23" s="14">
        <f>C37-C36</f>
        <v>834</v>
      </c>
      <c r="D23" s="15">
        <f>D37-D36</f>
        <v>28</v>
      </c>
      <c r="E23" s="15">
        <f>E37-E36</f>
        <v>157</v>
      </c>
      <c r="F23" s="15">
        <f>F37</f>
        <v>415</v>
      </c>
      <c r="G23" s="15">
        <f>G37</f>
        <v>1455</v>
      </c>
      <c r="H23" s="15">
        <f>H37</f>
        <v>2537</v>
      </c>
      <c r="I23" s="15">
        <f>I37-I36</f>
        <v>766</v>
      </c>
      <c r="J23" s="15">
        <f>J37-J36</f>
        <v>165</v>
      </c>
      <c r="K23" s="15">
        <f>K37-K36</f>
        <v>-67</v>
      </c>
      <c r="L23" s="15">
        <f>L37-L36</f>
        <v>-28</v>
      </c>
      <c r="M23" s="15">
        <f>M37-M36</f>
        <v>292</v>
      </c>
      <c r="N23" s="15">
        <f>SUM(C20:C23)/4</f>
        <v>728.25</v>
      </c>
      <c r="O23" s="23"/>
      <c r="P23" s="16">
        <f>C23/C22-1</f>
        <v>0.0803108808290155</v>
      </c>
      <c r="Q23" s="16">
        <f>((D23+E23)/C23)</f>
        <v>0.221822541966427</v>
      </c>
      <c r="R23" s="16">
        <f>AVERAGE(Q20:Q23)</f>
        <v>0.139737394267414</v>
      </c>
      <c r="S23" s="17"/>
      <c r="T23" s="15">
        <f>SUM(J20:K23)/4</f>
        <v>3.75</v>
      </c>
      <c r="U23" s="17"/>
      <c r="V23" s="15">
        <f>-(L23+M23)+V22</f>
        <v>-335</v>
      </c>
      <c r="W23" s="17"/>
      <c r="X23" s="15">
        <f>F23-G23</f>
        <v>-1040</v>
      </c>
      <c r="Y23" s="15"/>
      <c r="Z23" s="15">
        <v>496</v>
      </c>
      <c r="AA23" s="17"/>
    </row>
    <row r="24" ht="20.05" customHeight="1">
      <c r="B24" s="21">
        <v>2022</v>
      </c>
      <c r="C24" s="14">
        <f>C38</f>
        <v>916</v>
      </c>
      <c r="D24" s="15">
        <f>D38</f>
        <v>30.6666666666667</v>
      </c>
      <c r="E24" s="15">
        <f>E38</f>
        <v>117</v>
      </c>
      <c r="F24" s="15">
        <f>F38</f>
        <v>429</v>
      </c>
      <c r="G24" s="15">
        <f>G38</f>
        <v>1406</v>
      </c>
      <c r="H24" s="15">
        <f>H38</f>
        <v>2605</v>
      </c>
      <c r="I24" s="15">
        <f>I38</f>
        <v>845</v>
      </c>
      <c r="J24" s="15">
        <f>J38</f>
        <v>40</v>
      </c>
      <c r="K24" s="15">
        <f>K38</f>
        <v>0</v>
      </c>
      <c r="L24" s="15">
        <f>L38</f>
        <v>26</v>
      </c>
      <c r="M24" s="15">
        <f>M38</f>
        <v>0</v>
      </c>
      <c r="N24" s="15">
        <f>SUM(C21:C24)/4</f>
        <v>788.25</v>
      </c>
      <c r="O24" s="23"/>
      <c r="P24" s="16">
        <f>C24/C23-1</f>
        <v>0.0983213429256595</v>
      </c>
      <c r="Q24" s="16">
        <f>((D24+E24)/C24)</f>
        <v>0.161208151382824</v>
      </c>
      <c r="R24" s="16">
        <f>AVERAGE(Q21:Q24)</f>
        <v>0.150083810811344</v>
      </c>
      <c r="S24" s="35"/>
      <c r="T24" s="15">
        <f>SUM(J21:K24)/4</f>
        <v>25.5</v>
      </c>
      <c r="U24" s="15"/>
      <c r="V24" s="15">
        <f>-(L24+M24)+V23</f>
        <v>-361</v>
      </c>
      <c r="W24" s="15"/>
      <c r="X24" s="15">
        <f>F24-G24</f>
        <v>-977</v>
      </c>
      <c r="Y24" s="15"/>
      <c r="Z24" s="15">
        <v>610</v>
      </c>
      <c r="AA24" s="17"/>
    </row>
    <row r="25" ht="20.05" customHeight="1">
      <c r="B25" s="13"/>
      <c r="C25" s="14">
        <f>C39-C38</f>
        <v>674</v>
      </c>
      <c r="D25" s="15">
        <f>D39-D38</f>
        <v>30.6666666666667</v>
      </c>
      <c r="E25" s="15">
        <f>E39-E38</f>
        <v>28</v>
      </c>
      <c r="F25" s="15">
        <f>F39</f>
        <v>236</v>
      </c>
      <c r="G25" s="15">
        <f>G39</f>
        <v>1189</v>
      </c>
      <c r="H25" s="15">
        <f>H39</f>
        <v>2344</v>
      </c>
      <c r="I25" s="15">
        <f>I39-I38</f>
        <v>807</v>
      </c>
      <c r="J25" s="15">
        <f>J39-J38</f>
        <v>-5</v>
      </c>
      <c r="K25" s="15">
        <f>K39-K38</f>
        <v>-79</v>
      </c>
      <c r="L25" s="15">
        <f>L39-L38</f>
        <v>-91</v>
      </c>
      <c r="M25" s="15">
        <f>M39-M38</f>
        <v>-70</v>
      </c>
      <c r="N25" s="15">
        <f>SUM(C22:C25)/4</f>
        <v>799</v>
      </c>
      <c r="O25" s="23"/>
      <c r="P25" s="16">
        <f>C25/C24-1</f>
        <v>-0.264192139737991</v>
      </c>
      <c r="Q25" s="16">
        <f>((D25+E25)/C25)</f>
        <v>0.08704253214638979</v>
      </c>
      <c r="R25" s="16">
        <f>AVERAGE(Q22:Q25)</f>
        <v>0.142129705337641</v>
      </c>
      <c r="S25" s="35"/>
      <c r="T25" s="15">
        <f>SUM(J22:K25)/4</f>
        <v>22.25</v>
      </c>
      <c r="U25" s="15"/>
      <c r="V25" s="15">
        <f>-(L25+M25)+V24</f>
        <v>-200</v>
      </c>
      <c r="W25" s="15"/>
      <c r="X25" s="15">
        <f>F25-G25</f>
        <v>-953</v>
      </c>
      <c r="Y25" s="15"/>
      <c r="Z25" s="15">
        <v>635</v>
      </c>
      <c r="AA25" s="17"/>
    </row>
    <row r="26" ht="20.05" customHeight="1">
      <c r="B26" s="13"/>
      <c r="C26" s="14">
        <f>C40-C39</f>
        <v>1069</v>
      </c>
      <c r="D26" s="15">
        <f>D40-D39</f>
        <v>30.6666666666667</v>
      </c>
      <c r="E26" s="15">
        <f>E40-E39</f>
        <v>107</v>
      </c>
      <c r="F26" s="15">
        <f>F40</f>
        <v>173</v>
      </c>
      <c r="G26" s="15">
        <f>G40</f>
        <v>1235</v>
      </c>
      <c r="H26" s="15">
        <f>H40</f>
        <v>2498</v>
      </c>
      <c r="I26" s="15">
        <f>I40-I39</f>
        <v>893</v>
      </c>
      <c r="J26" s="15">
        <f>J40-J39</f>
        <v>91</v>
      </c>
      <c r="K26" s="15">
        <f>K40-K39</f>
        <v>-93</v>
      </c>
      <c r="L26" s="15">
        <f>L40-L39</f>
        <v>-59</v>
      </c>
      <c r="M26" s="15">
        <f>M40-M39</f>
        <v>-2</v>
      </c>
      <c r="N26" s="15">
        <f>AVERAGE(C26)</f>
        <v>1069</v>
      </c>
      <c r="O26" s="23">
        <f>O27</f>
        <v>1300.59910656</v>
      </c>
      <c r="P26" s="16">
        <f>C26/C25-1</f>
        <v>0.586053412462908</v>
      </c>
      <c r="Q26" s="16">
        <f>((D26+E26)/C26)</f>
        <v>0.128780792017462</v>
      </c>
      <c r="R26" s="16">
        <f>AVERAGE(Q23:Q26)</f>
        <v>0.149713504378276</v>
      </c>
      <c r="S26" s="35">
        <f>S27</f>
        <v>0.0906036931454096</v>
      </c>
      <c r="T26" s="15">
        <f>SUM(J23:K26)/4</f>
        <v>13</v>
      </c>
      <c r="U26" s="15">
        <f>U27</f>
        <v>24.8390823559561</v>
      </c>
      <c r="V26" s="15">
        <f>-(L26+M26)+V25</f>
        <v>-139</v>
      </c>
      <c r="W26" s="15">
        <f>W27</f>
        <v>-39.6436705761755</v>
      </c>
      <c r="X26" s="15">
        <f>F26-G26</f>
        <v>-1062</v>
      </c>
      <c r="Y26" s="15">
        <f>Y27</f>
        <v>-962.6436705761751</v>
      </c>
      <c r="Z26" s="15">
        <v>650</v>
      </c>
      <c r="AA26" s="17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AVERAGE(AC49:AF49)</f>
        <v>1300.59910656</v>
      </c>
      <c r="P27" s="17"/>
      <c r="Q27" s="17"/>
      <c r="R27" s="17"/>
      <c r="S27" s="35">
        <f>AC50</f>
        <v>0.0906036931454096</v>
      </c>
      <c r="T27" s="17"/>
      <c r="U27" s="15">
        <f>SUM(AC52:AF52)/4</f>
        <v>24.8390823559561</v>
      </c>
      <c r="V27" s="17"/>
      <c r="W27" s="15">
        <f>-SUM(AC73:AF73)+V26</f>
        <v>-39.6436705761755</v>
      </c>
      <c r="X27" s="17"/>
      <c r="Y27" s="15">
        <f>AF72</f>
        <v>-962.6436705761751</v>
      </c>
      <c r="Z27" s="15">
        <v>580</v>
      </c>
      <c r="AA27" s="26">
        <f>AA28</f>
        <v>422.264605440758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5103.125</v>
      </c>
      <c r="O28" s="15">
        <f>SUM(O20:O26)</f>
        <v>1300.59910656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AF85</f>
        <v>422.264605440758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20.05" customHeight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20.05" customHeight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20.05" customHeight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20.05" customHeight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20.05" customHeight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20.05" customHeight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20.05" customHeight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20.05" customHeight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20.05" customHeight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20.05" customHeight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20.05" customHeight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20.05" customHeight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3" ht="27.65" customHeight="1">
      <c r="AB43" t="s" s="2">
        <v>266</v>
      </c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ht="20.25" customHeight="1">
      <c r="AB44" t="s" s="28">
        <v>366</v>
      </c>
      <c r="AC44" t="s" s="29">
        <v>24</v>
      </c>
      <c r="AD44" t="s" s="29">
        <v>25</v>
      </c>
      <c r="AE44" t="s" s="29">
        <v>26</v>
      </c>
      <c r="AF44" t="s" s="29">
        <v>23</v>
      </c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</row>
    <row r="45" ht="20.25" customHeight="1">
      <c r="AB45" t="s" s="31">
        <v>15</v>
      </c>
      <c r="AC45" s="32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</row>
    <row r="46" ht="20.05" customHeight="1">
      <c r="AB46" t="s" s="33">
        <v>27</v>
      </c>
      <c r="AC46" s="71">
        <f>AVERAGE(P23:P26)</f>
        <v>0.125123374119898</v>
      </c>
      <c r="AD46" s="35"/>
      <c r="AE46" s="35"/>
      <c r="AF46" s="35">
        <f>AVERAGE(AC48:AF48)</f>
        <v>0.08</v>
      </c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</row>
    <row r="47" ht="8.35" customHeight="1" hidden="1">
      <c r="AB47" s="36"/>
      <c r="AC47" s="37">
        <f>P23</f>
        <v>0.0803108808290155</v>
      </c>
      <c r="AD47" s="35">
        <f>P24</f>
        <v>0.0983213429256595</v>
      </c>
      <c r="AE47" s="35">
        <f>P25</f>
        <v>-0.264192139737991</v>
      </c>
      <c r="AF47" s="35">
        <f>P26</f>
        <v>0.586053412462908</v>
      </c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</row>
    <row r="48" ht="20.05" customHeight="1">
      <c r="AB48" t="s" s="33">
        <v>13</v>
      </c>
      <c r="AC48" s="37">
        <v>0.08</v>
      </c>
      <c r="AD48" s="35">
        <v>0.08</v>
      </c>
      <c r="AE48" s="35">
        <v>0.08</v>
      </c>
      <c r="AF48" s="35">
        <v>0.08</v>
      </c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ht="20.05" customHeight="1">
      <c r="AB49" t="s" s="33">
        <v>28</v>
      </c>
      <c r="AC49" s="38">
        <f>C26*(1+AC48)</f>
        <v>1154.52</v>
      </c>
      <c r="AD49" s="23">
        <f>AC49*(1+AD48)</f>
        <v>1246.8816</v>
      </c>
      <c r="AE49" s="23">
        <f>AD49*(1+AE48)</f>
        <v>1346.632128</v>
      </c>
      <c r="AF49" s="23">
        <f>AE49*(1+AF48)</f>
        <v>1454.36269824</v>
      </c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</row>
    <row r="50" ht="20.05" customHeight="1">
      <c r="AB50" t="s" s="33">
        <v>14</v>
      </c>
      <c r="AC50" s="37">
        <f>AVERAGE(R21)</f>
        <v>0.0906036931454096</v>
      </c>
      <c r="AD50" s="35">
        <f>AC50</f>
        <v>0.0906036931454096</v>
      </c>
      <c r="AE50" s="35">
        <f>AD50</f>
        <v>0.0906036931454096</v>
      </c>
      <c r="AF50" s="35">
        <f>AE50</f>
        <v>0.0906036931454096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B51" t="s" s="33">
        <v>29</v>
      </c>
      <c r="AC51" s="14">
        <f>AVERAGE(K26)</f>
        <v>-93</v>
      </c>
      <c r="AD51" s="15">
        <f>AC51</f>
        <v>-93</v>
      </c>
      <c r="AE51" s="15">
        <f>AD51</f>
        <v>-93</v>
      </c>
      <c r="AF51" s="15">
        <f>AE51</f>
        <v>-93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33">
        <v>30</v>
      </c>
      <c r="AC52" s="14">
        <f>(AC49*AC50)+AC51</f>
        <v>11.6037758102383</v>
      </c>
      <c r="AD52" s="15">
        <f>(AD49*AD50)+AD51</f>
        <v>19.9720778750574</v>
      </c>
      <c r="AE52" s="15">
        <f>(AE49*AE50)+AE51</f>
        <v>29.0098441050619</v>
      </c>
      <c r="AF52" s="15">
        <f>(AF49*AF50)+AF51</f>
        <v>38.7706316334669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31</v>
      </c>
      <c r="AC53" s="14">
        <f>-G26/20</f>
        <v>-61.75</v>
      </c>
      <c r="AD53" s="15">
        <f>-AC68/20</f>
        <v>-58.6625</v>
      </c>
      <c r="AE53" s="15">
        <f>-AD68/20</f>
        <v>-55.729375</v>
      </c>
      <c r="AF53" s="15">
        <f>-AE68/20</f>
        <v>-52.94290625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33">
        <v>32</v>
      </c>
      <c r="AC54" s="39">
        <v>0</v>
      </c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33</v>
      </c>
      <c r="AC55" s="14">
        <f>IF(AC63&gt;0,AC63*$AC$54,0)</f>
        <v>0</v>
      </c>
      <c r="AD55" s="15">
        <f>IF(AD63&gt;0,AD63*$AC$54,0)</f>
        <v>0</v>
      </c>
      <c r="AE55" s="15">
        <f>IF(AE63&gt;0,AE63*$AC$54,0)</f>
        <v>0</v>
      </c>
      <c r="AF55" s="15">
        <f>IF(AF63&gt;0,AF63*$AC$54,0)</f>
        <v>0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34</v>
      </c>
      <c r="AC56" s="14">
        <f>AC52+AC53+AC55</f>
        <v>-50.1462241897617</v>
      </c>
      <c r="AD56" s="15">
        <f>AD52+AD53+AD55</f>
        <v>-38.6904221249426</v>
      </c>
      <c r="AE56" s="15">
        <f>AE52+AE53+AE55</f>
        <v>-26.7195308949381</v>
      </c>
      <c r="AF56" s="15">
        <f>AF52+AF53+AF55</f>
        <v>-14.1722746165331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35</v>
      </c>
      <c r="AC57" s="14">
        <f>-MIN(0,AC56)</f>
        <v>50.1462241897617</v>
      </c>
      <c r="AD57" s="15">
        <f>-MIN(AC69,AD56)</f>
        <v>38.6904221249426</v>
      </c>
      <c r="AE57" s="15">
        <f>-MIN(AD69,AE56)</f>
        <v>26.7195308949381</v>
      </c>
      <c r="AF57" s="15">
        <f>-MIN(AE69,AF56)</f>
        <v>14.1722746165331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36</v>
      </c>
      <c r="AC58" s="14">
        <f>F26</f>
        <v>173</v>
      </c>
      <c r="AD58" s="15">
        <f>AC60</f>
        <v>173</v>
      </c>
      <c r="AE58" s="15">
        <f>AD60</f>
        <v>173</v>
      </c>
      <c r="AF58" s="15">
        <f>AE60</f>
        <v>173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37</v>
      </c>
      <c r="AC59" s="14">
        <f>AC52+AC53+AC55+AC57</f>
        <v>0</v>
      </c>
      <c r="AD59" s="15">
        <f>AD52+AD53+AD55+AD57</f>
        <v>0</v>
      </c>
      <c r="AE59" s="15">
        <f>AE52+AE53+AE55+AE57</f>
        <v>0</v>
      </c>
      <c r="AF59" s="15">
        <f>AF52+AF53+AF55+AF57</f>
        <v>0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38</v>
      </c>
      <c r="AC60" s="14">
        <f>AC58+AC59</f>
        <v>173</v>
      </c>
      <c r="AD60" s="15">
        <f>AD58+AD59</f>
        <v>173</v>
      </c>
      <c r="AE60" s="15">
        <f>AE58+AE59</f>
        <v>173</v>
      </c>
      <c r="AF60" s="15">
        <f>AF58+AF59</f>
        <v>173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41">
        <v>4</v>
      </c>
      <c r="AC61" s="14"/>
      <c r="AD61" s="15"/>
      <c r="AE61" s="15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ht="20.05" customHeight="1">
      <c r="AB62" t="s" s="33">
        <v>3</v>
      </c>
      <c r="AC62" s="14">
        <f>-AVERAGE(D24:D26)</f>
        <v>-30.6666666666667</v>
      </c>
      <c r="AD62" s="15">
        <f>AC62</f>
        <v>-30.6666666666667</v>
      </c>
      <c r="AE62" s="15">
        <f>AD62</f>
        <v>-30.6666666666667</v>
      </c>
      <c r="AF62" s="15">
        <f>AE62</f>
        <v>-30.6666666666667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4</v>
      </c>
      <c r="AC63" s="14">
        <f>(AC49*AC50)+AC62</f>
        <v>73.9371091435716</v>
      </c>
      <c r="AD63" s="15">
        <f>(AD49*AD50)+AD62</f>
        <v>82.30541120839069</v>
      </c>
      <c r="AE63" s="15">
        <f>(AE49*AE50)+AE62</f>
        <v>91.3431774383952</v>
      </c>
      <c r="AF63" s="15">
        <f>(AF49*AF50)+AF62</f>
        <v>101.1039649668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41">
        <v>39</v>
      </c>
      <c r="AC64" s="14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40</v>
      </c>
      <c r="AC65" s="14">
        <f>H26-F26-AC51</f>
        <v>2418</v>
      </c>
      <c r="AD65" s="15">
        <f>AC65-AD51</f>
        <v>2511</v>
      </c>
      <c r="AE65" s="15">
        <f>AD65-AE51</f>
        <v>2604</v>
      </c>
      <c r="AF65" s="15">
        <f>AE65-AF51</f>
        <v>2697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41</v>
      </c>
      <c r="AC66" s="14">
        <f>0-AC62</f>
        <v>30.6666666666667</v>
      </c>
      <c r="AD66" s="15">
        <f>AC66-AD62</f>
        <v>61.3333333333334</v>
      </c>
      <c r="AE66" s="15">
        <f>AD66-AE62</f>
        <v>92.0000000000001</v>
      </c>
      <c r="AF66" s="15">
        <f>AE66-AF62</f>
        <v>122.666666666667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42</v>
      </c>
      <c r="AC67" s="14">
        <f>AC65-AC66</f>
        <v>2387.333333333330</v>
      </c>
      <c r="AD67" s="15">
        <f>AD65-AD66</f>
        <v>2449.666666666670</v>
      </c>
      <c r="AE67" s="15">
        <f>AE65-AE66</f>
        <v>2512</v>
      </c>
      <c r="AF67" s="15">
        <f>AF65-AF66</f>
        <v>2574.333333333330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B68" t="s" s="33">
        <v>6</v>
      </c>
      <c r="AC68" s="14">
        <f>G26+AC53</f>
        <v>1173.25</v>
      </c>
      <c r="AD68" s="15">
        <f>AC68+AD53</f>
        <v>1114.5875</v>
      </c>
      <c r="AE68" s="15">
        <f>AD68+AE53</f>
        <v>1058.858125</v>
      </c>
      <c r="AF68" s="15">
        <f>AE68+AF53</f>
        <v>1005.91521875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B69" t="s" s="33">
        <v>35</v>
      </c>
      <c r="AC69" s="14">
        <f>AC57</f>
        <v>50.1462241897617</v>
      </c>
      <c r="AD69" s="15">
        <f>AC69+AD57</f>
        <v>88.8366463147043</v>
      </c>
      <c r="AE69" s="15">
        <f>AD69+AE57</f>
        <v>115.556177209642</v>
      </c>
      <c r="AF69" s="15">
        <f>AE69+AF57</f>
        <v>129.728451826175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11</v>
      </c>
      <c r="AC70" s="14">
        <f>(H26-G26)+AC63+AC55</f>
        <v>1336.937109143570</v>
      </c>
      <c r="AD70" s="15">
        <f>AC70+AD63+AD55</f>
        <v>1419.242520351960</v>
      </c>
      <c r="AE70" s="15">
        <f>AD70+AE63+AE55</f>
        <v>1510.585697790360</v>
      </c>
      <c r="AF70" s="15">
        <f>AE70+AF63+AF55</f>
        <v>1611.689662757160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43</v>
      </c>
      <c r="AC71" s="14">
        <f>AC68+AC69+AC70-AC60-AC67</f>
        <v>1.7e-12</v>
      </c>
      <c r="AD71" s="15">
        <f>AD68+AD69+AD70-AD60-AD67</f>
        <v>-5.7e-12</v>
      </c>
      <c r="AE71" s="15">
        <f>AE68+AE69+AE70-AE60-AE67</f>
        <v>2e-12</v>
      </c>
      <c r="AF71" s="15">
        <f>AF68+AF69+AF70-AF60-AF67</f>
        <v>5e-12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18</v>
      </c>
      <c r="AC72" s="14">
        <f>AC60-AC68-AC69</f>
        <v>-1050.396224189760</v>
      </c>
      <c r="AD72" s="15">
        <f>AD60-AD68-AD69</f>
        <v>-1030.4241463147</v>
      </c>
      <c r="AE72" s="15">
        <f>AE60-AE68-AE69</f>
        <v>-1001.414302209640</v>
      </c>
      <c r="AF72" s="15">
        <f>AF60-AF68-AF69</f>
        <v>-962.6436705761751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B73" t="s" s="33">
        <v>44</v>
      </c>
      <c r="AC73" s="14">
        <f>AC53+AC55+AC57</f>
        <v>-11.6037758102383</v>
      </c>
      <c r="AD73" s="15">
        <f>AD53+AD55+AD57</f>
        <v>-19.9720778750574</v>
      </c>
      <c r="AE73" s="15">
        <f>AE53+AE55+AE57</f>
        <v>-29.0098441050619</v>
      </c>
      <c r="AF73" s="15">
        <f>AF53+AF55+AF57</f>
        <v>-38.7706316334669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45</v>
      </c>
      <c r="AC74" s="14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B75" t="s" s="33">
        <v>266</v>
      </c>
      <c r="AC75" s="14"/>
      <c r="AD75" s="15"/>
      <c r="AE75" s="15"/>
      <c r="AF75" s="15">
        <v>580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8.35" customHeight="1" hidden="1">
      <c r="AB76" t="s" s="33">
        <f>$AB75</f>
        <v>557</v>
      </c>
      <c r="AC76" s="14"/>
      <c r="AD76" s="15"/>
      <c r="AE76" s="15"/>
      <c r="AF76" s="15">
        <v>2729410437120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B77" t="s" s="33">
        <v>46</v>
      </c>
      <c r="AC77" s="14"/>
      <c r="AD77" s="15"/>
      <c r="AE77" s="15"/>
      <c r="AF77" s="15">
        <f>AF76/1000000000</f>
        <v>2729.41043712</v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B78" t="s" s="33">
        <v>47</v>
      </c>
      <c r="AC78" s="14"/>
      <c r="AD78" s="15"/>
      <c r="AE78" s="15"/>
      <c r="AF78" s="15">
        <f>AF77/AF75</f>
        <v>4.705880064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B79" t="s" s="33">
        <v>48</v>
      </c>
      <c r="AC79" s="14"/>
      <c r="AD79" s="15"/>
      <c r="AE79" s="15"/>
      <c r="AF79" s="43">
        <f>AF77/(AF60+AF67)</f>
        <v>0.993476257141472</v>
      </c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</row>
    <row r="80" ht="20.05" customHeight="1">
      <c r="AB80" t="s" s="33">
        <v>49</v>
      </c>
      <c r="AC80" s="14"/>
      <c r="AD80" s="15"/>
      <c r="AE80" s="15"/>
      <c r="AF80" s="16">
        <f>-(AC55+AD55+AE55+AF55)/AF77</f>
        <v>0</v>
      </c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B81" t="s" s="33">
        <v>50</v>
      </c>
      <c r="AC81" s="14"/>
      <c r="AD81" s="15"/>
      <c r="AE81" s="15"/>
      <c r="AF81" s="15">
        <f>SUM(AC52:AF52)</f>
        <v>99.3563294238245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B82" t="s" s="33">
        <v>51</v>
      </c>
      <c r="AC82" s="14"/>
      <c r="AD82" s="15"/>
      <c r="AE82" s="15"/>
      <c r="AF82" s="15">
        <f>(H26+F26)/AF81</f>
        <v>26.883038206920</v>
      </c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ht="20.05" customHeight="1">
      <c r="AB83" t="s" s="33">
        <v>52</v>
      </c>
      <c r="AC83" s="14"/>
      <c r="AD83" s="15"/>
      <c r="AE83" s="15">
        <f>AF77/AF81</f>
        <v>27.4709266430038</v>
      </c>
      <c r="AF83" s="15">
        <v>20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B84" t="s" s="33">
        <v>53</v>
      </c>
      <c r="AC84" s="14"/>
      <c r="AD84" s="15"/>
      <c r="AE84" s="15"/>
      <c r="AF84" s="15">
        <f>AF81*AF83</f>
        <v>1987.126588476490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B85" t="s" s="33">
        <v>54</v>
      </c>
      <c r="AC85" s="14"/>
      <c r="AD85" s="15"/>
      <c r="AE85" s="15"/>
      <c r="AF85" s="15">
        <f>(AF84/AF78)</f>
        <v>422.264605440758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B86" t="s" s="33">
        <v>55</v>
      </c>
      <c r="AC86" s="38"/>
      <c r="AD86" s="23"/>
      <c r="AE86" s="23"/>
      <c r="AF86" s="16">
        <f>AF85/AF75-1</f>
        <v>-0.271957576826279</v>
      </c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ht="20.05" customHeight="1">
      <c r="AB87" t="s" s="33">
        <v>56</v>
      </c>
      <c r="AC87" s="38"/>
      <c r="AD87" s="23"/>
      <c r="AE87" s="23"/>
      <c r="AF87" s="16">
        <f>C26/C22-1</f>
        <v>0.384715025906736</v>
      </c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ht="8.35" customHeight="1" hidden="1">
      <c r="AB88" t="s" s="33">
        <v>57</v>
      </c>
      <c r="AC88" s="38"/>
      <c r="AD88" s="23"/>
      <c r="AE88" s="23"/>
      <c r="AF88" s="16">
        <f>O28/N28-1</f>
        <v>-0.745136733558359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8.35" customHeight="1" hidden="1">
      <c r="AB89" s="36"/>
      <c r="AC89" s="38"/>
      <c r="AD89" s="23"/>
      <c r="AE89" s="23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8.35" customHeight="1" hidden="1">
      <c r="AB90" s="36"/>
      <c r="AC90" s="38"/>
      <c r="AD90" s="23"/>
      <c r="AE90" s="23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8.35" customHeight="1" hidden="1">
      <c r="AB91" s="36"/>
      <c r="AC91" t="s" s="45">
        <f>$AB75</f>
        <v>557</v>
      </c>
      <c r="AD91" t="s" s="44">
        <v>60</v>
      </c>
      <c r="AE91" s="26">
        <f>AF75</f>
        <v>580</v>
      </c>
      <c r="AF91" t="s" s="44">
        <v>61</v>
      </c>
      <c r="AG91" s="26">
        <f>AF85</f>
        <v>422.264605440758</v>
      </c>
      <c r="AH91" t="s" s="44">
        <f>IF(AI91&gt;0,"+","")</f>
      </c>
      <c r="AI91" s="16">
        <f>AG91/AE91-1</f>
        <v>-0.271957576826279</v>
      </c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8.35" customHeight="1" hidden="1">
      <c r="AB92" s="36"/>
      <c r="AC92" s="46">
        <f>TODAY()</f>
        <v>44942</v>
      </c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ht="8.35" customHeight="1" hidden="1">
      <c r="AB93" s="36"/>
      <c r="AC93" t="s" s="45">
        <v>62</v>
      </c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8.35" customHeight="1" hidden="1">
      <c r="AB94" s="36"/>
      <c r="AC94" t="s" s="45">
        <v>63</v>
      </c>
      <c r="AD94" t="s" s="44">
        <v>64</v>
      </c>
      <c r="AE94" t="s" s="44">
        <f>IF(AF94&gt;0,"+","")</f>
        <v>361</v>
      </c>
      <c r="AF94" s="16">
        <f>AG101/AC101-1</f>
        <v>0.384715025906736</v>
      </c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8.35" customHeight="1" hidden="1">
      <c r="AB95" s="36"/>
      <c r="AC95" t="s" s="45">
        <v>63</v>
      </c>
      <c r="AD95" t="s" s="44">
        <v>65</v>
      </c>
      <c r="AE95" t="s" s="44">
        <f>IF(AF95&gt;0,"+","")</f>
        <v>361</v>
      </c>
      <c r="AF95" s="16">
        <f>SUM(AD114:AG115)/AD131</f>
        <v>0.0190517334046942</v>
      </c>
      <c r="AG95" t="s" s="44">
        <v>66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8.35" customHeight="1" hidden="1">
      <c r="AB96" s="36"/>
      <c r="AC96" t="s" s="45">
        <v>63</v>
      </c>
      <c r="AD96" t="s" s="44">
        <v>17</v>
      </c>
      <c r="AE96" t="s" s="44">
        <f>IF(AF96&gt;0,"+","")</f>
      </c>
      <c r="AF96" s="16">
        <f>SUM(AD128:AG129)/AD131</f>
        <v>-0.0249138052215231</v>
      </c>
      <c r="AG96" t="s" s="44">
        <f>AG95</f>
        <v>66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8.35" customHeight="1" hidden="1">
      <c r="AB97" s="36"/>
      <c r="AC97" t="s" s="45">
        <v>68</v>
      </c>
      <c r="AD97" t="s" s="44">
        <v>369</v>
      </c>
      <c r="AE97" s="16">
        <f>AN124/AD131</f>
        <v>-0.389095016842023</v>
      </c>
      <c r="AF97" t="s" s="44">
        <f>AG96</f>
        <v>66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8.35" customHeight="1" hidden="1">
      <c r="AB98" s="36"/>
      <c r="AC98" t="s" s="45">
        <v>28</v>
      </c>
      <c r="AD98" t="s" s="44">
        <f>AD102</f>
        <v>362</v>
      </c>
      <c r="AE98" s="16">
        <f>AE102</f>
        <v>0.586053412462908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8.35" customHeight="1" hidden="1">
      <c r="AB99" s="36"/>
      <c r="AC99" t="s" s="45">
        <v>70</v>
      </c>
      <c r="AD99" t="s" s="44">
        <v>371</v>
      </c>
      <c r="AE99" t="s" s="44">
        <f>AK102</f>
        <v>558</v>
      </c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8.35" customHeight="1" hidden="1">
      <c r="AB100" s="36"/>
      <c r="AC100" s="71">
        <f>P22</f>
        <v>0.223454833597464</v>
      </c>
      <c r="AD100" s="16">
        <f>P23</f>
        <v>0.0803108808290155</v>
      </c>
      <c r="AE100" s="16">
        <f>P24</f>
        <v>0.0983213429256595</v>
      </c>
      <c r="AF100" s="16">
        <f>P25</f>
        <v>-0.264192139737991</v>
      </c>
      <c r="AG100" s="16">
        <f>P26</f>
        <v>0.586053412462908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8.35" customHeight="1" hidden="1">
      <c r="AB101" s="36"/>
      <c r="AC101" s="67">
        <f>C22</f>
        <v>772</v>
      </c>
      <c r="AD101" s="26">
        <f>C23</f>
        <v>834</v>
      </c>
      <c r="AE101" s="26">
        <f>C24</f>
        <v>916</v>
      </c>
      <c r="AF101" s="26">
        <f>C25</f>
        <v>674</v>
      </c>
      <c r="AG101" s="26">
        <f>C26</f>
        <v>1069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8.35" customHeight="1" hidden="1">
      <c r="AB102" s="36"/>
      <c r="AC102" t="s" s="45">
        <v>2</v>
      </c>
      <c r="AD102" t="s" s="44">
        <f>IF(AE102&lt;0,"declined","grew")</f>
        <v>362</v>
      </c>
      <c r="AE102" s="16">
        <f>AG101/AF101-1</f>
        <v>0.586053412462908</v>
      </c>
      <c r="AF102" t="s" s="44">
        <v>73</v>
      </c>
      <c r="AG102" t="s" s="44">
        <v>74</v>
      </c>
      <c r="AH102" t="s" s="44">
        <v>75</v>
      </c>
      <c r="AI102" t="s" s="44">
        <v>76</v>
      </c>
      <c r="AJ102" s="26">
        <f>AG101</f>
        <v>1069</v>
      </c>
      <c r="AK102" t="s" s="44">
        <v>558</v>
      </c>
      <c r="AL102" t="s" s="44">
        <v>378</v>
      </c>
      <c r="AM102" s="16">
        <v>0.0297063450445726</v>
      </c>
      <c r="AN102" t="s" s="44">
        <v>78</v>
      </c>
      <c r="AO102" s="17"/>
      <c r="AP102" s="17"/>
      <c r="AQ102" s="17"/>
      <c r="AR102" s="17"/>
      <c r="AS102" s="17"/>
      <c r="AT102" s="17"/>
    </row>
    <row r="103" ht="8.35" customHeight="1" hidden="1">
      <c r="AB103" s="36"/>
      <c r="AC103" t="s" s="45">
        <v>79</v>
      </c>
      <c r="AD103" s="16">
        <f>AVERAGE(AD100:AG100)</f>
        <v>0.125123374119898</v>
      </c>
      <c r="AE103" t="s" s="44">
        <v>80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B104" s="36"/>
      <c r="AC104" t="s" s="45">
        <v>81</v>
      </c>
      <c r="AD104" s="35">
        <f>AF46</f>
        <v>0.08</v>
      </c>
      <c r="AE104" t="s" s="44">
        <v>82</v>
      </c>
      <c r="AF104" t="s" s="44">
        <v>83</v>
      </c>
      <c r="AG104" s="23">
        <f>AF49</f>
        <v>1454.36269824</v>
      </c>
      <c r="AH104" t="s" s="44">
        <f>AK102</f>
        <v>558</v>
      </c>
      <c r="AI104" t="s" s="44">
        <v>84</v>
      </c>
      <c r="AJ104" t="s" s="44">
        <f>AG102</f>
        <v>74</v>
      </c>
      <c r="AK104" t="s" s="44">
        <f>AH102</f>
        <v>75</v>
      </c>
      <c r="AL104" t="s" s="44">
        <v>85</v>
      </c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B105" s="36"/>
      <c r="AC105" t="s" s="45">
        <v>14</v>
      </c>
      <c r="AD105" t="s" s="44">
        <f>IF(AF109&lt;AD109,"down","up")</f>
        <v>108</v>
      </c>
      <c r="AE105" t="s" s="44">
        <v>86</v>
      </c>
      <c r="AF105" t="s" s="44">
        <f>IF(AJ109&gt;AH109,"up","down")</f>
        <v>108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8.35" customHeight="1" hidden="1">
      <c r="AB106" s="36"/>
      <c r="AC106" t="s" s="45">
        <f>AC99</f>
        <v>70</v>
      </c>
      <c r="AD106" t="s" s="44">
        <v>88</v>
      </c>
      <c r="AE106" t="s" s="44">
        <f>AK102</f>
        <v>558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8.35" customHeight="1" hidden="1">
      <c r="AB107" s="36"/>
      <c r="AC107" s="71">
        <f>(D22+E22)/C22</f>
        <v>0.0984455958549223</v>
      </c>
      <c r="AD107" s="16">
        <f>(D23+E23)/C23</f>
        <v>0.221822541966427</v>
      </c>
      <c r="AE107" s="16">
        <f>((E24+D24)/C24)</f>
        <v>0.161208151382824</v>
      </c>
      <c r="AF107" s="16">
        <f>(D25+E25)/C25</f>
        <v>0.08704253214638979</v>
      </c>
      <c r="AG107" s="16">
        <f>(D26+E26)/C26</f>
        <v>0.128780792017462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8.35" customHeight="1" hidden="1">
      <c r="AB108" s="36"/>
      <c r="AC108" s="67">
        <f>E22</f>
        <v>48</v>
      </c>
      <c r="AD108" s="26">
        <f>E23</f>
        <v>157</v>
      </c>
      <c r="AE108" s="26">
        <f>E24</f>
        <v>117</v>
      </c>
      <c r="AF108" s="26">
        <f>E25</f>
        <v>28</v>
      </c>
      <c r="AG108" s="26">
        <f>E26</f>
        <v>107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8.35" customHeight="1" hidden="1">
      <c r="AB109" s="36"/>
      <c r="AC109" t="s" s="45">
        <v>89</v>
      </c>
      <c r="AD109" s="16">
        <f>AF107</f>
        <v>0.08704253214638979</v>
      </c>
      <c r="AE109" t="s" s="44">
        <v>76</v>
      </c>
      <c r="AF109" s="16">
        <f>AG107</f>
        <v>0.128780792017462</v>
      </c>
      <c r="AG109" t="s" s="44">
        <v>90</v>
      </c>
      <c r="AH109" s="26">
        <f>AF108</f>
        <v>28</v>
      </c>
      <c r="AI109" t="s" s="44">
        <v>76</v>
      </c>
      <c r="AJ109" s="26">
        <f>AG108</f>
        <v>107</v>
      </c>
      <c r="AK109" t="s" s="44">
        <f>AH104</f>
        <v>558</v>
      </c>
      <c r="AL109" t="s" s="44">
        <v>73</v>
      </c>
      <c r="AM109" t="s" s="44">
        <f>AJ104</f>
        <v>74</v>
      </c>
      <c r="AN109" t="s" s="44">
        <v>91</v>
      </c>
      <c r="AO109" s="17"/>
      <c r="AP109" s="17"/>
      <c r="AQ109" s="17"/>
      <c r="AR109" s="17"/>
      <c r="AS109" s="17"/>
      <c r="AT109" s="17"/>
    </row>
    <row r="110" ht="8.35" customHeight="1" hidden="1">
      <c r="AB110" s="36"/>
      <c r="AC110" t="s" s="45">
        <v>92</v>
      </c>
      <c r="AD110" s="16">
        <f>AVERAGE(AD107:AG107)</f>
        <v>0.149713504378276</v>
      </c>
      <c r="AE110" t="s" s="44">
        <v>78</v>
      </c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8.35" customHeight="1" hidden="1">
      <c r="AB111" s="36"/>
      <c r="AC111" t="s" s="45">
        <v>93</v>
      </c>
      <c r="AD111" s="35">
        <f>AC50</f>
        <v>0.0906036931454096</v>
      </c>
      <c r="AE111" t="s" s="44">
        <v>559</v>
      </c>
      <c r="AF111" s="26">
        <f>AF63</f>
        <v>101.1039649668</v>
      </c>
      <c r="AG111" t="s" s="44">
        <f>AK109</f>
        <v>558</v>
      </c>
      <c r="AH111" t="s" s="44">
        <v>95</v>
      </c>
      <c r="AI111" t="s" s="44">
        <f>AM109</f>
        <v>74</v>
      </c>
      <c r="AJ111" t="s" s="44">
        <f>AH102</f>
        <v>75</v>
      </c>
      <c r="AK111" t="s" s="44">
        <f>AL104</f>
        <v>85</v>
      </c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8.35" customHeight="1" hidden="1">
      <c r="AB112" s="36"/>
      <c r="AC112" t="s" s="45">
        <v>15</v>
      </c>
      <c r="AD112" t="s" s="44">
        <f>IF(AF116&lt;AD116,"lower","higher")</f>
        <v>363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8.35" customHeight="1" hidden="1">
      <c r="AB113" s="36"/>
      <c r="AC113" t="s" s="45">
        <f>AC106</f>
        <v>70</v>
      </c>
      <c r="AD113" t="s" s="44">
        <v>96</v>
      </c>
      <c r="AE113" t="s" s="44">
        <f>AK102</f>
        <v>558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8.35" customHeight="1" hidden="1">
      <c r="AB114" s="36"/>
      <c r="AC114" s="67">
        <f>J22</f>
        <v>58</v>
      </c>
      <c r="AD114" s="26">
        <f>J23</f>
        <v>165</v>
      </c>
      <c r="AE114" s="26">
        <f>J24</f>
        <v>40</v>
      </c>
      <c r="AF114" s="26">
        <f>J25</f>
        <v>-5</v>
      </c>
      <c r="AG114" s="26">
        <f>J26</f>
        <v>91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B115" s="36"/>
      <c r="AC115" s="67">
        <f>K22</f>
        <v>-23</v>
      </c>
      <c r="AD115" s="26">
        <f>K23</f>
        <v>-67</v>
      </c>
      <c r="AE115" s="26">
        <f>K24</f>
        <v>0</v>
      </c>
      <c r="AF115" s="26">
        <f>K25</f>
        <v>-79</v>
      </c>
      <c r="AG115" s="26">
        <f>K26</f>
        <v>-93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B116" s="36"/>
      <c r="AC116" t="s" s="45">
        <v>97</v>
      </c>
      <c r="AD116" s="26">
        <f>AF114+AF115</f>
        <v>-84</v>
      </c>
      <c r="AE116" t="s" s="44">
        <v>76</v>
      </c>
      <c r="AF116" s="26">
        <f>AG114+AG115</f>
        <v>-2</v>
      </c>
      <c r="AG116" t="s" s="44">
        <f>AG111</f>
        <v>558</v>
      </c>
      <c r="AH116" t="s" s="44">
        <v>84</v>
      </c>
      <c r="AI116" t="s" s="44">
        <f>AI111</f>
        <v>74</v>
      </c>
      <c r="AJ116" t="s" s="44">
        <v>98</v>
      </c>
      <c r="AK116" s="26">
        <f>AG115</f>
        <v>-93</v>
      </c>
      <c r="AL116" t="s" s="44">
        <f>AK102</f>
        <v>558</v>
      </c>
      <c r="AM116" t="s" s="44">
        <v>99</v>
      </c>
      <c r="AN116" s="17"/>
      <c r="AO116" s="17"/>
      <c r="AP116" s="17"/>
      <c r="AQ116" s="17"/>
      <c r="AR116" s="17"/>
      <c r="AS116" s="17"/>
      <c r="AT116" s="17"/>
    </row>
    <row r="117" ht="8.35" customHeight="1" hidden="1">
      <c r="AB117" s="36"/>
      <c r="AC117" t="s" s="45">
        <v>100</v>
      </c>
      <c r="AD117" s="26">
        <f>SUM(AD114:AG115)/4</f>
        <v>13</v>
      </c>
      <c r="AE117" t="s" s="44">
        <f>AK102</f>
        <v>558</v>
      </c>
      <c r="AF117" t="s" s="44">
        <v>78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8.35" customHeight="1" hidden="1">
      <c r="AB118" s="36"/>
      <c r="AC118" t="s" s="45">
        <v>101</v>
      </c>
      <c r="AD118" s="26">
        <f>AC51</f>
        <v>-93</v>
      </c>
      <c r="AE118" t="s" s="44">
        <f>AE117</f>
        <v>558</v>
      </c>
      <c r="AF118" t="s" s="44">
        <v>102</v>
      </c>
      <c r="AG118" t="s" s="44">
        <v>103</v>
      </c>
      <c r="AH118" t="s" s="44">
        <f>IF(AG104&gt;AJ102,"higher","lower")</f>
        <v>363</v>
      </c>
      <c r="AI118" t="s" s="44">
        <v>105</v>
      </c>
      <c r="AJ118" s="26">
        <f>SUM(AC52:AF52)/4</f>
        <v>24.8390823559561</v>
      </c>
      <c r="AK118" t="s" s="44">
        <f>AE118</f>
        <v>558</v>
      </c>
      <c r="AL118" t="s" s="44">
        <v>106</v>
      </c>
      <c r="AM118" t="s" s="44">
        <v>107</v>
      </c>
      <c r="AN118" s="17"/>
      <c r="AO118" s="17"/>
      <c r="AP118" s="17"/>
      <c r="AQ118" s="17"/>
      <c r="AR118" s="17"/>
      <c r="AS118" s="17"/>
      <c r="AT118" s="17"/>
    </row>
    <row r="119" ht="8.35" customHeight="1" hidden="1">
      <c r="AB119" s="36"/>
      <c r="AC119" t="s" s="45">
        <v>18</v>
      </c>
      <c r="AD119" t="s" s="44">
        <f>AK124</f>
        <v>87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8.35" customHeight="1" hidden="1">
      <c r="AB120" s="36"/>
      <c r="AC120" t="s" s="45">
        <f>AC99</f>
        <v>70</v>
      </c>
      <c r="AD120" t="s" s="44">
        <v>109</v>
      </c>
      <c r="AE120" t="s" s="44">
        <f>AK102</f>
        <v>558</v>
      </c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8.35" customHeight="1" hidden="1">
      <c r="AB121" s="36"/>
      <c r="AC121" s="67">
        <f>F22</f>
        <v>415</v>
      </c>
      <c r="AD121" s="26">
        <f>F23</f>
        <v>415</v>
      </c>
      <c r="AE121" s="26">
        <f>F24</f>
        <v>429</v>
      </c>
      <c r="AF121" s="26">
        <f>F25</f>
        <v>236</v>
      </c>
      <c r="AG121" s="26">
        <f>F26</f>
        <v>173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8.35" customHeight="1" hidden="1">
      <c r="AB122" s="36"/>
      <c r="AC122" s="67">
        <f>G22</f>
        <v>1455</v>
      </c>
      <c r="AD122" s="26">
        <f>G23</f>
        <v>1455</v>
      </c>
      <c r="AE122" s="26">
        <f>G24</f>
        <v>1406</v>
      </c>
      <c r="AF122" s="26">
        <f>G25</f>
        <v>1189</v>
      </c>
      <c r="AG122" s="26">
        <f>G26</f>
        <v>1235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8.35" customHeight="1" hidden="1">
      <c r="AB123" s="36"/>
      <c r="AC123" t="s" s="45">
        <v>110</v>
      </c>
      <c r="AD123" t="s" s="44">
        <f>IF(AG123&lt;AE123,"declined","increased")</f>
        <v>370</v>
      </c>
      <c r="AE123" s="26">
        <f>AF121</f>
        <v>236</v>
      </c>
      <c r="AF123" t="s" s="44">
        <v>76</v>
      </c>
      <c r="AG123" s="26">
        <f>AG121</f>
        <v>173</v>
      </c>
      <c r="AH123" t="s" s="44">
        <f>AK118</f>
        <v>558</v>
      </c>
      <c r="AI123" t="s" s="44">
        <v>84</v>
      </c>
      <c r="AJ123" t="s" s="44">
        <f>AG102</f>
        <v>74</v>
      </c>
      <c r="AK123" t="s" s="44">
        <f>AN109</f>
        <v>91</v>
      </c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8.35" customHeight="1" hidden="1">
      <c r="AB124" s="36"/>
      <c r="AC124" t="s" s="45">
        <v>112</v>
      </c>
      <c r="AD124" t="s" s="44">
        <f>IF(AG124&lt;AE124,"declined","increased")</f>
        <v>111</v>
      </c>
      <c r="AE124" s="26">
        <f>AF122</f>
        <v>1189</v>
      </c>
      <c r="AF124" t="s" s="44">
        <v>76</v>
      </c>
      <c r="AG124" s="26">
        <f>AG122</f>
        <v>1235</v>
      </c>
      <c r="AH124" t="s" s="44">
        <f>AH123</f>
        <v>558</v>
      </c>
      <c r="AI124" t="s" s="44">
        <v>113</v>
      </c>
      <c r="AJ124" t="s" s="44">
        <v>114</v>
      </c>
      <c r="AK124" t="s" s="44">
        <f>IF(AN124&lt;AL124,"down","up")</f>
        <v>87</v>
      </c>
      <c r="AL124" s="26">
        <f>AE123-AE124</f>
        <v>-953</v>
      </c>
      <c r="AM124" t="s" s="44">
        <v>76</v>
      </c>
      <c r="AN124" s="26">
        <f>AG123-AG124</f>
        <v>-1062</v>
      </c>
      <c r="AO124" t="s" s="44">
        <f>AH124</f>
        <v>558</v>
      </c>
      <c r="AP124" t="s" s="44">
        <v>115</v>
      </c>
      <c r="AQ124" s="17"/>
      <c r="AR124" s="17"/>
      <c r="AS124" s="17"/>
      <c r="AT124" s="17"/>
    </row>
    <row r="125" ht="8.35" customHeight="1" hidden="1">
      <c r="AB125" s="36"/>
      <c r="AC125" t="s" s="45">
        <v>116</v>
      </c>
      <c r="AD125" s="26">
        <f>SUM(AC55:AF55)</f>
        <v>0</v>
      </c>
      <c r="AE125" t="s" s="44">
        <f>AH124</f>
        <v>558</v>
      </c>
      <c r="AF125" t="s" s="44">
        <v>117</v>
      </c>
      <c r="AG125" t="s" s="44">
        <f>IF(AH125&gt;0,"+","")</f>
      </c>
      <c r="AH125" s="26">
        <f>AC53+AD53+AE53+AF53+AC57+AD57+AE57+AF57</f>
        <v>-99.3563294238245</v>
      </c>
      <c r="AI125" t="s" s="44">
        <f>AO124</f>
        <v>558</v>
      </c>
      <c r="AJ125" t="s" s="44">
        <v>118</v>
      </c>
      <c r="AK125" t="s" s="44">
        <v>119</v>
      </c>
      <c r="AL125" s="26">
        <f>AF72</f>
        <v>-962.6436705761751</v>
      </c>
      <c r="AM125" t="s" s="44">
        <f>AH124</f>
        <v>558</v>
      </c>
      <c r="AN125" t="s" s="44">
        <v>120</v>
      </c>
      <c r="AO125" s="17"/>
      <c r="AP125" s="17"/>
      <c r="AQ125" s="17"/>
      <c r="AR125" s="17"/>
      <c r="AS125" s="17"/>
      <c r="AT125" s="17"/>
    </row>
    <row r="126" ht="8.35" customHeight="1" hidden="1">
      <c r="AB126" s="36"/>
      <c r="AC126" t="s" s="45">
        <v>17</v>
      </c>
      <c r="AD126" t="s" s="44">
        <f>AD130</f>
        <v>374</v>
      </c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8.35" customHeight="1" hidden="1">
      <c r="AB127" s="36"/>
      <c r="AC127" t="s" s="45">
        <f>AC99</f>
        <v>70</v>
      </c>
      <c r="AD127" t="s" s="44">
        <v>379</v>
      </c>
      <c r="AE127" t="s" s="44">
        <f>AK102</f>
        <v>558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8.35" customHeight="1" hidden="1">
      <c r="AB128" s="36"/>
      <c r="AC128" s="67">
        <f>-L22</f>
        <v>21</v>
      </c>
      <c r="AD128" s="26">
        <f>-L23</f>
        <v>28</v>
      </c>
      <c r="AE128" s="26">
        <f>-L24</f>
        <v>-26</v>
      </c>
      <c r="AF128" s="26">
        <f>-L25</f>
        <v>91</v>
      </c>
      <c r="AG128" s="26">
        <f>-L26</f>
        <v>59</v>
      </c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8.35" customHeight="1" hidden="1">
      <c r="AB129" s="36"/>
      <c r="AC129" s="67">
        <f>-M22</f>
        <v>0</v>
      </c>
      <c r="AD129" s="26">
        <f>-M23</f>
        <v>-292</v>
      </c>
      <c r="AE129" s="26">
        <f>-M24</f>
        <v>0</v>
      </c>
      <c r="AF129" s="26">
        <f>-M25</f>
        <v>70</v>
      </c>
      <c r="AG129" s="26">
        <f>-M26</f>
        <v>2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8.35" customHeight="1" hidden="1">
      <c r="AB130" s="36"/>
      <c r="AC130" t="s" s="45">
        <f>AC91</f>
        <v>557</v>
      </c>
      <c r="AD130" t="s" s="44">
        <f>IF(AE130&gt;0,"paid","(raised)")</f>
        <v>374</v>
      </c>
      <c r="AE130" s="26">
        <f>SUM(AG128:AG129)</f>
        <v>61</v>
      </c>
      <c r="AF130" t="s" s="44">
        <f>AK102</f>
        <v>558</v>
      </c>
      <c r="AG130" t="s" s="44">
        <f>AF102</f>
        <v>73</v>
      </c>
      <c r="AH130" t="s" s="44">
        <f>AG102</f>
        <v>74</v>
      </c>
      <c r="AI130" t="s" s="44">
        <f>AH102</f>
        <v>75</v>
      </c>
      <c r="AJ130" s="26">
        <f>AG128</f>
        <v>59</v>
      </c>
      <c r="AK130" t="s" s="44">
        <f>AK102</f>
        <v>558</v>
      </c>
      <c r="AL130" t="s" s="44">
        <v>123</v>
      </c>
      <c r="AM130" s="26">
        <f>AG129</f>
        <v>2</v>
      </c>
      <c r="AN130" t="s" s="44">
        <f>AK102</f>
        <v>558</v>
      </c>
      <c r="AO130" t="s" s="44">
        <v>389</v>
      </c>
      <c r="AP130" t="s" s="44">
        <v>475</v>
      </c>
      <c r="AQ130" t="s" s="44">
        <f>IF(AR130&gt;0,"pay","raise")</f>
        <v>364</v>
      </c>
      <c r="AR130" s="26">
        <f>-SUM(AC73:AF73)</f>
        <v>99.3563294238245</v>
      </c>
      <c r="AS130" t="s" s="44">
        <f>AK102</f>
        <v>558</v>
      </c>
      <c r="AT130" t="s" s="44">
        <v>126</v>
      </c>
    </row>
    <row r="131" ht="8.35" customHeight="1" hidden="1">
      <c r="AB131" s="36"/>
      <c r="AC131" t="s" s="45">
        <v>375</v>
      </c>
      <c r="AD131" s="26">
        <f>AF77</f>
        <v>2729.41043712</v>
      </c>
      <c r="AE131" t="s" s="44">
        <f>AK102</f>
        <v>558</v>
      </c>
      <c r="AF131" t="s" s="44">
        <v>128</v>
      </c>
      <c r="AG131" t="s" s="44">
        <v>129</v>
      </c>
      <c r="AH131" s="26">
        <f>AF79</f>
        <v>0.993476257141472</v>
      </c>
      <c r="AI131" t="s" s="44">
        <v>130</v>
      </c>
      <c r="AJ131" t="s" s="44">
        <v>131</v>
      </c>
      <c r="AK131" t="s" s="44">
        <v>132</v>
      </c>
      <c r="AL131" s="26">
        <f>AF82</f>
        <v>26.883038206920</v>
      </c>
      <c r="AM131" t="s" s="44">
        <v>133</v>
      </c>
      <c r="AN131" s="16">
        <f>-AD125/AD131</f>
        <v>0</v>
      </c>
      <c r="AO131" t="s" s="44">
        <v>134</v>
      </c>
      <c r="AP131" s="17"/>
      <c r="AQ131" s="17"/>
      <c r="AR131" s="17"/>
      <c r="AS131" s="17"/>
      <c r="AT131" s="17"/>
    </row>
    <row r="132" ht="8.35" customHeight="1" hidden="1">
      <c r="AB132" s="36"/>
      <c r="AC132" t="s" s="45">
        <v>135</v>
      </c>
      <c r="AD132" s="26">
        <f>AF81</f>
        <v>99.3563294238245</v>
      </c>
      <c r="AE132" t="s" s="44">
        <f>AE131</f>
        <v>558</v>
      </c>
      <c r="AF132" t="s" s="44">
        <v>136</v>
      </c>
      <c r="AG132" s="26">
        <f>AD131/AD132</f>
        <v>27.4709266430038</v>
      </c>
      <c r="AH132" t="s" s="44">
        <v>130</v>
      </c>
      <c r="AI132" t="s" s="44">
        <v>137</v>
      </c>
      <c r="AJ132" t="s" s="44">
        <v>138</v>
      </c>
      <c r="AK132" s="26">
        <f>AF83</f>
        <v>20</v>
      </c>
      <c r="AL132" t="s" s="44">
        <v>139</v>
      </c>
      <c r="AM132" t="s" s="44">
        <v>140</v>
      </c>
      <c r="AN132" t="s" s="44">
        <v>141</v>
      </c>
      <c r="AO132" s="16">
        <f>AI91</f>
        <v>-0.271957576826279</v>
      </c>
      <c r="AP132" t="s" s="44">
        <f>IF(AO132&gt;0,"higher","lower")</f>
        <v>104</v>
      </c>
      <c r="AQ132" t="s" s="44">
        <v>142</v>
      </c>
      <c r="AR132" s="26">
        <f>AG91</f>
        <v>422.264605440758</v>
      </c>
      <c r="AS132" t="s" s="44">
        <v>143</v>
      </c>
      <c r="AT132" s="17"/>
    </row>
    <row r="133" ht="8.35" customHeight="1" hidden="1">
      <c r="AB133" s="36"/>
      <c r="AC133" s="34"/>
      <c r="AD133" s="17"/>
      <c r="AE133" s="17"/>
      <c r="AF133" s="17"/>
      <c r="AG133" s="26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8.35" customHeight="1" hidden="1">
      <c r="AB134" s="36"/>
      <c r="AC134" s="67">
        <f>AC101</f>
        <v>772</v>
      </c>
      <c r="AD134" s="26">
        <f>AD101</f>
        <v>834</v>
      </c>
      <c r="AE134" s="26">
        <f>AE101</f>
        <v>916</v>
      </c>
      <c r="AF134" s="26">
        <f>AF101</f>
        <v>674</v>
      </c>
      <c r="AG134" s="26">
        <f>AG101</f>
        <v>1069</v>
      </c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8.35" customHeight="1" hidden="1">
      <c r="AB135" s="36"/>
      <c r="AC135" s="67">
        <f>SUM(AC114:AC115)</f>
        <v>35</v>
      </c>
      <c r="AD135" s="26">
        <f>SUM(AD114:AD115)</f>
        <v>98</v>
      </c>
      <c r="AE135" s="26">
        <f>SUM(AE114:AE115)</f>
        <v>40</v>
      </c>
      <c r="AF135" s="26">
        <f>SUM(AF114:AF115)</f>
        <v>-84</v>
      </c>
      <c r="AG135" s="26">
        <f>SUM(AG114:AG115)</f>
        <v>-2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8.35" customHeight="1" hidden="1">
      <c r="AB136" s="36"/>
      <c r="AC136" s="67">
        <f>SUM(AC128:AC129)</f>
        <v>21</v>
      </c>
      <c r="AD136" s="26">
        <f>SUM(AD128:AD129)</f>
        <v>-264</v>
      </c>
      <c r="AE136" s="26">
        <f>SUM(AE128:AE129)</f>
        <v>-26</v>
      </c>
      <c r="AF136" s="26">
        <f>SUM(AF128:AF129)</f>
        <v>161</v>
      </c>
      <c r="AG136" s="26">
        <f>SUM(AG128:AG129)</f>
        <v>61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8.35" customHeight="1" hidden="1">
      <c r="AB137" s="36"/>
      <c r="AC137" s="67">
        <f>(AC121-AC122)</f>
        <v>-1040</v>
      </c>
      <c r="AD137" s="26">
        <f>(AD121-AD122)</f>
        <v>-1040</v>
      </c>
      <c r="AE137" s="26">
        <f>(AE121-AE122)</f>
        <v>-977</v>
      </c>
      <c r="AF137" s="26">
        <f>(AF121-AF122)</f>
        <v>-953</v>
      </c>
      <c r="AG137" s="26">
        <f>(AG121-AG122)</f>
        <v>-1062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8.35" customHeight="1" hidden="1">
      <c r="AB138" s="36"/>
      <c r="AC138" s="34"/>
      <c r="AD138" s="17"/>
      <c r="AE138" s="17"/>
      <c r="AF138" s="17"/>
      <c r="AG138" s="26">
        <f>AR132</f>
        <v>422.264605440758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8.35" customHeight="1" hidden="1">
      <c r="AB139" s="36"/>
      <c r="AC139" s="34"/>
      <c r="AD139" s="17"/>
      <c r="AE139" s="17"/>
      <c r="AF139" s="17"/>
      <c r="AG139" s="26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8.35" customHeight="1" hidden="1">
      <c r="AB140" s="36"/>
      <c r="AC140" s="34"/>
      <c r="AD140" s="17"/>
      <c r="AE140" s="17"/>
      <c r="AF140" s="17"/>
      <c r="AG140" s="26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8.35" customHeight="1" hidden="1">
      <c r="AB141" s="36"/>
      <c r="AC141" s="34"/>
      <c r="AD141" s="17"/>
      <c r="AE141" s="17"/>
      <c r="AF141" s="17"/>
      <c r="AG141" s="26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8.35" customHeight="1" hidden="1">
      <c r="AB142" s="36"/>
      <c r="AC142" s="34"/>
      <c r="AD142" s="17"/>
      <c r="AE142" s="17"/>
      <c r="AF142" s="17"/>
      <c r="AG142" s="26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8.35" customHeight="1" hidden="1">
      <c r="AB143" s="36"/>
      <c r="AC143" s="34"/>
      <c r="AD143" s="17"/>
      <c r="AE143" s="17"/>
      <c r="AF143" s="17"/>
      <c r="AG143" s="26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8.35" customHeight="1" hidden="1">
      <c r="AB144" s="36"/>
      <c r="AC144" s="34"/>
      <c r="AD144" s="17"/>
      <c r="AE144" s="17"/>
      <c r="AF144" s="17"/>
      <c r="AG144" s="26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8.35" customHeight="1" hidden="1">
      <c r="AB145" s="36"/>
      <c r="AC145" s="34"/>
      <c r="AD145" s="17"/>
      <c r="AE145" s="17"/>
      <c r="AF145" s="17"/>
      <c r="AG145" s="26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</sheetData>
  <mergeCells count="2">
    <mergeCell ref="B2:AA2"/>
    <mergeCell ref="AB43:AT43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88" customWidth="1"/>
    <col min="2" max="27" width="10.4844" style="188" customWidth="1"/>
    <col min="28" max="28" width="18.9766" style="189" customWidth="1"/>
    <col min="29" max="47" width="9" style="189" customWidth="1"/>
    <col min="48" max="16384" width="16.3516" style="189" customWidth="1"/>
  </cols>
  <sheetData>
    <row r="1" ht="11.65" customHeight="1"/>
    <row r="2" ht="27.65" customHeight="1">
      <c r="B2" t="s" s="2">
        <v>560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207</v>
      </c>
      <c r="AA3" t="s" s="3">
        <v>19</v>
      </c>
    </row>
    <row r="4" ht="20.25" customHeight="1">
      <c r="B4" s="6">
        <v>2017</v>
      </c>
      <c r="C4" s="7">
        <v>1261</v>
      </c>
      <c r="D4" s="8">
        <v>53</v>
      </c>
      <c r="E4" s="8">
        <v>121</v>
      </c>
      <c r="F4" s="8">
        <v>201</v>
      </c>
      <c r="G4" s="8">
        <v>5424</v>
      </c>
      <c r="H4" s="8">
        <v>8198</v>
      </c>
      <c r="I4" s="8">
        <v>1283</v>
      </c>
      <c r="J4" s="8">
        <v>54</v>
      </c>
      <c r="K4" s="8">
        <v>-116</v>
      </c>
      <c r="L4" s="8">
        <v>-88</v>
      </c>
      <c r="M4" s="8">
        <v>-13</v>
      </c>
      <c r="N4" s="59"/>
      <c r="O4" s="9"/>
      <c r="P4" s="9"/>
      <c r="Q4" s="9"/>
      <c r="R4" s="9"/>
      <c r="S4" s="9"/>
      <c r="T4" s="9"/>
      <c r="U4" s="9"/>
      <c r="V4" s="8">
        <f>-(L4+M4)</f>
        <v>101</v>
      </c>
      <c r="W4" s="9"/>
      <c r="X4" s="8">
        <f>F4-G4</f>
        <v>-5223</v>
      </c>
      <c r="Y4" s="9"/>
      <c r="Z4" s="8"/>
      <c r="AA4" s="9"/>
    </row>
    <row r="5" ht="20.05" customHeight="1">
      <c r="B5" s="13"/>
      <c r="C5" s="14">
        <v>1423</v>
      </c>
      <c r="D5" s="15">
        <v>58</v>
      </c>
      <c r="E5" s="15">
        <v>136</v>
      </c>
      <c r="F5" s="15">
        <v>275</v>
      </c>
      <c r="G5" s="15">
        <v>5531</v>
      </c>
      <c r="H5" s="15">
        <v>8441</v>
      </c>
      <c r="I5" s="15">
        <v>1283</v>
      </c>
      <c r="J5" s="15">
        <v>453</v>
      </c>
      <c r="K5" s="15">
        <v>-350</v>
      </c>
      <c r="L5" s="15">
        <v>-88</v>
      </c>
      <c r="M5" s="15">
        <v>-13</v>
      </c>
      <c r="N5" s="26"/>
      <c r="O5" s="17"/>
      <c r="P5" s="17"/>
      <c r="Q5" s="17"/>
      <c r="R5" s="17"/>
      <c r="S5" s="17"/>
      <c r="T5" s="17"/>
      <c r="U5" s="17"/>
      <c r="V5" s="15">
        <f>-(L5+M5)+V4</f>
        <v>202</v>
      </c>
      <c r="W5" s="17"/>
      <c r="X5" s="15">
        <f>F5-G5</f>
        <v>-5256</v>
      </c>
      <c r="Y5" s="17"/>
      <c r="Z5" s="15"/>
      <c r="AA5" s="17"/>
    </row>
    <row r="6" ht="20.05" customHeight="1">
      <c r="B6" s="13"/>
      <c r="C6" s="14">
        <v>1207</v>
      </c>
      <c r="D6" s="15">
        <v>62</v>
      </c>
      <c r="E6" s="15">
        <v>161</v>
      </c>
      <c r="F6" s="15">
        <v>327</v>
      </c>
      <c r="G6" s="15">
        <v>5411</v>
      </c>
      <c r="H6" s="15">
        <v>8482</v>
      </c>
      <c r="I6" s="15">
        <v>1283</v>
      </c>
      <c r="J6" s="15">
        <v>362</v>
      </c>
      <c r="K6" s="15">
        <v>-142</v>
      </c>
      <c r="L6" s="15">
        <v>-88</v>
      </c>
      <c r="M6" s="15">
        <v>-13</v>
      </c>
      <c r="N6" s="26"/>
      <c r="O6" s="17"/>
      <c r="P6" s="17"/>
      <c r="Q6" s="17"/>
      <c r="R6" s="17"/>
      <c r="S6" s="17"/>
      <c r="T6" s="17"/>
      <c r="U6" s="17"/>
      <c r="V6" s="15">
        <f>-(L6+M6)+V5</f>
        <v>303</v>
      </c>
      <c r="W6" s="17"/>
      <c r="X6" s="15">
        <f>F6-G6</f>
        <v>-5084</v>
      </c>
      <c r="Y6" s="17"/>
      <c r="Z6" s="15"/>
      <c r="AA6" s="17"/>
    </row>
    <row r="7" ht="20.05" customHeight="1">
      <c r="B7" s="13"/>
      <c r="C7" s="14">
        <v>1269</v>
      </c>
      <c r="D7" s="15">
        <v>59</v>
      </c>
      <c r="E7" s="15">
        <v>253</v>
      </c>
      <c r="F7" s="15">
        <v>381</v>
      </c>
      <c r="G7" s="15">
        <v>5086</v>
      </c>
      <c r="H7" s="15">
        <v>8336</v>
      </c>
      <c r="I7" s="15">
        <v>1283</v>
      </c>
      <c r="J7" s="15">
        <v>226</v>
      </c>
      <c r="K7" s="15">
        <v>-100</v>
      </c>
      <c r="L7" s="15">
        <v>-88</v>
      </c>
      <c r="M7" s="15">
        <v>-13</v>
      </c>
      <c r="N7" s="26"/>
      <c r="O7" s="17"/>
      <c r="P7" s="17"/>
      <c r="Q7" s="17"/>
      <c r="R7" s="17"/>
      <c r="S7" s="17"/>
      <c r="T7" s="17"/>
      <c r="U7" s="17"/>
      <c r="V7" s="15">
        <f>-(L7+M7)+V6</f>
        <v>404</v>
      </c>
      <c r="W7" s="17"/>
      <c r="X7" s="15">
        <f>F7-G7</f>
        <v>-4705</v>
      </c>
      <c r="Y7" s="17"/>
      <c r="Z7" s="15"/>
      <c r="AA7" s="17"/>
    </row>
    <row r="8" ht="20.05" customHeight="1">
      <c r="B8" s="21">
        <v>2018</v>
      </c>
      <c r="C8" s="14">
        <v>962</v>
      </c>
      <c r="D8" s="15">
        <v>94</v>
      </c>
      <c r="E8" s="15">
        <v>56</v>
      </c>
      <c r="F8" s="15">
        <v>257</v>
      </c>
      <c r="G8" s="15">
        <v>5025</v>
      </c>
      <c r="H8" s="15">
        <v>8326</v>
      </c>
      <c r="I8" s="15">
        <v>1063</v>
      </c>
      <c r="J8" s="15">
        <v>161</v>
      </c>
      <c r="K8" s="15">
        <v>-204</v>
      </c>
      <c r="L8" s="15">
        <v>352</v>
      </c>
      <c r="M8" s="15">
        <v>-26.25</v>
      </c>
      <c r="N8" s="15">
        <f>SUM(C5:C8)/4</f>
        <v>1215.25</v>
      </c>
      <c r="O8" s="17"/>
      <c r="P8" s="16"/>
      <c r="Q8" s="16">
        <f>((D8+E8)/C8)</f>
        <v>0.155925155925156</v>
      </c>
      <c r="R8" s="16"/>
      <c r="S8" s="17"/>
      <c r="T8" s="15">
        <f>SUM(J5:K8)/4</f>
        <v>101.5</v>
      </c>
      <c r="U8" s="17"/>
      <c r="V8" s="15">
        <f>-(L8+M8)+V7</f>
        <v>78.25</v>
      </c>
      <c r="W8" s="17"/>
      <c r="X8" s="15">
        <f>F8-G8</f>
        <v>-4768</v>
      </c>
      <c r="Y8" s="24"/>
      <c r="Z8" s="26">
        <v>432</v>
      </c>
      <c r="AA8" s="24"/>
    </row>
    <row r="9" ht="20.05" customHeight="1">
      <c r="B9" s="13"/>
      <c r="C9" s="14">
        <v>1160</v>
      </c>
      <c r="D9" s="15">
        <v>94</v>
      </c>
      <c r="E9" s="15">
        <v>87</v>
      </c>
      <c r="F9" s="15">
        <v>375</v>
      </c>
      <c r="G9" s="15">
        <v>5552</v>
      </c>
      <c r="H9" s="15">
        <v>9031</v>
      </c>
      <c r="I9" s="15">
        <v>1063</v>
      </c>
      <c r="J9" s="15">
        <v>-123</v>
      </c>
      <c r="K9" s="15">
        <v>-114</v>
      </c>
      <c r="L9" s="15">
        <v>-38.25</v>
      </c>
      <c r="M9" s="15">
        <v>-26.25</v>
      </c>
      <c r="N9" s="15">
        <f>SUM(C6:C9)/4</f>
        <v>1149.5</v>
      </c>
      <c r="O9" s="17"/>
      <c r="P9" s="16"/>
      <c r="Q9" s="16">
        <f>((D9+E9)/C9)</f>
        <v>0.156034482758621</v>
      </c>
      <c r="R9" s="16"/>
      <c r="S9" s="17"/>
      <c r="T9" s="15">
        <f>SUM(J6:K9)/4</f>
        <v>16.5</v>
      </c>
      <c r="U9" s="17"/>
      <c r="V9" s="15">
        <f>-(L9+M9)+V8</f>
        <v>142.75</v>
      </c>
      <c r="W9" s="17"/>
      <c r="X9" s="15">
        <f>F9-G9</f>
        <v>-5177</v>
      </c>
      <c r="Y9" s="24"/>
      <c r="Z9" s="26">
        <v>406</v>
      </c>
      <c r="AA9" s="24"/>
    </row>
    <row r="10" ht="20.05" customHeight="1">
      <c r="B10" s="13"/>
      <c r="C10" s="14">
        <v>1216</v>
      </c>
      <c r="D10" s="15">
        <v>94</v>
      </c>
      <c r="E10" s="15">
        <v>157</v>
      </c>
      <c r="F10" s="15">
        <v>335</v>
      </c>
      <c r="G10" s="15">
        <v>5423</v>
      </c>
      <c r="H10" s="15">
        <v>9050</v>
      </c>
      <c r="I10" s="15">
        <v>1359</v>
      </c>
      <c r="J10" s="15">
        <v>385</v>
      </c>
      <c r="K10" s="15">
        <v>-177</v>
      </c>
      <c r="L10" s="15">
        <v>66.25</v>
      </c>
      <c r="M10" s="15">
        <v>-13</v>
      </c>
      <c r="N10" s="15">
        <f>SUM(C7:C10)/4</f>
        <v>1151.75</v>
      </c>
      <c r="O10" s="17"/>
      <c r="P10" s="16"/>
      <c r="Q10" s="16">
        <f>((D10+E10)/C10)</f>
        <v>0.206414473684211</v>
      </c>
      <c r="R10" s="16"/>
      <c r="S10" s="17"/>
      <c r="T10" s="15">
        <f>SUM(J7:K10)/4</f>
        <v>13.5</v>
      </c>
      <c r="U10" s="17"/>
      <c r="V10" s="15">
        <f>-(L10+M10)+V9</f>
        <v>89.5</v>
      </c>
      <c r="W10" s="17"/>
      <c r="X10" s="15">
        <f>F10-G10</f>
        <v>-5088</v>
      </c>
      <c r="Y10" s="24"/>
      <c r="Z10" s="26">
        <v>380</v>
      </c>
      <c r="AA10" s="24"/>
    </row>
    <row r="11" ht="20.05" customHeight="1">
      <c r="B11" s="13"/>
      <c r="C11" s="14">
        <v>1424</v>
      </c>
      <c r="D11" s="15">
        <v>94</v>
      </c>
      <c r="E11" s="15">
        <v>132</v>
      </c>
      <c r="F11" s="15">
        <v>524</v>
      </c>
      <c r="G11" s="15">
        <v>8080</v>
      </c>
      <c r="H11" s="15">
        <v>11739</v>
      </c>
      <c r="I11" s="15">
        <v>1312</v>
      </c>
      <c r="J11" s="15">
        <v>-125</v>
      </c>
      <c r="K11" s="15">
        <v>-889</v>
      </c>
      <c r="L11" s="15">
        <v>352</v>
      </c>
      <c r="M11" s="15">
        <v>-26.25</v>
      </c>
      <c r="N11" s="15">
        <f>SUM(C8:C11)/4</f>
        <v>1190.5</v>
      </c>
      <c r="O11" s="17"/>
      <c r="P11" s="16"/>
      <c r="Q11" s="16">
        <f>((D11+E11)/C11)</f>
        <v>0.158707865168539</v>
      </c>
      <c r="R11" s="16"/>
      <c r="S11" s="17"/>
      <c r="T11" s="15">
        <f>SUM(J8:K11)/4</f>
        <v>-271.5</v>
      </c>
      <c r="U11" s="17"/>
      <c r="V11" s="15">
        <f>-(L11+M11)+V10</f>
        <v>-236.25</v>
      </c>
      <c r="W11" s="17"/>
      <c r="X11" s="15">
        <f>F11-G11</f>
        <v>-7556</v>
      </c>
      <c r="Y11" s="24"/>
      <c r="Z11" s="26">
        <v>410</v>
      </c>
      <c r="AA11" s="24"/>
    </row>
    <row r="12" ht="20.05" customHeight="1">
      <c r="B12" s="21">
        <v>2019</v>
      </c>
      <c r="C12" s="14">
        <v>1372</v>
      </c>
      <c r="D12" s="15">
        <v>137</v>
      </c>
      <c r="E12" s="15">
        <v>66</v>
      </c>
      <c r="F12" s="15">
        <v>401</v>
      </c>
      <c r="G12" s="15">
        <v>7759</v>
      </c>
      <c r="H12" s="15">
        <v>11485</v>
      </c>
      <c r="I12" s="15">
        <v>1377</v>
      </c>
      <c r="J12" s="15">
        <v>265</v>
      </c>
      <c r="K12" s="15">
        <v>-170</v>
      </c>
      <c r="L12" s="15">
        <v>-38.25</v>
      </c>
      <c r="M12" s="15">
        <v>-26.25</v>
      </c>
      <c r="N12" s="15">
        <f>SUM(C9:C12)/4</f>
        <v>1293</v>
      </c>
      <c r="O12" s="23"/>
      <c r="P12" s="16"/>
      <c r="Q12" s="16">
        <f>((D12+E12)/C12)</f>
        <v>0.147959183673469</v>
      </c>
      <c r="R12" s="16">
        <f>AVERAGE(Q9:Q12)</f>
        <v>0.16727900132121</v>
      </c>
      <c r="S12" s="17"/>
      <c r="T12" s="15">
        <f>SUM(J9:K12)/4</f>
        <v>-237</v>
      </c>
      <c r="U12" s="17"/>
      <c r="V12" s="15">
        <f>-(L12+M12)+V11</f>
        <v>-171.75</v>
      </c>
      <c r="W12" s="17"/>
      <c r="X12" s="15">
        <f>F12-G12</f>
        <v>-7358</v>
      </c>
      <c r="Y12" s="24"/>
      <c r="Z12" s="26">
        <v>394</v>
      </c>
      <c r="AA12" s="24"/>
    </row>
    <row r="13" ht="20.05" customHeight="1">
      <c r="B13" s="13"/>
      <c r="C13" s="14">
        <v>1211</v>
      </c>
      <c r="D13" s="15">
        <v>137</v>
      </c>
      <c r="E13" s="15">
        <v>2</v>
      </c>
      <c r="F13" s="15">
        <v>228</v>
      </c>
      <c r="G13" s="15">
        <v>7673</v>
      </c>
      <c r="H13" s="15">
        <v>11295</v>
      </c>
      <c r="I13" s="15">
        <v>1315</v>
      </c>
      <c r="J13" s="15">
        <v>-18</v>
      </c>
      <c r="K13" s="15">
        <v>-147</v>
      </c>
      <c r="L13" s="15">
        <v>-38.25</v>
      </c>
      <c r="M13" s="15">
        <v>-26.25</v>
      </c>
      <c r="N13" s="15">
        <f>SUM(C10:C13)/4</f>
        <v>1305.75</v>
      </c>
      <c r="O13" s="23"/>
      <c r="P13" s="16"/>
      <c r="Q13" s="16">
        <f>((D13+E13)/C13)</f>
        <v>0.114781172584641</v>
      </c>
      <c r="R13" s="16">
        <f>AVERAGE(Q10:Q13)</f>
        <v>0.156965673777715</v>
      </c>
      <c r="S13" s="17"/>
      <c r="T13" s="15">
        <f>SUM(J10:K13)/4</f>
        <v>-219</v>
      </c>
      <c r="U13" s="17"/>
      <c r="V13" s="15">
        <f>-(L13+M13)+V12</f>
        <v>-107.25</v>
      </c>
      <c r="W13" s="17"/>
      <c r="X13" s="15">
        <f>F13-G13</f>
        <v>-7445</v>
      </c>
      <c r="Y13" s="24"/>
      <c r="Z13" s="26">
        <v>370</v>
      </c>
      <c r="AA13" s="24"/>
    </row>
    <row r="14" ht="20.05" customHeight="1">
      <c r="B14" s="13"/>
      <c r="C14" s="14">
        <v>1385</v>
      </c>
      <c r="D14" s="15">
        <v>137</v>
      </c>
      <c r="E14" s="15">
        <v>-6</v>
      </c>
      <c r="F14" s="15">
        <v>245</v>
      </c>
      <c r="G14" s="15">
        <v>7699</v>
      </c>
      <c r="H14" s="15">
        <v>11315</v>
      </c>
      <c r="I14" s="15">
        <v>1389</v>
      </c>
      <c r="J14" s="15">
        <v>304</v>
      </c>
      <c r="K14" s="15">
        <v>-251</v>
      </c>
      <c r="L14" s="15">
        <v>-38.25</v>
      </c>
      <c r="M14" s="15">
        <v>-26.25</v>
      </c>
      <c r="N14" s="15">
        <f>SUM(C11:C14)/4</f>
        <v>1348</v>
      </c>
      <c r="O14" s="23"/>
      <c r="P14" s="16"/>
      <c r="Q14" s="16">
        <f>((D14+E14)/C14)</f>
        <v>0.09458483754512639</v>
      </c>
      <c r="R14" s="16">
        <f>AVERAGE(Q11:Q14)</f>
        <v>0.129008264742944</v>
      </c>
      <c r="S14" s="17"/>
      <c r="T14" s="15">
        <f>SUM(J11:K14)/4</f>
        <v>-257.75</v>
      </c>
      <c r="U14" s="17"/>
      <c r="V14" s="15">
        <f>-(L14+M14)+V13</f>
        <v>-42.75</v>
      </c>
      <c r="W14" s="17"/>
      <c r="X14" s="15">
        <f>F14-G14</f>
        <v>-7454</v>
      </c>
      <c r="Y14" s="24"/>
      <c r="Z14" s="26">
        <v>314</v>
      </c>
      <c r="AA14" s="24"/>
    </row>
    <row r="15" ht="20.05" customHeight="1">
      <c r="B15" s="13"/>
      <c r="C15" s="14">
        <v>1768.6</v>
      </c>
      <c r="D15" s="15">
        <v>137</v>
      </c>
      <c r="E15" s="15">
        <v>116</v>
      </c>
      <c r="F15" s="15">
        <v>270</v>
      </c>
      <c r="G15" s="15">
        <v>7889</v>
      </c>
      <c r="H15" s="15">
        <v>11621</v>
      </c>
      <c r="I15" s="15">
        <v>1702</v>
      </c>
      <c r="J15" s="15">
        <v>36</v>
      </c>
      <c r="K15" s="15">
        <v>-171.8</v>
      </c>
      <c r="L15" s="15">
        <v>-38.25</v>
      </c>
      <c r="M15" s="15">
        <v>-26.25</v>
      </c>
      <c r="N15" s="15">
        <f>SUM(C12:C15)/4</f>
        <v>1434.15</v>
      </c>
      <c r="O15" s="15">
        <v>1569.76</v>
      </c>
      <c r="P15" s="16"/>
      <c r="Q15" s="16">
        <f>((D15+E15)/C15)</f>
        <v>0.143051000791587</v>
      </c>
      <c r="R15" s="16">
        <f>AVERAGE(Q12:Q15)</f>
        <v>0.125094048648706</v>
      </c>
      <c r="S15" s="17"/>
      <c r="T15" s="15">
        <f>SUM(J12:K15)/4</f>
        <v>-38.2</v>
      </c>
      <c r="U15" s="17"/>
      <c r="V15" s="15">
        <f>-(L15+M15)+V14</f>
        <v>21.75</v>
      </c>
      <c r="W15" s="17"/>
      <c r="X15" s="15">
        <f>F15-G15</f>
        <v>-7619</v>
      </c>
      <c r="Y15" s="24"/>
      <c r="Z15" s="26">
        <v>452.628204</v>
      </c>
      <c r="AA15" s="24"/>
    </row>
    <row r="16" ht="20.05" customHeight="1">
      <c r="B16" s="21">
        <v>2020</v>
      </c>
      <c r="C16" s="14">
        <v>1590</v>
      </c>
      <c r="D16" s="15">
        <v>146</v>
      </c>
      <c r="E16" s="15">
        <v>82</v>
      </c>
      <c r="F16" s="15">
        <v>366.2</v>
      </c>
      <c r="G16" s="15">
        <v>8195</v>
      </c>
      <c r="H16" s="15">
        <v>12006</v>
      </c>
      <c r="I16" s="15">
        <v>1520</v>
      </c>
      <c r="J16" s="15">
        <v>269</v>
      </c>
      <c r="K16" s="15">
        <v>-170</v>
      </c>
      <c r="L16" s="15">
        <v>66.25</v>
      </c>
      <c r="M16" s="15">
        <v>-13</v>
      </c>
      <c r="N16" s="15">
        <f>SUM(C13:C16)/4</f>
        <v>1488.65</v>
      </c>
      <c r="O16" s="15">
        <v>1595.306666666670</v>
      </c>
      <c r="P16" s="16"/>
      <c r="Q16" s="16">
        <f>((D16+E16)/C16)</f>
        <v>0.143396226415094</v>
      </c>
      <c r="R16" s="16">
        <f>AVERAGE(Q13:Q16)</f>
        <v>0.123953309334112</v>
      </c>
      <c r="S16" s="17"/>
      <c r="T16" s="15">
        <f>SUM(J13:K16)/4</f>
        <v>-37.2</v>
      </c>
      <c r="U16" s="17"/>
      <c r="V16" s="15">
        <f>-(L16+M16)+V15</f>
        <v>-31.5</v>
      </c>
      <c r="W16" s="17"/>
      <c r="X16" s="15">
        <f>F16-G16</f>
        <v>-7828.8</v>
      </c>
      <c r="Y16" s="24"/>
      <c r="Z16" s="26">
        <v>322.743591</v>
      </c>
      <c r="AA16" s="17"/>
    </row>
    <row r="17" ht="20.05" customHeight="1">
      <c r="B17" s="13"/>
      <c r="C17" s="14">
        <v>1560</v>
      </c>
      <c r="D17" s="15">
        <v>146</v>
      </c>
      <c r="E17" s="15">
        <v>98</v>
      </c>
      <c r="F17" s="15">
        <v>288</v>
      </c>
      <c r="G17" s="15">
        <v>7854</v>
      </c>
      <c r="H17" s="15">
        <v>11710</v>
      </c>
      <c r="I17" s="15">
        <v>1604.3</v>
      </c>
      <c r="J17" s="15">
        <v>240.2</v>
      </c>
      <c r="K17" s="15">
        <v>-201</v>
      </c>
      <c r="L17" s="15">
        <v>66.25</v>
      </c>
      <c r="M17" s="15">
        <v>-13</v>
      </c>
      <c r="N17" s="15">
        <f>SUM(C14:C17)/4</f>
        <v>1575.9</v>
      </c>
      <c r="O17" s="15">
        <v>1574.9175</v>
      </c>
      <c r="P17" s="16"/>
      <c r="Q17" s="16">
        <f>((D17+E17)/C17)</f>
        <v>0.156410256410256</v>
      </c>
      <c r="R17" s="16">
        <f>AVERAGE(Q14:Q17)</f>
        <v>0.134360580290516</v>
      </c>
      <c r="S17" s="17"/>
      <c r="T17" s="15">
        <f>SUM(J14:K17)/4</f>
        <v>13.85</v>
      </c>
      <c r="U17" s="17"/>
      <c r="V17" s="15">
        <f>-(L17+M17)+V16</f>
        <v>-84.75</v>
      </c>
      <c r="W17" s="17"/>
      <c r="X17" s="15">
        <f>F17-G17</f>
        <v>-7566</v>
      </c>
      <c r="Y17" s="24"/>
      <c r="Z17" s="26">
        <v>360</v>
      </c>
      <c r="AA17" s="17"/>
    </row>
    <row r="18" ht="20.05" customHeight="1">
      <c r="B18" s="13"/>
      <c r="C18" s="14">
        <v>1231</v>
      </c>
      <c r="D18" s="15">
        <v>146</v>
      </c>
      <c r="E18" s="15">
        <v>-18</v>
      </c>
      <c r="F18" s="15">
        <v>378</v>
      </c>
      <c r="G18" s="15">
        <v>7836</v>
      </c>
      <c r="H18" s="15">
        <v>11675</v>
      </c>
      <c r="I18" s="15">
        <v>1364.7</v>
      </c>
      <c r="J18" s="15">
        <v>5.8</v>
      </c>
      <c r="K18" s="15">
        <v>38</v>
      </c>
      <c r="L18" s="15">
        <v>66.25</v>
      </c>
      <c r="M18" s="15">
        <v>-13</v>
      </c>
      <c r="N18" s="15">
        <f>SUM(C15:C18)/4</f>
        <v>1537.4</v>
      </c>
      <c r="O18" s="15">
        <v>1625.6175</v>
      </c>
      <c r="P18" s="16"/>
      <c r="Q18" s="16">
        <f>((D18+E18)/C18)</f>
        <v>0.103980503655565</v>
      </c>
      <c r="R18" s="16">
        <f>AVERAGE(Q15:Q18)</f>
        <v>0.136709496818126</v>
      </c>
      <c r="S18" s="17"/>
      <c r="T18" s="15">
        <f>SUM(J15:K18)/4</f>
        <v>11.55</v>
      </c>
      <c r="U18" s="17"/>
      <c r="V18" s="15">
        <f>-(L18+M18)+V17</f>
        <v>-138</v>
      </c>
      <c r="W18" s="17"/>
      <c r="X18" s="15">
        <f>F18-G18</f>
        <v>-7458</v>
      </c>
      <c r="Y18" s="24"/>
      <c r="Z18" s="15">
        <v>458</v>
      </c>
      <c r="AA18" s="17"/>
    </row>
    <row r="19" ht="20.05" customHeight="1">
      <c r="B19" s="13"/>
      <c r="C19" s="14">
        <v>2317.9</v>
      </c>
      <c r="D19" s="15">
        <v>217.4</v>
      </c>
      <c r="E19" s="15">
        <v>316.2</v>
      </c>
      <c r="F19" s="15">
        <v>648</v>
      </c>
      <c r="G19" s="15">
        <v>7920</v>
      </c>
      <c r="H19" s="15">
        <v>14151</v>
      </c>
      <c r="I19" s="15">
        <v>2242</v>
      </c>
      <c r="J19" s="15">
        <v>579</v>
      </c>
      <c r="K19" s="15">
        <v>-310</v>
      </c>
      <c r="L19" s="15">
        <v>66.25</v>
      </c>
      <c r="M19" s="15">
        <v>-13</v>
      </c>
      <c r="N19" s="15">
        <f>SUM(C16:C19)/4</f>
        <v>1674.725</v>
      </c>
      <c r="O19" s="15">
        <v>1596.38</v>
      </c>
      <c r="P19" s="16"/>
      <c r="Q19" s="16">
        <f>((D19+E19)/C19)</f>
        <v>0.230208378273437</v>
      </c>
      <c r="R19" s="16">
        <f>AVERAGE(Q16:Q19)</f>
        <v>0.158498841188588</v>
      </c>
      <c r="S19" s="17"/>
      <c r="T19" s="15">
        <f>SUM(J16:K19)/4</f>
        <v>112.75</v>
      </c>
      <c r="U19" s="17"/>
      <c r="V19" s="15">
        <f>-(L19+M19)+V18</f>
        <v>-191.25</v>
      </c>
      <c r="W19" s="17"/>
      <c r="X19" s="15">
        <f>F19-G19</f>
        <v>-7272</v>
      </c>
      <c r="Y19" s="24"/>
      <c r="Z19" s="15">
        <v>610</v>
      </c>
      <c r="AA19" s="17"/>
    </row>
    <row r="20" ht="20.05" customHeight="1">
      <c r="B20" s="21">
        <v>2021</v>
      </c>
      <c r="C20" s="14">
        <v>1636.6</v>
      </c>
      <c r="D20" s="15">
        <v>147.3</v>
      </c>
      <c r="E20" s="15">
        <v>99.3</v>
      </c>
      <c r="F20" s="15">
        <v>511</v>
      </c>
      <c r="G20" s="15">
        <v>7762</v>
      </c>
      <c r="H20" s="15">
        <v>14092</v>
      </c>
      <c r="I20" s="15">
        <v>1592.5</v>
      </c>
      <c r="J20" s="15">
        <v>189.2</v>
      </c>
      <c r="K20" s="15">
        <v>-156.1</v>
      </c>
      <c r="L20" s="15">
        <v>-168</v>
      </c>
      <c r="M20" s="15">
        <v>0</v>
      </c>
      <c r="N20" s="15">
        <f>SUM(C17:C20)/4</f>
        <v>1686.375</v>
      </c>
      <c r="O20" s="15">
        <v>1735.28125</v>
      </c>
      <c r="P20" s="16"/>
      <c r="Q20" s="16">
        <f>((D20+E20)/C20)</f>
        <v>0.150678235366003</v>
      </c>
      <c r="R20" s="16">
        <f>AVERAGE(Q17:Q20)</f>
        <v>0.160319343426315</v>
      </c>
      <c r="S20" s="17"/>
      <c r="T20" s="15">
        <f>SUM(J17:K20)/4</f>
        <v>96.27500000000001</v>
      </c>
      <c r="U20" s="17"/>
      <c r="V20" s="15">
        <f>-(L20+M20)+V19</f>
        <v>-23.25</v>
      </c>
      <c r="W20" s="17"/>
      <c r="X20" s="15">
        <f>F20-G20</f>
        <v>-7251</v>
      </c>
      <c r="Y20" s="15"/>
      <c r="Z20" s="15">
        <v>562.817749</v>
      </c>
      <c r="AA20" s="17"/>
    </row>
    <row r="21" ht="20.05" customHeight="1">
      <c r="B21" s="13"/>
      <c r="C21" s="14">
        <v>1660.7</v>
      </c>
      <c r="D21" s="15">
        <v>148.8</v>
      </c>
      <c r="E21" s="15">
        <v>113.9</v>
      </c>
      <c r="F21" s="15">
        <v>393</v>
      </c>
      <c r="G21" s="15">
        <v>7738</v>
      </c>
      <c r="H21" s="15">
        <v>14052</v>
      </c>
      <c r="I21" s="15">
        <v>1824.9</v>
      </c>
      <c r="J21" s="15">
        <v>211.6</v>
      </c>
      <c r="K21" s="15">
        <v>-173.2</v>
      </c>
      <c r="L21" s="15">
        <v>54</v>
      </c>
      <c r="M21" s="15">
        <v>-130.7</v>
      </c>
      <c r="N21" s="15">
        <f>SUM(C18:C21)/4</f>
        <v>1711.55</v>
      </c>
      <c r="O21" s="15">
        <v>1868.28125</v>
      </c>
      <c r="P21" s="16">
        <f>C21/C20-1</f>
        <v>0.0147256507393377</v>
      </c>
      <c r="Q21" s="16">
        <f>((D21+E21)/C21)</f>
        <v>0.158186306978985</v>
      </c>
      <c r="R21" s="16">
        <f>AVERAGE(Q18:Q21)</f>
        <v>0.160763356068498</v>
      </c>
      <c r="S21" s="17"/>
      <c r="T21" s="15">
        <f>SUM(J18:K21)/4</f>
        <v>96.075</v>
      </c>
      <c r="U21" s="17"/>
      <c r="V21" s="15">
        <f>-(L21+M21)+V20</f>
        <v>53.45</v>
      </c>
      <c r="W21" s="17"/>
      <c r="X21" s="15">
        <f>F21-G21</f>
        <v>-7345</v>
      </c>
      <c r="Y21" s="15"/>
      <c r="Z21" s="15">
        <v>500</v>
      </c>
      <c r="AA21" s="17"/>
    </row>
    <row r="22" ht="20.05" customHeight="1">
      <c r="B22" s="13"/>
      <c r="C22" s="14">
        <v>1755.3</v>
      </c>
      <c r="D22" s="15">
        <v>153.7</v>
      </c>
      <c r="E22" s="15">
        <v>211</v>
      </c>
      <c r="F22" s="15">
        <v>318</v>
      </c>
      <c r="G22" s="15">
        <v>7442</v>
      </c>
      <c r="H22" s="15">
        <v>13967</v>
      </c>
      <c r="I22" s="15">
        <v>1689.6</v>
      </c>
      <c r="J22" s="15">
        <v>125</v>
      </c>
      <c r="K22" s="15">
        <v>-213.3</v>
      </c>
      <c r="L22" s="15">
        <v>-159</v>
      </c>
      <c r="M22" s="15">
        <v>0</v>
      </c>
      <c r="N22" s="15">
        <f>SUM(C19:C22)/4</f>
        <v>1842.625</v>
      </c>
      <c r="O22" s="15">
        <v>1909.47375</v>
      </c>
      <c r="P22" s="16">
        <f>C22/C21-1</f>
        <v>0.0569639308725236</v>
      </c>
      <c r="Q22" s="16">
        <f>((D22+E22)/C22)</f>
        <v>0.207770751438501</v>
      </c>
      <c r="R22" s="16">
        <f>AVERAGE(Q19:Q22)</f>
        <v>0.186710918014232</v>
      </c>
      <c r="S22" s="17"/>
      <c r="T22" s="15">
        <f>SUM(J19:K22)/4</f>
        <v>63.05</v>
      </c>
      <c r="U22" s="17"/>
      <c r="V22" s="15">
        <f>-(L22+M22)+V21</f>
        <v>212.45</v>
      </c>
      <c r="W22" s="17"/>
      <c r="X22" s="15">
        <f>F22-G22</f>
        <v>-7124</v>
      </c>
      <c r="Y22" s="15"/>
      <c r="Z22" s="15">
        <v>555</v>
      </c>
      <c r="AA22" s="17"/>
    </row>
    <row r="23" ht="20.05" customHeight="1">
      <c r="B23" s="13"/>
      <c r="C23" s="14">
        <v>2071.9</v>
      </c>
      <c r="D23" s="15">
        <v>157.4</v>
      </c>
      <c r="E23" s="15">
        <v>315.5</v>
      </c>
      <c r="F23" s="15">
        <v>420</v>
      </c>
      <c r="G23" s="15">
        <v>6687</v>
      </c>
      <c r="H23" s="15">
        <v>13712</v>
      </c>
      <c r="I23" s="15">
        <v>1981.5</v>
      </c>
      <c r="J23" s="15">
        <v>500.4</v>
      </c>
      <c r="K23" s="15">
        <v>365.6</v>
      </c>
      <c r="L23" s="15">
        <v>-803</v>
      </c>
      <c r="M23" s="15">
        <v>87.09999999999999</v>
      </c>
      <c r="N23" s="15">
        <f>SUM(C20:C23)/4</f>
        <v>1781.125</v>
      </c>
      <c r="O23" s="15">
        <v>2001.38125</v>
      </c>
      <c r="P23" s="16">
        <f>C23/C22-1</f>
        <v>0.180368028257278</v>
      </c>
      <c r="Q23" s="16">
        <f>((D23+E23)/C23)</f>
        <v>0.228244606399923</v>
      </c>
      <c r="R23" s="16">
        <f>AVERAGE(Q20:Q23)</f>
        <v>0.186219975045853</v>
      </c>
      <c r="S23" s="17"/>
      <c r="T23" s="15">
        <f>SUM(J20:K23)/4</f>
        <v>212.3</v>
      </c>
      <c r="U23" s="17"/>
      <c r="V23" s="15">
        <f>-(L23+M23)+V22</f>
        <v>928.35</v>
      </c>
      <c r="W23" s="17"/>
      <c r="X23" s="15">
        <f>F23-G23</f>
        <v>-6267</v>
      </c>
      <c r="Y23" s="15"/>
      <c r="Z23" s="15">
        <v>500</v>
      </c>
      <c r="AA23" s="17"/>
    </row>
    <row r="24" ht="20.05" customHeight="1">
      <c r="B24" s="21">
        <v>2022</v>
      </c>
      <c r="C24" s="14">
        <v>1645</v>
      </c>
      <c r="D24" s="15">
        <v>159</v>
      </c>
      <c r="E24" s="15">
        <v>209</v>
      </c>
      <c r="F24" s="15">
        <v>390</v>
      </c>
      <c r="G24" s="15">
        <v>6941</v>
      </c>
      <c r="H24" s="15">
        <v>14175</v>
      </c>
      <c r="I24" s="15">
        <v>1865</v>
      </c>
      <c r="J24" s="15">
        <v>335.5</v>
      </c>
      <c r="K24" s="15">
        <v>-240.6</v>
      </c>
      <c r="L24" s="15">
        <v>-129</v>
      </c>
      <c r="M24" s="15">
        <v>0</v>
      </c>
      <c r="N24" s="15">
        <f>SUM(C21:C24)/4</f>
        <v>1783.225</v>
      </c>
      <c r="O24" s="15">
        <v>1963.67525</v>
      </c>
      <c r="P24" s="16">
        <f>C24/C23-1</f>
        <v>-0.206042762681597</v>
      </c>
      <c r="Q24" s="16">
        <f>((D24+E24)/C24)</f>
        <v>0.22370820668693</v>
      </c>
      <c r="R24" s="16">
        <f>AVERAGE(Q21:Q24)</f>
        <v>0.204477467876085</v>
      </c>
      <c r="S24" s="35"/>
      <c r="T24" s="15">
        <f>SUM(J21:K24)/4</f>
        <v>227.75</v>
      </c>
      <c r="U24" s="15"/>
      <c r="V24" s="15">
        <f>-(L24+M24)+V23</f>
        <v>1057.35</v>
      </c>
      <c r="W24" s="15"/>
      <c r="X24" s="15">
        <f>F24-G24</f>
        <v>-6551</v>
      </c>
      <c r="Y24" s="15"/>
      <c r="Z24" s="15">
        <v>640</v>
      </c>
      <c r="AA24" s="17"/>
    </row>
    <row r="25" ht="20.05" customHeight="1">
      <c r="B25" s="13"/>
      <c r="C25" s="14">
        <v>2142</v>
      </c>
      <c r="D25" s="15">
        <v>179</v>
      </c>
      <c r="E25" s="15">
        <v>258</v>
      </c>
      <c r="F25" s="15">
        <v>317</v>
      </c>
      <c r="G25" s="15">
        <v>7202</v>
      </c>
      <c r="H25" s="15">
        <v>14482</v>
      </c>
      <c r="I25" s="15">
        <v>2074</v>
      </c>
      <c r="J25" s="15">
        <v>19.5</v>
      </c>
      <c r="K25" s="15">
        <v>-258.4</v>
      </c>
      <c r="L25" s="15">
        <v>247</v>
      </c>
      <c r="M25" s="15">
        <v>-212</v>
      </c>
      <c r="N25" s="15">
        <f>SUM(C22:C25)/4</f>
        <v>1903.55</v>
      </c>
      <c r="O25" s="15">
        <v>1892.27525</v>
      </c>
      <c r="P25" s="16">
        <f>C25/C24-1</f>
        <v>0.302127659574468</v>
      </c>
      <c r="Q25" s="16">
        <f>((D25+E25)/C25)</f>
        <v>0.204014939309057</v>
      </c>
      <c r="R25" s="16">
        <f>AVERAGE(Q22:Q25)</f>
        <v>0.215934625958603</v>
      </c>
      <c r="S25" s="35"/>
      <c r="T25" s="15">
        <f>SUM(J22:K25)/4</f>
        <v>158.425</v>
      </c>
      <c r="U25" s="15">
        <v>159.716425190280</v>
      </c>
      <c r="V25" s="15">
        <f>-(L25+M25)+V24</f>
        <v>1022.35</v>
      </c>
      <c r="W25" s="15"/>
      <c r="X25" s="15">
        <f>F25-G25</f>
        <v>-6885</v>
      </c>
      <c r="Y25" s="15">
        <v>-6065.655371602030</v>
      </c>
      <c r="Z25" s="26">
        <v>494</v>
      </c>
      <c r="AA25" s="26">
        <v>610</v>
      </c>
    </row>
    <row r="26" ht="20.05" customHeight="1">
      <c r="B26" s="13"/>
      <c r="C26" s="14">
        <v>2799</v>
      </c>
      <c r="D26" s="15">
        <v>259</v>
      </c>
      <c r="E26" s="15">
        <v>431</v>
      </c>
      <c r="F26" s="15">
        <v>346</v>
      </c>
      <c r="G26" s="15">
        <v>6939</v>
      </c>
      <c r="H26" s="15">
        <v>14650</v>
      </c>
      <c r="I26" s="15">
        <v>2807</v>
      </c>
      <c r="J26" s="15">
        <v>672</v>
      </c>
      <c r="K26" s="15">
        <v>-343</v>
      </c>
      <c r="L26" s="15">
        <v>-204</v>
      </c>
      <c r="M26" s="15">
        <v>0</v>
      </c>
      <c r="N26" s="15">
        <f>AVERAGE(C26)</f>
        <v>2799</v>
      </c>
      <c r="O26" s="15">
        <v>1976.43775</v>
      </c>
      <c r="P26" s="16">
        <f>C26/C25-1</f>
        <v>0.30672268907563</v>
      </c>
      <c r="Q26" s="16">
        <f>((D26+E26)/C26)</f>
        <v>0.246516613076099</v>
      </c>
      <c r="R26" s="16">
        <f>AVERAGE(Q23:Q26)</f>
        <v>0.225621091368002</v>
      </c>
      <c r="S26" s="35">
        <f>S27</f>
        <v>0.225621091368002</v>
      </c>
      <c r="T26" s="15">
        <f>SUM(J23:K26)/4</f>
        <v>262.75</v>
      </c>
      <c r="U26" s="15">
        <v>219.753163611440</v>
      </c>
      <c r="V26" s="15">
        <f>-(L26+M26)+V25</f>
        <v>1226.35</v>
      </c>
      <c r="W26" s="15">
        <f>W27</f>
        <v>2641.855789841590</v>
      </c>
      <c r="X26" s="15">
        <f>F26-G26</f>
        <v>-6593</v>
      </c>
      <c r="Y26" s="15">
        <v>-6126.067788976760</v>
      </c>
      <c r="Z26" s="26">
        <v>484</v>
      </c>
      <c r="AA26" s="26">
        <v>656.722642370978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AVERAGE(AD52:AG52)</f>
        <v>2812.42817451</v>
      </c>
      <c r="P27" s="17"/>
      <c r="Q27" s="17"/>
      <c r="R27" s="17"/>
      <c r="S27" s="35">
        <f>AD53</f>
        <v>0.225621091368002</v>
      </c>
      <c r="T27" s="17"/>
      <c r="U27" s="15">
        <f>SUM(AD55:AG55)/4</f>
        <v>353.876447460397</v>
      </c>
      <c r="V27" s="17"/>
      <c r="W27" s="15">
        <f>-SUM(AD76:AG76)+V26</f>
        <v>2641.855789841590</v>
      </c>
      <c r="X27" s="17"/>
      <c r="Y27" s="15">
        <f>AG75</f>
        <v>-5351.711455809240</v>
      </c>
      <c r="Z27" s="15">
        <v>655</v>
      </c>
      <c r="AA27" s="26">
        <v>724.6069662740369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19784.125</v>
      </c>
      <c r="O28" s="15">
        <f>SUM(O16:O26)</f>
        <v>19739.0274166667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AG88</f>
        <v>1068.326432937540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26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26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26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6" ht="27.65" customHeight="1">
      <c r="AB46" t="s" s="2">
        <v>207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ht="20.25" customHeight="1">
      <c r="AB47" t="s" s="28">
        <v>366</v>
      </c>
      <c r="AC47" t="s" s="29">
        <v>23</v>
      </c>
      <c r="AD47" t="s" s="29">
        <v>24</v>
      </c>
      <c r="AE47" t="s" s="29">
        <v>25</v>
      </c>
      <c r="AF47" t="s" s="29">
        <v>26</v>
      </c>
      <c r="AG47" t="s" s="29">
        <v>23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ht="20.25" customHeight="1">
      <c r="AB48" t="s" s="31">
        <v>15</v>
      </c>
      <c r="AC48" s="32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</row>
    <row r="49" ht="20.05" customHeight="1">
      <c r="AB49" t="s" s="33">
        <v>27</v>
      </c>
      <c r="AC49" s="34"/>
      <c r="AD49" s="16">
        <f>AVERAGE(P23:P26)</f>
        <v>0.145793903556445</v>
      </c>
      <c r="AE49" s="35"/>
      <c r="AF49" s="35"/>
      <c r="AG49" s="35">
        <f>AVERAGE(AD51:AG51)</f>
        <v>0.005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s="36"/>
      <c r="AC50" s="37"/>
      <c r="AD50" s="35">
        <f>P23</f>
        <v>0.180368028257278</v>
      </c>
      <c r="AE50" s="35">
        <f>P24</f>
        <v>-0.206042762681597</v>
      </c>
      <c r="AF50" s="35">
        <f>P25</f>
        <v>0.302127659574468</v>
      </c>
      <c r="AG50" s="35">
        <f>P26</f>
        <v>0.30672268907563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t="s" s="33">
        <v>13</v>
      </c>
      <c r="AC51" s="37"/>
      <c r="AD51" s="35">
        <v>0.01</v>
      </c>
      <c r="AE51" s="35">
        <v>-0.02</v>
      </c>
      <c r="AF51" s="35">
        <v>0.01</v>
      </c>
      <c r="AG51" s="35">
        <v>0.02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28</v>
      </c>
      <c r="AC52" s="38">
        <f>C26</f>
        <v>2799</v>
      </c>
      <c r="AD52" s="23">
        <f>C26*(1+AD51)</f>
        <v>2826.99</v>
      </c>
      <c r="AE52" s="23">
        <f>AD52*(1+AE51)</f>
        <v>2770.4502</v>
      </c>
      <c r="AF52" s="23">
        <f>AE52*(1+AF51)</f>
        <v>2798.154702</v>
      </c>
      <c r="AG52" s="23">
        <f>AF52*(1+AG51)</f>
        <v>2854.11779604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ht="20.05" customHeight="1">
      <c r="AB53" t="s" s="33">
        <v>14</v>
      </c>
      <c r="AC53" s="37"/>
      <c r="AD53" s="35">
        <f>AVERAGE(R26)</f>
        <v>0.225621091368002</v>
      </c>
      <c r="AE53" s="35">
        <f>AD53</f>
        <v>0.225621091368002</v>
      </c>
      <c r="AF53" s="35">
        <f>AE53</f>
        <v>0.225621091368002</v>
      </c>
      <c r="AG53" s="35">
        <f>AF53</f>
        <v>0.225621091368002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</row>
    <row r="54" ht="20.05" customHeight="1">
      <c r="AB54" t="s" s="33">
        <v>29</v>
      </c>
      <c r="AC54" s="14"/>
      <c r="AD54" s="15">
        <f>AVERAGE(K24:K26)</f>
        <v>-280.666666666667</v>
      </c>
      <c r="AE54" s="15">
        <f>AD54</f>
        <v>-280.666666666667</v>
      </c>
      <c r="AF54" s="15">
        <f>AE54</f>
        <v>-280.666666666667</v>
      </c>
      <c r="AG54" s="15">
        <f>AF54</f>
        <v>-280.666666666667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30</v>
      </c>
      <c r="AC55" s="14"/>
      <c r="AD55" s="15">
        <f>(AD52*AD53)+AD54</f>
        <v>357.161902419761</v>
      </c>
      <c r="AE55" s="15">
        <f>(AE52*AE53)+AE54</f>
        <v>344.405331038032</v>
      </c>
      <c r="AF55" s="15">
        <f>(AF52*AF53)+AF54</f>
        <v>350.656051015079</v>
      </c>
      <c r="AG55" s="15">
        <f>(AG52*AG53)+AG54</f>
        <v>363.282505368714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31</v>
      </c>
      <c r="AC56" s="14"/>
      <c r="AD56" s="15">
        <f>-G26/20</f>
        <v>-346.95</v>
      </c>
      <c r="AE56" s="15">
        <f>-AD71/20</f>
        <v>-329.6025</v>
      </c>
      <c r="AF56" s="15">
        <f>-AE71/20</f>
        <v>-313.122375</v>
      </c>
      <c r="AG56" s="15">
        <f>-AF71/20</f>
        <v>-297.46625625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32</v>
      </c>
      <c r="AC57" s="39"/>
      <c r="AD57" s="40">
        <v>-0.1</v>
      </c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33</v>
      </c>
      <c r="AC58" s="14"/>
      <c r="AD58" s="15">
        <f>IF(AD66&gt;0,AD66*$AD$57,0)</f>
        <v>-43.8828569086428</v>
      </c>
      <c r="AE58" s="15">
        <f>IF(AE66&gt;0,AE66*$AD$57,0)</f>
        <v>-42.6071997704699</v>
      </c>
      <c r="AF58" s="15">
        <f>IF(AF66&gt;0,AF66*$AD$57,0)</f>
        <v>-43.2322717681746</v>
      </c>
      <c r="AG58" s="15">
        <f>IF(AG66&gt;0,AG66*$AD$57,0)</f>
        <v>-44.4949172035381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34</v>
      </c>
      <c r="AC59" s="14"/>
      <c r="AD59" s="15">
        <f>AD55+AD56+AD58</f>
        <v>-33.6709544888818</v>
      </c>
      <c r="AE59" s="15">
        <f>AE55+AE56+AE58</f>
        <v>-27.8043687324379</v>
      </c>
      <c r="AF59" s="15">
        <f>AF55+AF56+AF58</f>
        <v>-5.6985957530956</v>
      </c>
      <c r="AG59" s="15">
        <f>AG55+AG56+AG58</f>
        <v>21.3213319151759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35</v>
      </c>
      <c r="AC60" s="14"/>
      <c r="AD60" s="15">
        <f>-MIN(0,AD59)</f>
        <v>33.6709544888818</v>
      </c>
      <c r="AE60" s="15">
        <f>-MIN(AD72,AE59)</f>
        <v>27.8043687324379</v>
      </c>
      <c r="AF60" s="15">
        <f>-MIN(AE72,AF59)</f>
        <v>5.6985957530956</v>
      </c>
      <c r="AG60" s="15">
        <f>-MIN(AF72,AG59)</f>
        <v>-21.3213319151759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36</v>
      </c>
      <c r="AC61" s="14"/>
      <c r="AD61" s="15">
        <f>F26</f>
        <v>346</v>
      </c>
      <c r="AE61" s="15">
        <f>AD63</f>
        <v>346</v>
      </c>
      <c r="AF61" s="15">
        <f>AE63</f>
        <v>346</v>
      </c>
      <c r="AG61" s="15">
        <f>AF63</f>
        <v>346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37</v>
      </c>
      <c r="AC62" s="14"/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38</v>
      </c>
      <c r="AC63" s="14"/>
      <c r="AD63" s="15">
        <f>AD61+AD62</f>
        <v>346</v>
      </c>
      <c r="AE63" s="15">
        <f>AE61+AE62</f>
        <v>346</v>
      </c>
      <c r="AF63" s="15">
        <f>AF61+AF62</f>
        <v>346</v>
      </c>
      <c r="AG63" s="15">
        <f>AG61+AG62</f>
        <v>346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41">
        <v>4</v>
      </c>
      <c r="AC64" s="14"/>
      <c r="AD64" s="15"/>
      <c r="AE64" s="15"/>
      <c r="AF64" s="15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ht="20.05" customHeight="1">
      <c r="AB65" t="s" s="33">
        <v>3</v>
      </c>
      <c r="AC65" s="14"/>
      <c r="AD65" s="15">
        <f>-AVERAGE(D24:D26)</f>
        <v>-199</v>
      </c>
      <c r="AE65" s="15">
        <f>AD65</f>
        <v>-199</v>
      </c>
      <c r="AF65" s="15">
        <f>AE65</f>
        <v>-199</v>
      </c>
      <c r="AG65" s="15">
        <f>AF65</f>
        <v>-199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</v>
      </c>
      <c r="AC66" s="14"/>
      <c r="AD66" s="15">
        <f>(AD52*AD53)+AD65</f>
        <v>438.828569086428</v>
      </c>
      <c r="AE66" s="15">
        <f>(AE52*AE53)+AE65</f>
        <v>426.071997704699</v>
      </c>
      <c r="AF66" s="15">
        <f>(AF52*AF53)+AF65</f>
        <v>432.322717681746</v>
      </c>
      <c r="AG66" s="15">
        <f>(AG52*AG53)+AG65</f>
        <v>444.949172035381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41">
        <v>39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40</v>
      </c>
      <c r="AC68" s="14"/>
      <c r="AD68" s="15">
        <f>H26-F26-AD54</f>
        <v>14584.6666666667</v>
      </c>
      <c r="AE68" s="15">
        <f>AD68-AE54</f>
        <v>14865.3333333334</v>
      </c>
      <c r="AF68" s="15">
        <f>AE68-AF54</f>
        <v>15146.0000000001</v>
      </c>
      <c r="AG68" s="15">
        <f>AF68-AG54</f>
        <v>15426.6666666668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41</v>
      </c>
      <c r="AC69" s="14"/>
      <c r="AD69" s="15">
        <f>0-AD65</f>
        <v>199</v>
      </c>
      <c r="AE69" s="15">
        <f>AD69-AE65</f>
        <v>398</v>
      </c>
      <c r="AF69" s="15">
        <f>AE69-AF65</f>
        <v>597</v>
      </c>
      <c r="AG69" s="15">
        <f>AF69-AG65</f>
        <v>796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42</v>
      </c>
      <c r="AC70" s="14"/>
      <c r="AD70" s="15">
        <f>AD68-AD69</f>
        <v>14385.6666666667</v>
      </c>
      <c r="AE70" s="15">
        <f>AE68-AE69</f>
        <v>14467.3333333334</v>
      </c>
      <c r="AF70" s="15">
        <f>AF68-AF69</f>
        <v>14549.0000000001</v>
      </c>
      <c r="AG70" s="15">
        <f>AG68-AG69</f>
        <v>14630.6666666668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6</v>
      </c>
      <c r="AC71" s="14"/>
      <c r="AD71" s="15">
        <f>G26+AD56</f>
        <v>6592.05</v>
      </c>
      <c r="AE71" s="15">
        <f>AD71+AE56</f>
        <v>6262.4475</v>
      </c>
      <c r="AF71" s="15">
        <f>AE71+AF56</f>
        <v>5949.325125</v>
      </c>
      <c r="AG71" s="15">
        <f>AF71+AG56</f>
        <v>5651.85886875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35</v>
      </c>
      <c r="AC72" s="14"/>
      <c r="AD72" s="15">
        <f>AD60</f>
        <v>33.6709544888818</v>
      </c>
      <c r="AE72" s="15">
        <f>AD72+AE60</f>
        <v>61.4753232213197</v>
      </c>
      <c r="AF72" s="15">
        <f>AE72+AF60</f>
        <v>67.1739189744153</v>
      </c>
      <c r="AG72" s="15">
        <f>AF72+AG60</f>
        <v>45.8525870592394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11</v>
      </c>
      <c r="AC73" s="14"/>
      <c r="AD73" s="15">
        <f>(H26-G26)+AD66+AD58</f>
        <v>8105.945712177790</v>
      </c>
      <c r="AE73" s="15">
        <f>AD73+AE66+AE58</f>
        <v>8489.410510112020</v>
      </c>
      <c r="AF73" s="15">
        <f>AE73+AF66+AF58</f>
        <v>8878.500956025589</v>
      </c>
      <c r="AG73" s="15">
        <f>AF73+AG66+AG58</f>
        <v>9278.955210857430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43</v>
      </c>
      <c r="AC74" s="14"/>
      <c r="AD74" s="15">
        <f>AD71+AD72+AD73-AD63-AD70</f>
        <v>-2.82e-11</v>
      </c>
      <c r="AE74" s="15">
        <f>AE71+AE72+AE73-AE63-AE70</f>
        <v>-6.03e-11</v>
      </c>
      <c r="AF74" s="15">
        <f>AF71+AF72+AF73-AF63-AF70</f>
        <v>-9.470000000000001e-11</v>
      </c>
      <c r="AG74" s="15">
        <f>AG71+AG72+AG73-AG63-AG70</f>
        <v>-1.306e-10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18</v>
      </c>
      <c r="AC75" s="14"/>
      <c r="AD75" s="15">
        <f>AD63-AD71-AD72</f>
        <v>-6279.720954488880</v>
      </c>
      <c r="AE75" s="15">
        <f>AE63-AE71-AE72</f>
        <v>-5977.922823221320</v>
      </c>
      <c r="AF75" s="15">
        <f>AF63-AF71-AF72</f>
        <v>-5670.499043974420</v>
      </c>
      <c r="AG75" s="15">
        <f>AG63-AG71-AG72</f>
        <v>-5351.711455809240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44</v>
      </c>
      <c r="AC76" s="14"/>
      <c r="AD76" s="15">
        <f>AD56+AD58+AD60</f>
        <v>-357.161902419761</v>
      </c>
      <c r="AE76" s="15">
        <f>AE56+AE58+AE60</f>
        <v>-344.405331038032</v>
      </c>
      <c r="AF76" s="15">
        <f>AF56+AF58+AF60</f>
        <v>-350.656051015079</v>
      </c>
      <c r="AG76" s="15">
        <f>AG56+AG58+AG60</f>
        <v>-363.282505368714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45</v>
      </c>
      <c r="AC77" s="14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f>Z$3</f>
        <v>561</v>
      </c>
      <c r="AC78" s="14"/>
      <c r="AD78" s="15"/>
      <c r="AE78" s="15"/>
      <c r="AF78" s="15"/>
      <c r="AG78" s="15">
        <v>655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$AB78</f>
        <v>561</v>
      </c>
      <c r="AC79" s="14"/>
      <c r="AD79" s="15"/>
      <c r="AE79" s="15"/>
      <c r="AF79" s="15"/>
      <c r="AG79" s="15">
        <v>6942868874240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46</v>
      </c>
      <c r="AC80" s="14"/>
      <c r="AD80" s="15"/>
      <c r="AE80" s="15"/>
      <c r="AF80" s="15"/>
      <c r="AG80" s="15">
        <f>AG79/1000000000</f>
        <v>6942.86887424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47</v>
      </c>
      <c r="AC81" s="14"/>
      <c r="AD81" s="15"/>
      <c r="AE81" s="15"/>
      <c r="AF81" s="15"/>
      <c r="AG81" s="15">
        <f>AG80/AG78</f>
        <v>10.599799808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48</v>
      </c>
      <c r="AC82" s="14"/>
      <c r="AD82" s="15"/>
      <c r="AE82" s="15"/>
      <c r="AF82" s="15"/>
      <c r="AG82" s="43">
        <f>AG80/(AG63+AG70)</f>
        <v>0.463579047912749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ht="20.05" customHeight="1">
      <c r="AB83" t="s" s="33">
        <v>49</v>
      </c>
      <c r="AC83" s="14"/>
      <c r="AD83" s="15"/>
      <c r="AE83" s="15"/>
      <c r="AF83" s="15"/>
      <c r="AG83" s="16">
        <f>-(AD58+AE58+AF58+AG58)/AG80</f>
        <v>0.0250929765211641</v>
      </c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ht="20.05" customHeight="1">
      <c r="AB84" t="s" s="33">
        <v>50</v>
      </c>
      <c r="AC84" s="14"/>
      <c r="AD84" s="15"/>
      <c r="AE84" s="15"/>
      <c r="AF84" s="15"/>
      <c r="AG84" s="15">
        <f>SUM(AD55:AG55)</f>
        <v>1415.505789841590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51</v>
      </c>
      <c r="AC85" s="14"/>
      <c r="AD85" s="15"/>
      <c r="AE85" s="15"/>
      <c r="AF85" s="15"/>
      <c r="AG85" s="15">
        <f>AG70/AG84</f>
        <v>10.3359991683991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52</v>
      </c>
      <c r="AC86" s="14"/>
      <c r="AD86" s="15"/>
      <c r="AE86" s="15"/>
      <c r="AF86" s="15">
        <f>AG80/AG84</f>
        <v>4.90486787413069</v>
      </c>
      <c r="AG86" s="15">
        <v>8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53</v>
      </c>
      <c r="AC87" s="14"/>
      <c r="AD87" s="15"/>
      <c r="AE87" s="15"/>
      <c r="AF87" s="15"/>
      <c r="AG87" s="15">
        <f>AG84*AG86</f>
        <v>11324.0463187327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54</v>
      </c>
      <c r="AC88" s="14"/>
      <c r="AD88" s="15"/>
      <c r="AE88" s="15"/>
      <c r="AF88" s="15"/>
      <c r="AG88" s="15">
        <f>(AG87/AG81)</f>
        <v>1068.326432937540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55</v>
      </c>
      <c r="AC89" s="38"/>
      <c r="AD89" s="23"/>
      <c r="AE89" s="23"/>
      <c r="AF89" s="23"/>
      <c r="AG89" s="16">
        <f>AG88/AG78-1</f>
        <v>0.631032722042046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56</v>
      </c>
      <c r="AC90" s="38"/>
      <c r="AD90" s="23"/>
      <c r="AE90" s="23"/>
      <c r="AF90" s="23"/>
      <c r="AG90" s="16">
        <f>C26/C22-1</f>
        <v>0.594599213809605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57</v>
      </c>
      <c r="AC91" s="38"/>
      <c r="AD91" s="23"/>
      <c r="AE91" s="23"/>
      <c r="AF91" s="23"/>
      <c r="AG91" s="16">
        <f>O28/N28-1</f>
        <v>-0.00227948333996576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38"/>
      <c r="AD92" s="23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45"/>
      <c r="AD94" t="s" s="44">
        <f>$AB78</f>
        <v>561</v>
      </c>
      <c r="AE94" t="s" s="44">
        <v>60</v>
      </c>
      <c r="AF94" s="15">
        <f>AG78</f>
        <v>655</v>
      </c>
      <c r="AG94" t="s" s="44">
        <v>61</v>
      </c>
      <c r="AH94" s="15">
        <f>AG88</f>
        <v>1068.326432937540</v>
      </c>
      <c r="AI94" t="s" s="44">
        <f>IF(AJ94&gt;0,"+","")</f>
        <v>361</v>
      </c>
      <c r="AJ94" s="16">
        <f>AH94/AF94-1</f>
        <v>0.631032722042046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20.05" customHeight="1">
      <c r="AB95" s="36"/>
      <c r="AC95" s="46"/>
      <c r="AD95" s="47">
        <f>TODAY()</f>
        <v>44942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64</v>
      </c>
      <c r="AF97" t="s" s="44">
        <f>IF(AG97&gt;0,"+","")</f>
        <v>361</v>
      </c>
      <c r="AG97" s="16">
        <f>AH104/AD104-1</f>
        <v>0.594599213809605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65</v>
      </c>
      <c r="AF98" t="s" s="44">
        <f>IF(AG98&gt;0,"+","")</f>
        <v>361</v>
      </c>
      <c r="AG98" s="16">
        <f>SUM(AE117:AH118)/AE134</f>
        <v>0.151378345038246</v>
      </c>
      <c r="AH98" t="s" s="44"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17</v>
      </c>
      <c r="AF99" t="s" s="44">
        <f>IF(AG99&gt;0,"+","")</f>
        <v>361</v>
      </c>
      <c r="AG99" s="16">
        <f>SUM(AE131:AH132)/AE134</f>
        <v>0.146034732668199</v>
      </c>
      <c r="AH99" t="s" s="44">
        <f>AH98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68</v>
      </c>
      <c r="AE100" t="s" s="44">
        <v>369</v>
      </c>
      <c r="AF100" s="16">
        <f>AO127/AE134</f>
        <v>-0.949607448941156</v>
      </c>
      <c r="AG100" t="s" s="44">
        <f>AH99</f>
        <v>66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20.05" customHeight="1">
      <c r="AB101" s="36"/>
      <c r="AC101" s="34"/>
      <c r="AD101" t="s" s="44">
        <v>28</v>
      </c>
      <c r="AE101" t="s" s="44">
        <f>AE105</f>
        <v>362</v>
      </c>
      <c r="AF101" s="16">
        <f>AF105</f>
        <v>0.30672268907563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32.05" customHeight="1">
      <c r="AB102" s="36"/>
      <c r="AC102" s="34"/>
      <c r="AD102" t="s" s="44">
        <v>70</v>
      </c>
      <c r="AE102" t="s" s="44">
        <v>371</v>
      </c>
      <c r="AF102" t="s" s="44">
        <f>AL105</f>
        <v>372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71"/>
      <c r="AD103" s="16">
        <f>P22</f>
        <v>0.0569639308725236</v>
      </c>
      <c r="AE103" s="16">
        <f>P23</f>
        <v>0.180368028257278</v>
      </c>
      <c r="AF103" s="16">
        <f>P24</f>
        <v>-0.206042762681597</v>
      </c>
      <c r="AG103" s="16">
        <f>P25</f>
        <v>0.302127659574468</v>
      </c>
      <c r="AH103" s="16">
        <f>P26</f>
        <v>0.30672268907563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34"/>
      <c r="AD104" s="15">
        <f>C22</f>
        <v>1755.3</v>
      </c>
      <c r="AE104" s="15">
        <f>C23</f>
        <v>2071.9</v>
      </c>
      <c r="AF104" s="15">
        <f>C24</f>
        <v>1645</v>
      </c>
      <c r="AG104" s="15">
        <f>C25</f>
        <v>2142</v>
      </c>
      <c r="AH104" s="15">
        <f>C26</f>
        <v>2799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44.05" customHeight="1">
      <c r="AB105" s="36"/>
      <c r="AC105" s="34"/>
      <c r="AD105" t="s" s="44">
        <v>2</v>
      </c>
      <c r="AE105" t="s" s="44">
        <f>IF(AF105&lt;0,"declined","grew")</f>
        <v>362</v>
      </c>
      <c r="AF105" s="16">
        <f>AH104/AG104-1</f>
        <v>0.30672268907563</v>
      </c>
      <c r="AG105" t="s" s="44">
        <v>73</v>
      </c>
      <c r="AH105" t="s" s="44">
        <v>74</v>
      </c>
      <c r="AI105" t="s" s="44">
        <v>75</v>
      </c>
      <c r="AJ105" t="s" s="44">
        <v>76</v>
      </c>
      <c r="AK105" s="15">
        <f>AH104</f>
        <v>2799</v>
      </c>
      <c r="AL105" t="s" s="44">
        <v>372</v>
      </c>
      <c r="AM105" t="s" s="44">
        <v>378</v>
      </c>
      <c r="AN105" s="16">
        <v>0.0297063450445726</v>
      </c>
      <c r="AO105" t="s" s="44">
        <v>78</v>
      </c>
      <c r="AP105" s="17"/>
      <c r="AQ105" s="17"/>
      <c r="AR105" s="17"/>
      <c r="AS105" s="17"/>
      <c r="AT105" s="17"/>
      <c r="AU105" s="17"/>
    </row>
    <row r="106" ht="56.05" customHeight="1">
      <c r="AB106" s="36"/>
      <c r="AC106" s="34"/>
      <c r="AD106" t="s" s="44">
        <v>79</v>
      </c>
      <c r="AE106" s="16">
        <f>AVERAGE(AE103:AH103)</f>
        <v>0.145793903556445</v>
      </c>
      <c r="AF106" t="s" s="44">
        <v>80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81</v>
      </c>
      <c r="AE107" s="35">
        <f>AG49</f>
        <v>0.005</v>
      </c>
      <c r="AF107" t="s" s="44">
        <v>82</v>
      </c>
      <c r="AG107" t="s" s="44">
        <v>83</v>
      </c>
      <c r="AH107" s="23">
        <f>AG52</f>
        <v>2854.11779604</v>
      </c>
      <c r="AI107" t="s" s="44">
        <f>AL105</f>
        <v>372</v>
      </c>
      <c r="AJ107" t="s" s="44">
        <v>84</v>
      </c>
      <c r="AK107" t="s" s="44">
        <f>AH105</f>
        <v>74</v>
      </c>
      <c r="AL107" t="s" s="44">
        <f>AI105</f>
        <v>75</v>
      </c>
      <c r="AM107" t="s" s="44">
        <v>85</v>
      </c>
      <c r="AN107" s="17"/>
      <c r="AO107" s="17"/>
      <c r="AP107" s="17"/>
      <c r="AQ107" s="17"/>
      <c r="AR107" s="17"/>
      <c r="AS107" s="17"/>
      <c r="AT107" s="17"/>
      <c r="AU107" s="17"/>
    </row>
    <row r="108" ht="20.05" customHeight="1">
      <c r="AB108" s="36"/>
      <c r="AC108" s="34"/>
      <c r="AD108" t="s" s="44">
        <v>14</v>
      </c>
      <c r="AE108" t="s" s="44">
        <f>IF(AG112&lt;AE112,"down","up")</f>
        <v>108</v>
      </c>
      <c r="AF108" t="s" s="44">
        <v>86</v>
      </c>
      <c r="AG108" t="s" s="44">
        <f>IF(AK112&gt;AI112,"up","down")</f>
        <v>108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44.05" customHeight="1">
      <c r="AB109" s="36"/>
      <c r="AC109" s="34"/>
      <c r="AD109" t="s" s="44">
        <f>AD102</f>
        <v>70</v>
      </c>
      <c r="AE109" t="s" s="44">
        <v>88</v>
      </c>
      <c r="AF109" t="s" s="44">
        <f>AL105</f>
        <v>372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71"/>
      <c r="AD110" s="16">
        <f>(D22+E22)/C22</f>
        <v>0.207770751438501</v>
      </c>
      <c r="AE110" s="16">
        <f>(D23+E23)/C23</f>
        <v>0.228244606399923</v>
      </c>
      <c r="AF110" s="16">
        <f>((E24+D24)/C24)</f>
        <v>0.22370820668693</v>
      </c>
      <c r="AG110" s="16">
        <f>(D25+E25)/C25</f>
        <v>0.204014939309057</v>
      </c>
      <c r="AH110" s="16">
        <f>(D26+E26)/C26</f>
        <v>0.246516613076099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34"/>
      <c r="AD111" s="15">
        <f>E22</f>
        <v>211</v>
      </c>
      <c r="AE111" s="15">
        <f>E23</f>
        <v>315.5</v>
      </c>
      <c r="AF111" s="15">
        <f>E24</f>
        <v>209</v>
      </c>
      <c r="AG111" s="15">
        <f>E25</f>
        <v>258</v>
      </c>
      <c r="AH111" s="15">
        <f>E26</f>
        <v>431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44.05" customHeight="1">
      <c r="AB112" s="36"/>
      <c r="AC112" s="34"/>
      <c r="AD112" t="s" s="44">
        <v>89</v>
      </c>
      <c r="AE112" s="16">
        <f>AG110</f>
        <v>0.204014939309057</v>
      </c>
      <c r="AF112" t="s" s="44">
        <v>76</v>
      </c>
      <c r="AG112" s="16">
        <f>AH110</f>
        <v>0.246516613076099</v>
      </c>
      <c r="AH112" t="s" s="44">
        <v>90</v>
      </c>
      <c r="AI112" s="15">
        <f>AG111</f>
        <v>258</v>
      </c>
      <c r="AJ112" t="s" s="44">
        <v>76</v>
      </c>
      <c r="AK112" s="15">
        <f>AH111</f>
        <v>431</v>
      </c>
      <c r="AL112" t="s" s="44">
        <f>AI107</f>
        <v>372</v>
      </c>
      <c r="AM112" t="s" s="44">
        <v>73</v>
      </c>
      <c r="AN112" t="s" s="44">
        <f>AK107</f>
        <v>74</v>
      </c>
      <c r="AO112" t="s" s="44">
        <v>91</v>
      </c>
      <c r="AP112" s="17"/>
      <c r="AQ112" s="17"/>
      <c r="AR112" s="17"/>
      <c r="AS112" s="17"/>
      <c r="AT112" s="17"/>
      <c r="AU112" s="17"/>
    </row>
    <row r="113" ht="68.05" customHeight="1">
      <c r="AB113" s="36"/>
      <c r="AC113" s="34"/>
      <c r="AD113" t="s" s="44">
        <v>92</v>
      </c>
      <c r="AE113" s="16">
        <f>AVERAGE(AE110:AH110)</f>
        <v>0.225621091368002</v>
      </c>
      <c r="AF113" t="s" s="44">
        <v>78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44.05" customHeight="1">
      <c r="AB114" s="36"/>
      <c r="AC114" s="34"/>
      <c r="AD114" t="s" s="44">
        <v>93</v>
      </c>
      <c r="AE114" s="35">
        <f>AD53</f>
        <v>0.225621091368002</v>
      </c>
      <c r="AF114" t="s" s="44">
        <v>94</v>
      </c>
      <c r="AG114" s="15">
        <f>AG66</f>
        <v>444.949172035381</v>
      </c>
      <c r="AH114" t="s" s="44">
        <f>AL112</f>
        <v>372</v>
      </c>
      <c r="AI114" t="s" s="44">
        <v>95</v>
      </c>
      <c r="AJ114" t="s" s="44">
        <f>AN112</f>
        <v>74</v>
      </c>
      <c r="AK114" t="s" s="44">
        <f>AI105</f>
        <v>75</v>
      </c>
      <c r="AL114" t="s" s="44">
        <f>AM107</f>
        <v>85</v>
      </c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20.05" customHeight="1">
      <c r="AB115" s="36"/>
      <c r="AC115" s="34"/>
      <c r="AD115" t="s" s="44">
        <v>15</v>
      </c>
      <c r="AE115" t="s" s="44">
        <f>IF(AG119&lt;AE119,"lower","higher")</f>
        <v>363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56.05" customHeight="1">
      <c r="AB116" s="36"/>
      <c r="AC116" s="34"/>
      <c r="AD116" t="s" s="44">
        <f>AD109</f>
        <v>70</v>
      </c>
      <c r="AE116" t="s" s="44">
        <v>96</v>
      </c>
      <c r="AF116" t="s" s="44">
        <f>AL105</f>
        <v>372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J22</f>
        <v>125</v>
      </c>
      <c r="AE117" s="15">
        <f>J23</f>
        <v>500.4</v>
      </c>
      <c r="AF117" s="15">
        <f>J24</f>
        <v>335.5</v>
      </c>
      <c r="AG117" s="15">
        <f>J25</f>
        <v>19.5</v>
      </c>
      <c r="AH117" s="15">
        <f>J26</f>
        <v>672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K22</f>
        <v>-213.3</v>
      </c>
      <c r="AE118" s="15">
        <f>K23</f>
        <v>365.6</v>
      </c>
      <c r="AF118" s="15">
        <f>K24</f>
        <v>-240.6</v>
      </c>
      <c r="AG118" s="15">
        <f>K25</f>
        <v>-258.4</v>
      </c>
      <c r="AH118" s="15">
        <f>K26</f>
        <v>-343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44.05" customHeight="1">
      <c r="AB119" s="36"/>
      <c r="AC119" s="34"/>
      <c r="AD119" t="s" s="44">
        <v>97</v>
      </c>
      <c r="AE119" s="15">
        <f>AG117+AG118</f>
        <v>-238.9</v>
      </c>
      <c r="AF119" t="s" s="44">
        <v>76</v>
      </c>
      <c r="AG119" s="15">
        <f>AH117+AH118</f>
        <v>329</v>
      </c>
      <c r="AH119" t="s" s="44">
        <f>AH114</f>
        <v>372</v>
      </c>
      <c r="AI119" t="s" s="44">
        <v>84</v>
      </c>
      <c r="AJ119" t="s" s="44">
        <f>AJ114</f>
        <v>74</v>
      </c>
      <c r="AK119" t="s" s="44">
        <v>98</v>
      </c>
      <c r="AL119" s="15">
        <f>AH118</f>
        <v>-343</v>
      </c>
      <c r="AM119" t="s" s="44">
        <f>AL105</f>
        <v>372</v>
      </c>
      <c r="AN119" t="s" s="44">
        <v>99</v>
      </c>
      <c r="AO119" s="17"/>
      <c r="AP119" s="17"/>
      <c r="AQ119" s="17"/>
      <c r="AR119" s="17"/>
      <c r="AS119" s="17"/>
      <c r="AT119" s="17"/>
      <c r="AU119" s="17"/>
    </row>
    <row r="120" ht="56.05" customHeight="1">
      <c r="AB120" s="36"/>
      <c r="AC120" s="34"/>
      <c r="AD120" t="s" s="44">
        <v>100</v>
      </c>
      <c r="AE120" s="15">
        <f>SUM(AE117:AH118)/4</f>
        <v>262.75</v>
      </c>
      <c r="AF120" t="s" s="44">
        <f>AL105</f>
        <v>372</v>
      </c>
      <c r="AG120" t="s" s="44">
        <v>78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44.05" customHeight="1">
      <c r="AB121" s="36"/>
      <c r="AC121" s="34"/>
      <c r="AD121" t="s" s="44">
        <v>101</v>
      </c>
      <c r="AE121" s="15">
        <f>AD54</f>
        <v>-280.666666666667</v>
      </c>
      <c r="AF121" t="s" s="44">
        <f>AF120</f>
        <v>372</v>
      </c>
      <c r="AG121" t="s" s="44">
        <v>102</v>
      </c>
      <c r="AH121" t="s" s="44">
        <v>103</v>
      </c>
      <c r="AI121" t="s" s="44">
        <f>IF(AH107&gt;AK105,"higher","lower")</f>
        <v>363</v>
      </c>
      <c r="AJ121" t="s" s="44">
        <v>105</v>
      </c>
      <c r="AK121" s="15">
        <f>SUM(AD55:AG55)/4</f>
        <v>353.876447460397</v>
      </c>
      <c r="AL121" t="s" s="44">
        <f>AF121</f>
        <v>372</v>
      </c>
      <c r="AM121" t="s" s="44">
        <v>106</v>
      </c>
      <c r="AN121" t="s" s="44">
        <v>107</v>
      </c>
      <c r="AO121" s="17"/>
      <c r="AP121" s="17"/>
      <c r="AQ121" s="17"/>
      <c r="AR121" s="17"/>
      <c r="AS121" s="17"/>
      <c r="AT121" s="17"/>
      <c r="AU121" s="17"/>
    </row>
    <row r="122" ht="20.05" customHeight="1">
      <c r="AB122" s="36"/>
      <c r="AC122" s="34"/>
      <c r="AD122" t="s" s="44">
        <v>18</v>
      </c>
      <c r="AE122" t="s" s="44">
        <f>AL127</f>
        <v>108</v>
      </c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32.05" customHeight="1">
      <c r="AB123" s="36"/>
      <c r="AC123" s="34"/>
      <c r="AD123" t="s" s="44">
        <f>AD102</f>
        <v>70</v>
      </c>
      <c r="AE123" t="s" s="44">
        <v>109</v>
      </c>
      <c r="AF123" t="s" s="44">
        <f>AL105</f>
        <v>372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s="36"/>
      <c r="AC124" s="34"/>
      <c r="AD124" s="15">
        <f>F22</f>
        <v>318</v>
      </c>
      <c r="AE124" s="15">
        <f>F23</f>
        <v>420</v>
      </c>
      <c r="AF124" s="15">
        <f>F24</f>
        <v>390</v>
      </c>
      <c r="AG124" s="15">
        <f>F25</f>
        <v>317</v>
      </c>
      <c r="AH124" s="15">
        <f>F26</f>
        <v>346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G22</f>
        <v>7442</v>
      </c>
      <c r="AE125" s="15">
        <f>G23</f>
        <v>6687</v>
      </c>
      <c r="AF125" s="15">
        <f>G24</f>
        <v>6941</v>
      </c>
      <c r="AG125" s="15">
        <f>G25</f>
        <v>7202</v>
      </c>
      <c r="AH125" s="15">
        <f>G26</f>
        <v>6939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32.05" customHeight="1">
      <c r="AB126" s="36"/>
      <c r="AC126" s="34"/>
      <c r="AD126" t="s" s="44">
        <v>110</v>
      </c>
      <c r="AE126" t="s" s="44">
        <f>IF(AH126&lt;AF126,"declined","increased")</f>
        <v>111</v>
      </c>
      <c r="AF126" s="15">
        <f>AG124</f>
        <v>317</v>
      </c>
      <c r="AG126" t="s" s="44">
        <v>76</v>
      </c>
      <c r="AH126" s="15">
        <f>AH124</f>
        <v>346</v>
      </c>
      <c r="AI126" t="s" s="44">
        <f>AL121</f>
        <v>372</v>
      </c>
      <c r="AJ126" t="s" s="44">
        <v>84</v>
      </c>
      <c r="AK126" t="s" s="44">
        <f>AH105</f>
        <v>74</v>
      </c>
      <c r="AL126" t="s" s="44">
        <f>AO112</f>
        <v>91</v>
      </c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112</v>
      </c>
      <c r="AE127" t="s" s="44">
        <f>IF(AH127&lt;AF127,"declined","increased")</f>
        <v>370</v>
      </c>
      <c r="AF127" s="15">
        <f>AG125</f>
        <v>7202</v>
      </c>
      <c r="AG127" t="s" s="44">
        <v>76</v>
      </c>
      <c r="AH127" s="15">
        <f>AH125</f>
        <v>6939</v>
      </c>
      <c r="AI127" t="s" s="44">
        <f>AI126</f>
        <v>372</v>
      </c>
      <c r="AJ127" t="s" s="44">
        <v>113</v>
      </c>
      <c r="AK127" t="s" s="44">
        <v>114</v>
      </c>
      <c r="AL127" t="s" s="44">
        <f>IF(AO127&lt;AM127,"down","up")</f>
        <v>108</v>
      </c>
      <c r="AM127" s="15">
        <f>AF126-AF127</f>
        <v>-6885</v>
      </c>
      <c r="AN127" t="s" s="44">
        <v>76</v>
      </c>
      <c r="AO127" s="15">
        <f>AH126-AH127</f>
        <v>-6593</v>
      </c>
      <c r="AP127" t="s" s="44">
        <f>AI127</f>
        <v>372</v>
      </c>
      <c r="AQ127" t="s" s="44">
        <v>115</v>
      </c>
      <c r="AR127" s="17"/>
      <c r="AS127" s="17"/>
      <c r="AT127" s="17"/>
      <c r="AU127" s="17"/>
    </row>
    <row r="128" ht="56.05" customHeight="1">
      <c r="AB128" s="36"/>
      <c r="AC128" s="34"/>
      <c r="AD128" t="s" s="44">
        <v>116</v>
      </c>
      <c r="AE128" s="15">
        <f>SUM(AD58:AG58)</f>
        <v>-174.217245650825</v>
      </c>
      <c r="AF128" t="s" s="44">
        <f>AI127</f>
        <v>372</v>
      </c>
      <c r="AG128" t="s" s="44">
        <v>117</v>
      </c>
      <c r="AH128" t="s" s="44">
        <f>IF(AI128&gt;0,"+","")</f>
      </c>
      <c r="AI128" s="15">
        <f>AD56+AE56+AF56+AG56+AD60+AE60+AF60+AG60</f>
        <v>-1241.288544190760</v>
      </c>
      <c r="AJ128" t="s" s="44">
        <f>AP127</f>
        <v>372</v>
      </c>
      <c r="AK128" t="s" s="44">
        <v>118</v>
      </c>
      <c r="AL128" t="s" s="44">
        <v>119</v>
      </c>
      <c r="AM128" s="15">
        <f>AG75</f>
        <v>-5351.711455809240</v>
      </c>
      <c r="AN128" t="s" s="44">
        <f>AI127</f>
        <v>372</v>
      </c>
      <c r="AO128" t="s" s="44">
        <v>120</v>
      </c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t="s" s="44">
        <v>17</v>
      </c>
      <c r="AE129" t="s" s="44">
        <f>AE133</f>
        <v>374</v>
      </c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56.05" customHeight="1">
      <c r="AB130" s="36"/>
      <c r="AC130" s="34"/>
      <c r="AD130" t="s" s="44">
        <f>AD102</f>
        <v>70</v>
      </c>
      <c r="AE130" t="s" s="44">
        <v>379</v>
      </c>
      <c r="AF130" t="s" s="44">
        <f>AL105</f>
        <v>372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5">
        <f>-L22</f>
        <v>159</v>
      </c>
      <c r="AE131" s="15">
        <f>-L23</f>
        <v>803</v>
      </c>
      <c r="AF131" s="15">
        <f>-L24</f>
        <v>129</v>
      </c>
      <c r="AG131" s="15">
        <f>-L25</f>
        <v>-247</v>
      </c>
      <c r="AH131" s="15">
        <f>-L26</f>
        <v>204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-M22</f>
        <v>0</v>
      </c>
      <c r="AE132" s="15">
        <f>-M23</f>
        <v>-87.09999999999999</v>
      </c>
      <c r="AF132" s="15">
        <f>-M24</f>
        <v>0</v>
      </c>
      <c r="AG132" s="15">
        <f>-M25</f>
        <v>212</v>
      </c>
      <c r="AH132" s="15">
        <f>-M26</f>
        <v>0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44.05" customHeight="1">
      <c r="AB133" s="36"/>
      <c r="AC133" s="34"/>
      <c r="AD133" t="s" s="44">
        <f>AD94</f>
        <v>561</v>
      </c>
      <c r="AE133" t="s" s="44">
        <f>IF(AF133&gt;0,"paid","(raised)")</f>
        <v>374</v>
      </c>
      <c r="AF133" s="15">
        <f>SUM(AH131:AH132)</f>
        <v>204</v>
      </c>
      <c r="AG133" t="s" s="44">
        <f>AL105</f>
        <v>372</v>
      </c>
      <c r="AH133" t="s" s="44">
        <f>AG105</f>
        <v>73</v>
      </c>
      <c r="AI133" t="s" s="44">
        <f>AH105</f>
        <v>74</v>
      </c>
      <c r="AJ133" t="s" s="44">
        <f>AI105</f>
        <v>75</v>
      </c>
      <c r="AK133" s="15">
        <f>AH131</f>
        <v>204</v>
      </c>
      <c r="AL133" t="s" s="44">
        <f>AL105</f>
        <v>372</v>
      </c>
      <c r="AM133" t="s" s="44">
        <v>123</v>
      </c>
      <c r="AN133" s="15">
        <f>AH132</f>
        <v>0</v>
      </c>
      <c r="AO133" t="s" s="44">
        <f>AL105</f>
        <v>372</v>
      </c>
      <c r="AP133" t="s" s="44">
        <v>124</v>
      </c>
      <c r="AQ133" t="s" s="44">
        <v>125</v>
      </c>
      <c r="AR133" t="s" s="44">
        <f>IF(AS133&gt;0,"pay","raise")</f>
        <v>364</v>
      </c>
      <c r="AS133" s="15">
        <f>-SUM(AD76:AG76)</f>
        <v>1415.505789841590</v>
      </c>
      <c r="AT133" t="s" s="44">
        <f>AL105</f>
        <v>372</v>
      </c>
      <c r="AU133" t="s" s="44">
        <v>126</v>
      </c>
    </row>
    <row r="134" ht="56.05" customHeight="1">
      <c r="AB134" s="36"/>
      <c r="AC134" s="34"/>
      <c r="AD134" t="s" s="44">
        <v>375</v>
      </c>
      <c r="AE134" s="15">
        <f>AG80</f>
        <v>6942.86887424</v>
      </c>
      <c r="AF134" t="s" s="44">
        <f>AL105</f>
        <v>372</v>
      </c>
      <c r="AG134" t="s" s="44">
        <v>128</v>
      </c>
      <c r="AH134" t="s" s="44">
        <v>129</v>
      </c>
      <c r="AI134" s="43">
        <f>AG82</f>
        <v>0.463579047912749</v>
      </c>
      <c r="AJ134" t="s" s="44">
        <v>130</v>
      </c>
      <c r="AK134" t="s" s="44">
        <v>131</v>
      </c>
      <c r="AL134" t="s" s="44">
        <v>132</v>
      </c>
      <c r="AM134" s="15">
        <f>AG85</f>
        <v>10.3359991683991</v>
      </c>
      <c r="AN134" t="s" s="44">
        <v>133</v>
      </c>
      <c r="AO134" s="16">
        <f>-AE128/AE134</f>
        <v>0.0250929765211641</v>
      </c>
      <c r="AP134" t="s" s="44">
        <v>134</v>
      </c>
      <c r="AQ134" s="17"/>
      <c r="AR134" s="17"/>
      <c r="AS134" s="17"/>
      <c r="AT134" s="17"/>
      <c r="AU134" s="17"/>
    </row>
    <row r="135" ht="56.05" customHeight="1">
      <c r="AB135" s="36"/>
      <c r="AC135" s="34"/>
      <c r="AD135" t="s" s="44">
        <v>135</v>
      </c>
      <c r="AE135" s="15">
        <f>AG84</f>
        <v>1415.505789841590</v>
      </c>
      <c r="AF135" t="s" s="44">
        <f>AF134</f>
        <v>372</v>
      </c>
      <c r="AG135" t="s" s="44">
        <v>136</v>
      </c>
      <c r="AH135" s="15">
        <f>AE134/AE135</f>
        <v>4.90486787413069</v>
      </c>
      <c r="AI135" t="s" s="44">
        <v>130</v>
      </c>
      <c r="AJ135" t="s" s="44">
        <v>137</v>
      </c>
      <c r="AK135" t="s" s="44">
        <v>138</v>
      </c>
      <c r="AL135" s="15">
        <f>AG86</f>
        <v>8</v>
      </c>
      <c r="AM135" t="s" s="44">
        <v>139</v>
      </c>
      <c r="AN135" t="s" s="44">
        <v>140</v>
      </c>
      <c r="AO135" t="s" s="44">
        <v>141</v>
      </c>
      <c r="AP135" s="16">
        <f>AJ94</f>
        <v>0.631032722042046</v>
      </c>
      <c r="AQ135" t="s" s="44">
        <f>IF(AP135&gt;0,"higher","lower")</f>
        <v>363</v>
      </c>
      <c r="AR135" t="s" s="44">
        <v>142</v>
      </c>
      <c r="AS135" s="15">
        <f>AH94</f>
        <v>1068.326432937540</v>
      </c>
      <c r="AT135" t="s" s="44">
        <v>143</v>
      </c>
      <c r="AU135" s="17"/>
    </row>
    <row r="136" ht="20.05" customHeight="1">
      <c r="AB136" s="36"/>
      <c r="AC136" s="34"/>
      <c r="AD136" s="17"/>
      <c r="AE136" s="17"/>
      <c r="AF136" s="17"/>
      <c r="AG136" s="17"/>
      <c r="AH136" s="15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28</v>
      </c>
      <c r="AC137" s="14">
        <f>AD104</f>
        <v>1755.3</v>
      </c>
      <c r="AD137" s="15">
        <f>AE104</f>
        <v>2071.9</v>
      </c>
      <c r="AE137" s="15">
        <f>AF104</f>
        <v>1645</v>
      </c>
      <c r="AF137" s="15">
        <f>AG104</f>
        <v>2142</v>
      </c>
      <c r="AG137" s="15">
        <f>AH104</f>
        <v>2799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144</v>
      </c>
      <c r="AC138" s="14">
        <f>SUM(AD117:AD118)</f>
        <v>-88.3</v>
      </c>
      <c r="AD138" s="15">
        <f>SUM(AE117:AE118)</f>
        <v>866</v>
      </c>
      <c r="AE138" s="15">
        <f>SUM(AF117:AF118)</f>
        <v>94.90000000000001</v>
      </c>
      <c r="AF138" s="15">
        <f>SUM(AG117:AG118)</f>
        <v>-238.9</v>
      </c>
      <c r="AG138" s="15">
        <f>SUM(AH117:AH118)</f>
        <v>329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145</v>
      </c>
      <c r="AC139" s="14">
        <f>SUM(AD131:AD132)</f>
        <v>159</v>
      </c>
      <c r="AD139" s="15">
        <f>SUM(AE131:AE132)</f>
        <v>715.9</v>
      </c>
      <c r="AE139" s="15">
        <f>SUM(AF131:AF132)</f>
        <v>129</v>
      </c>
      <c r="AF139" s="15">
        <f>SUM(AG131:AG132)</f>
        <v>-35</v>
      </c>
      <c r="AG139" s="15">
        <f>SUM(AH131:AH132)</f>
        <v>204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146</v>
      </c>
      <c r="AC140" s="14">
        <f>(AD124-AD125)</f>
        <v>-7124</v>
      </c>
      <c r="AD140" s="15">
        <f>(AE124-AE125)</f>
        <v>-6267</v>
      </c>
      <c r="AE140" s="15">
        <f>(AF124-AF125)</f>
        <v>-6551</v>
      </c>
      <c r="AF140" s="15">
        <f>(AG124-AG125)</f>
        <v>-6885</v>
      </c>
      <c r="AG140" s="15">
        <f>(AH124-AH125)</f>
        <v>-6593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5">
        <f>AS135</f>
        <v>1068.326432937540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</sheetData>
  <mergeCells count="2">
    <mergeCell ref="B2:AA2"/>
    <mergeCell ref="AB46:AU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90" customWidth="1"/>
    <col min="2" max="27" width="10.4844" style="190" customWidth="1"/>
    <col min="28" max="28" width="18.9766" style="193" customWidth="1"/>
    <col min="29" max="32" width="9" style="193" customWidth="1"/>
    <col min="33" max="46" hidden="1" width="16.3333" style="193" customWidth="1"/>
    <col min="47" max="16384" width="16.3516" style="193" customWidth="1"/>
  </cols>
  <sheetData>
    <row r="1" ht="11.65" customHeight="1"/>
    <row r="2" ht="27.65" customHeight="1">
      <c r="B2" t="s" s="2">
        <v>562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251</v>
      </c>
      <c r="AA3" t="s" s="3">
        <v>19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191"/>
      <c r="AA4" s="9"/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192"/>
      <c r="AA5" s="17"/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92"/>
      <c r="AA6" s="17"/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92"/>
      <c r="AA7" s="17"/>
    </row>
    <row r="8" ht="20.05" customHeight="1">
      <c r="B8" s="21">
        <v>2018</v>
      </c>
      <c r="C8" s="14">
        <v>8770.700000000001</v>
      </c>
      <c r="D8" s="15">
        <v>12.2</v>
      </c>
      <c r="E8" s="15">
        <v>62.8</v>
      </c>
      <c r="F8" s="15">
        <v>0</v>
      </c>
      <c r="G8" s="15">
        <v>0</v>
      </c>
      <c r="H8" s="15">
        <v>0</v>
      </c>
      <c r="I8" s="15">
        <v>292.7</v>
      </c>
      <c r="J8" s="15">
        <v>-54.5</v>
      </c>
      <c r="K8" s="15">
        <v>-3.1</v>
      </c>
      <c r="L8" s="15">
        <v>0</v>
      </c>
      <c r="M8" s="15">
        <v>0.04</v>
      </c>
      <c r="N8" s="15">
        <f>SUM(C5:C8)/4</f>
        <v>2192.675</v>
      </c>
      <c r="O8" s="17"/>
      <c r="P8" s="16"/>
      <c r="Q8" s="16"/>
      <c r="R8" s="16"/>
      <c r="S8" s="17"/>
      <c r="T8" s="15">
        <f>SUM(J5:K8)/4</f>
        <v>-14.4</v>
      </c>
      <c r="U8" s="17"/>
      <c r="V8" s="15">
        <f>-(L8+M8)+V7</f>
        <v>-0.04</v>
      </c>
      <c r="W8" s="17"/>
      <c r="X8" s="15">
        <f>F8-G8</f>
        <v>0</v>
      </c>
      <c r="Y8" s="24"/>
      <c r="Z8" s="192"/>
      <c r="AA8" s="24"/>
    </row>
    <row r="9" ht="20.05" customHeight="1">
      <c r="B9" s="13"/>
      <c r="C9" s="14">
        <v>610.7</v>
      </c>
      <c r="D9" s="15">
        <v>12.3</v>
      </c>
      <c r="E9" s="15">
        <v>45.5</v>
      </c>
      <c r="F9" s="15">
        <v>0</v>
      </c>
      <c r="G9" s="15">
        <v>0</v>
      </c>
      <c r="H9" s="15">
        <v>0</v>
      </c>
      <c r="I9" s="15">
        <v>455.8</v>
      </c>
      <c r="J9" s="15">
        <v>48.3</v>
      </c>
      <c r="K9" s="15">
        <v>-28</v>
      </c>
      <c r="L9" s="15">
        <v>0</v>
      </c>
      <c r="M9" s="15">
        <v>-78.14</v>
      </c>
      <c r="N9" s="15">
        <f>SUM(C6:C9)/4</f>
        <v>2345.35</v>
      </c>
      <c r="O9" s="17"/>
      <c r="P9" s="16"/>
      <c r="Q9" s="16"/>
      <c r="R9" s="16"/>
      <c r="S9" s="17"/>
      <c r="T9" s="15">
        <f>SUM(J6:K9)/4</f>
        <v>-9.324999999999999</v>
      </c>
      <c r="U9" s="17"/>
      <c r="V9" s="15">
        <f>-(L9+M9)+V8</f>
        <v>78.09999999999999</v>
      </c>
      <c r="W9" s="17"/>
      <c r="X9" s="15">
        <f>F9-G9</f>
        <v>0</v>
      </c>
      <c r="Y9" s="24"/>
      <c r="Z9" s="192"/>
      <c r="AA9" s="24"/>
    </row>
    <row r="10" ht="20.05" customHeight="1">
      <c r="B10" s="13"/>
      <c r="C10" s="14">
        <v>1138.5</v>
      </c>
      <c r="D10" s="15">
        <v>12.4</v>
      </c>
      <c r="E10" s="15">
        <v>54.9</v>
      </c>
      <c r="F10" s="15">
        <v>0</v>
      </c>
      <c r="G10" s="15">
        <v>0</v>
      </c>
      <c r="H10" s="15">
        <v>0</v>
      </c>
      <c r="I10" s="15">
        <v>419</v>
      </c>
      <c r="J10" s="15">
        <v>15.2</v>
      </c>
      <c r="K10" s="15">
        <v>-14.2</v>
      </c>
      <c r="L10" s="15">
        <v>0</v>
      </c>
      <c r="M10" s="15">
        <v>0</v>
      </c>
      <c r="N10" s="15">
        <f>SUM(C7:C10)/4</f>
        <v>2629.975</v>
      </c>
      <c r="O10" s="17"/>
      <c r="P10" s="16"/>
      <c r="Q10" s="16"/>
      <c r="R10" s="16"/>
      <c r="S10" s="17"/>
      <c r="T10" s="15">
        <f>SUM(J7:K10)/4</f>
        <v>-9.074999999999999</v>
      </c>
      <c r="U10" s="17"/>
      <c r="V10" s="15">
        <f>-(L10+M10)+V9</f>
        <v>78.09999999999999</v>
      </c>
      <c r="W10" s="17"/>
      <c r="X10" s="15">
        <f>F10-G10</f>
        <v>0</v>
      </c>
      <c r="Y10" s="24"/>
      <c r="Z10" s="192"/>
      <c r="AA10" s="24"/>
    </row>
    <row r="11" ht="20.05" customHeight="1">
      <c r="B11" s="13"/>
      <c r="C11" s="14">
        <v>1023.3</v>
      </c>
      <c r="D11" s="15">
        <v>12.8</v>
      </c>
      <c r="E11" s="15">
        <v>37.4</v>
      </c>
      <c r="F11" s="15">
        <v>306</v>
      </c>
      <c r="G11" s="15">
        <v>483</v>
      </c>
      <c r="H11" s="15">
        <v>1683</v>
      </c>
      <c r="I11" s="15">
        <v>444.5</v>
      </c>
      <c r="J11" s="15">
        <v>17.6</v>
      </c>
      <c r="K11" s="15">
        <v>-14</v>
      </c>
      <c r="L11" s="15">
        <v>0</v>
      </c>
      <c r="M11" s="15">
        <v>-40.9</v>
      </c>
      <c r="N11" s="15">
        <f>SUM(C8:C11)/4</f>
        <v>2885.8</v>
      </c>
      <c r="O11" s="17"/>
      <c r="P11" s="16"/>
      <c r="Q11" s="16"/>
      <c r="R11" s="16"/>
      <c r="S11" s="17"/>
      <c r="T11" s="15">
        <f>SUM(J8:K11)/4</f>
        <v>-8.175000000000001</v>
      </c>
      <c r="U11" s="17"/>
      <c r="V11" s="15">
        <f>-(L11+M11)+V10</f>
        <v>119</v>
      </c>
      <c r="W11" s="17"/>
      <c r="X11" s="15">
        <f>F11-G11</f>
        <v>-177</v>
      </c>
      <c r="Y11" s="24"/>
      <c r="Z11" s="192"/>
      <c r="AA11" s="24"/>
    </row>
    <row r="12" ht="20.05" customHeight="1">
      <c r="B12" s="21">
        <v>2019</v>
      </c>
      <c r="C12" s="14">
        <v>823.7</v>
      </c>
      <c r="D12" s="15">
        <v>12.8</v>
      </c>
      <c r="E12" s="15">
        <v>83.2</v>
      </c>
      <c r="F12" s="15">
        <v>208</v>
      </c>
      <c r="G12" s="15">
        <v>535</v>
      </c>
      <c r="H12" s="15">
        <v>1818</v>
      </c>
      <c r="I12" s="15">
        <v>346.7</v>
      </c>
      <c r="J12" s="15">
        <v>-18.7</v>
      </c>
      <c r="K12" s="15">
        <v>-76.8</v>
      </c>
      <c r="L12" s="15">
        <v>0</v>
      </c>
      <c r="M12" s="15">
        <v>0.2</v>
      </c>
      <c r="N12" s="15">
        <f>SUM(C9:C12)/4</f>
        <v>899.05</v>
      </c>
      <c r="O12" s="17"/>
      <c r="P12" s="16"/>
      <c r="Q12" s="16">
        <f>((D12+E12)/C12)</f>
        <v>0.116547286633483</v>
      </c>
      <c r="R12" s="16">
        <f>AVERAGE(Q9:Q12)</f>
        <v>0.116547286633483</v>
      </c>
      <c r="S12" s="17"/>
      <c r="T12" s="15">
        <f>SUM(J9:K12)/4</f>
        <v>-17.65</v>
      </c>
      <c r="U12" s="17"/>
      <c r="V12" s="15">
        <f>-(L12+M12)+V11</f>
        <v>118.8</v>
      </c>
      <c r="W12" s="17"/>
      <c r="X12" s="15">
        <f>F12-G12</f>
        <v>-327</v>
      </c>
      <c r="Y12" s="24"/>
      <c r="Z12" s="18">
        <v>2020</v>
      </c>
      <c r="AA12" s="24"/>
    </row>
    <row r="13" ht="20.05" customHeight="1">
      <c r="B13" s="13"/>
      <c r="C13" s="14">
        <v>989.9</v>
      </c>
      <c r="D13" s="15">
        <v>13.6</v>
      </c>
      <c r="E13" s="15">
        <v>30.6</v>
      </c>
      <c r="F13" s="15">
        <v>238</v>
      </c>
      <c r="G13" s="15">
        <v>592</v>
      </c>
      <c r="H13" s="15">
        <v>1828</v>
      </c>
      <c r="I13" s="15">
        <v>466.5</v>
      </c>
      <c r="J13" s="15">
        <v>40</v>
      </c>
      <c r="K13" s="15">
        <v>-13.5</v>
      </c>
      <c r="L13" s="15">
        <v>0</v>
      </c>
      <c r="M13" s="15">
        <v>3.9</v>
      </c>
      <c r="N13" s="15">
        <f>SUM(C10:C13)/4</f>
        <v>993.85</v>
      </c>
      <c r="O13" s="17"/>
      <c r="P13" s="16"/>
      <c r="Q13" s="16">
        <f>((D13+E13)/C13)</f>
        <v>0.044650974845944</v>
      </c>
      <c r="R13" s="16">
        <f>AVERAGE(Q10:Q13)</f>
        <v>0.0805991307397135</v>
      </c>
      <c r="S13" s="17"/>
      <c r="T13" s="15">
        <f>SUM(J10:K13)/4</f>
        <v>-16.1</v>
      </c>
      <c r="U13" s="17"/>
      <c r="V13" s="15">
        <f>-(L13+M13)+V12</f>
        <v>114.9</v>
      </c>
      <c r="W13" s="17"/>
      <c r="X13" s="15">
        <f>F13-G13</f>
        <v>-354</v>
      </c>
      <c r="Y13" s="24"/>
      <c r="Z13" s="18">
        <v>2250</v>
      </c>
      <c r="AA13" s="24"/>
    </row>
    <row r="14" ht="20.05" customHeight="1">
      <c r="B14" s="13"/>
      <c r="C14" s="14">
        <v>955.3</v>
      </c>
      <c r="D14" s="15">
        <v>13.6</v>
      </c>
      <c r="E14" s="15">
        <v>63.8</v>
      </c>
      <c r="F14" s="15">
        <v>306</v>
      </c>
      <c r="G14" s="15">
        <v>483</v>
      </c>
      <c r="H14" s="15">
        <v>1683</v>
      </c>
      <c r="I14" s="15">
        <v>566.2</v>
      </c>
      <c r="J14" s="15">
        <v>184.1</v>
      </c>
      <c r="K14" s="15">
        <v>-10.4</v>
      </c>
      <c r="L14" s="15">
        <v>0</v>
      </c>
      <c r="M14" s="15">
        <v>-77.59999999999999</v>
      </c>
      <c r="N14" s="15">
        <f>SUM(C11:C14)/4</f>
        <v>948.05</v>
      </c>
      <c r="O14" s="17"/>
      <c r="P14" s="16"/>
      <c r="Q14" s="16">
        <f>((D14+E14)/C14)</f>
        <v>0.08102166858578461</v>
      </c>
      <c r="R14" s="16">
        <f>AVERAGE(Q11:Q14)</f>
        <v>0.08073997668840389</v>
      </c>
      <c r="S14" s="17"/>
      <c r="T14" s="15">
        <f>SUM(J11:K14)/4</f>
        <v>27.075</v>
      </c>
      <c r="U14" s="17"/>
      <c r="V14" s="15">
        <f>-(L14+M14)+V13</f>
        <v>192.5</v>
      </c>
      <c r="W14" s="17"/>
      <c r="X14" s="15">
        <f>F14-G14</f>
        <v>-177</v>
      </c>
      <c r="Y14" s="24"/>
      <c r="Z14" s="18">
        <v>2210</v>
      </c>
      <c r="AA14" s="24"/>
    </row>
    <row r="15" ht="20.05" customHeight="1">
      <c r="B15" s="13"/>
      <c r="C15" s="14">
        <v>1237.5</v>
      </c>
      <c r="D15" s="15">
        <v>13.9</v>
      </c>
      <c r="E15" s="15">
        <v>44.2</v>
      </c>
      <c r="F15" s="15">
        <v>339</v>
      </c>
      <c r="G15" s="15">
        <v>524</v>
      </c>
      <c r="H15" s="15">
        <v>1830</v>
      </c>
      <c r="I15" s="15">
        <v>450.6</v>
      </c>
      <c r="J15" s="15">
        <v>67.09999999999999</v>
      </c>
      <c r="K15" s="15">
        <v>-24.3</v>
      </c>
      <c r="L15" s="15">
        <v>0</v>
      </c>
      <c r="M15" s="15">
        <v>-39.5</v>
      </c>
      <c r="N15" s="15">
        <f>SUM(C12:C15)/4</f>
        <v>1001.6</v>
      </c>
      <c r="O15" s="17"/>
      <c r="P15" s="16"/>
      <c r="Q15" s="16">
        <f>((D15+E15)/C15)</f>
        <v>0.0469494949494949</v>
      </c>
      <c r="R15" s="16">
        <f>AVERAGE(Q12:Q15)</f>
        <v>0.0722923562536766</v>
      </c>
      <c r="S15" s="17"/>
      <c r="T15" s="15">
        <f>SUM(J12:K15)/4</f>
        <v>36.875</v>
      </c>
      <c r="U15" s="17"/>
      <c r="V15" s="15">
        <f>-(L15+M15)+V14</f>
        <v>232</v>
      </c>
      <c r="W15" s="17"/>
      <c r="X15" s="15">
        <f>F15-G15</f>
        <v>-185</v>
      </c>
      <c r="Y15" s="24"/>
      <c r="Z15" s="18">
        <v>2250</v>
      </c>
      <c r="AA15" s="24"/>
    </row>
    <row r="16" ht="20.05" customHeight="1">
      <c r="B16" s="21">
        <v>2020</v>
      </c>
      <c r="C16" s="14">
        <v>882</v>
      </c>
      <c r="D16" s="15">
        <v>14.8</v>
      </c>
      <c r="E16" s="15">
        <v>56.5</v>
      </c>
      <c r="F16" s="15">
        <v>339</v>
      </c>
      <c r="G16" s="15">
        <v>524</v>
      </c>
      <c r="H16" s="15">
        <v>1830</v>
      </c>
      <c r="I16" s="15">
        <v>430.6</v>
      </c>
      <c r="J16" s="15">
        <v>23</v>
      </c>
      <c r="K16" s="15">
        <v>-5.9</v>
      </c>
      <c r="L16" s="15">
        <v>0</v>
      </c>
      <c r="M16" s="15">
        <v>1.3</v>
      </c>
      <c r="N16" s="15">
        <f>SUM(C13:C16)/4</f>
        <v>1016.175</v>
      </c>
      <c r="O16" s="15"/>
      <c r="P16" s="16"/>
      <c r="Q16" s="16">
        <f>((D16+E16)/C16)</f>
        <v>0.08083900226757371</v>
      </c>
      <c r="R16" s="16">
        <f>AVERAGE(Q13:Q16)</f>
        <v>0.0633652851621993</v>
      </c>
      <c r="S16" s="17"/>
      <c r="T16" s="15">
        <f>SUM(J13:K16)/4</f>
        <v>65.02500000000001</v>
      </c>
      <c r="U16" s="17"/>
      <c r="V16" s="15">
        <f>-(L16+M16)+V15</f>
        <v>230.7</v>
      </c>
      <c r="W16" s="17"/>
      <c r="X16" s="15">
        <f>F16-G16</f>
        <v>-185</v>
      </c>
      <c r="Y16" s="24"/>
      <c r="Z16" s="18">
        <v>2100</v>
      </c>
      <c r="AA16" s="24"/>
    </row>
    <row r="17" ht="20.05" customHeight="1">
      <c r="B17" s="13"/>
      <c r="C17" s="14">
        <v>583.7</v>
      </c>
      <c r="D17" s="15">
        <v>14.9</v>
      </c>
      <c r="E17" s="15">
        <v>82.5</v>
      </c>
      <c r="F17" s="15">
        <v>312</v>
      </c>
      <c r="G17" s="15">
        <v>582</v>
      </c>
      <c r="H17" s="15">
        <v>2010</v>
      </c>
      <c r="I17" s="15">
        <v>352.1</v>
      </c>
      <c r="J17" s="15">
        <v>-35.2</v>
      </c>
      <c r="K17" s="15">
        <v>-12.3</v>
      </c>
      <c r="L17" s="15">
        <v>0</v>
      </c>
      <c r="M17" s="15">
        <v>1.4</v>
      </c>
      <c r="N17" s="15">
        <f>SUM(C14:C17)/4</f>
        <v>914.625</v>
      </c>
      <c r="O17" s="15"/>
      <c r="P17" s="16"/>
      <c r="Q17" s="16">
        <f>((D17+E17)/C17)</f>
        <v>0.166866541031352</v>
      </c>
      <c r="R17" s="16">
        <f>AVERAGE(Q14:Q17)</f>
        <v>0.09391917670855129</v>
      </c>
      <c r="S17" s="17"/>
      <c r="T17" s="15">
        <f>SUM(J14:K17)/4</f>
        <v>46.525</v>
      </c>
      <c r="U17" s="17"/>
      <c r="V17" s="15">
        <f>-(L17+M17)+V16</f>
        <v>229.3</v>
      </c>
      <c r="W17" s="17"/>
      <c r="X17" s="15">
        <f>F17-G17</f>
        <v>-270</v>
      </c>
      <c r="Y17" s="24"/>
      <c r="Z17" s="18">
        <v>2180</v>
      </c>
      <c r="AA17" s="24"/>
    </row>
    <row r="18" ht="20.05" customHeight="1">
      <c r="B18" s="13"/>
      <c r="C18" s="14">
        <v>659.4</v>
      </c>
      <c r="D18" s="15">
        <v>14.9</v>
      </c>
      <c r="E18" s="15">
        <v>8.300000000000001</v>
      </c>
      <c r="F18" s="15">
        <v>364</v>
      </c>
      <c r="G18" s="15">
        <v>553</v>
      </c>
      <c r="H18" s="15">
        <v>1908</v>
      </c>
      <c r="I18" s="15">
        <v>524</v>
      </c>
      <c r="J18" s="15">
        <v>138.6</v>
      </c>
      <c r="K18" s="15">
        <v>-8.9</v>
      </c>
      <c r="L18" s="15">
        <v>0</v>
      </c>
      <c r="M18" s="15">
        <v>-78.40000000000001</v>
      </c>
      <c r="N18" s="15">
        <f>SUM(C15:C18)/4</f>
        <v>840.65</v>
      </c>
      <c r="O18" s="15"/>
      <c r="P18" s="16"/>
      <c r="Q18" s="16">
        <f>((D18+E18)/C18)</f>
        <v>0.035183500151653</v>
      </c>
      <c r="R18" s="16">
        <f>AVERAGE(Q15:Q18)</f>
        <v>0.0824596346000184</v>
      </c>
      <c r="S18" s="17"/>
      <c r="T18" s="15">
        <f>SUM(J15:K18)/4</f>
        <v>35.525</v>
      </c>
      <c r="U18" s="17"/>
      <c r="V18" s="15">
        <f>-(L18+M18)+V17</f>
        <v>307.7</v>
      </c>
      <c r="W18" s="17"/>
      <c r="X18" s="15">
        <f>F18-G18</f>
        <v>-189</v>
      </c>
      <c r="Y18" s="24"/>
      <c r="Z18" s="18">
        <v>2520</v>
      </c>
      <c r="AA18" s="24"/>
    </row>
    <row r="19" ht="20.05" customHeight="1">
      <c r="B19" s="13"/>
      <c r="C19" s="14">
        <v>822.2</v>
      </c>
      <c r="D19" s="15">
        <v>15</v>
      </c>
      <c r="E19" s="15">
        <v>14.8</v>
      </c>
      <c r="F19" s="15">
        <v>265</v>
      </c>
      <c r="G19" s="15">
        <v>660</v>
      </c>
      <c r="H19" s="15">
        <v>1987</v>
      </c>
      <c r="I19" s="15">
        <v>381.3</v>
      </c>
      <c r="J19" s="15">
        <v>-25.4</v>
      </c>
      <c r="K19" s="15">
        <v>-33.9</v>
      </c>
      <c r="L19" s="15">
        <v>0</v>
      </c>
      <c r="M19" s="15">
        <v>-41.3</v>
      </c>
      <c r="N19" s="15">
        <f>SUM(C16:C19)/4</f>
        <v>736.825</v>
      </c>
      <c r="O19" s="15"/>
      <c r="P19" s="16"/>
      <c r="Q19" s="16">
        <f>((D19+E19)/C19)</f>
        <v>0.0362442228168329</v>
      </c>
      <c r="R19" s="16">
        <f>AVERAGE(Q16:Q19)</f>
        <v>0.0797833165668529</v>
      </c>
      <c r="S19" s="17"/>
      <c r="T19" s="15">
        <f>SUM(J16:K19)/4</f>
        <v>10</v>
      </c>
      <c r="U19" s="17"/>
      <c r="V19" s="15">
        <f>-(L19+M19)+V18</f>
        <v>349</v>
      </c>
      <c r="W19" s="17"/>
      <c r="X19" s="15">
        <f>F19-G19</f>
        <v>-395</v>
      </c>
      <c r="Y19" s="24"/>
      <c r="Z19" s="18">
        <v>2420</v>
      </c>
      <c r="AA19" s="24"/>
    </row>
    <row r="20" ht="20.05" customHeight="1">
      <c r="B20" s="21">
        <v>2021</v>
      </c>
      <c r="C20" s="14">
        <v>447.1</v>
      </c>
      <c r="D20" s="15">
        <v>14.5</v>
      </c>
      <c r="E20" s="15">
        <v>80.90000000000001</v>
      </c>
      <c r="F20" s="15">
        <v>338</v>
      </c>
      <c r="G20" s="15">
        <v>628</v>
      </c>
      <c r="H20" s="15">
        <v>2031</v>
      </c>
      <c r="I20" s="15">
        <v>510.4</v>
      </c>
      <c r="J20" s="15">
        <v>96.59999999999999</v>
      </c>
      <c r="K20" s="15">
        <v>-26.4</v>
      </c>
      <c r="L20" s="15">
        <v>0</v>
      </c>
      <c r="M20" s="15">
        <v>0</v>
      </c>
      <c r="N20" s="15">
        <f>SUM(C17:C20)/4</f>
        <v>628.1</v>
      </c>
      <c r="O20" s="15"/>
      <c r="P20" s="16"/>
      <c r="Q20" s="16">
        <f>((D20+E20)/C20)</f>
        <v>0.213375083873854</v>
      </c>
      <c r="R20" s="16">
        <f>AVERAGE(Q17:Q20)</f>
        <v>0.112917336968423</v>
      </c>
      <c r="S20" s="17"/>
      <c r="T20" s="15">
        <f>SUM(J17:K20)/4</f>
        <v>23.275</v>
      </c>
      <c r="U20" s="17"/>
      <c r="V20" s="15">
        <f>-(L20+M20)+V19</f>
        <v>349</v>
      </c>
      <c r="W20" s="17"/>
      <c r="X20" s="15">
        <f>F20-G20</f>
        <v>-290</v>
      </c>
      <c r="Y20" s="15"/>
      <c r="Z20" s="18">
        <v>2370</v>
      </c>
      <c r="AA20" s="17"/>
    </row>
    <row r="21" ht="20.05" customHeight="1">
      <c r="B21" s="13"/>
      <c r="C21" s="14">
        <v>423.9</v>
      </c>
      <c r="D21" s="15">
        <v>14.7</v>
      </c>
      <c r="E21" s="15">
        <v>52.4</v>
      </c>
      <c r="F21" s="15">
        <v>419</v>
      </c>
      <c r="G21" s="15">
        <v>628</v>
      </c>
      <c r="H21" s="15">
        <v>2079</v>
      </c>
      <c r="I21" s="15">
        <v>521.7</v>
      </c>
      <c r="J21" s="15">
        <v>109.2</v>
      </c>
      <c r="K21" s="15">
        <v>-27.4</v>
      </c>
      <c r="L21" s="15">
        <v>0</v>
      </c>
      <c r="M21" s="15">
        <v>0</v>
      </c>
      <c r="N21" s="15">
        <f>SUM(C18:C21)/4</f>
        <v>588.15</v>
      </c>
      <c r="O21" s="15"/>
      <c r="P21" s="16">
        <f>C21/C20-1</f>
        <v>-0.0518899575039141</v>
      </c>
      <c r="Q21" s="16">
        <f>((D21+E21)/C21)</f>
        <v>0.158292050011795</v>
      </c>
      <c r="R21" s="16">
        <f>AVERAGE(Q18:Q21)</f>
        <v>0.110773714213534</v>
      </c>
      <c r="S21" s="17"/>
      <c r="T21" s="15">
        <f>SUM(J18:K21)/4</f>
        <v>55.6</v>
      </c>
      <c r="U21" s="17"/>
      <c r="V21" s="15">
        <f>-(L21+M21)+V20</f>
        <v>349</v>
      </c>
      <c r="W21" s="17"/>
      <c r="X21" s="15">
        <f>F21-G21</f>
        <v>-209</v>
      </c>
      <c r="Y21" s="15"/>
      <c r="Z21" s="18">
        <v>2380</v>
      </c>
      <c r="AA21" s="17"/>
    </row>
    <row r="22" ht="20.05" customHeight="1">
      <c r="B22" s="13"/>
      <c r="C22" s="14">
        <v>521.8</v>
      </c>
      <c r="D22" s="15">
        <v>15</v>
      </c>
      <c r="E22" s="15">
        <v>134.8</v>
      </c>
      <c r="F22" s="15">
        <v>421</v>
      </c>
      <c r="G22" s="15">
        <v>679</v>
      </c>
      <c r="H22" s="15">
        <v>2181</v>
      </c>
      <c r="I22" s="15">
        <v>476.9</v>
      </c>
      <c r="J22" s="15">
        <v>68.7</v>
      </c>
      <c r="K22" s="15">
        <v>-12.3</v>
      </c>
      <c r="L22" s="15">
        <v>29.2</v>
      </c>
      <c r="M22" s="15">
        <v>-81.8</v>
      </c>
      <c r="N22" s="15">
        <f>SUM(C19:C22)/4</f>
        <v>553.75</v>
      </c>
      <c r="O22" s="23"/>
      <c r="P22" s="16">
        <f>C22/C21-1</f>
        <v>0.230950695918849</v>
      </c>
      <c r="Q22" s="16">
        <f>((D22+E22)/C22)</f>
        <v>0.287083173629743</v>
      </c>
      <c r="R22" s="16">
        <f>AVERAGE(Q19:Q22)</f>
        <v>0.173748632583056</v>
      </c>
      <c r="S22" s="17"/>
      <c r="T22" s="15">
        <f>SUM(J19:K22)/4</f>
        <v>37.275</v>
      </c>
      <c r="U22" s="17"/>
      <c r="V22" s="15">
        <f>-(L22+M22)+V21</f>
        <v>401.6</v>
      </c>
      <c r="W22" s="17"/>
      <c r="X22" s="15">
        <f>F22-G22</f>
        <v>-258</v>
      </c>
      <c r="Y22" s="15"/>
      <c r="Z22" s="18">
        <v>2450</v>
      </c>
      <c r="AA22" s="17"/>
    </row>
    <row r="23" ht="20.05" customHeight="1">
      <c r="B23" s="13"/>
      <c r="C23" s="14">
        <v>960.1</v>
      </c>
      <c r="D23" s="15">
        <v>14.9</v>
      </c>
      <c r="E23" s="15">
        <v>-121.4</v>
      </c>
      <c r="F23" s="15">
        <v>583.3</v>
      </c>
      <c r="G23" s="15">
        <v>705.1</v>
      </c>
      <c r="H23" s="15">
        <v>2085.9</v>
      </c>
      <c r="I23" s="15">
        <v>576</v>
      </c>
      <c r="J23" s="15">
        <v>154.5</v>
      </c>
      <c r="K23" s="15">
        <v>52.3</v>
      </c>
      <c r="L23" s="15">
        <v>-6.2</v>
      </c>
      <c r="M23" s="15">
        <v>-43.2</v>
      </c>
      <c r="N23" s="15">
        <f>SUM(C20:C23)/4</f>
        <v>588.225</v>
      </c>
      <c r="O23" s="23"/>
      <c r="P23" s="16">
        <f>C23/C22-1</f>
        <v>0.83997700268302</v>
      </c>
      <c r="Q23" s="16">
        <f>((D23+E23)/C23)</f>
        <v>-0.11092594521404</v>
      </c>
      <c r="R23" s="16">
        <f>AVERAGE(Q20:Q23)</f>
        <v>0.136956090575338</v>
      </c>
      <c r="S23" s="17"/>
      <c r="T23" s="15">
        <f>SUM(J20:K23)/4</f>
        <v>103.8</v>
      </c>
      <c r="U23" s="17"/>
      <c r="V23" s="15">
        <f>-(L23+M23)+V22</f>
        <v>451</v>
      </c>
      <c r="W23" s="17"/>
      <c r="X23" s="15">
        <f>F23-G23</f>
        <v>-121.8</v>
      </c>
      <c r="Y23" s="15"/>
      <c r="Z23" s="15">
        <v>2750</v>
      </c>
      <c r="AA23" s="17"/>
    </row>
    <row r="24" ht="20.05" customHeight="1">
      <c r="B24" s="21">
        <v>2022</v>
      </c>
      <c r="C24" s="14">
        <v>766.4</v>
      </c>
      <c r="D24" s="15">
        <v>15</v>
      </c>
      <c r="E24" s="15">
        <v>137</v>
      </c>
      <c r="F24" s="15">
        <v>391</v>
      </c>
      <c r="G24" s="15">
        <v>674</v>
      </c>
      <c r="H24" s="15">
        <v>2188</v>
      </c>
      <c r="I24" s="15">
        <v>366.1</v>
      </c>
      <c r="J24" s="15">
        <v>-173.2</v>
      </c>
      <c r="K24" s="15">
        <v>-14.8</v>
      </c>
      <c r="L24" s="15">
        <v>-5.6</v>
      </c>
      <c r="M24" s="15">
        <v>0</v>
      </c>
      <c r="N24" s="15">
        <f>SUM(C21:C24)/4</f>
        <v>668.05</v>
      </c>
      <c r="O24" s="23"/>
      <c r="P24" s="16">
        <f>C24/C23-1</f>
        <v>-0.20174981772732</v>
      </c>
      <c r="Q24" s="16">
        <f>((D24+E24)/C24)</f>
        <v>0.198329853862213</v>
      </c>
      <c r="R24" s="16">
        <f>AVERAGE(Q21:Q24)</f>
        <v>0.133194783072428</v>
      </c>
      <c r="S24" s="35"/>
      <c r="T24" s="15">
        <f>SUM(J21:K24)/4</f>
        <v>39.25</v>
      </c>
      <c r="U24" s="15"/>
      <c r="V24" s="15">
        <f>-(L24+M24)+V23</f>
        <v>456.6</v>
      </c>
      <c r="W24" s="15"/>
      <c r="X24" s="15">
        <f>F24-G24</f>
        <v>-283</v>
      </c>
      <c r="Y24" s="15"/>
      <c r="Z24" s="15">
        <v>2750</v>
      </c>
      <c r="AA24" s="140"/>
    </row>
    <row r="25" ht="20.05" customHeight="1">
      <c r="B25" s="13"/>
      <c r="C25" s="14">
        <v>782.2</v>
      </c>
      <c r="D25" s="15">
        <v>15.3</v>
      </c>
      <c r="E25" s="15">
        <v>32.3</v>
      </c>
      <c r="F25" s="15">
        <v>553</v>
      </c>
      <c r="G25" s="15">
        <v>597</v>
      </c>
      <c r="H25" s="15">
        <v>2142</v>
      </c>
      <c r="I25" s="15">
        <v>627</v>
      </c>
      <c r="J25" s="15">
        <v>179</v>
      </c>
      <c r="K25" s="15">
        <v>-5.3</v>
      </c>
      <c r="L25" s="15">
        <v>-15.9</v>
      </c>
      <c r="M25" s="15">
        <v>0</v>
      </c>
      <c r="N25" s="15">
        <f>SUM(C22:C25)/4</f>
        <v>757.625</v>
      </c>
      <c r="O25" s="23">
        <v>600.966</v>
      </c>
      <c r="P25" s="16">
        <f>C25/C24-1</f>
        <v>0.020615866388309</v>
      </c>
      <c r="Q25" s="16">
        <f>((D25+E25)/C25)</f>
        <v>0.0608540015341345</v>
      </c>
      <c r="R25" s="16">
        <f>AVERAGE(Q22:Q25)</f>
        <v>0.108835270953013</v>
      </c>
      <c r="S25" s="35"/>
      <c r="T25" s="15">
        <f>SUM(J22:K25)/4</f>
        <v>62.225</v>
      </c>
      <c r="U25" s="15">
        <v>78.3515334428743</v>
      </c>
      <c r="V25" s="15">
        <f>-(L25+M25)+V24</f>
        <v>472.5</v>
      </c>
      <c r="W25" s="15"/>
      <c r="X25" s="15">
        <f>F25-G25</f>
        <v>-44</v>
      </c>
      <c r="Y25" s="15">
        <v>-162.965497004820</v>
      </c>
      <c r="Z25" s="15">
        <v>2600</v>
      </c>
      <c r="AA25" s="140"/>
    </row>
    <row r="26" ht="20.05" customHeight="1">
      <c r="B26" s="13"/>
      <c r="C26" s="14">
        <v>920.4</v>
      </c>
      <c r="D26" s="15">
        <v>15.9</v>
      </c>
      <c r="E26" s="15">
        <v>-4</v>
      </c>
      <c r="F26" s="15">
        <v>384</v>
      </c>
      <c r="G26" s="15">
        <v>622</v>
      </c>
      <c r="H26" s="15">
        <v>2078</v>
      </c>
      <c r="I26" s="15">
        <v>405.5</v>
      </c>
      <c r="J26" s="15">
        <v>-60.8</v>
      </c>
      <c r="K26" s="15">
        <v>-21.3</v>
      </c>
      <c r="L26" s="15">
        <v>-1.5</v>
      </c>
      <c r="M26" s="15">
        <v>-84</v>
      </c>
      <c r="N26" s="15">
        <f>AVERAGE(C26)</f>
        <v>920.4</v>
      </c>
      <c r="O26" s="23">
        <v>483.325</v>
      </c>
      <c r="P26" s="16">
        <f>C26/C25-1</f>
        <v>0.176681155714651</v>
      </c>
      <c r="Q26" s="16">
        <f>((D26+E26)/C26)</f>
        <v>0.012929161234246</v>
      </c>
      <c r="R26" s="16">
        <f>AVERAGE(Q24:Q26)</f>
        <v>0.09070433887686449</v>
      </c>
      <c r="S26" s="35">
        <f>S27</f>
        <v>0.09070433887686449</v>
      </c>
      <c r="T26" s="15">
        <f>SUM(J23:K26)/4</f>
        <v>27.6</v>
      </c>
      <c r="U26" s="15">
        <v>30.9274787058638</v>
      </c>
      <c r="V26" s="15">
        <f>-(L26+M26)+V25</f>
        <v>558</v>
      </c>
      <c r="W26" s="15">
        <f>W27</f>
        <v>833.2418356954159</v>
      </c>
      <c r="X26" s="15">
        <f>F26-G26</f>
        <v>-238</v>
      </c>
      <c r="Y26" s="15">
        <v>22.4371214302865</v>
      </c>
      <c r="Z26" s="15">
        <v>2500</v>
      </c>
      <c r="AA26" s="140">
        <v>2650.926746216890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AVERAGE(AC37:AF37)</f>
        <v>1051.023168</v>
      </c>
      <c r="P27" s="17"/>
      <c r="Q27" s="17"/>
      <c r="R27" s="17"/>
      <c r="S27" s="35">
        <f>AC38</f>
        <v>0.09070433887686449</v>
      </c>
      <c r="T27" s="17"/>
      <c r="U27" s="15">
        <f>SUM(AC40:AF40)/4</f>
        <v>74.03236159770771</v>
      </c>
      <c r="V27" s="17"/>
      <c r="W27" s="15">
        <f>-SUM(AC61:AF61)+V26</f>
        <v>833.2418356954159</v>
      </c>
      <c r="X27" s="17"/>
      <c r="Y27" s="15">
        <f>AF60</f>
        <v>-101.735276804585</v>
      </c>
      <c r="Z27" s="15">
        <v>2260</v>
      </c>
      <c r="AA27" s="140">
        <v>2650.926746216890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4704.3</v>
      </c>
      <c r="O28" s="15">
        <f>SUM(O20:O26)</f>
        <v>1084.291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AF73</f>
        <v>2908.414205624230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1" ht="27.65" customHeight="1">
      <c r="AB31" t="s" s="2">
        <v>251</v>
      </c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ht="20.25" customHeight="1">
      <c r="AB32" t="s" s="28">
        <v>366</v>
      </c>
      <c r="AC32" t="s" s="29">
        <v>24</v>
      </c>
      <c r="AD32" t="s" s="29">
        <v>25</v>
      </c>
      <c r="AE32" t="s" s="29">
        <v>26</v>
      </c>
      <c r="AF32" t="s" s="29">
        <v>23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</row>
    <row r="33" ht="20.25" customHeight="1">
      <c r="AB33" t="s" s="31">
        <v>15</v>
      </c>
      <c r="AC33" s="32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</row>
    <row r="34" ht="20.05" customHeight="1">
      <c r="AB34" t="s" s="33">
        <v>27</v>
      </c>
      <c r="AC34" s="71">
        <f>AVERAGE(P23:P26)</f>
        <v>0.208881051764665</v>
      </c>
      <c r="AD34" s="35"/>
      <c r="AE34" s="35"/>
      <c r="AF34" s="35">
        <f>AVERAGE(AC36:AF36)</f>
        <v>0.055</v>
      </c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</row>
    <row r="35" ht="8.35" customHeight="1" hidden="1">
      <c r="AB35" s="36"/>
      <c r="AC35" s="37">
        <f>P23</f>
        <v>0.83997700268302</v>
      </c>
      <c r="AD35" s="35">
        <f>P24</f>
        <v>-0.20174981772732</v>
      </c>
      <c r="AE35" s="35">
        <f>P25</f>
        <v>0.020615866388309</v>
      </c>
      <c r="AF35" s="35">
        <f>P26</f>
        <v>0.176681155714651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</row>
    <row r="36" ht="20.05" customHeight="1">
      <c r="AB36" t="s" s="33">
        <v>13</v>
      </c>
      <c r="AC36" s="37">
        <v>0.3</v>
      </c>
      <c r="AD36" s="35">
        <v>-0.2</v>
      </c>
      <c r="AE36" s="35">
        <v>0.02</v>
      </c>
      <c r="AF36" s="35">
        <v>0.1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20.05" customHeight="1">
      <c r="AB37" t="s" s="33">
        <v>28</v>
      </c>
      <c r="AC37" s="38">
        <f>C26*(1+AC36)</f>
        <v>1196.52</v>
      </c>
      <c r="AD37" s="23">
        <f>AC37*(1+AD36)</f>
        <v>957.216</v>
      </c>
      <c r="AE37" s="23">
        <f>AD37*(1+AE36)</f>
        <v>976.36032</v>
      </c>
      <c r="AF37" s="23">
        <f>AE37*(1+AF36)</f>
        <v>1073.996352</v>
      </c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</row>
    <row r="38" ht="20.05" customHeight="1">
      <c r="AB38" t="s" s="33">
        <v>14</v>
      </c>
      <c r="AC38" s="37">
        <f>AVERAGE(R26)</f>
        <v>0.09070433887686449</v>
      </c>
      <c r="AD38" s="35">
        <f>AC38</f>
        <v>0.09070433887686449</v>
      </c>
      <c r="AE38" s="35">
        <f>AD38</f>
        <v>0.09070433887686449</v>
      </c>
      <c r="AF38" s="35">
        <f>AE38</f>
        <v>0.09070433887686449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B39" t="s" s="33">
        <v>29</v>
      </c>
      <c r="AC39" s="14">
        <f>AVERAGE(K26)</f>
        <v>-21.3</v>
      </c>
      <c r="AD39" s="15">
        <f>AC39</f>
        <v>-21.3</v>
      </c>
      <c r="AE39" s="15">
        <f>AD39</f>
        <v>-21.3</v>
      </c>
      <c r="AF39" s="15">
        <f>AE39</f>
        <v>-21.3</v>
      </c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ht="20.05" customHeight="1">
      <c r="AB40" t="s" s="33">
        <v>30</v>
      </c>
      <c r="AC40" s="14">
        <f>(AC37*AC38)+AC39</f>
        <v>87.2295555529459</v>
      </c>
      <c r="AD40" s="15">
        <f>(AD37*AD38)+AD39</f>
        <v>65.5236444423567</v>
      </c>
      <c r="AE40" s="15">
        <f>(AE37*AE38)+AE39</f>
        <v>67.2601173312039</v>
      </c>
      <c r="AF40" s="15">
        <f>(AF37*AF38)+AF39</f>
        <v>76.1161290643243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ht="20.05" customHeight="1">
      <c r="AB41" t="s" s="33">
        <v>31</v>
      </c>
      <c r="AC41" s="14">
        <f>-G26/20</f>
        <v>-31.1</v>
      </c>
      <c r="AD41" s="15">
        <f>-AC56/20</f>
        <v>-29.545</v>
      </c>
      <c r="AE41" s="15">
        <f>-AD56/20</f>
        <v>-28.06775</v>
      </c>
      <c r="AF41" s="15">
        <f>-AE56/20</f>
        <v>-26.6643625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ht="20.05" customHeight="1">
      <c r="AB42" t="s" s="33">
        <v>32</v>
      </c>
      <c r="AC42" s="39">
        <v>-0.5</v>
      </c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ht="20.05" customHeight="1">
      <c r="AB43" t="s" s="33">
        <v>33</v>
      </c>
      <c r="AC43" s="14">
        <f>IF(AC51&gt;0,AC51*$AC$42,0)</f>
        <v>-46.564777776473</v>
      </c>
      <c r="AD43" s="15">
        <f>IF(AD51&gt;0,AD51*$AC$42,0)</f>
        <v>-35.7118222211784</v>
      </c>
      <c r="AE43" s="15">
        <f>IF(AE51&gt;0,AE51*$AC$42,0)</f>
        <v>-36.580058665602</v>
      </c>
      <c r="AF43" s="15">
        <f>IF(AF51&gt;0,AF51*$AC$42,0)</f>
        <v>-41.0080645321622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34</v>
      </c>
      <c r="AC44" s="14">
        <f>AC40+AC41+AC43</f>
        <v>9.5647777764729</v>
      </c>
      <c r="AD44" s="15">
        <f>AD40+AD41+AD43</f>
        <v>0.2668222211783</v>
      </c>
      <c r="AE44" s="15">
        <f>AE40+AE41+AE43</f>
        <v>2.6123086656019</v>
      </c>
      <c r="AF44" s="15">
        <f>AF40+AF41+AF43</f>
        <v>8.443702032162101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35</v>
      </c>
      <c r="AC45" s="14">
        <f>-MIN(0,AC44)</f>
        <v>0</v>
      </c>
      <c r="AD45" s="15">
        <f>-MIN(AC57,AD44)</f>
        <v>0</v>
      </c>
      <c r="AE45" s="15">
        <f>-MIN(AD57,AE44)</f>
        <v>0</v>
      </c>
      <c r="AF45" s="15">
        <f>-MIN(AE57,AF44)</f>
        <v>0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36</v>
      </c>
      <c r="AC46" s="14">
        <f>F26</f>
        <v>384</v>
      </c>
      <c r="AD46" s="15">
        <f>AC48</f>
        <v>393.564777776473</v>
      </c>
      <c r="AE46" s="15">
        <f>AD48</f>
        <v>393.831599997651</v>
      </c>
      <c r="AF46" s="15">
        <f>AE48</f>
        <v>396.443908663253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37</v>
      </c>
      <c r="AC47" s="14">
        <f>AC40+AC41+AC43+AC45</f>
        <v>9.5647777764729</v>
      </c>
      <c r="AD47" s="15">
        <f>AD40+AD41+AD43+AD45</f>
        <v>0.2668222211783</v>
      </c>
      <c r="AE47" s="15">
        <f>AE40+AE41+AE43+AE45</f>
        <v>2.6123086656019</v>
      </c>
      <c r="AF47" s="15">
        <f>AF40+AF41+AF43+AF45</f>
        <v>8.443702032162101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38</v>
      </c>
      <c r="AC48" s="14">
        <f>AC46+AC47</f>
        <v>393.564777776473</v>
      </c>
      <c r="AD48" s="15">
        <f>AD46+AD47</f>
        <v>393.831599997651</v>
      </c>
      <c r="AE48" s="15">
        <f>AE46+AE47</f>
        <v>396.443908663253</v>
      </c>
      <c r="AF48" s="15">
        <f>AF46+AF47</f>
        <v>404.887610695415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41">
        <v>4</v>
      </c>
      <c r="AC49" s="14"/>
      <c r="AD49" s="15"/>
      <c r="AE49" s="15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ht="20.05" customHeight="1">
      <c r="AB50" t="s" s="33">
        <v>3</v>
      </c>
      <c r="AC50" s="14">
        <f>-AVERAGE(D24:D26)</f>
        <v>-15.4</v>
      </c>
      <c r="AD50" s="15">
        <f>AC50</f>
        <v>-15.4</v>
      </c>
      <c r="AE50" s="15">
        <f>AD50</f>
        <v>-15.4</v>
      </c>
      <c r="AF50" s="15">
        <f>AE50</f>
        <v>-15.4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4</v>
      </c>
      <c r="AC51" s="14">
        <f>(AC37*AC38)+AC50</f>
        <v>93.1295555529459</v>
      </c>
      <c r="AD51" s="15">
        <f>(AD37*AD38)+AD50</f>
        <v>71.4236444423567</v>
      </c>
      <c r="AE51" s="15">
        <f>(AE37*AE38)+AE50</f>
        <v>73.16011733120391</v>
      </c>
      <c r="AF51" s="15">
        <f>(AF37*AF38)+AF50</f>
        <v>82.0161290643243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41">
        <v>39</v>
      </c>
      <c r="AC52" s="14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40</v>
      </c>
      <c r="AC53" s="14">
        <f>H26-F26-AC39</f>
        <v>1715.3</v>
      </c>
      <c r="AD53" s="15">
        <f>AC53-AD39</f>
        <v>1736.6</v>
      </c>
      <c r="AE53" s="15">
        <f>AD53-AE39</f>
        <v>1757.9</v>
      </c>
      <c r="AF53" s="15">
        <f>AE53-AF39</f>
        <v>1779.2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33">
        <v>41</v>
      </c>
      <c r="AC54" s="14">
        <f>0-AC50</f>
        <v>15.4</v>
      </c>
      <c r="AD54" s="15">
        <f>AC54-AD50</f>
        <v>30.8</v>
      </c>
      <c r="AE54" s="15">
        <f>AD54-AE50</f>
        <v>46.2</v>
      </c>
      <c r="AF54" s="15">
        <f>AE54-AF50</f>
        <v>61.6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42</v>
      </c>
      <c r="AC55" s="14">
        <f>AC53-AC54</f>
        <v>1699.9</v>
      </c>
      <c r="AD55" s="15">
        <f>AD53-AD54</f>
        <v>1705.8</v>
      </c>
      <c r="AE55" s="15">
        <f>AE53-AE54</f>
        <v>1711.7</v>
      </c>
      <c r="AF55" s="15">
        <f>AF53-AF54</f>
        <v>1717.6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6</v>
      </c>
      <c r="AC56" s="14">
        <f>G26+AC41</f>
        <v>590.9</v>
      </c>
      <c r="AD56" s="15">
        <f>AC56+AD41</f>
        <v>561.355</v>
      </c>
      <c r="AE56" s="15">
        <f>AD56+AE41</f>
        <v>533.28725</v>
      </c>
      <c r="AF56" s="15">
        <f>AE56+AF41</f>
        <v>506.6228875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35</v>
      </c>
      <c r="AC57" s="14">
        <f>AC45</f>
        <v>0</v>
      </c>
      <c r="AD57" s="15">
        <f>AC57+AD45</f>
        <v>0</v>
      </c>
      <c r="AE57" s="15">
        <f>AD57+AE45</f>
        <v>0</v>
      </c>
      <c r="AF57" s="15">
        <f>AE57+AF45</f>
        <v>0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11</v>
      </c>
      <c r="AC58" s="14">
        <f>(H26-G26)+AC51+AC43</f>
        <v>1502.564777776470</v>
      </c>
      <c r="AD58" s="15">
        <f>AC58+AD51+AD43</f>
        <v>1538.276599997650</v>
      </c>
      <c r="AE58" s="15">
        <f>AD58+AE51+AE43</f>
        <v>1574.856658663250</v>
      </c>
      <c r="AF58" s="15">
        <f>AE58+AF51+AF43</f>
        <v>1615.864723195410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43</v>
      </c>
      <c r="AC59" s="14">
        <f>AC56+AC57+AC58-AC48-AC55</f>
        <v>-3e-12</v>
      </c>
      <c r="AD59" s="15">
        <f>AD56+AD57+AD58-AD48-AD55</f>
        <v>-1e-12</v>
      </c>
      <c r="AE59" s="15">
        <f>AE56+AE57+AE58-AE48-AE55</f>
        <v>-3e-12</v>
      </c>
      <c r="AF59" s="15">
        <f>AF56+AF57+AF58-AF48-AF55</f>
        <v>-5e-12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18</v>
      </c>
      <c r="AC60" s="14">
        <f>AC48-AC56-AC57</f>
        <v>-197.335222223527</v>
      </c>
      <c r="AD60" s="15">
        <f>AD48-AD56-AD57</f>
        <v>-167.523400002349</v>
      </c>
      <c r="AE60" s="15">
        <f>AE48-AE56-AE57</f>
        <v>-136.843341336747</v>
      </c>
      <c r="AF60" s="15">
        <f>AF48-AF56-AF57</f>
        <v>-101.735276804585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44</v>
      </c>
      <c r="AC61" s="14">
        <f>AC41+AC43+AC45</f>
        <v>-77.664777776473</v>
      </c>
      <c r="AD61" s="15">
        <f>AD41+AD43+AD45</f>
        <v>-65.2568222211784</v>
      </c>
      <c r="AE61" s="15">
        <f>AE41+AE43+AE45</f>
        <v>-64.647808665602</v>
      </c>
      <c r="AF61" s="15">
        <f>AF41+AF43+AF45</f>
        <v>-67.6724270321622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45</v>
      </c>
      <c r="AC62" s="14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251</v>
      </c>
      <c r="AC63" s="14"/>
      <c r="AD63" s="15"/>
      <c r="AE63" s="15"/>
      <c r="AF63" s="15">
        <v>2260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8.35" customHeight="1" hidden="1">
      <c r="AB64" t="s" s="33">
        <f>$AB63</f>
        <v>563</v>
      </c>
      <c r="AC64" s="14"/>
      <c r="AD64" s="15"/>
      <c r="AE64" s="15"/>
      <c r="AF64" s="15">
        <v>2531200000000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46</v>
      </c>
      <c r="AC65" s="14"/>
      <c r="AD65" s="15"/>
      <c r="AE65" s="15"/>
      <c r="AF65" s="15">
        <f>AF64/1000000000</f>
        <v>2531.2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47</v>
      </c>
      <c r="AC66" s="14"/>
      <c r="AD66" s="15"/>
      <c r="AE66" s="15"/>
      <c r="AF66" s="15">
        <f>AF65/AF63</f>
        <v>1.12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48</v>
      </c>
      <c r="AC67" s="14"/>
      <c r="AD67" s="15"/>
      <c r="AE67" s="15"/>
      <c r="AF67" s="43">
        <f>AF65/(AF48+AF55)</f>
        <v>1.1925629093169</v>
      </c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</row>
    <row r="68" ht="20.05" customHeight="1">
      <c r="AB68" t="s" s="33">
        <v>49</v>
      </c>
      <c r="AC68" s="14"/>
      <c r="AD68" s="15"/>
      <c r="AE68" s="15"/>
      <c r="AF68" s="16">
        <f>-(AC43+AD43+AE43+AF43)/AF65</f>
        <v>0.063157681414118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</row>
    <row r="69" ht="20.05" customHeight="1">
      <c r="AB69" t="s" s="33">
        <v>50</v>
      </c>
      <c r="AC69" s="14"/>
      <c r="AD69" s="15"/>
      <c r="AE69" s="15"/>
      <c r="AF69" s="15">
        <f>SUM(AC40:AF40)</f>
        <v>296.129446390831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51</v>
      </c>
      <c r="AC70" s="14"/>
      <c r="AD70" s="15"/>
      <c r="AE70" s="15"/>
      <c r="AF70" s="15">
        <f>(H26+F26)/AF69</f>
        <v>8.31393172818977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52</v>
      </c>
      <c r="AC71" s="14"/>
      <c r="AD71" s="15"/>
      <c r="AE71" s="15">
        <f>AF65/AF69</f>
        <v>8.5476133186003</v>
      </c>
      <c r="AF71" s="15">
        <v>11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53</v>
      </c>
      <c r="AC72" s="14"/>
      <c r="AD72" s="15"/>
      <c r="AE72" s="15"/>
      <c r="AF72" s="15">
        <f>AF69*AF71</f>
        <v>3257.423910299140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B73" t="s" s="33">
        <v>54</v>
      </c>
      <c r="AC73" s="14"/>
      <c r="AD73" s="15"/>
      <c r="AE73" s="15"/>
      <c r="AF73" s="15">
        <f>(AF72/AF66)</f>
        <v>2908.414205624230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55</v>
      </c>
      <c r="AC74" s="38"/>
      <c r="AD74" s="23"/>
      <c r="AE74" s="23"/>
      <c r="AF74" s="16">
        <f>AF73/AF63-1</f>
        <v>0.286908940541695</v>
      </c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</row>
    <row r="75" ht="20.05" customHeight="1">
      <c r="AB75" t="s" s="33">
        <v>56</v>
      </c>
      <c r="AC75" s="38"/>
      <c r="AD75" s="23"/>
      <c r="AE75" s="23"/>
      <c r="AF75" s="16">
        <f>C26/C22-1</f>
        <v>0.763894212341893</v>
      </c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</row>
    <row r="76" ht="20.05" customHeight="1">
      <c r="AB76" t="s" s="33">
        <v>57</v>
      </c>
      <c r="AC76" s="38"/>
      <c r="AD76" s="23"/>
      <c r="AE76" s="23"/>
      <c r="AF76" s="16">
        <f>O28/N28-1</f>
        <v>-0.7695106604595801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ht="8.35" customHeight="1" hidden="1">
      <c r="AB77" s="36"/>
      <c r="AC77" s="38"/>
      <c r="AD77" s="23"/>
      <c r="AE77" s="23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8.35" customHeight="1" hidden="1">
      <c r="AB78" s="36"/>
      <c r="AC78" s="38"/>
      <c r="AD78" s="23"/>
      <c r="AE78" s="23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8.35" customHeight="1" hidden="1">
      <c r="AB79" s="36"/>
      <c r="AC79" t="s" s="45">
        <f>$AB63</f>
        <v>563</v>
      </c>
      <c r="AD79" t="s" s="44">
        <v>60</v>
      </c>
      <c r="AE79" s="15">
        <f>AF63</f>
        <v>2260</v>
      </c>
      <c r="AF79" t="s" s="44">
        <v>61</v>
      </c>
      <c r="AG79" s="15">
        <f>AF73</f>
        <v>2908.414205624230</v>
      </c>
      <c r="AH79" t="s" s="44">
        <f>IF(AI79&gt;0,"+","")</f>
        <v>361</v>
      </c>
      <c r="AI79" s="16">
        <f>AG79/AE79-1</f>
        <v>0.286908940541695</v>
      </c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ht="8.35" customHeight="1" hidden="1">
      <c r="AB80" s="36"/>
      <c r="AC80" s="46">
        <f>TODAY()</f>
        <v>44942</v>
      </c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ht="8.35" customHeight="1" hidden="1">
      <c r="AB81" s="36"/>
      <c r="AC81" t="s" s="45">
        <v>62</v>
      </c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ht="8.35" customHeight="1" hidden="1">
      <c r="AB82" s="36"/>
      <c r="AC82" t="s" s="45">
        <v>63</v>
      </c>
      <c r="AD82" t="s" s="44">
        <v>64</v>
      </c>
      <c r="AE82" t="s" s="44">
        <f>IF(AF82&gt;0,"+","")</f>
        <v>361</v>
      </c>
      <c r="AF82" s="16">
        <f>AG89/AC89-1</f>
        <v>0.763894212341893</v>
      </c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8.35" customHeight="1" hidden="1">
      <c r="AB83" s="36"/>
      <c r="AC83" t="s" s="45">
        <v>63</v>
      </c>
      <c r="AD83" t="s" s="44">
        <v>65</v>
      </c>
      <c r="AE83" t="s" s="44">
        <f>IF(AF83&gt;0,"+","")</f>
        <v>361</v>
      </c>
      <c r="AF83" s="16">
        <f>SUM(AD102:AG103)/AD119</f>
        <v>0.0436156763590392</v>
      </c>
      <c r="AG83" t="s" s="44">
        <v>66</v>
      </c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8.35" customHeight="1" hidden="1">
      <c r="AB84" s="36"/>
      <c r="AC84" t="s" s="45">
        <v>63</v>
      </c>
      <c r="AD84" t="s" s="44">
        <v>17</v>
      </c>
      <c r="AE84" t="s" s="44">
        <f>IF(AF84&gt;0,"+","")</f>
        <v>361</v>
      </c>
      <c r="AF84" s="16">
        <f>SUM(AD116:AG117)/AD119</f>
        <v>0.0617888748419722</v>
      </c>
      <c r="AG84" t="s" s="44">
        <f>AG83</f>
        <v>66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8.35" customHeight="1" hidden="1">
      <c r="AB85" s="36"/>
      <c r="AC85" t="s" s="45">
        <v>68</v>
      </c>
      <c r="AD85" t="s" s="44">
        <v>369</v>
      </c>
      <c r="AE85" s="16">
        <f>AN112/AD119</f>
        <v>-0.09402654867256641</v>
      </c>
      <c r="AF85" t="s" s="44">
        <f>AG84</f>
        <v>66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8.35" customHeight="1" hidden="1">
      <c r="AB86" s="36"/>
      <c r="AC86" t="s" s="45">
        <v>28</v>
      </c>
      <c r="AD86" t="s" s="44">
        <f>AD90</f>
        <v>362</v>
      </c>
      <c r="AE86" s="16">
        <f>AE90</f>
        <v>0.176681155714651</v>
      </c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8.35" customHeight="1" hidden="1">
      <c r="AB87" s="36"/>
      <c r="AC87" t="s" s="45">
        <v>70</v>
      </c>
      <c r="AD87" t="s" s="44">
        <v>371</v>
      </c>
      <c r="AE87" t="s" s="44">
        <f>AK90</f>
        <v>372</v>
      </c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8.35" customHeight="1" hidden="1">
      <c r="AB88" s="36"/>
      <c r="AC88" s="71">
        <f>P22</f>
        <v>0.230950695918849</v>
      </c>
      <c r="AD88" s="16">
        <f>P23</f>
        <v>0.83997700268302</v>
      </c>
      <c r="AE88" s="16">
        <f>P24</f>
        <v>-0.20174981772732</v>
      </c>
      <c r="AF88" s="16">
        <f>P25</f>
        <v>0.020615866388309</v>
      </c>
      <c r="AG88" s="16">
        <f>P26</f>
        <v>0.176681155714651</v>
      </c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8.35" customHeight="1" hidden="1">
      <c r="AB89" s="36"/>
      <c r="AC89" s="67">
        <f>C22</f>
        <v>521.8</v>
      </c>
      <c r="AD89" s="15">
        <f>C23</f>
        <v>960.1</v>
      </c>
      <c r="AE89" s="15">
        <f>C24</f>
        <v>766.4</v>
      </c>
      <c r="AF89" s="26">
        <f>C25</f>
        <v>782.2</v>
      </c>
      <c r="AG89" s="15">
        <f>C26</f>
        <v>920.4</v>
      </c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8.35" customHeight="1" hidden="1">
      <c r="AB90" s="36"/>
      <c r="AC90" t="s" s="45">
        <v>2</v>
      </c>
      <c r="AD90" t="s" s="44">
        <f>IF(AE90&lt;0,"declined","grew")</f>
        <v>362</v>
      </c>
      <c r="AE90" s="16">
        <f>AG89/AF89-1</f>
        <v>0.176681155714651</v>
      </c>
      <c r="AF90" t="s" s="44">
        <v>73</v>
      </c>
      <c r="AG90" t="s" s="44">
        <v>74</v>
      </c>
      <c r="AH90" t="s" s="44">
        <v>75</v>
      </c>
      <c r="AI90" t="s" s="44">
        <v>76</v>
      </c>
      <c r="AJ90" s="15">
        <f>AG89</f>
        <v>920.4</v>
      </c>
      <c r="AK90" t="s" s="44">
        <v>372</v>
      </c>
      <c r="AL90" t="s" s="44">
        <v>378</v>
      </c>
      <c r="AM90" s="16">
        <v>0.0297063450445726</v>
      </c>
      <c r="AN90" t="s" s="44">
        <v>78</v>
      </c>
      <c r="AO90" s="17"/>
      <c r="AP90" s="17"/>
      <c r="AQ90" s="17"/>
      <c r="AR90" s="17"/>
      <c r="AS90" s="17"/>
      <c r="AT90" s="17"/>
    </row>
    <row r="91" ht="8.35" customHeight="1" hidden="1">
      <c r="AB91" s="36"/>
      <c r="AC91" t="s" s="45">
        <v>79</v>
      </c>
      <c r="AD91" s="16">
        <f>AVERAGE(AD88:AG88)</f>
        <v>0.208881051764665</v>
      </c>
      <c r="AE91" t="s" s="44">
        <v>80</v>
      </c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8.35" customHeight="1" hidden="1">
      <c r="AB92" s="36"/>
      <c r="AC92" t="s" s="45">
        <v>81</v>
      </c>
      <c r="AD92" s="35">
        <f>AF34</f>
        <v>0.055</v>
      </c>
      <c r="AE92" t="s" s="44">
        <v>82</v>
      </c>
      <c r="AF92" t="s" s="44">
        <v>83</v>
      </c>
      <c r="AG92" s="23">
        <f>AF37</f>
        <v>1073.996352</v>
      </c>
      <c r="AH92" t="s" s="44">
        <f>AK90</f>
        <v>372</v>
      </c>
      <c r="AI92" t="s" s="44">
        <v>84</v>
      </c>
      <c r="AJ92" t="s" s="44">
        <f>AG90</f>
        <v>74</v>
      </c>
      <c r="AK92" t="s" s="44">
        <f>AH90</f>
        <v>75</v>
      </c>
      <c r="AL92" t="s" s="44">
        <v>85</v>
      </c>
      <c r="AM92" s="17"/>
      <c r="AN92" s="17"/>
      <c r="AO92" s="17"/>
      <c r="AP92" s="17"/>
      <c r="AQ92" s="17"/>
      <c r="AR92" s="17"/>
      <c r="AS92" s="17"/>
      <c r="AT92" s="17"/>
    </row>
    <row r="93" ht="8.35" customHeight="1" hidden="1">
      <c r="AB93" s="36"/>
      <c r="AC93" t="s" s="45">
        <v>14</v>
      </c>
      <c r="AD93" t="s" s="44">
        <f>IF(AF97&lt;AD97,"down","up")</f>
        <v>87</v>
      </c>
      <c r="AE93" t="s" s="44">
        <v>86</v>
      </c>
      <c r="AF93" t="s" s="44">
        <f>IF(AJ97&gt;AH97,"up","down")</f>
        <v>87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8.35" customHeight="1" hidden="1">
      <c r="AB94" s="36"/>
      <c r="AC94" t="s" s="45">
        <f>AC87</f>
        <v>70</v>
      </c>
      <c r="AD94" t="s" s="44">
        <v>88</v>
      </c>
      <c r="AE94" t="s" s="44">
        <f>AK90</f>
        <v>372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8.35" customHeight="1" hidden="1">
      <c r="AB95" s="36"/>
      <c r="AC95" s="71">
        <f>(D22+E22)/C22</f>
        <v>0.287083173629743</v>
      </c>
      <c r="AD95" s="16">
        <f>(D23+E23)/C23</f>
        <v>-0.11092594521404</v>
      </c>
      <c r="AE95" s="16">
        <f>((E24+D24)/C24)</f>
        <v>0.198329853862213</v>
      </c>
      <c r="AF95" s="16">
        <f>(D25+E25)/C25</f>
        <v>0.0608540015341345</v>
      </c>
      <c r="AG95" s="16">
        <f>(D26+E26)/C26</f>
        <v>0.012929161234246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8.35" customHeight="1" hidden="1">
      <c r="AB96" s="36"/>
      <c r="AC96" s="67">
        <f>E22</f>
        <v>134.8</v>
      </c>
      <c r="AD96" s="15">
        <f>E23</f>
        <v>-121.4</v>
      </c>
      <c r="AE96" s="15">
        <f>E24</f>
        <v>137</v>
      </c>
      <c r="AF96" s="26">
        <f>E25</f>
        <v>32.3</v>
      </c>
      <c r="AG96" s="15">
        <f>E26</f>
        <v>-4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8.35" customHeight="1" hidden="1">
      <c r="AB97" s="36"/>
      <c r="AC97" t="s" s="45">
        <v>89</v>
      </c>
      <c r="AD97" s="16">
        <f>AF95</f>
        <v>0.0608540015341345</v>
      </c>
      <c r="AE97" t="s" s="44">
        <v>76</v>
      </c>
      <c r="AF97" s="16">
        <f>AG95</f>
        <v>0.012929161234246</v>
      </c>
      <c r="AG97" t="s" s="44">
        <v>90</v>
      </c>
      <c r="AH97" s="15">
        <f>AF96</f>
        <v>32.3</v>
      </c>
      <c r="AI97" t="s" s="44">
        <v>76</v>
      </c>
      <c r="AJ97" s="15">
        <f>AG96</f>
        <v>-4</v>
      </c>
      <c r="AK97" t="s" s="44">
        <f>AH92</f>
        <v>372</v>
      </c>
      <c r="AL97" t="s" s="44">
        <v>73</v>
      </c>
      <c r="AM97" t="s" s="44">
        <f>AJ92</f>
        <v>74</v>
      </c>
      <c r="AN97" t="s" s="44">
        <v>91</v>
      </c>
      <c r="AO97" s="17"/>
      <c r="AP97" s="17"/>
      <c r="AQ97" s="17"/>
      <c r="AR97" s="17"/>
      <c r="AS97" s="17"/>
      <c r="AT97" s="17"/>
    </row>
    <row r="98" ht="8.35" customHeight="1" hidden="1">
      <c r="AB98" s="36"/>
      <c r="AC98" t="s" s="45">
        <v>92</v>
      </c>
      <c r="AD98" s="16">
        <f>AVERAGE(AD95:AG95)</f>
        <v>0.0402967678541384</v>
      </c>
      <c r="AE98" t="s" s="44">
        <v>78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8.35" customHeight="1" hidden="1">
      <c r="AB99" s="36"/>
      <c r="AC99" t="s" s="45">
        <v>93</v>
      </c>
      <c r="AD99" s="35">
        <f>AC38</f>
        <v>0.09070433887686449</v>
      </c>
      <c r="AE99" t="s" s="44">
        <v>94</v>
      </c>
      <c r="AF99" s="26">
        <f>AF51</f>
        <v>82.0161290643243</v>
      </c>
      <c r="AG99" t="s" s="44">
        <f>AK97</f>
        <v>372</v>
      </c>
      <c r="AH99" t="s" s="44">
        <v>95</v>
      </c>
      <c r="AI99" t="s" s="44">
        <f>AM97</f>
        <v>74</v>
      </c>
      <c r="AJ99" t="s" s="44">
        <f>AH90</f>
        <v>75</v>
      </c>
      <c r="AK99" t="s" s="44">
        <f>AL92</f>
        <v>85</v>
      </c>
      <c r="AL99" s="17"/>
      <c r="AM99" s="17"/>
      <c r="AN99" s="17"/>
      <c r="AO99" s="17"/>
      <c r="AP99" s="17"/>
      <c r="AQ99" s="17"/>
      <c r="AR99" s="17"/>
      <c r="AS99" s="17"/>
      <c r="AT99" s="17"/>
    </row>
    <row r="100" ht="8.35" customHeight="1" hidden="1">
      <c r="AB100" s="36"/>
      <c r="AC100" t="s" s="45">
        <v>15</v>
      </c>
      <c r="AD100" t="s" s="44">
        <f>IF(AF104&lt;AD104,"lower","higher")</f>
        <v>104</v>
      </c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8.35" customHeight="1" hidden="1">
      <c r="AB101" s="36"/>
      <c r="AC101" t="s" s="45">
        <f>AC94</f>
        <v>70</v>
      </c>
      <c r="AD101" t="s" s="44">
        <v>96</v>
      </c>
      <c r="AE101" t="s" s="44">
        <f>AK90</f>
        <v>372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8.35" customHeight="1" hidden="1">
      <c r="AB102" s="36"/>
      <c r="AC102" s="67">
        <f>J22</f>
        <v>68.7</v>
      </c>
      <c r="AD102" s="15">
        <f>J23</f>
        <v>154.5</v>
      </c>
      <c r="AE102" s="15">
        <f>J24</f>
        <v>-173.2</v>
      </c>
      <c r="AF102" s="26">
        <f>J25</f>
        <v>179</v>
      </c>
      <c r="AG102" s="15">
        <f>J26</f>
        <v>-60.8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8.35" customHeight="1" hidden="1">
      <c r="AB103" s="36"/>
      <c r="AC103" s="67">
        <f>K22</f>
        <v>-12.3</v>
      </c>
      <c r="AD103" s="15">
        <f>K23</f>
        <v>52.3</v>
      </c>
      <c r="AE103" s="15">
        <f>K24</f>
        <v>-14.8</v>
      </c>
      <c r="AF103" s="26">
        <f>K25</f>
        <v>-5.3</v>
      </c>
      <c r="AG103" s="15">
        <f>K26</f>
        <v>-21.3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B104" s="36"/>
      <c r="AC104" t="s" s="45">
        <v>97</v>
      </c>
      <c r="AD104" s="15">
        <f>AF102+AF103</f>
        <v>173.7</v>
      </c>
      <c r="AE104" t="s" s="44">
        <v>76</v>
      </c>
      <c r="AF104" s="26">
        <f>AG102+AG103</f>
        <v>-82.09999999999999</v>
      </c>
      <c r="AG104" t="s" s="44">
        <f>AG99</f>
        <v>372</v>
      </c>
      <c r="AH104" t="s" s="44">
        <v>84</v>
      </c>
      <c r="AI104" t="s" s="44">
        <f>AI99</f>
        <v>74</v>
      </c>
      <c r="AJ104" t="s" s="44">
        <v>98</v>
      </c>
      <c r="AK104" s="15">
        <f>AG103</f>
        <v>-21.3</v>
      </c>
      <c r="AL104" t="s" s="44">
        <f>AK90</f>
        <v>372</v>
      </c>
      <c r="AM104" t="s" s="44">
        <v>99</v>
      </c>
      <c r="AN104" s="17"/>
      <c r="AO104" s="17"/>
      <c r="AP104" s="17"/>
      <c r="AQ104" s="17"/>
      <c r="AR104" s="17"/>
      <c r="AS104" s="17"/>
      <c r="AT104" s="17"/>
    </row>
    <row r="105" ht="8.35" customHeight="1" hidden="1">
      <c r="AB105" s="36"/>
      <c r="AC105" t="s" s="45">
        <v>100</v>
      </c>
      <c r="AD105" s="15">
        <f>SUM(AD102:AG103)/4</f>
        <v>27.6</v>
      </c>
      <c r="AE105" t="s" s="44">
        <f>AK90</f>
        <v>372</v>
      </c>
      <c r="AF105" t="s" s="44">
        <v>78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8.35" customHeight="1" hidden="1">
      <c r="AB106" s="36"/>
      <c r="AC106" t="s" s="45">
        <v>101</v>
      </c>
      <c r="AD106" s="15">
        <f>AC39</f>
        <v>-21.3</v>
      </c>
      <c r="AE106" t="s" s="44">
        <f>AE105</f>
        <v>372</v>
      </c>
      <c r="AF106" t="s" s="44">
        <v>102</v>
      </c>
      <c r="AG106" t="s" s="44">
        <v>103</v>
      </c>
      <c r="AH106" t="s" s="44">
        <f>IF(AG92&gt;AJ90,"higher","lower")</f>
        <v>363</v>
      </c>
      <c r="AI106" t="s" s="44">
        <v>105</v>
      </c>
      <c r="AJ106" s="15">
        <f>SUM(AC40:AF40)/4</f>
        <v>74.03236159770771</v>
      </c>
      <c r="AK106" t="s" s="44">
        <f>AE106</f>
        <v>372</v>
      </c>
      <c r="AL106" t="s" s="44">
        <v>106</v>
      </c>
      <c r="AM106" t="s" s="44">
        <v>107</v>
      </c>
      <c r="AN106" s="17"/>
      <c r="AO106" s="17"/>
      <c r="AP106" s="17"/>
      <c r="AQ106" s="17"/>
      <c r="AR106" s="17"/>
      <c r="AS106" s="17"/>
      <c r="AT106" s="17"/>
    </row>
    <row r="107" ht="8.35" customHeight="1" hidden="1">
      <c r="AB107" s="36"/>
      <c r="AC107" t="s" s="45">
        <v>18</v>
      </c>
      <c r="AD107" t="s" s="44">
        <f>AK112</f>
        <v>87</v>
      </c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8.35" customHeight="1" hidden="1">
      <c r="AB108" s="36"/>
      <c r="AC108" t="s" s="45">
        <f>AC87</f>
        <v>70</v>
      </c>
      <c r="AD108" t="s" s="44">
        <v>109</v>
      </c>
      <c r="AE108" t="s" s="44">
        <f>AK90</f>
        <v>372</v>
      </c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8.35" customHeight="1" hidden="1">
      <c r="AB109" s="36"/>
      <c r="AC109" s="67">
        <f>F22</f>
        <v>421</v>
      </c>
      <c r="AD109" s="15">
        <f>F23</f>
        <v>583.3</v>
      </c>
      <c r="AE109" s="15">
        <f>F24</f>
        <v>391</v>
      </c>
      <c r="AF109" s="26">
        <f>F25</f>
        <v>553</v>
      </c>
      <c r="AG109" s="15">
        <f>F26</f>
        <v>384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8.35" customHeight="1" hidden="1">
      <c r="AB110" s="36"/>
      <c r="AC110" s="67">
        <f>G22</f>
        <v>679</v>
      </c>
      <c r="AD110" s="15">
        <f>G23</f>
        <v>705.1</v>
      </c>
      <c r="AE110" s="15">
        <f>G24</f>
        <v>674</v>
      </c>
      <c r="AF110" s="26">
        <f>G25</f>
        <v>597</v>
      </c>
      <c r="AG110" s="15">
        <f>G26</f>
        <v>622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8.35" customHeight="1" hidden="1">
      <c r="AB111" s="36"/>
      <c r="AC111" t="s" s="45">
        <v>110</v>
      </c>
      <c r="AD111" t="s" s="44">
        <f>IF(AG111&lt;AE111,"declined","increased")</f>
        <v>370</v>
      </c>
      <c r="AE111" s="15">
        <f>AF109</f>
        <v>553</v>
      </c>
      <c r="AF111" t="s" s="44">
        <v>76</v>
      </c>
      <c r="AG111" s="15">
        <f>AG109</f>
        <v>384</v>
      </c>
      <c r="AH111" t="s" s="44">
        <f>AK106</f>
        <v>372</v>
      </c>
      <c r="AI111" t="s" s="44">
        <v>84</v>
      </c>
      <c r="AJ111" t="s" s="44">
        <f>AG90</f>
        <v>74</v>
      </c>
      <c r="AK111" t="s" s="44">
        <f>AN97</f>
        <v>91</v>
      </c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8.35" customHeight="1" hidden="1">
      <c r="AB112" s="36"/>
      <c r="AC112" t="s" s="45">
        <v>112</v>
      </c>
      <c r="AD112" t="s" s="44">
        <f>IF(AG112&lt;AE112,"declined","increased")</f>
        <v>111</v>
      </c>
      <c r="AE112" s="15">
        <f>AF110</f>
        <v>597</v>
      </c>
      <c r="AF112" t="s" s="44">
        <v>76</v>
      </c>
      <c r="AG112" s="15">
        <f>AG110</f>
        <v>622</v>
      </c>
      <c r="AH112" t="s" s="44">
        <f>AH111</f>
        <v>372</v>
      </c>
      <c r="AI112" t="s" s="44">
        <v>113</v>
      </c>
      <c r="AJ112" t="s" s="44">
        <v>114</v>
      </c>
      <c r="AK112" t="s" s="44">
        <f>IF(AN112&lt;AL112,"down","up")</f>
        <v>87</v>
      </c>
      <c r="AL112" s="15">
        <f>AE111-AE112</f>
        <v>-44</v>
      </c>
      <c r="AM112" t="s" s="44">
        <v>76</v>
      </c>
      <c r="AN112" s="15">
        <f>AG111-AG112</f>
        <v>-238</v>
      </c>
      <c r="AO112" t="s" s="44">
        <f>AH112</f>
        <v>372</v>
      </c>
      <c r="AP112" t="s" s="44">
        <v>115</v>
      </c>
      <c r="AQ112" s="17"/>
      <c r="AR112" s="17"/>
      <c r="AS112" s="17"/>
      <c r="AT112" s="17"/>
    </row>
    <row r="113" ht="8.35" customHeight="1" hidden="1">
      <c r="AB113" s="36"/>
      <c r="AC113" t="s" s="45">
        <v>116</v>
      </c>
      <c r="AD113" s="15">
        <f>SUM(AC43:AF43)</f>
        <v>-159.864723195416</v>
      </c>
      <c r="AE113" t="s" s="44">
        <f>AH112</f>
        <v>372</v>
      </c>
      <c r="AF113" t="s" s="44">
        <v>117</v>
      </c>
      <c r="AG113" t="s" s="44">
        <f>IF(AH113&gt;0,"+","")</f>
      </c>
      <c r="AH113" s="15">
        <f>AC41+AD41+AE41+AF41+AC45+AD45+AE45+AF45</f>
        <v>-115.3771125</v>
      </c>
      <c r="AI113" t="s" s="44">
        <f>AO112</f>
        <v>372</v>
      </c>
      <c r="AJ113" t="s" s="44">
        <v>118</v>
      </c>
      <c r="AK113" t="s" s="44">
        <v>119</v>
      </c>
      <c r="AL113" s="15">
        <f>AF60</f>
        <v>-101.735276804585</v>
      </c>
      <c r="AM113" t="s" s="44">
        <f>AH112</f>
        <v>372</v>
      </c>
      <c r="AN113" t="s" s="44">
        <v>120</v>
      </c>
      <c r="AO113" s="17"/>
      <c r="AP113" s="17"/>
      <c r="AQ113" s="17"/>
      <c r="AR113" s="17"/>
      <c r="AS113" s="17"/>
      <c r="AT113" s="17"/>
    </row>
    <row r="114" ht="8.35" customHeight="1" hidden="1">
      <c r="AB114" s="36"/>
      <c r="AC114" t="s" s="45">
        <v>17</v>
      </c>
      <c r="AD114" t="s" s="44">
        <f>AD118</f>
        <v>374</v>
      </c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B115" s="36"/>
      <c r="AC115" t="s" s="45">
        <f>AC87</f>
        <v>70</v>
      </c>
      <c r="AD115" t="s" s="44">
        <v>379</v>
      </c>
      <c r="AE115" t="s" s="44">
        <f>AK90</f>
        <v>372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B116" s="36"/>
      <c r="AC116" s="67">
        <f>-L22</f>
        <v>-29.2</v>
      </c>
      <c r="AD116" s="15">
        <f>-L23</f>
        <v>6.2</v>
      </c>
      <c r="AE116" s="15">
        <f>-L24</f>
        <v>5.6</v>
      </c>
      <c r="AF116" s="26">
        <f>-L25</f>
        <v>15.9</v>
      </c>
      <c r="AG116" s="15">
        <f>-L26</f>
        <v>1.5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B117" s="36"/>
      <c r="AC117" s="67">
        <f>-M22</f>
        <v>81.8</v>
      </c>
      <c r="AD117" s="15">
        <f>-M23</f>
        <v>43.2</v>
      </c>
      <c r="AE117" s="15">
        <f>-M24</f>
        <v>0</v>
      </c>
      <c r="AF117" s="26">
        <f>-M25</f>
        <v>0</v>
      </c>
      <c r="AG117" s="15">
        <f>-M26</f>
        <v>84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8.35" customHeight="1" hidden="1">
      <c r="AB118" s="36"/>
      <c r="AC118" t="s" s="45">
        <f>AC79</f>
        <v>563</v>
      </c>
      <c r="AD118" t="s" s="44">
        <f>IF(AE118&gt;0,"paid","(raised)")</f>
        <v>374</v>
      </c>
      <c r="AE118" s="15">
        <f>SUM(AG116:AG117)</f>
        <v>85.5</v>
      </c>
      <c r="AF118" t="s" s="44">
        <f>AK90</f>
        <v>372</v>
      </c>
      <c r="AG118" t="s" s="44">
        <f>AF90</f>
        <v>73</v>
      </c>
      <c r="AH118" t="s" s="44">
        <f>AG90</f>
        <v>74</v>
      </c>
      <c r="AI118" t="s" s="44">
        <f>AH90</f>
        <v>75</v>
      </c>
      <c r="AJ118" s="15">
        <f>AG116</f>
        <v>1.5</v>
      </c>
      <c r="AK118" t="s" s="44">
        <f>AK90</f>
        <v>372</v>
      </c>
      <c r="AL118" t="s" s="44">
        <v>123</v>
      </c>
      <c r="AM118" s="15">
        <f>AG117</f>
        <v>84</v>
      </c>
      <c r="AN118" t="s" s="44">
        <f>AK90</f>
        <v>372</v>
      </c>
      <c r="AO118" t="s" s="44">
        <v>389</v>
      </c>
      <c r="AP118" t="s" s="44">
        <v>475</v>
      </c>
      <c r="AQ118" t="s" s="44">
        <f>IF(AR118&gt;0,"pay","raise")</f>
        <v>364</v>
      </c>
      <c r="AR118" s="15">
        <f>-SUM(AC61:AF61)</f>
        <v>275.241835695416</v>
      </c>
      <c r="AS118" t="s" s="44">
        <f>AK90</f>
        <v>372</v>
      </c>
      <c r="AT118" t="s" s="44">
        <v>126</v>
      </c>
    </row>
    <row r="119" ht="8.35" customHeight="1" hidden="1">
      <c r="AB119" s="36"/>
      <c r="AC119" t="s" s="45">
        <v>375</v>
      </c>
      <c r="AD119" s="15">
        <f>AF65</f>
        <v>2531.2</v>
      </c>
      <c r="AE119" t="s" s="44">
        <f>AK90</f>
        <v>372</v>
      </c>
      <c r="AF119" t="s" s="44">
        <v>128</v>
      </c>
      <c r="AG119" t="s" s="44">
        <v>129</v>
      </c>
      <c r="AH119" s="26">
        <f>AF67</f>
        <v>1.1925629093169</v>
      </c>
      <c r="AI119" t="s" s="44">
        <v>130</v>
      </c>
      <c r="AJ119" t="s" s="44">
        <v>131</v>
      </c>
      <c r="AK119" t="s" s="44">
        <v>132</v>
      </c>
      <c r="AL119" s="15">
        <f>AF70</f>
        <v>8.31393172818977</v>
      </c>
      <c r="AM119" t="s" s="44">
        <v>133</v>
      </c>
      <c r="AN119" s="16">
        <f>-AD113/AD119</f>
        <v>0.06315768141411821</v>
      </c>
      <c r="AO119" t="s" s="44">
        <v>134</v>
      </c>
      <c r="AP119" s="17"/>
      <c r="AQ119" s="17"/>
      <c r="AR119" s="17"/>
      <c r="AS119" s="17"/>
      <c r="AT119" s="17"/>
    </row>
    <row r="120" ht="8.35" customHeight="1" hidden="1">
      <c r="AB120" s="36"/>
      <c r="AC120" t="s" s="45">
        <v>135</v>
      </c>
      <c r="AD120" s="15">
        <f>AF69</f>
        <v>296.129446390831</v>
      </c>
      <c r="AE120" t="s" s="44">
        <f>AE119</f>
        <v>372</v>
      </c>
      <c r="AF120" t="s" s="44">
        <v>136</v>
      </c>
      <c r="AG120" s="15">
        <f>AD119/AD120</f>
        <v>8.5476133186003</v>
      </c>
      <c r="AH120" t="s" s="44">
        <v>130</v>
      </c>
      <c r="AI120" t="s" s="44">
        <v>137</v>
      </c>
      <c r="AJ120" t="s" s="44">
        <v>138</v>
      </c>
      <c r="AK120" s="15">
        <f>AF71</f>
        <v>11</v>
      </c>
      <c r="AL120" t="s" s="44">
        <v>139</v>
      </c>
      <c r="AM120" t="s" s="44">
        <v>140</v>
      </c>
      <c r="AN120" t="s" s="44">
        <v>141</v>
      </c>
      <c r="AO120" s="16">
        <f>AI79</f>
        <v>0.286908940541695</v>
      </c>
      <c r="AP120" t="s" s="44">
        <f>IF(AO120&gt;0,"higher","lower")</f>
        <v>363</v>
      </c>
      <c r="AQ120" t="s" s="44">
        <v>142</v>
      </c>
      <c r="AR120" s="15">
        <f>AG79</f>
        <v>2908.414205624230</v>
      </c>
      <c r="AS120" t="s" s="44">
        <v>143</v>
      </c>
      <c r="AT120" s="17"/>
    </row>
    <row r="121" ht="8.35" customHeight="1" hidden="1">
      <c r="AB121" s="36"/>
      <c r="AC121" s="34"/>
      <c r="AD121" s="17"/>
      <c r="AE121" s="17"/>
      <c r="AF121" s="17"/>
      <c r="AG121" s="15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8.35" customHeight="1" hidden="1">
      <c r="AB122" s="36"/>
      <c r="AC122" s="67">
        <f>AC89</f>
        <v>521.8</v>
      </c>
      <c r="AD122" s="15">
        <f>AD89</f>
        <v>960.1</v>
      </c>
      <c r="AE122" s="15">
        <f>AE89</f>
        <v>766.4</v>
      </c>
      <c r="AF122" s="26">
        <f>AF89</f>
        <v>782.2</v>
      </c>
      <c r="AG122" s="15">
        <f>AG89</f>
        <v>920.4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8.35" customHeight="1" hidden="1">
      <c r="AB123" s="36"/>
      <c r="AC123" s="67">
        <f>SUM(AC102:AC103)</f>
        <v>56.4</v>
      </c>
      <c r="AD123" s="15">
        <f>SUM(AD102:AD103)</f>
        <v>206.8</v>
      </c>
      <c r="AE123" s="15">
        <f>SUM(AE102:AE103)</f>
        <v>-188</v>
      </c>
      <c r="AF123" s="26">
        <f>SUM(AF102:AF103)</f>
        <v>173.7</v>
      </c>
      <c r="AG123" s="15">
        <f>SUM(AG102:AG103)</f>
        <v>-82.09999999999999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8.35" customHeight="1" hidden="1">
      <c r="AB124" s="36"/>
      <c r="AC124" s="67">
        <f>SUM(AC116:AC117)</f>
        <v>52.6</v>
      </c>
      <c r="AD124" s="15">
        <f>SUM(AD116:AD117)</f>
        <v>49.4</v>
      </c>
      <c r="AE124" s="15">
        <f>SUM(AE116:AE117)</f>
        <v>5.6</v>
      </c>
      <c r="AF124" s="26">
        <f>SUM(AF116:AF117)</f>
        <v>15.9</v>
      </c>
      <c r="AG124" s="15">
        <f>SUM(AG116:AG117)</f>
        <v>85.5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8.35" customHeight="1" hidden="1">
      <c r="AB125" s="36"/>
      <c r="AC125" s="67">
        <f>(AC109-AC110)</f>
        <v>-258</v>
      </c>
      <c r="AD125" s="15">
        <f>(AD109-AD110)</f>
        <v>-121.8</v>
      </c>
      <c r="AE125" s="15">
        <f>(AE109-AE110)</f>
        <v>-283</v>
      </c>
      <c r="AF125" s="26">
        <f>(AF109-AF110)</f>
        <v>-44</v>
      </c>
      <c r="AG125" s="15">
        <f>(AG109-AG110)</f>
        <v>-238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8.35" customHeight="1" hidden="1">
      <c r="AB126" s="36"/>
      <c r="AC126" s="34"/>
      <c r="AD126" s="17"/>
      <c r="AE126" s="17"/>
      <c r="AF126" s="17"/>
      <c r="AG126" s="15">
        <f>AR120</f>
        <v>2908.414205624230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8.35" customHeight="1" hidden="1">
      <c r="AB127" s="36"/>
      <c r="AC127" s="34"/>
      <c r="AD127" s="17"/>
      <c r="AE127" s="17"/>
      <c r="AF127" s="17"/>
      <c r="AG127" s="15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8.35" customHeight="1" hidden="1">
      <c r="AB128" s="36"/>
      <c r="AC128" s="34"/>
      <c r="AD128" s="17"/>
      <c r="AE128" s="17"/>
      <c r="AF128" s="17"/>
      <c r="AG128" s="15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8.35" customHeight="1" hidden="1">
      <c r="AB129" s="36"/>
      <c r="AC129" s="34"/>
      <c r="AD129" s="17"/>
      <c r="AE129" s="17"/>
      <c r="AF129" s="17"/>
      <c r="AG129" s="15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8.35" customHeight="1" hidden="1">
      <c r="AB130" s="36"/>
      <c r="AC130" s="34"/>
      <c r="AD130" s="17"/>
      <c r="AE130" s="17"/>
      <c r="AF130" s="17"/>
      <c r="AG130" s="15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8.35" customHeight="1" hidden="1">
      <c r="AB131" s="36"/>
      <c r="AC131" s="34"/>
      <c r="AD131" s="17"/>
      <c r="AE131" s="17"/>
      <c r="AF131" s="17"/>
      <c r="AG131" s="15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8.35" customHeight="1" hidden="1">
      <c r="AB132" s="36"/>
      <c r="AC132" s="34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8.35" customHeight="1" hidden="1">
      <c r="AB133" s="36"/>
      <c r="AC133" s="34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</sheetData>
  <mergeCells count="2">
    <mergeCell ref="B2:AA2"/>
    <mergeCell ref="AB31:AT3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94" customWidth="1"/>
    <col min="2" max="28" width="10.4844" style="194" customWidth="1"/>
    <col min="29" max="29" width="18.9766" style="195" customWidth="1"/>
    <col min="30" max="48" width="9" style="195" customWidth="1"/>
    <col min="49" max="16384" width="16.3516" style="195" customWidth="1"/>
  </cols>
  <sheetData>
    <row r="1" ht="11.65" customHeight="1"/>
    <row r="2" ht="27.65" customHeight="1">
      <c r="B2" t="s" s="2">
        <v>564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372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218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8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8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8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8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8"/>
      <c r="AA15" s="24"/>
      <c r="AB15" s="15">
        <v>13.882</v>
      </c>
    </row>
    <row r="16" ht="20.05" customHeight="1">
      <c r="B16" s="21">
        <v>2020</v>
      </c>
      <c r="C16" s="14">
        <v>123</v>
      </c>
      <c r="D16" s="15">
        <v>12.25</v>
      </c>
      <c r="E16" s="15">
        <v>-28</v>
      </c>
      <c r="F16" s="15">
        <v>170</v>
      </c>
      <c r="G16" s="15">
        <v>402</v>
      </c>
      <c r="H16" s="15">
        <v>1198</v>
      </c>
      <c r="I16" s="15">
        <v>229</v>
      </c>
      <c r="J16" s="15">
        <v>0.9</v>
      </c>
      <c r="K16" s="15">
        <v>-20</v>
      </c>
      <c r="L16" s="15">
        <v>11.5</v>
      </c>
      <c r="M16" s="15">
        <v>0</v>
      </c>
      <c r="N16" s="15">
        <f>SUM(C13:C16)/4</f>
        <v>30.75</v>
      </c>
      <c r="O16" s="15"/>
      <c r="P16" s="16"/>
      <c r="Q16" s="16">
        <f>(E16+D16)/C16</f>
        <v>-0.128048780487805</v>
      </c>
      <c r="R16" s="16">
        <f>AVERAGE(Q13:Q16)</f>
        <v>-0.128048780487805</v>
      </c>
      <c r="S16" s="17"/>
      <c r="T16" s="15">
        <f>SUM(J13:K16)/4</f>
        <v>-4.775</v>
      </c>
      <c r="U16" s="25"/>
      <c r="V16" s="15">
        <f>-(L16+M16)+V15</f>
        <v>-11.5</v>
      </c>
      <c r="W16" s="17"/>
      <c r="X16" s="15">
        <f>F16-G16</f>
        <v>-232</v>
      </c>
      <c r="Y16" s="24"/>
      <c r="Z16" s="15">
        <v>50</v>
      </c>
      <c r="AA16" s="24"/>
      <c r="AB16" s="15">
        <v>16.31</v>
      </c>
    </row>
    <row r="17" ht="20.05" customHeight="1">
      <c r="B17" s="13"/>
      <c r="C17" s="14">
        <v>10</v>
      </c>
      <c r="D17" s="15">
        <v>12.25</v>
      </c>
      <c r="E17" s="15">
        <v>-79</v>
      </c>
      <c r="F17" s="15">
        <v>128</v>
      </c>
      <c r="G17" s="15">
        <v>381</v>
      </c>
      <c r="H17" s="15">
        <v>1098</v>
      </c>
      <c r="I17" s="15">
        <v>47</v>
      </c>
      <c r="J17" s="15">
        <v>-57.9</v>
      </c>
      <c r="K17" s="15">
        <v>0</v>
      </c>
      <c r="L17" s="15">
        <v>15.5</v>
      </c>
      <c r="M17" s="15">
        <v>0</v>
      </c>
      <c r="N17" s="15">
        <f>SUM(C14:C17)/4</f>
        <v>33.25</v>
      </c>
      <c r="O17" s="15"/>
      <c r="P17" s="16">
        <f>C17/C16-1</f>
        <v>-0.91869918699187</v>
      </c>
      <c r="Q17" s="16">
        <f>(E17+D17)/C17</f>
        <v>-6.675</v>
      </c>
      <c r="R17" s="16">
        <f>AVERAGE(Q14:Q17)</f>
        <v>-3.4015243902439</v>
      </c>
      <c r="S17" s="17"/>
      <c r="T17" s="25">
        <f>SUM(J14:K17)/4</f>
        <v>-19.25</v>
      </c>
      <c r="U17" s="25"/>
      <c r="V17" s="15">
        <f>-(L17+M17)+V16</f>
        <v>-27</v>
      </c>
      <c r="W17" s="17"/>
      <c r="X17" s="15">
        <f>F17-G17</f>
        <v>-253</v>
      </c>
      <c r="Y17" s="24"/>
      <c r="Z17" s="15">
        <v>51</v>
      </c>
      <c r="AA17" s="24"/>
      <c r="AB17" s="15">
        <v>14.255</v>
      </c>
    </row>
    <row r="18" ht="20.05" customHeight="1">
      <c r="B18" s="13"/>
      <c r="C18" s="14">
        <v>30</v>
      </c>
      <c r="D18" s="15">
        <v>12.25</v>
      </c>
      <c r="E18" s="15">
        <v>-50</v>
      </c>
      <c r="F18" s="15">
        <v>94</v>
      </c>
      <c r="G18" s="15">
        <v>380</v>
      </c>
      <c r="H18" s="15">
        <v>1047</v>
      </c>
      <c r="I18" s="15">
        <v>7</v>
      </c>
      <c r="J18" s="15">
        <v>-52</v>
      </c>
      <c r="K18" s="15">
        <v>-3</v>
      </c>
      <c r="L18" s="15">
        <v>22</v>
      </c>
      <c r="M18" s="15">
        <v>0</v>
      </c>
      <c r="N18" s="15">
        <f>SUM(C15:C18)/4</f>
        <v>40.75</v>
      </c>
      <c r="O18" s="15"/>
      <c r="P18" s="16">
        <f>C18/C17-1</f>
        <v>2</v>
      </c>
      <c r="Q18" s="16">
        <f>(E18+D18)/C18</f>
        <v>-1.25833333333333</v>
      </c>
      <c r="R18" s="16">
        <f>AVERAGE(Q15:Q18)</f>
        <v>-2.68712737127371</v>
      </c>
      <c r="S18" s="17"/>
      <c r="T18" s="25">
        <f>SUM(J15:K18)/4</f>
        <v>-33</v>
      </c>
      <c r="U18" s="25"/>
      <c r="V18" s="15">
        <f>-(L18+M18)+V17</f>
        <v>-49</v>
      </c>
      <c r="W18" s="17"/>
      <c r="X18" s="15">
        <f>F18-G18</f>
        <v>-286</v>
      </c>
      <c r="Y18" s="24"/>
      <c r="Z18" s="15">
        <v>50</v>
      </c>
      <c r="AA18" s="24"/>
      <c r="AB18" s="15">
        <v>14.79</v>
      </c>
    </row>
    <row r="19" ht="20.05" customHeight="1">
      <c r="B19" s="13"/>
      <c r="C19" s="14">
        <v>121</v>
      </c>
      <c r="D19" s="15">
        <v>12.25</v>
      </c>
      <c r="E19" s="15">
        <v>-99</v>
      </c>
      <c r="F19" s="15">
        <v>111</v>
      </c>
      <c r="G19" s="15">
        <v>466</v>
      </c>
      <c r="H19" s="15">
        <v>1043</v>
      </c>
      <c r="I19" s="15">
        <v>126</v>
      </c>
      <c r="J19" s="15">
        <v>-2</v>
      </c>
      <c r="K19" s="15">
        <v>-10</v>
      </c>
      <c r="L19" s="15">
        <v>5</v>
      </c>
      <c r="M19" s="15">
        <v>10</v>
      </c>
      <c r="N19" s="15">
        <f>SUM(C16:C19)/4</f>
        <v>71</v>
      </c>
      <c r="O19" s="15"/>
      <c r="P19" s="16">
        <f>C19/C18-1</f>
        <v>3.03333333333333</v>
      </c>
      <c r="Q19" s="16">
        <f>(E19+D19)/C19</f>
        <v>-0.716942148760331</v>
      </c>
      <c r="R19" s="16">
        <f>AVERAGE(Q16:Q19)</f>
        <v>-2.19458106564537</v>
      </c>
      <c r="S19" s="17"/>
      <c r="T19" s="25">
        <f>SUM(J16:K19)/4</f>
        <v>-36</v>
      </c>
      <c r="U19" s="25"/>
      <c r="V19" s="15">
        <f>-(L19+M19)+V18</f>
        <v>-64</v>
      </c>
      <c r="W19" s="17"/>
      <c r="X19" s="15">
        <f>F19-G19</f>
        <v>-355</v>
      </c>
      <c r="Y19" s="24"/>
      <c r="Z19" s="15">
        <v>55</v>
      </c>
      <c r="AA19" s="24"/>
      <c r="AB19" s="15">
        <v>14.1</v>
      </c>
    </row>
    <row r="20" ht="20.05" customHeight="1">
      <c r="B20" s="21">
        <v>2021</v>
      </c>
      <c r="C20" s="14">
        <v>24</v>
      </c>
      <c r="D20" s="15">
        <v>12.5</v>
      </c>
      <c r="E20" s="15">
        <v>-46</v>
      </c>
      <c r="F20" s="15">
        <v>73</v>
      </c>
      <c r="G20" s="15">
        <v>476</v>
      </c>
      <c r="H20" s="15">
        <v>1007</v>
      </c>
      <c r="I20" s="15">
        <v>50</v>
      </c>
      <c r="J20" s="15">
        <v>-13</v>
      </c>
      <c r="K20" s="15">
        <v>-8</v>
      </c>
      <c r="L20" s="15">
        <v>1</v>
      </c>
      <c r="M20" s="15">
        <v>0</v>
      </c>
      <c r="N20" s="15">
        <f>SUM(C17:C20)/4</f>
        <v>46.25</v>
      </c>
      <c r="O20" s="15"/>
      <c r="P20" s="16">
        <f>C20/C19-1</f>
        <v>-0.801652892561983</v>
      </c>
      <c r="Q20" s="16">
        <f>(E20+D20)/C20</f>
        <v>-1.39583333333333</v>
      </c>
      <c r="R20" s="16">
        <f>AVERAGE(Q17:Q20)</f>
        <v>-2.51152720385675</v>
      </c>
      <c r="S20" s="17"/>
      <c r="T20" s="25">
        <f>SUM(J17:K20)/4</f>
        <v>-36.475</v>
      </c>
      <c r="U20" s="25"/>
      <c r="V20" s="15">
        <f>-(L20+M20)+V19</f>
        <v>-65</v>
      </c>
      <c r="W20" s="17"/>
      <c r="X20" s="15">
        <f>F20-G20</f>
        <v>-403</v>
      </c>
      <c r="Y20" s="15"/>
      <c r="Z20" s="15">
        <v>88</v>
      </c>
      <c r="AA20" s="15"/>
      <c r="AB20" s="15">
        <v>14.606</v>
      </c>
    </row>
    <row r="21" ht="20.05" customHeight="1">
      <c r="B21" s="13"/>
      <c r="C21" s="14">
        <v>120</v>
      </c>
      <c r="D21" s="15">
        <v>12.5</v>
      </c>
      <c r="E21" s="15">
        <v>-20</v>
      </c>
      <c r="F21" s="15">
        <v>64</v>
      </c>
      <c r="G21" s="15">
        <v>496</v>
      </c>
      <c r="H21" s="15">
        <v>1007</v>
      </c>
      <c r="I21" s="15">
        <v>101</v>
      </c>
      <c r="J21" s="15">
        <v>-9</v>
      </c>
      <c r="K21" s="15">
        <v>-13</v>
      </c>
      <c r="L21" s="15">
        <v>14.7</v>
      </c>
      <c r="M21" s="15">
        <v>0</v>
      </c>
      <c r="N21" s="15">
        <f>SUM(C18:C21)/4</f>
        <v>73.75</v>
      </c>
      <c r="O21" s="15"/>
      <c r="P21" s="16">
        <f>C21/C20-1</f>
        <v>4</v>
      </c>
      <c r="Q21" s="16">
        <f>(E21+D21)/C21</f>
        <v>-0.0625</v>
      </c>
      <c r="R21" s="16">
        <f>AVERAGE(Q18:Q21)</f>
        <v>-0.858402203856748</v>
      </c>
      <c r="S21" s="17"/>
      <c r="T21" s="25">
        <f>SUM(J18:K21)/4</f>
        <v>-27.5</v>
      </c>
      <c r="U21" s="25"/>
      <c r="V21" s="15">
        <f>-(L21+M21)+V20</f>
        <v>-79.7</v>
      </c>
      <c r="W21" s="17"/>
      <c r="X21" s="15">
        <f>F21-G21</f>
        <v>-432</v>
      </c>
      <c r="Y21" s="15"/>
      <c r="Z21" s="15">
        <v>63</v>
      </c>
      <c r="AA21" s="15"/>
      <c r="AB21" s="15">
        <v>14.45</v>
      </c>
    </row>
    <row r="22" ht="20.05" customHeight="1">
      <c r="B22" s="13"/>
      <c r="C22" s="14">
        <v>83</v>
      </c>
      <c r="D22" s="15">
        <v>12.5</v>
      </c>
      <c r="E22" s="15">
        <v>-20</v>
      </c>
      <c r="F22" s="15">
        <v>43</v>
      </c>
      <c r="G22" s="15">
        <v>417</v>
      </c>
      <c r="H22" s="15">
        <v>901</v>
      </c>
      <c r="I22" s="15">
        <v>51</v>
      </c>
      <c r="J22" s="15">
        <v>-31</v>
      </c>
      <c r="K22" s="15">
        <v>29</v>
      </c>
      <c r="L22" s="15">
        <v>-18.3</v>
      </c>
      <c r="M22" s="15">
        <v>0</v>
      </c>
      <c r="N22" s="15">
        <f>SUM(C19:C22)/4</f>
        <v>87</v>
      </c>
      <c r="O22" s="15"/>
      <c r="P22" s="16">
        <f>C22/C21-1</f>
        <v>-0.308333333333333</v>
      </c>
      <c r="Q22" s="16">
        <f>(E22+D22)/C22</f>
        <v>-0.0903614457831325</v>
      </c>
      <c r="R22" s="16">
        <f>AVERAGE(Q19:Q22)</f>
        <v>-0.566409231969198</v>
      </c>
      <c r="S22" s="17"/>
      <c r="T22" s="25">
        <f>SUM(J19:K22)/4</f>
        <v>-14.25</v>
      </c>
      <c r="U22" s="25"/>
      <c r="V22" s="15">
        <f>-(L22+M22)+V21</f>
        <v>-61.4</v>
      </c>
      <c r="W22" s="17"/>
      <c r="X22" s="15">
        <f>F22-G22</f>
        <v>-374</v>
      </c>
      <c r="Y22" s="15"/>
      <c r="Z22" s="15">
        <v>83</v>
      </c>
      <c r="AA22" s="15"/>
      <c r="AB22" s="15">
        <v>14.328</v>
      </c>
    </row>
    <row r="23" ht="20.05" customHeight="1">
      <c r="B23" s="13"/>
      <c r="C23" s="14">
        <v>337</v>
      </c>
      <c r="D23" s="15">
        <v>12.5</v>
      </c>
      <c r="E23" s="15">
        <v>-2</v>
      </c>
      <c r="F23" s="15">
        <v>84</v>
      </c>
      <c r="G23" s="15">
        <v>478</v>
      </c>
      <c r="H23" s="15">
        <v>960</v>
      </c>
      <c r="I23" s="15">
        <v>316</v>
      </c>
      <c r="J23" s="15">
        <v>40</v>
      </c>
      <c r="K23" s="15">
        <v>-34</v>
      </c>
      <c r="L23" s="15">
        <v>3.6</v>
      </c>
      <c r="M23" s="15">
        <v>0</v>
      </c>
      <c r="N23" s="15">
        <f>SUM(C20:C23)/4</f>
        <v>141</v>
      </c>
      <c r="O23" s="15"/>
      <c r="P23" s="16">
        <f>C23/C22-1</f>
        <v>3.06024096385542</v>
      </c>
      <c r="Q23" s="16">
        <f>(E23+D23)/C23</f>
        <v>0.0311572700296736</v>
      </c>
      <c r="R23" s="16">
        <f>AVERAGE(Q20:Q23)</f>
        <v>-0.379384377271697</v>
      </c>
      <c r="S23" s="17"/>
      <c r="T23" s="25">
        <f>SUM(J20:K23)/4</f>
        <v>-9.75</v>
      </c>
      <c r="U23" s="25"/>
      <c r="V23" s="15">
        <f>-(L23+M23)+V22</f>
        <v>-65</v>
      </c>
      <c r="W23" s="17"/>
      <c r="X23" s="15">
        <f>F23-G23</f>
        <v>-394</v>
      </c>
      <c r="Y23" s="15"/>
      <c r="Z23" s="15">
        <v>73</v>
      </c>
      <c r="AA23" s="15"/>
      <c r="AB23" s="15">
        <v>14.275</v>
      </c>
    </row>
    <row r="24" ht="20.05" customHeight="1">
      <c r="B24" s="21">
        <v>2022</v>
      </c>
      <c r="C24" s="14">
        <v>192.5</v>
      </c>
      <c r="D24" s="15">
        <v>13</v>
      </c>
      <c r="E24" s="15">
        <v>2</v>
      </c>
      <c r="F24" s="15">
        <v>73</v>
      </c>
      <c r="G24" s="15">
        <v>561</v>
      </c>
      <c r="H24" s="15">
        <v>1047</v>
      </c>
      <c r="I24" s="15">
        <v>169.5</v>
      </c>
      <c r="J24" s="15">
        <v>0.15</v>
      </c>
      <c r="K24" s="15">
        <v>-3</v>
      </c>
      <c r="L24" s="15">
        <v>15.8</v>
      </c>
      <c r="M24" s="15">
        <v>0</v>
      </c>
      <c r="N24" s="15">
        <f>SUM(C21:C24)/4</f>
        <v>183.125</v>
      </c>
      <c r="O24" s="15"/>
      <c r="P24" s="16">
        <f>C24/C23-1</f>
        <v>-0.428783382789318</v>
      </c>
      <c r="Q24" s="16">
        <f>(E24+D24)/C24</f>
        <v>0.07792207792207791</v>
      </c>
      <c r="R24" s="16">
        <f>AVERAGE(Q21:Q24)</f>
        <v>-0.0109455244578453</v>
      </c>
      <c r="S24" s="35"/>
      <c r="T24" s="25">
        <f>SUM(J21:K24)/4</f>
        <v>-5.2125</v>
      </c>
      <c r="U24" s="15"/>
      <c r="V24" s="15">
        <f>-(L24+M24)+V23</f>
        <v>-80.8</v>
      </c>
      <c r="W24" s="15"/>
      <c r="X24" s="15">
        <f>F24-G24</f>
        <v>-488</v>
      </c>
      <c r="Y24" s="15"/>
      <c r="Z24" s="15">
        <v>73</v>
      </c>
      <c r="AA24" s="15"/>
      <c r="AB24" s="15">
        <v>14.327</v>
      </c>
    </row>
    <row r="25" ht="20.05" customHeight="1">
      <c r="B25" s="13"/>
      <c r="C25" s="14">
        <v>192.5</v>
      </c>
      <c r="D25" s="15">
        <v>13</v>
      </c>
      <c r="E25" s="15">
        <v>2</v>
      </c>
      <c r="F25" s="15">
        <v>73</v>
      </c>
      <c r="G25" s="15">
        <v>561</v>
      </c>
      <c r="H25" s="15">
        <v>1047</v>
      </c>
      <c r="I25" s="15">
        <v>169.5</v>
      </c>
      <c r="J25" s="15">
        <v>0.15</v>
      </c>
      <c r="K25" s="15">
        <v>-3</v>
      </c>
      <c r="L25" s="15">
        <v>15.8</v>
      </c>
      <c r="M25" s="15">
        <v>0</v>
      </c>
      <c r="N25" s="15">
        <f>SUM(C22:C25)/4</f>
        <v>201.25</v>
      </c>
      <c r="O25" s="15">
        <v>201.25</v>
      </c>
      <c r="P25" s="16">
        <f>C25/C24-1</f>
        <v>0</v>
      </c>
      <c r="Q25" s="16">
        <f>(E25+D25)/C25</f>
        <v>0.07792207792207791</v>
      </c>
      <c r="R25" s="16">
        <f>AVERAGE(Q22:Q25)</f>
        <v>0.0241599950226742</v>
      </c>
      <c r="S25" s="35"/>
      <c r="T25" s="25">
        <f>SUM(J22:K25)/4</f>
        <v>-0.425</v>
      </c>
      <c r="U25" s="15">
        <v>-1.9</v>
      </c>
      <c r="V25" s="15">
        <f>-(L25+M25)+V24</f>
        <v>-96.59999999999999</v>
      </c>
      <c r="W25" s="15"/>
      <c r="X25" s="15">
        <f>F25-G25</f>
        <v>-488</v>
      </c>
      <c r="Y25" s="15">
        <v>-488</v>
      </c>
      <c r="Z25" s="15">
        <v>72</v>
      </c>
      <c r="AA25" s="15"/>
      <c r="AB25" s="15">
        <v>14.66</v>
      </c>
    </row>
    <row r="26" ht="20.05" customHeight="1">
      <c r="B26" s="13"/>
      <c r="C26" s="14">
        <f>C42-C25-C24</f>
        <v>246</v>
      </c>
      <c r="D26" s="15">
        <f>D42-D25-D24</f>
        <v>20</v>
      </c>
      <c r="E26" s="15">
        <f>E42-E25-E24</f>
        <v>12</v>
      </c>
      <c r="F26" s="15">
        <v>99</v>
      </c>
      <c r="G26" s="15">
        <v>671</v>
      </c>
      <c r="H26" s="15">
        <v>1169</v>
      </c>
      <c r="I26" s="15">
        <f>I42-I25-I24</f>
        <v>294</v>
      </c>
      <c r="J26" s="15">
        <f>J42-J25-J24</f>
        <v>40.7</v>
      </c>
      <c r="K26" s="15">
        <f>K42-K25-K24</f>
        <v>3.2</v>
      </c>
      <c r="L26" s="15">
        <f>L42-L25-L24</f>
        <v>-22.6</v>
      </c>
      <c r="M26" s="15">
        <f>M42-M25-M24</f>
        <v>0</v>
      </c>
      <c r="N26" s="15">
        <f>SUM(C23:C26)/4</f>
        <v>242</v>
      </c>
      <c r="O26" s="15">
        <v>216.65397985</v>
      </c>
      <c r="P26" s="16">
        <f>C26/C25-1</f>
        <v>0.277922077922078</v>
      </c>
      <c r="Q26" s="16">
        <f>(E26+D26)/C26</f>
        <v>0.130081300813008</v>
      </c>
      <c r="R26" s="16">
        <f>AVERAGE(Q23:Q26)</f>
        <v>0.07927068167170941</v>
      </c>
      <c r="S26" s="35">
        <f>S27</f>
        <v>0.104675991242359</v>
      </c>
      <c r="T26" s="25">
        <f>SUM(J23:K26)/4</f>
        <v>11.05</v>
      </c>
      <c r="U26" s="15">
        <v>13.8821283</v>
      </c>
      <c r="V26" s="15">
        <f>-(L26+M26)+V25</f>
        <v>-74</v>
      </c>
      <c r="W26" s="15">
        <f>W27</f>
        <v>31.496547152083</v>
      </c>
      <c r="X26" s="15">
        <f>F26-G26</f>
        <v>-572</v>
      </c>
      <c r="Y26" s="15">
        <v>-432.4714868</v>
      </c>
      <c r="Z26" s="15">
        <v>81</v>
      </c>
      <c r="AA26" s="15">
        <v>99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260.87615505</v>
      </c>
      <c r="P27" s="17"/>
      <c r="Q27" s="17"/>
      <c r="R27" s="17"/>
      <c r="S27" s="35">
        <f>AE53</f>
        <v>0.104675991242359</v>
      </c>
      <c r="T27" s="25"/>
      <c r="U27" s="15">
        <f>SUM(AE55:AH55)/4</f>
        <v>26.3741367880208</v>
      </c>
      <c r="V27" s="17"/>
      <c r="W27" s="15">
        <f>-SUM(AE76:AH76)+V26</f>
        <v>31.496547152083</v>
      </c>
      <c r="X27" s="26"/>
      <c r="Y27" s="15">
        <f>AH75</f>
        <v>-466.503452847917</v>
      </c>
      <c r="Z27" s="15">
        <v>94</v>
      </c>
      <c r="AA27" s="15">
        <v>90.9672902156819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1119.375</v>
      </c>
      <c r="O28" s="15">
        <f>SUM(O17:O26)</f>
        <v>417.90397985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111.102014103660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>
        <v>631</v>
      </c>
      <c r="D42" s="15">
        <v>46</v>
      </c>
      <c r="E42" s="15">
        <v>16</v>
      </c>
      <c r="F42" s="15"/>
      <c r="G42" s="15"/>
      <c r="H42" s="15"/>
      <c r="I42" s="15">
        <v>633</v>
      </c>
      <c r="J42" s="15">
        <v>41</v>
      </c>
      <c r="K42" s="15">
        <v>-2.8</v>
      </c>
      <c r="L42" s="15">
        <v>9</v>
      </c>
      <c r="M42" s="15">
        <v>0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218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514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0.727344914747045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3.06024096385542</v>
      </c>
      <c r="AF50" s="35">
        <f>P24</f>
        <v>-0.428783382789318</v>
      </c>
      <c r="AG50" s="35">
        <f>P25</f>
        <v>0</v>
      </c>
      <c r="AH50" s="35">
        <f>P26</f>
        <v>0.277922077922078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246</v>
      </c>
      <c r="AE52" s="23">
        <f>C26*(1+AE51)</f>
        <v>258.3</v>
      </c>
      <c r="AF52" s="23">
        <f>AE52*(1+AF51)</f>
        <v>255.717</v>
      </c>
      <c r="AG52" s="23">
        <f>AF52*(1+AG51)</f>
        <v>260.83134</v>
      </c>
      <c r="AH52" s="23">
        <f>AG52*(1+AH51)</f>
        <v>268.6562802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AVERAGE(Q26:R26)</f>
        <v>0.104675991242359</v>
      </c>
      <c r="AF53" s="35">
        <f>AE53</f>
        <v>0.104675991242359</v>
      </c>
      <c r="AG53" s="35">
        <f>AF53</f>
        <v>0.104675991242359</v>
      </c>
      <c r="AH53" s="35">
        <f>AG53</f>
        <v>0.104675991242359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-0.933333333333333</v>
      </c>
      <c r="AF54" s="15">
        <f>AE54</f>
        <v>-0.933333333333333</v>
      </c>
      <c r="AG54" s="15">
        <f>AF54</f>
        <v>-0.933333333333333</v>
      </c>
      <c r="AH54" s="15">
        <f>AG54</f>
        <v>-0.933333333333333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26.104475204568</v>
      </c>
      <c r="AF55" s="15">
        <f>(AF52*AF53)+AF54</f>
        <v>25.834097119189</v>
      </c>
      <c r="AG55" s="15">
        <f>(AG52*AG53)+AG54</f>
        <v>26.3694457282394</v>
      </c>
      <c r="AH55" s="15">
        <f>(AH52*AH53)+AH54</f>
        <v>27.1885291000866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-33.55</v>
      </c>
      <c r="AF56" s="15">
        <f>-AE71/20</f>
        <v>-31.8725</v>
      </c>
      <c r="AG56" s="15">
        <f>-AF71/20</f>
        <v>-30.278875</v>
      </c>
      <c r="AH56" s="15">
        <f>-AG71/20</f>
        <v>-28.76493125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-7.445524795432</v>
      </c>
      <c r="AF59" s="15">
        <f>AF55+AF56+AF58</f>
        <v>-6.038402880811</v>
      </c>
      <c r="AG59" s="15">
        <f>AG55+AG56+AG58</f>
        <v>-3.9094292717606</v>
      </c>
      <c r="AH59" s="15">
        <f>AH55+AH56+AH58</f>
        <v>-1.5764021499134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7.445524795432</v>
      </c>
      <c r="AF60" s="15">
        <f>-MIN(AE72,AF59)</f>
        <v>6.038402880811</v>
      </c>
      <c r="AG60" s="15">
        <f>-MIN(AF72,AG59)</f>
        <v>3.9094292717606</v>
      </c>
      <c r="AH60" s="15">
        <f>-MIN(AG72,AH59)</f>
        <v>1.5764021499134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99</v>
      </c>
      <c r="AF61" s="15">
        <f>AE63</f>
        <v>99</v>
      </c>
      <c r="AG61" s="15">
        <f>AF63</f>
        <v>99</v>
      </c>
      <c r="AH61" s="15">
        <f>AG63</f>
        <v>99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99</v>
      </c>
      <c r="AF63" s="15">
        <f>AF61+AF62</f>
        <v>99</v>
      </c>
      <c r="AG63" s="15">
        <f>AG61+AG62</f>
        <v>99</v>
      </c>
      <c r="AH63" s="15">
        <f>AH61+AH62</f>
        <v>99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-15.3333333333333</v>
      </c>
      <c r="AF65" s="15">
        <f>AE65</f>
        <v>-15.3333333333333</v>
      </c>
      <c r="AG65" s="15">
        <f>AF65</f>
        <v>-15.3333333333333</v>
      </c>
      <c r="AH65" s="15">
        <f>AG65</f>
        <v>-15.3333333333333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11.704475204568</v>
      </c>
      <c r="AF66" s="15">
        <f>(AF52*AF53)+AF65</f>
        <v>11.434097119189</v>
      </c>
      <c r="AG66" s="15">
        <f>(AG52*AG53)+AG65</f>
        <v>11.9694457282395</v>
      </c>
      <c r="AH66" s="15">
        <f>(AH52*AH53)+AH65</f>
        <v>12.7885291000866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1070.933333333330</v>
      </c>
      <c r="AF68" s="15">
        <f>AE68-AF54</f>
        <v>1071.866666666660</v>
      </c>
      <c r="AG68" s="15">
        <f>AF68-AG54</f>
        <v>1072.799999999990</v>
      </c>
      <c r="AH68" s="15">
        <f>AG68-AH54</f>
        <v>1073.733333333320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15.3333333333333</v>
      </c>
      <c r="AF69" s="15">
        <f>AE69-AF65</f>
        <v>30.6666666666666</v>
      </c>
      <c r="AG69" s="15">
        <f>AF69-AG65</f>
        <v>45.9999999999999</v>
      </c>
      <c r="AH69" s="15">
        <f>AG69-AH65</f>
        <v>61.3333333333332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1055.6</v>
      </c>
      <c r="AF70" s="15">
        <f>AF68-AF69</f>
        <v>1041.199999999990</v>
      </c>
      <c r="AG70" s="15">
        <f>AG68-AG69</f>
        <v>1026.799999999990</v>
      </c>
      <c r="AH70" s="15">
        <f>AH68-AH69</f>
        <v>1012.399999999990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637.45</v>
      </c>
      <c r="AF71" s="15">
        <f>AE71+AF56</f>
        <v>605.5775</v>
      </c>
      <c r="AG71" s="15">
        <f>AF71+AG56</f>
        <v>575.298625</v>
      </c>
      <c r="AH71" s="15">
        <f>AG71+AH56</f>
        <v>546.53369375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7.445524795432</v>
      </c>
      <c r="AF72" s="15">
        <f>AE72+AF60</f>
        <v>13.483927676243</v>
      </c>
      <c r="AG72" s="15">
        <f>AF72+AG60</f>
        <v>17.3933569480036</v>
      </c>
      <c r="AH72" s="15">
        <f>AG72+AH60</f>
        <v>18.969759097917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509.704475204568</v>
      </c>
      <c r="AF73" s="15">
        <f>AE73+AF66+AF58</f>
        <v>521.138572323757</v>
      </c>
      <c r="AG73" s="15">
        <f>AF73+AG66+AG58</f>
        <v>533.108018051997</v>
      </c>
      <c r="AH73" s="15">
        <f>AG73+AH66+AH58</f>
        <v>545.8965471520841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9.999999999999999e-12</v>
      </c>
      <c r="AG74" s="15">
        <f>AG71+AG72+AG73-AG63-AG70</f>
        <v>1.06e-11</v>
      </c>
      <c r="AH74" s="15">
        <f>AH71+AH72+AH73-AH63-AH70</f>
        <v>1.1e-11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-545.895524795432</v>
      </c>
      <c r="AF75" s="15">
        <f>AF63-AF71-AF72</f>
        <v>-520.0614276762431</v>
      </c>
      <c r="AG75" s="15">
        <f>AG63-AG71-AG72</f>
        <v>-493.691981948004</v>
      </c>
      <c r="AH75" s="15">
        <f>AH63-AH71-AH72</f>
        <v>-466.503452847917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-26.104475204568</v>
      </c>
      <c r="AF76" s="15">
        <f>AF56+AF58+AF60</f>
        <v>-25.834097119189</v>
      </c>
      <c r="AG76" s="15">
        <f>AG56+AG58+AG60</f>
        <v>-26.3694457282394</v>
      </c>
      <c r="AH76" s="15">
        <f>AH56+AH58+AH60</f>
        <v>-27.1885291000866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565</v>
      </c>
      <c r="AD78" s="14"/>
      <c r="AE78" s="15"/>
      <c r="AF78" s="15"/>
      <c r="AG78" s="15"/>
      <c r="AH78" s="15">
        <v>94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565</v>
      </c>
      <c r="AD79" s="14"/>
      <c r="AE79" s="15"/>
      <c r="AF79" s="15"/>
      <c r="AG79" s="15"/>
      <c r="AH79" s="15">
        <v>401658240000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401.65824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4.27296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0.361398452402379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44.2</v>
      </c>
      <c r="AH84" s="15">
        <f>SUM(AE55:AH55)</f>
        <v>105.496547152083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9.596522609792361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3.80731171628748</v>
      </c>
      <c r="AH86" s="15">
        <v>4.5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474.734462184374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111.102014103660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0.181936320251702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1.96385542168675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-0.626663111245114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565</v>
      </c>
      <c r="AF93" t="s" s="44">
        <f>AE115</f>
        <v>15</v>
      </c>
      <c r="AG93" t="s" s="44">
        <f>AF115</f>
        <v>59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94</v>
      </c>
      <c r="AG94" t="s" s="44">
        <v>61</v>
      </c>
      <c r="AH94" s="15">
        <f>AH88</f>
        <v>111.102014103660</v>
      </c>
      <c r="AI94" t="s" s="44">
        <f>IF(AJ94&gt;0,"+","")</f>
        <v>361</v>
      </c>
      <c r="AJ94" s="16">
        <f>AH94/AF94-1</f>
        <v>0.181936320251702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1.96385542168675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0.110043802412718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</c>
      <c r="AH99" s="16">
        <f>(AG132+AG133+AI132+AI133+AK132+AK133+AM132+AM133)/AF135</f>
        <v>-0.0313699527239874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-1.42409626651752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0.277922077922078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-0.308333333333333</v>
      </c>
      <c r="AF103" s="16">
        <f>P23</f>
        <v>3.06024096385542</v>
      </c>
      <c r="AG103" s="16">
        <f>P24</f>
        <v>-0.428783382789318</v>
      </c>
      <c r="AH103" s="16">
        <f>P25</f>
        <v>0</v>
      </c>
      <c r="AI103" s="16">
        <f>P26</f>
        <v>0.277922077922078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83</v>
      </c>
      <c r="AF104" t="s" s="44">
        <v>72</v>
      </c>
      <c r="AG104" s="15">
        <f>C23</f>
        <v>337</v>
      </c>
      <c r="AH104" t="s" s="44">
        <v>72</v>
      </c>
      <c r="AI104" s="15">
        <f>C24</f>
        <v>192.5</v>
      </c>
      <c r="AJ104" t="s" s="44">
        <v>72</v>
      </c>
      <c r="AK104" s="15">
        <f>C25</f>
        <v>192.5</v>
      </c>
      <c r="AL104" t="s" s="44">
        <v>72</v>
      </c>
      <c r="AM104" s="15">
        <f>C26</f>
        <v>246</v>
      </c>
      <c r="AN104" t="s" s="48">
        <f>AC$47</f>
        <v>514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0.277922077922078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246</v>
      </c>
      <c r="AM105" t="s" s="48">
        <f>AN104</f>
        <v>514</v>
      </c>
      <c r="AN105" t="s" s="44">
        <v>77</v>
      </c>
      <c r="AO105" t="s" s="44">
        <f>IF(AP105&gt;0,"+","")</f>
      </c>
      <c r="AP105" s="16">
        <f>AH91</f>
        <v>-0.626663111245114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0.727344914747045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268.6562802</v>
      </c>
      <c r="AJ107" t="s" s="48">
        <f>AN104</f>
        <v>514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-0.0903614457831325</v>
      </c>
      <c r="AF110" s="16">
        <f>(D23+E23)/C23</f>
        <v>0.0311572700296736</v>
      </c>
      <c r="AG110" s="16">
        <f>((E24+D24)/C24)</f>
        <v>0.07792207792207791</v>
      </c>
      <c r="AH110" s="16">
        <f>(D25+E25)/C25</f>
        <v>0.07792207792207791</v>
      </c>
      <c r="AI110" s="16">
        <f>(D26+E26)/C26</f>
        <v>0.130081300813008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-20</v>
      </c>
      <c r="AF111" t="s" s="44">
        <v>72</v>
      </c>
      <c r="AG111" s="15">
        <f>E23</f>
        <v>-2</v>
      </c>
      <c r="AH111" t="s" s="44">
        <v>72</v>
      </c>
      <c r="AI111" s="15">
        <f>E24</f>
        <v>2</v>
      </c>
      <c r="AJ111" t="s" s="44">
        <v>72</v>
      </c>
      <c r="AK111" s="15">
        <f>E25</f>
        <v>2</v>
      </c>
      <c r="AL111" t="s" s="44">
        <v>72</v>
      </c>
      <c r="AM111" s="15">
        <f>E26</f>
        <v>12</v>
      </c>
      <c r="AN111" t="s" s="48">
        <f>AN104</f>
        <v>514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0.07792207792207791</v>
      </c>
      <c r="AG112" t="s" s="44">
        <v>76</v>
      </c>
      <c r="AH112" s="16">
        <f>AI110</f>
        <v>0.130081300813008</v>
      </c>
      <c r="AI112" t="s" s="44">
        <v>90</v>
      </c>
      <c r="AJ112" s="15">
        <f>AK111</f>
        <v>2</v>
      </c>
      <c r="AK112" t="s" s="44">
        <v>76</v>
      </c>
      <c r="AL112" s="15">
        <f>AM111</f>
        <v>12</v>
      </c>
      <c r="AM112" t="s" s="48">
        <f>AJ107</f>
        <v>514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0.07927068167170941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0.104675991242359</v>
      </c>
      <c r="AG114" t="s" s="44">
        <v>94</v>
      </c>
      <c r="AH114" s="15">
        <f>AH66</f>
        <v>12.7885291000866</v>
      </c>
      <c r="AI114" t="s" s="48">
        <f>AM112</f>
        <v>514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59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2.85</v>
      </c>
      <c r="AG116" s="15">
        <f>ABS(AH120)</f>
        <v>43.9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-31</v>
      </c>
      <c r="AF118" t="s" s="44">
        <v>72</v>
      </c>
      <c r="AG118" s="15">
        <f>J23</f>
        <v>40</v>
      </c>
      <c r="AH118" t="s" s="44">
        <v>72</v>
      </c>
      <c r="AI118" s="15">
        <f>J24</f>
        <v>0.15</v>
      </c>
      <c r="AJ118" t="s" s="44">
        <v>72</v>
      </c>
      <c r="AK118" s="15">
        <f>J25</f>
        <v>0.15</v>
      </c>
      <c r="AL118" t="s" s="44">
        <v>72</v>
      </c>
      <c r="AM118" s="15">
        <f>J26</f>
        <v>40.7</v>
      </c>
      <c r="AN118" t="s" s="48">
        <f>AN104</f>
        <v>514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29</v>
      </c>
      <c r="AF119" t="s" s="44">
        <v>72</v>
      </c>
      <c r="AG119" s="15">
        <f>K23</f>
        <v>-34</v>
      </c>
      <c r="AH119" t="s" s="44">
        <v>72</v>
      </c>
      <c r="AI119" s="15">
        <f>K24</f>
        <v>-3</v>
      </c>
      <c r="AJ119" t="s" s="44">
        <v>72</v>
      </c>
      <c r="AK119" s="15">
        <f>K25</f>
        <v>-3</v>
      </c>
      <c r="AL119" t="s" s="44">
        <v>72</v>
      </c>
      <c r="AM119" s="15">
        <f>K26</f>
        <v>3.2</v>
      </c>
      <c r="AN119" t="s" s="48">
        <f>AN118</f>
        <v>514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-2.85</v>
      </c>
      <c r="AG120" t="s" s="44">
        <v>76</v>
      </c>
      <c r="AH120" s="15">
        <f>AM118+AM119</f>
        <v>43.9</v>
      </c>
      <c r="AI120" t="s" s="48">
        <f>AI114</f>
        <v>514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3.2</v>
      </c>
      <c r="AN120" t="s" s="48">
        <f>AN104</f>
        <v>514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11.05</v>
      </c>
      <c r="AG121" t="s" s="48">
        <f>AN104</f>
        <v>514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-0.933333333333333</v>
      </c>
      <c r="AG122" t="s" s="48">
        <f>AG121</f>
        <v>514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26.3741367880208</v>
      </c>
      <c r="AM122" t="s" s="48">
        <f>AG122</f>
        <v>514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43</v>
      </c>
      <c r="AF125" t="s" s="44">
        <v>72</v>
      </c>
      <c r="AG125" s="15">
        <f>F23</f>
        <v>84</v>
      </c>
      <c r="AH125" t="s" s="44">
        <v>72</v>
      </c>
      <c r="AI125" s="15">
        <f>F24</f>
        <v>73</v>
      </c>
      <c r="AJ125" t="s" s="44">
        <v>72</v>
      </c>
      <c r="AK125" s="15">
        <f>F25</f>
        <v>73</v>
      </c>
      <c r="AL125" t="s" s="44">
        <v>72</v>
      </c>
      <c r="AM125" s="15">
        <f>F26</f>
        <v>99</v>
      </c>
      <c r="AN125" t="s" s="48">
        <f>AN104</f>
        <v>514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417</v>
      </c>
      <c r="AF126" t="s" s="44">
        <v>72</v>
      </c>
      <c r="AG126" s="15">
        <f>G23</f>
        <v>478</v>
      </c>
      <c r="AH126" t="s" s="44">
        <v>72</v>
      </c>
      <c r="AI126" s="15">
        <f>G24</f>
        <v>561</v>
      </c>
      <c r="AJ126" t="s" s="44">
        <v>72</v>
      </c>
      <c r="AK126" s="15">
        <f>G25</f>
        <v>561</v>
      </c>
      <c r="AL126" t="s" s="44">
        <v>72</v>
      </c>
      <c r="AM126" s="15">
        <f>G26</f>
        <v>671</v>
      </c>
      <c r="AN126" t="s" s="48">
        <f>AN125</f>
        <v>514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73</v>
      </c>
      <c r="AH127" t="s" s="44">
        <v>76</v>
      </c>
      <c r="AI127" s="15">
        <f>AM125</f>
        <v>99</v>
      </c>
      <c r="AJ127" t="s" s="48">
        <f>AM122</f>
        <v>514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561</v>
      </c>
      <c r="AH128" t="s" s="44">
        <v>76</v>
      </c>
      <c r="AI128" s="15">
        <f>AM126</f>
        <v>671</v>
      </c>
      <c r="AJ128" t="s" s="48">
        <f>AJ127</f>
        <v>514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-488</v>
      </c>
      <c r="AO128" t="s" s="44">
        <v>76</v>
      </c>
      <c r="AP128" s="15">
        <f>AI127-AI128</f>
        <v>-572</v>
      </c>
      <c r="AQ128" t="s" s="48">
        <f>AJ128</f>
        <v>514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8">
        <f>AJ128</f>
        <v>514</v>
      </c>
      <c r="AH129" t="s" s="44">
        <v>117</v>
      </c>
      <c r="AI129" t="s" s="44">
        <f>IF(AJ129&gt;0,"+","")</f>
      </c>
      <c r="AJ129" s="15">
        <f>AE56+AF56+AG56+AH56+AE60+AF60+AG60+AH60</f>
        <v>-105.496547152083</v>
      </c>
      <c r="AK129" t="s" s="48">
        <f>AQ128</f>
        <v>514</v>
      </c>
      <c r="AL129" t="s" s="44">
        <v>118</v>
      </c>
      <c r="AM129" t="s" s="44">
        <v>119</v>
      </c>
      <c r="AN129" s="15">
        <f>AH75</f>
        <v>-466.503452847917</v>
      </c>
      <c r="AO129" t="s" s="48">
        <f>AJ128</f>
        <v>514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18.3</v>
      </c>
      <c r="AF132" t="s" s="44">
        <v>72</v>
      </c>
      <c r="AG132" s="15">
        <f>-L23</f>
        <v>-3.6</v>
      </c>
      <c r="AH132" t="s" s="44">
        <v>72</v>
      </c>
      <c r="AI132" s="15">
        <f>-L24</f>
        <v>-15.8</v>
      </c>
      <c r="AJ132" t="s" s="44">
        <v>72</v>
      </c>
      <c r="AK132" s="15">
        <f>-L25</f>
        <v>-15.8</v>
      </c>
      <c r="AL132" t="s" s="44">
        <v>72</v>
      </c>
      <c r="AM132" s="15">
        <f>-L26</f>
        <v>22.6</v>
      </c>
      <c r="AN132" t="s" s="48">
        <f>AN104</f>
        <v>514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0</v>
      </c>
      <c r="AF133" t="s" s="44">
        <v>72</v>
      </c>
      <c r="AG133" s="15">
        <f>-M23</f>
        <v>0</v>
      </c>
      <c r="AH133" t="s" s="44">
        <v>72</v>
      </c>
      <c r="AI133" s="15">
        <f>-M24</f>
        <v>0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t="s" s="48">
        <f>AN132</f>
        <v>514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565</v>
      </c>
      <c r="AF134" t="s" s="44">
        <f>IF(AG134&gt;0,"paid","(raised)")</f>
        <v>374</v>
      </c>
      <c r="AG134" s="15">
        <f>SUM(AM132:AM133)</f>
        <v>22.6</v>
      </c>
      <c r="AH134" t="s" s="48">
        <f>AN104</f>
        <v>514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22.6</v>
      </c>
      <c r="AM134" t="s" s="48">
        <f>AN104</f>
        <v>514</v>
      </c>
      <c r="AN134" t="s" s="44">
        <v>123</v>
      </c>
      <c r="AO134" s="15">
        <f>AM133</f>
        <v>0</v>
      </c>
      <c r="AP134" t="s" s="48">
        <f>AN104</f>
        <v>514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105.496547152083</v>
      </c>
      <c r="AU134" t="s" s="48">
        <f>AN104</f>
        <v>514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401.65824</v>
      </c>
      <c r="AG135" t="s" s="48">
        <f>AN104</f>
        <v>514</v>
      </c>
      <c r="AH135" t="s" s="44">
        <v>128</v>
      </c>
      <c r="AI135" t="s" s="44">
        <v>129</v>
      </c>
      <c r="AJ135" s="43">
        <f>AH82</f>
        <v>0.361398452402379</v>
      </c>
      <c r="AK135" t="s" s="44">
        <v>130</v>
      </c>
      <c r="AL135" t="s" s="44">
        <v>131</v>
      </c>
      <c r="AM135" t="s" s="44">
        <v>132</v>
      </c>
      <c r="AN135" s="15">
        <f>AH85</f>
        <v>9.596522609792361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105.496547152083</v>
      </c>
      <c r="AG136" t="s" s="48">
        <f>AG135</f>
        <v>514</v>
      </c>
      <c r="AH136" t="s" s="44">
        <v>136</v>
      </c>
      <c r="AI136" s="15">
        <f>AF135/AF136</f>
        <v>3.80731171628748</v>
      </c>
      <c r="AJ136" t="s" s="44">
        <v>130</v>
      </c>
      <c r="AK136" t="s" s="44">
        <v>137</v>
      </c>
      <c r="AL136" t="s" s="44">
        <v>138</v>
      </c>
      <c r="AM136" s="15">
        <f>AH86</f>
        <v>4.5</v>
      </c>
      <c r="AN136" t="s" s="44">
        <v>139</v>
      </c>
      <c r="AO136" t="s" s="44">
        <v>140</v>
      </c>
      <c r="AP136" t="s" s="44">
        <v>141</v>
      </c>
      <c r="AQ136" s="16">
        <f>AJ94</f>
        <v>0.181936320251702</v>
      </c>
      <c r="AR136" t="s" s="44">
        <f>IF(AQ136&gt;0,"higher","lower")</f>
        <v>363</v>
      </c>
      <c r="AS136" t="s" s="44">
        <v>142</v>
      </c>
      <c r="AT136" s="15">
        <f>AH94</f>
        <v>111.102014103660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565</v>
      </c>
      <c r="AF138" t="s" s="44">
        <f>AE146</f>
        <v>394</v>
      </c>
      <c r="AG138" t="s" s="44">
        <f>AF146</f>
        <v>395</v>
      </c>
      <c r="AH138" s="16">
        <f>AG146</f>
        <v>0.277922077922078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94</v>
      </c>
      <c r="AG139" t="s" s="44">
        <f>AG94</f>
        <v>61</v>
      </c>
      <c r="AH139" s="15">
        <f>AH94</f>
        <v>111.102014103660</v>
      </c>
      <c r="AI139" t="s" s="44">
        <f>AI94</f>
        <v>361</v>
      </c>
      <c r="AJ139" s="16">
        <f>AJ94</f>
        <v>0.181936320251702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1.96385542168675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0.110043802412718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</c>
      <c r="AH144" s="16">
        <f>AH99</f>
        <v>-0.0313699527239874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-1.42409626651752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0.277922077922078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-0.308333333333333</v>
      </c>
      <c r="AF148" s="16">
        <f>AF103</f>
        <v>3.06024096385542</v>
      </c>
      <c r="AG148" s="16">
        <f>AG103</f>
        <v>-0.428783382789318</v>
      </c>
      <c r="AH148" s="16">
        <f>AH103</f>
        <v>0</v>
      </c>
      <c r="AI148" s="16">
        <f>AI103</f>
        <v>0.277922077922078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83</v>
      </c>
      <c r="AF149" t="s" s="44">
        <f>AF104</f>
        <v>72</v>
      </c>
      <c r="AG149" s="15">
        <f>AG104</f>
        <v>337</v>
      </c>
      <c r="AH149" t="s" s="44">
        <f>AH104</f>
        <v>72</v>
      </c>
      <c r="AI149" s="15">
        <f>AI104</f>
        <v>192.5</v>
      </c>
      <c r="AJ149" t="s" s="44">
        <f>AJ104</f>
        <v>72</v>
      </c>
      <c r="AK149" s="15">
        <f>AK104</f>
        <v>192.5</v>
      </c>
      <c r="AL149" t="s" s="44">
        <f>AL104</f>
        <v>72</v>
      </c>
      <c r="AM149" s="15">
        <f>AM104</f>
        <v>246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0.277922077922078</v>
      </c>
      <c r="AH150" t="s" s="44">
        <v>408</v>
      </c>
      <c r="AI150" t="s" s="44">
        <v>409</v>
      </c>
      <c r="AJ150" t="s" s="44">
        <v>410</v>
      </c>
      <c r="AK150" s="15">
        <f>AL105</f>
        <v>246</v>
      </c>
      <c r="AL150" t="s" s="44">
        <f>AN149</f>
        <v>407</v>
      </c>
      <c r="AM150" t="s" s="44">
        <v>411</v>
      </c>
      <c r="AN150" t="s" s="44">
        <f>AO105</f>
      </c>
      <c r="AO150" s="16">
        <f>AP105</f>
        <v>-0.626663111245114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0.727344914747045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0.0225</v>
      </c>
      <c r="AG152" t="s" s="44">
        <v>415</v>
      </c>
      <c r="AH152" t="s" s="44">
        <v>416</v>
      </c>
      <c r="AI152" s="23">
        <f>AI107</f>
        <v>268.6562802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395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-0.0903614457831325</v>
      </c>
      <c r="AF155" s="16">
        <f>AF110</f>
        <v>0.0311572700296736</v>
      </c>
      <c r="AG155" s="16">
        <f>AG110</f>
        <v>0.07792207792207791</v>
      </c>
      <c r="AH155" s="16">
        <f>AH110</f>
        <v>0.07792207792207791</v>
      </c>
      <c r="AI155" s="16">
        <f>AI110</f>
        <v>0.130081300813008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-20</v>
      </c>
      <c r="AF156" t="s" s="44">
        <f>AF111</f>
        <v>72</v>
      </c>
      <c r="AG156" s="15">
        <f>AG111</f>
        <v>-2</v>
      </c>
      <c r="AH156" t="s" s="44">
        <f>AH111</f>
        <v>72</v>
      </c>
      <c r="AI156" s="15">
        <f>AI111</f>
        <v>2</v>
      </c>
      <c r="AJ156" t="s" s="44">
        <f>AJ111</f>
        <v>72</v>
      </c>
      <c r="AK156" s="15">
        <f>AK111</f>
        <v>2</v>
      </c>
      <c r="AL156" t="s" s="44">
        <f>AL111</f>
        <v>72</v>
      </c>
      <c r="AM156" s="15">
        <f>AM111</f>
        <v>12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0.07792207792207791</v>
      </c>
      <c r="AG157" t="s" s="85">
        <v>422</v>
      </c>
      <c r="AH157" s="16">
        <f>AH112</f>
        <v>0.130081300813008</v>
      </c>
      <c r="AI157" t="s" s="85">
        <v>423</v>
      </c>
      <c r="AJ157" s="15">
        <f>AJ112</f>
        <v>2</v>
      </c>
      <c r="AK157" t="s" s="44">
        <v>410</v>
      </c>
      <c r="AL157" s="15">
        <f>AL112</f>
        <v>12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0.07927068167170941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0.104675991242359</v>
      </c>
      <c r="AG159" t="s" s="85">
        <v>427</v>
      </c>
      <c r="AH159" s="15">
        <f>AH114</f>
        <v>12.7885291000866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429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2.85</v>
      </c>
      <c r="AG161" s="15">
        <f>ABS(AH165)</f>
        <v>43.9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-31</v>
      </c>
      <c r="AF163" t="s" s="44">
        <f>AF118</f>
        <v>72</v>
      </c>
      <c r="AG163" s="15">
        <f>AG118</f>
        <v>40</v>
      </c>
      <c r="AH163" t="s" s="44">
        <f>AH118</f>
        <v>72</v>
      </c>
      <c r="AI163" s="15">
        <f>AI118</f>
        <v>0.15</v>
      </c>
      <c r="AJ163" t="s" s="44">
        <f>AJ118</f>
        <v>72</v>
      </c>
      <c r="AK163" s="15">
        <f>AK118</f>
        <v>0.15</v>
      </c>
      <c r="AL163" t="s" s="44">
        <f>AL118</f>
        <v>72</v>
      </c>
      <c r="AM163" s="15">
        <f>AM118</f>
        <v>40.7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29</v>
      </c>
      <c r="AF164" t="s" s="44">
        <f>AF119</f>
        <v>72</v>
      </c>
      <c r="AG164" s="15">
        <f>AG119</f>
        <v>-34</v>
      </c>
      <c r="AH164" t="s" s="44">
        <f>AH119</f>
        <v>72</v>
      </c>
      <c r="AI164" s="15">
        <f>AI119</f>
        <v>-3</v>
      </c>
      <c r="AJ164" t="s" s="44">
        <f>AJ119</f>
        <v>72</v>
      </c>
      <c r="AK164" s="15">
        <f>AK119</f>
        <v>-3</v>
      </c>
      <c r="AL164" t="s" s="44">
        <f>AL119</f>
        <v>72</v>
      </c>
      <c r="AM164" s="15">
        <f>AM119</f>
        <v>3.2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-2.85</v>
      </c>
      <c r="AG165" t="s" s="44">
        <v>410</v>
      </c>
      <c r="AH165" s="15">
        <f>AH120</f>
        <v>43.9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3.2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11.05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-0.933333333333333</v>
      </c>
      <c r="AG167" t="s" s="44">
        <f>AN149</f>
        <v>407</v>
      </c>
      <c r="AH167" t="s" s="85">
        <v>435</v>
      </c>
      <c r="AI167" s="15">
        <f>AL122</f>
        <v>26.3741367880208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419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43</v>
      </c>
      <c r="AF170" t="s" s="44">
        <f>AF125</f>
        <v>72</v>
      </c>
      <c r="AG170" s="15">
        <f>AG125</f>
        <v>84</v>
      </c>
      <c r="AH170" t="s" s="44">
        <f>AH125</f>
        <v>72</v>
      </c>
      <c r="AI170" s="15">
        <f>AI125</f>
        <v>73</v>
      </c>
      <c r="AJ170" t="s" s="44">
        <f>AJ125</f>
        <v>72</v>
      </c>
      <c r="AK170" s="15">
        <f>AK125</f>
        <v>73</v>
      </c>
      <c r="AL170" t="s" s="44">
        <f>AL125</f>
        <v>72</v>
      </c>
      <c r="AM170" s="15">
        <f>AM125</f>
        <v>99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417</v>
      </c>
      <c r="AF171" t="s" s="44">
        <f>AF126</f>
        <v>72</v>
      </c>
      <c r="AG171" s="15">
        <f>AG126</f>
        <v>478</v>
      </c>
      <c r="AH171" t="s" s="44">
        <f>AH126</f>
        <v>72</v>
      </c>
      <c r="AI171" s="15">
        <f>AI126</f>
        <v>561</v>
      </c>
      <c r="AJ171" t="s" s="44">
        <f>AJ126</f>
        <v>72</v>
      </c>
      <c r="AK171" s="15">
        <f>AK126</f>
        <v>561</v>
      </c>
      <c r="AL171" t="s" s="44">
        <f>AL126</f>
        <v>72</v>
      </c>
      <c r="AM171" s="15">
        <f>AM126</f>
        <v>671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440</v>
      </c>
      <c r="AG172" s="15">
        <f>AG127</f>
        <v>73</v>
      </c>
      <c r="AH172" t="s" s="44">
        <f>AG165</f>
        <v>410</v>
      </c>
      <c r="AI172" s="15">
        <f>AI127</f>
        <v>99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440</v>
      </c>
      <c r="AG173" s="15">
        <f>AG128</f>
        <v>561</v>
      </c>
      <c r="AH173" t="s" s="44">
        <f>AG165</f>
        <v>410</v>
      </c>
      <c r="AI173" s="15">
        <f>AI128</f>
        <v>671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516</v>
      </c>
      <c r="AN173" s="15">
        <f>AN128</f>
        <v>-488</v>
      </c>
      <c r="AO173" t="s" s="44">
        <f>AH173</f>
        <v>410</v>
      </c>
      <c r="AP173" s="15">
        <f>AP128</f>
        <v>-572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0</v>
      </c>
      <c r="AG174" t="s" s="44">
        <f>AN149</f>
        <v>407</v>
      </c>
      <c r="AH174" t="s" s="85">
        <v>445</v>
      </c>
      <c r="AI174" s="15">
        <f>AJ129</f>
        <v>-105.496547152083</v>
      </c>
      <c r="AJ174" t="s" s="44">
        <f>AG174</f>
        <v>407</v>
      </c>
      <c r="AK174" t="s" s="85">
        <v>446</v>
      </c>
      <c r="AL174" s="15">
        <f>AN129</f>
        <v>-466.503452847917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44.05" customHeight="1">
      <c r="AC175" s="36"/>
      <c r="AD175" s="38"/>
      <c r="AE175" t="s" s="44">
        <v>448</v>
      </c>
      <c r="AF175" t="s" s="44">
        <f>IF(AF130="(raised)","(yang dihimpun)","(yang dibayarkan)")</f>
        <v>449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18.3</v>
      </c>
      <c r="AF177" t="s" s="44">
        <f>AF132</f>
        <v>72</v>
      </c>
      <c r="AG177" s="15">
        <f>AG132</f>
        <v>-3.6</v>
      </c>
      <c r="AH177" t="s" s="44">
        <f>AH132</f>
        <v>72</v>
      </c>
      <c r="AI177" s="15">
        <f>AI132</f>
        <v>-15.8</v>
      </c>
      <c r="AJ177" t="s" s="44">
        <f>AJ132</f>
        <v>72</v>
      </c>
      <c r="AK177" s="15">
        <f>AK132</f>
        <v>-15.8</v>
      </c>
      <c r="AL177" t="s" s="44">
        <f>AL132</f>
        <v>72</v>
      </c>
      <c r="AM177" s="15">
        <f>AM132</f>
        <v>22.6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0</v>
      </c>
      <c r="AF178" t="s" s="44">
        <f>AF133</f>
        <v>72</v>
      </c>
      <c r="AG178" s="15">
        <f>AG133</f>
        <v>0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0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565</v>
      </c>
      <c r="AF179" t="s" s="44">
        <f>IF(AF175="(yang dihimpun)","(menghimpun)","(membayarkan)")</f>
        <v>451</v>
      </c>
      <c r="AG179" s="15">
        <f>AG134</f>
        <v>22.6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22.6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105.496547152083</v>
      </c>
      <c r="AU179" t="s" s="44">
        <f>AN178</f>
        <v>407</v>
      </c>
      <c r="AV179" t="s" s="85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401.65824</v>
      </c>
      <c r="AG180" t="s" s="44">
        <f>AN149</f>
        <v>407</v>
      </c>
      <c r="AH180" t="s" s="85">
        <v>458</v>
      </c>
      <c r="AI180" s="40">
        <f>AJ135</f>
        <v>0.361398452402379</v>
      </c>
      <c r="AJ180" t="s" s="44">
        <v>459</v>
      </c>
      <c r="AK180" t="s" s="85">
        <v>460</v>
      </c>
      <c r="AL180" s="15">
        <f>AN135</f>
        <v>9.596522609792361</v>
      </c>
      <c r="AM180" t="s" s="85">
        <v>461</v>
      </c>
      <c r="AN180" s="16">
        <f>AP135</f>
        <v>0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105.496547152083</v>
      </c>
      <c r="AG181" t="s" s="44">
        <f>AN149</f>
        <v>407</v>
      </c>
      <c r="AH181" t="s" s="85">
        <v>463</v>
      </c>
      <c r="AI181" s="15">
        <f>AI136</f>
        <v>3.80731171628748</v>
      </c>
      <c r="AJ181" t="s" s="44">
        <v>464</v>
      </c>
      <c r="AK181" t="s" s="85">
        <v>465</v>
      </c>
      <c r="AL181" s="15">
        <f>AM136</f>
        <v>4.5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0.181936320251702</v>
      </c>
      <c r="AQ181" t="s" s="85">
        <v>468</v>
      </c>
      <c r="AR181" s="15">
        <f>AT136</f>
        <v>111.102014103660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83</v>
      </c>
      <c r="AE183" s="15">
        <f>AG104</f>
        <v>337</v>
      </c>
      <c r="AF183" s="15">
        <f>AI104</f>
        <v>192.5</v>
      </c>
      <c r="AG183" s="15">
        <f>AK104</f>
        <v>192.5</v>
      </c>
      <c r="AH183" s="15">
        <f>AM104</f>
        <v>246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-2</v>
      </c>
      <c r="AE184" s="15">
        <f>SUM(AG118:AG119)</f>
        <v>6</v>
      </c>
      <c r="AF184" s="15">
        <f>SUM(AI118:AI119)</f>
        <v>-2.85</v>
      </c>
      <c r="AG184" s="15">
        <f>SUM(AK118:AK119)</f>
        <v>-2.85</v>
      </c>
      <c r="AH184" s="15">
        <f>SUM(AM118:AM119)</f>
        <v>43.9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18.3</v>
      </c>
      <c r="AE185" s="15">
        <f>SUM(AG132:AG133)</f>
        <v>-3.6</v>
      </c>
      <c r="AF185" s="15">
        <f>SUM(AI132:AI133)</f>
        <v>-15.8</v>
      </c>
      <c r="AG185" s="15">
        <f>SUM(AK132:AK133)</f>
        <v>-15.8</v>
      </c>
      <c r="AH185" s="15">
        <f>SUM(AM132:AM133)</f>
        <v>22.6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-374</v>
      </c>
      <c r="AE186" s="15">
        <f>(AG125-AG126)</f>
        <v>-394</v>
      </c>
      <c r="AF186" s="15">
        <f>(AI125-AI126)</f>
        <v>-488</v>
      </c>
      <c r="AG186" s="15">
        <f>(AK125-AK126)</f>
        <v>-488</v>
      </c>
      <c r="AH186" s="15">
        <f>(AM125-AM126)</f>
        <v>-572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111.102014103660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196" customWidth="1"/>
    <col min="2" max="27" width="10.4844" style="196" customWidth="1"/>
    <col min="28" max="28" width="18.9766" style="197" customWidth="1"/>
    <col min="29" max="32" width="9" style="197" customWidth="1"/>
    <col min="33" max="46" hidden="1" width="16.3333" style="197" customWidth="1"/>
    <col min="47" max="16384" width="16.3516" style="197" customWidth="1"/>
  </cols>
  <sheetData>
    <row r="1" ht="11.65" customHeight="1"/>
    <row r="2" ht="27.65" customHeight="1">
      <c r="B2" t="s" s="2">
        <v>566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471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304</v>
      </c>
      <c r="AA3" t="s" s="3">
        <v>19</v>
      </c>
    </row>
    <row r="4" ht="20.25" customHeight="1">
      <c r="B4" s="6">
        <v>2017</v>
      </c>
      <c r="C4" s="7">
        <v>1923.6</v>
      </c>
      <c r="D4" s="8">
        <v>72.8</v>
      </c>
      <c r="E4" s="8">
        <v>126.7</v>
      </c>
      <c r="F4" s="8">
        <v>3836</v>
      </c>
      <c r="G4" s="8">
        <v>4722</v>
      </c>
      <c r="H4" s="8">
        <v>20654</v>
      </c>
      <c r="I4" s="8">
        <v>1887.2</v>
      </c>
      <c r="J4" s="8">
        <v>218.5</v>
      </c>
      <c r="K4" s="8">
        <v>777</v>
      </c>
      <c r="L4" s="8">
        <v>-6.5</v>
      </c>
      <c r="M4" s="8">
        <v>426</v>
      </c>
      <c r="N4" s="9"/>
      <c r="O4" s="8"/>
      <c r="P4" s="55"/>
      <c r="Q4" s="55">
        <f>J4/I4</f>
        <v>0.115779991521831</v>
      </c>
      <c r="R4" s="55"/>
      <c r="S4" s="9"/>
      <c r="T4" s="9"/>
      <c r="U4" s="9"/>
      <c r="V4" s="8">
        <f>-(L4+M4)</f>
        <v>-419.5</v>
      </c>
      <c r="W4" s="9"/>
      <c r="X4" s="8">
        <f>F4-G4</f>
        <v>-886</v>
      </c>
      <c r="Y4" s="73"/>
      <c r="Z4" s="8">
        <v>1083.222168</v>
      </c>
      <c r="AA4" s="73"/>
    </row>
    <row r="5" ht="20.05" customHeight="1">
      <c r="B5" s="13"/>
      <c r="C5" s="14">
        <v>2325.2</v>
      </c>
      <c r="D5" s="15">
        <v>203.6</v>
      </c>
      <c r="E5" s="15">
        <v>376.8</v>
      </c>
      <c r="F5" s="15">
        <v>5298</v>
      </c>
      <c r="G5" s="15">
        <v>4910</v>
      </c>
      <c r="H5" s="15">
        <v>22327</v>
      </c>
      <c r="I5" s="15">
        <v>1901.3</v>
      </c>
      <c r="J5" s="15">
        <v>237</v>
      </c>
      <c r="K5" s="15">
        <v>65.3</v>
      </c>
      <c r="L5" s="15">
        <v>-6.5</v>
      </c>
      <c r="M5" s="15">
        <v>426</v>
      </c>
      <c r="N5" s="17"/>
      <c r="O5" s="15"/>
      <c r="P5" s="16"/>
      <c r="Q5" s="16">
        <f>J5/I5</f>
        <v>0.124651554199758</v>
      </c>
      <c r="R5" s="16"/>
      <c r="S5" s="17"/>
      <c r="T5" s="17"/>
      <c r="U5" s="17"/>
      <c r="V5" s="15">
        <f>-(L5+M5)+V4</f>
        <v>-839</v>
      </c>
      <c r="W5" s="17"/>
      <c r="X5" s="15">
        <f>F5-G5</f>
        <v>388</v>
      </c>
      <c r="Y5" s="24"/>
      <c r="Z5" s="15">
        <v>925.916077</v>
      </c>
      <c r="AA5" s="24"/>
    </row>
    <row r="6" ht="20.05" customHeight="1">
      <c r="B6" s="13"/>
      <c r="C6" s="14">
        <v>1858.1</v>
      </c>
      <c r="D6" s="15">
        <v>362.9</v>
      </c>
      <c r="E6" s="15">
        <v>-39.5</v>
      </c>
      <c r="F6" s="15">
        <v>5836</v>
      </c>
      <c r="G6" s="15">
        <v>4268</v>
      </c>
      <c r="H6" s="15">
        <v>22058</v>
      </c>
      <c r="I6" s="15">
        <v>2154.9</v>
      </c>
      <c r="J6" s="15">
        <v>286.7</v>
      </c>
      <c r="K6" s="15">
        <v>-137.7</v>
      </c>
      <c r="L6" s="15">
        <v>-6.5</v>
      </c>
      <c r="M6" s="15">
        <v>426</v>
      </c>
      <c r="N6" s="17"/>
      <c r="O6" s="15"/>
      <c r="P6" s="16"/>
      <c r="Q6" s="16">
        <f>J6/I6</f>
        <v>0.133045616965985</v>
      </c>
      <c r="R6" s="16"/>
      <c r="S6" s="17"/>
      <c r="T6" s="17"/>
      <c r="U6" s="17"/>
      <c r="V6" s="15">
        <f>-(L6+M6)+V5</f>
        <v>-1258.5</v>
      </c>
      <c r="W6" s="17"/>
      <c r="X6" s="15">
        <f>F6-G6</f>
        <v>1568</v>
      </c>
      <c r="Y6" s="24"/>
      <c r="Z6" s="15">
        <v>906.003906</v>
      </c>
      <c r="AA6" s="24"/>
    </row>
    <row r="7" ht="20.05" customHeight="1">
      <c r="B7" s="13"/>
      <c r="C7" s="14">
        <v>1486.1</v>
      </c>
      <c r="D7" s="15">
        <v>269.7</v>
      </c>
      <c r="E7" s="15">
        <v>-16.1</v>
      </c>
      <c r="F7" s="15">
        <v>7140</v>
      </c>
      <c r="G7" s="15">
        <v>4359</v>
      </c>
      <c r="H7" s="15">
        <v>22210</v>
      </c>
      <c r="I7" s="15">
        <v>1623.4</v>
      </c>
      <c r="J7" s="15">
        <v>292.4</v>
      </c>
      <c r="K7" s="15">
        <v>796.1</v>
      </c>
      <c r="L7" s="15">
        <v>-6.5</v>
      </c>
      <c r="M7" s="15">
        <v>426</v>
      </c>
      <c r="N7" s="17"/>
      <c r="O7" s="15"/>
      <c r="P7" s="16"/>
      <c r="Q7" s="16">
        <f>J7/I7</f>
        <v>0.180115806332389</v>
      </c>
      <c r="R7" s="16"/>
      <c r="S7" s="17"/>
      <c r="T7" s="17"/>
      <c r="U7" s="17"/>
      <c r="V7" s="15">
        <f>-(L7+M7)+V6</f>
        <v>-1678</v>
      </c>
      <c r="W7" s="17"/>
      <c r="X7" s="15">
        <f>F7-G7</f>
        <v>2781</v>
      </c>
      <c r="Y7" s="24"/>
      <c r="Z7" s="15">
        <v>870.561096</v>
      </c>
      <c r="AA7" s="24"/>
    </row>
    <row r="8" ht="20.05" customHeight="1">
      <c r="B8" s="21">
        <v>2018</v>
      </c>
      <c r="C8" s="14">
        <v>1879</v>
      </c>
      <c r="D8" s="15">
        <v>99.8</v>
      </c>
      <c r="E8" s="15">
        <v>-86.5</v>
      </c>
      <c r="F8" s="15">
        <v>7152</v>
      </c>
      <c r="G8" s="15">
        <v>4677</v>
      </c>
      <c r="H8" s="15">
        <v>22547</v>
      </c>
      <c r="I8" s="15">
        <v>1765.6</v>
      </c>
      <c r="J8" s="15">
        <v>84.5</v>
      </c>
      <c r="K8" s="15">
        <v>-213.5</v>
      </c>
      <c r="L8" s="15">
        <v>-2</v>
      </c>
      <c r="M8" s="15">
        <v>-89</v>
      </c>
      <c r="N8" s="15">
        <f>SUM(C8)/4</f>
        <v>469.75</v>
      </c>
      <c r="O8" s="15"/>
      <c r="P8" s="16"/>
      <c r="Q8" s="16">
        <f>J8/I8</f>
        <v>0.0478590847304033</v>
      </c>
      <c r="R8" s="16"/>
      <c r="S8" s="17"/>
      <c r="T8" s="17"/>
      <c r="U8" s="17"/>
      <c r="V8" s="15">
        <f>-(L8+M8)+V7</f>
        <v>-1587</v>
      </c>
      <c r="W8" s="17"/>
      <c r="X8" s="15">
        <f>F8-G8</f>
        <v>2475</v>
      </c>
      <c r="Y8" s="24"/>
      <c r="Z8" s="15">
        <v>893.011108</v>
      </c>
      <c r="AA8" s="24"/>
    </row>
    <row r="9" ht="20.05" customHeight="1">
      <c r="B9" s="13"/>
      <c r="C9" s="14">
        <v>2230.6</v>
      </c>
      <c r="D9" s="15">
        <v>163.1</v>
      </c>
      <c r="E9" s="15">
        <v>-4.2</v>
      </c>
      <c r="F9" s="15">
        <v>6355</v>
      </c>
      <c r="G9" s="15">
        <v>4649</v>
      </c>
      <c r="H9" s="15">
        <v>22255</v>
      </c>
      <c r="I9" s="15">
        <v>1965.8</v>
      </c>
      <c r="J9" s="15">
        <v>-166.6</v>
      </c>
      <c r="K9" s="15">
        <v>-896.8</v>
      </c>
      <c r="L9" s="15">
        <v>-2</v>
      </c>
      <c r="M9" s="15">
        <v>-89</v>
      </c>
      <c r="N9" s="15">
        <f>SUM(C9)/4</f>
        <v>557.65</v>
      </c>
      <c r="O9" s="15"/>
      <c r="P9" s="16"/>
      <c r="Q9" s="16">
        <f>J9/I9</f>
        <v>-0.0847492115169397</v>
      </c>
      <c r="R9" s="16"/>
      <c r="S9" s="17"/>
      <c r="T9" s="17"/>
      <c r="U9" s="17"/>
      <c r="V9" s="15">
        <f>-(L9+M9)+V8</f>
        <v>-1496</v>
      </c>
      <c r="W9" s="17"/>
      <c r="X9" s="15">
        <f>F9-G9</f>
        <v>1706</v>
      </c>
      <c r="Y9" s="24"/>
      <c r="Z9" s="15">
        <v>885</v>
      </c>
      <c r="AA9" s="24"/>
    </row>
    <row r="10" ht="20.05" customHeight="1">
      <c r="B10" s="13"/>
      <c r="C10" s="14">
        <v>2445.5</v>
      </c>
      <c r="D10" s="15">
        <v>133.8</v>
      </c>
      <c r="E10" s="15">
        <v>-126.9</v>
      </c>
      <c r="F10" s="15">
        <v>6513</v>
      </c>
      <c r="G10" s="15">
        <v>4613</v>
      </c>
      <c r="H10" s="15">
        <v>22242</v>
      </c>
      <c r="I10" s="15">
        <v>2739.6</v>
      </c>
      <c r="J10" s="15">
        <v>550.6</v>
      </c>
      <c r="K10" s="15">
        <v>-181.7</v>
      </c>
      <c r="L10" s="15">
        <v>-2</v>
      </c>
      <c r="M10" s="15">
        <v>-89</v>
      </c>
      <c r="N10" s="15">
        <f>SUM(C10)/4</f>
        <v>611.375</v>
      </c>
      <c r="O10" s="15"/>
      <c r="P10" s="16"/>
      <c r="Q10" s="16">
        <f>J10/I10</f>
        <v>0.20097824499927</v>
      </c>
      <c r="R10" s="16"/>
      <c r="S10" s="17"/>
      <c r="T10" s="17"/>
      <c r="U10" s="17"/>
      <c r="V10" s="15">
        <f>-(L10+M10)+V9</f>
        <v>-1405</v>
      </c>
      <c r="W10" s="17"/>
      <c r="X10" s="15">
        <f>F10-G10</f>
        <v>1900</v>
      </c>
      <c r="Y10" s="24"/>
      <c r="Z10" s="15">
        <v>882.5</v>
      </c>
      <c r="AA10" s="24"/>
    </row>
    <row r="11" ht="20.05" customHeight="1">
      <c r="B11" s="13"/>
      <c r="C11" s="14">
        <v>2404.6</v>
      </c>
      <c r="D11" s="15">
        <v>-1876.5</v>
      </c>
      <c r="E11" s="15">
        <v>-2087.9</v>
      </c>
      <c r="F11" s="15">
        <v>4624</v>
      </c>
      <c r="G11" s="15">
        <v>4061</v>
      </c>
      <c r="H11" s="15">
        <v>19525</v>
      </c>
      <c r="I11" s="15">
        <v>2613</v>
      </c>
      <c r="J11" s="15">
        <v>286</v>
      </c>
      <c r="K11" s="15">
        <v>-1940.7</v>
      </c>
      <c r="L11" s="15">
        <v>-2</v>
      </c>
      <c r="M11" s="15">
        <v>-89</v>
      </c>
      <c r="N11" s="15">
        <f>SUM(C11)/4</f>
        <v>601.15</v>
      </c>
      <c r="O11" s="15"/>
      <c r="P11" s="16"/>
      <c r="Q11" s="16">
        <f>J11/I11</f>
        <v>0.109452736318408</v>
      </c>
      <c r="R11" s="16"/>
      <c r="S11" s="17"/>
      <c r="T11" s="17"/>
      <c r="U11" s="17"/>
      <c r="V11" s="15">
        <f>-(L11+M11)+V10</f>
        <v>-1314</v>
      </c>
      <c r="W11" s="17"/>
      <c r="X11" s="15">
        <f>F11-G11</f>
        <v>563</v>
      </c>
      <c r="Y11" s="24"/>
      <c r="Z11" s="15">
        <v>845</v>
      </c>
      <c r="AA11" s="24"/>
    </row>
    <row r="12" ht="20.05" customHeight="1">
      <c r="B12" s="21">
        <v>2019</v>
      </c>
      <c r="C12" s="14">
        <v>2644.4</v>
      </c>
      <c r="D12" s="15">
        <v>72.8</v>
      </c>
      <c r="E12" s="15">
        <v>-104.9</v>
      </c>
      <c r="F12" s="15">
        <v>4459</v>
      </c>
      <c r="G12" s="15">
        <v>4195</v>
      </c>
      <c r="H12" s="15">
        <v>19427</v>
      </c>
      <c r="I12" s="15">
        <v>2468.9</v>
      </c>
      <c r="J12" s="15">
        <v>-125.1</v>
      </c>
      <c r="K12" s="15">
        <v>69.59999999999999</v>
      </c>
      <c r="L12" s="15">
        <v>367.25</v>
      </c>
      <c r="M12" s="15">
        <v>-80</v>
      </c>
      <c r="N12" s="15">
        <f>SUM(C12)/4</f>
        <v>661.1</v>
      </c>
      <c r="O12" s="15"/>
      <c r="P12" s="16"/>
      <c r="Q12" s="16">
        <f>J12/I12</f>
        <v>-0.0506703390173762</v>
      </c>
      <c r="R12" s="16">
        <f>AVERAGE(Q9:Q12)</f>
        <v>0.0437528576958405</v>
      </c>
      <c r="S12" s="17"/>
      <c r="T12" s="15">
        <f>SUM(J12:K12)/4</f>
        <v>-13.875</v>
      </c>
      <c r="U12" s="17"/>
      <c r="V12" s="15">
        <f>-(L12+M12)+V11</f>
        <v>-1601.25</v>
      </c>
      <c r="W12" s="17"/>
      <c r="X12" s="15">
        <f>F12-G12</f>
        <v>264</v>
      </c>
      <c r="Y12" s="24"/>
      <c r="Z12" s="15">
        <v>790</v>
      </c>
      <c r="AA12" s="24"/>
    </row>
    <row r="13" ht="20.05" customHeight="1">
      <c r="B13" s="13"/>
      <c r="C13" s="14">
        <v>2758</v>
      </c>
      <c r="D13" s="15">
        <v>-285.4</v>
      </c>
      <c r="E13" s="15">
        <v>-1039.1</v>
      </c>
      <c r="F13" s="15">
        <v>3238</v>
      </c>
      <c r="G13" s="15">
        <v>3796</v>
      </c>
      <c r="H13" s="15">
        <v>17922</v>
      </c>
      <c r="I13" s="15">
        <v>2461.2</v>
      </c>
      <c r="J13" s="15">
        <v>-818.8</v>
      </c>
      <c r="K13" s="15">
        <v>-190.9</v>
      </c>
      <c r="L13" s="15">
        <v>367.25</v>
      </c>
      <c r="M13" s="15">
        <v>-80</v>
      </c>
      <c r="N13" s="15">
        <f>SUM(C13)/4</f>
        <v>689.5</v>
      </c>
      <c r="O13" s="15"/>
      <c r="P13" s="16"/>
      <c r="Q13" s="16">
        <f>J13/I13</f>
        <v>-0.332683243946043</v>
      </c>
      <c r="R13" s="16">
        <f>AVERAGE(Q10:Q13)</f>
        <v>-0.0182306504114353</v>
      </c>
      <c r="S13" s="17"/>
      <c r="T13" s="15">
        <f>SUM(J13:K13)/4</f>
        <v>-252.425</v>
      </c>
      <c r="U13" s="17"/>
      <c r="V13" s="15">
        <f>-(L13+M13)+V12</f>
        <v>-1888.5</v>
      </c>
      <c r="W13" s="17"/>
      <c r="X13" s="15">
        <f>F13-G13</f>
        <v>-558</v>
      </c>
      <c r="Y13" s="24"/>
      <c r="Z13" s="15">
        <v>695</v>
      </c>
      <c r="AA13" s="24"/>
    </row>
    <row r="14" ht="20.05" customHeight="1">
      <c r="B14" s="13"/>
      <c r="C14" s="14">
        <v>2713.6</v>
      </c>
      <c r="D14" s="15">
        <v>317.1</v>
      </c>
      <c r="E14" s="15">
        <v>-255.7</v>
      </c>
      <c r="F14" s="15">
        <v>3300</v>
      </c>
      <c r="G14" s="15">
        <v>4642</v>
      </c>
      <c r="H14" s="15">
        <v>18237</v>
      </c>
      <c r="I14" s="15">
        <v>2843.8</v>
      </c>
      <c r="J14" s="15">
        <v>-130</v>
      </c>
      <c r="K14" s="15">
        <v>-590.4</v>
      </c>
      <c r="L14" s="15">
        <v>367.25</v>
      </c>
      <c r="M14" s="15">
        <v>-80</v>
      </c>
      <c r="N14" s="15">
        <f>SUM(C14)/4</f>
        <v>678.4</v>
      </c>
      <c r="O14" s="15"/>
      <c r="P14" s="16"/>
      <c r="Q14" s="16">
        <f>J14/I14</f>
        <v>-0.0457134819607567</v>
      </c>
      <c r="R14" s="16">
        <f>AVERAGE(Q11:Q14)</f>
        <v>-0.079903582151442</v>
      </c>
      <c r="S14" s="17"/>
      <c r="T14" s="15">
        <f>SUM(J14:K14)/4</f>
        <v>-180.1</v>
      </c>
      <c r="U14" s="17"/>
      <c r="V14" s="15">
        <f>-(L14+M14)+V13</f>
        <v>-2175.75</v>
      </c>
      <c r="W14" s="17"/>
      <c r="X14" s="15">
        <f>F14-G14</f>
        <v>-1342</v>
      </c>
      <c r="Y14" s="24"/>
      <c r="Z14" s="15">
        <v>560</v>
      </c>
      <c r="AA14" s="24"/>
    </row>
    <row r="15" ht="20.05" customHeight="1">
      <c r="B15" s="13"/>
      <c r="C15" s="14">
        <v>2984.1</v>
      </c>
      <c r="D15" s="15">
        <v>-7.8</v>
      </c>
      <c r="E15" s="15">
        <v>-943.4</v>
      </c>
      <c r="F15" s="15">
        <v>3315</v>
      </c>
      <c r="G15" s="15">
        <v>5276</v>
      </c>
      <c r="H15" s="15">
        <v>17541</v>
      </c>
      <c r="I15" s="15">
        <v>3164.4</v>
      </c>
      <c r="J15" s="15">
        <v>-546.1</v>
      </c>
      <c r="K15" s="15">
        <v>-49.7</v>
      </c>
      <c r="L15" s="15">
        <v>367.25</v>
      </c>
      <c r="M15" s="15">
        <v>-80</v>
      </c>
      <c r="N15" s="15">
        <f>SUM(C15)/4</f>
        <v>746.025</v>
      </c>
      <c r="O15" s="15"/>
      <c r="P15" s="16"/>
      <c r="Q15" s="16">
        <f>J15/I15</f>
        <v>-0.172576159777525</v>
      </c>
      <c r="R15" s="16">
        <f>AVERAGE(Q12:Q15)</f>
        <v>-0.150410806175425</v>
      </c>
      <c r="S15" s="17"/>
      <c r="T15" s="15">
        <f>SUM(J15:K15)/4</f>
        <v>-148.95</v>
      </c>
      <c r="U15" s="17"/>
      <c r="V15" s="15">
        <f>-(L15+M15)+V14</f>
        <v>-2463</v>
      </c>
      <c r="W15" s="17"/>
      <c r="X15" s="15">
        <f>F15-G15</f>
        <v>-1961</v>
      </c>
      <c r="Y15" s="24"/>
      <c r="Z15" s="15">
        <v>502.5</v>
      </c>
      <c r="AA15" s="24"/>
    </row>
    <row r="16" ht="20.05" customHeight="1">
      <c r="B16" s="21">
        <v>2020</v>
      </c>
      <c r="C16" s="14">
        <v>2645.5</v>
      </c>
      <c r="D16" s="15">
        <v>726.95</v>
      </c>
      <c r="E16" s="15">
        <v>-377</v>
      </c>
      <c r="F16" s="15">
        <v>4217</v>
      </c>
      <c r="G16" s="15">
        <v>6664</v>
      </c>
      <c r="H16" s="15">
        <v>18538</v>
      </c>
      <c r="I16" s="15">
        <v>2541.5</v>
      </c>
      <c r="J16" s="15">
        <v>38.8</v>
      </c>
      <c r="K16" s="15">
        <v>-82.7</v>
      </c>
      <c r="L16" s="15">
        <v>638.4</v>
      </c>
      <c r="M16" s="15">
        <v>-28.1</v>
      </c>
      <c r="N16" s="15">
        <f>SUM(C16)/4</f>
        <v>661.375</v>
      </c>
      <c r="O16" s="15"/>
      <c r="P16" s="16"/>
      <c r="Q16" s="16">
        <f>J16/I16</f>
        <v>0.0152665748573677</v>
      </c>
      <c r="R16" s="16">
        <f>AVERAGE(Q13:Q16)</f>
        <v>-0.133926577706739</v>
      </c>
      <c r="S16" s="17"/>
      <c r="T16" s="15">
        <f>SUM(J16:K16)/4</f>
        <v>-10.975</v>
      </c>
      <c r="U16" s="17"/>
      <c r="V16" s="15">
        <f>-(L16+M16)+V15</f>
        <v>-3073.3</v>
      </c>
      <c r="W16" s="17"/>
      <c r="X16" s="15">
        <f>F16-G16</f>
        <v>-2447</v>
      </c>
      <c r="Y16" s="24"/>
      <c r="Z16" s="15">
        <v>499</v>
      </c>
      <c r="AA16" s="24"/>
    </row>
    <row r="17" ht="20.05" customHeight="1">
      <c r="B17" s="13"/>
      <c r="C17" s="14">
        <v>2702.5</v>
      </c>
      <c r="D17" s="15">
        <v>731.25</v>
      </c>
      <c r="E17" s="15">
        <v>-17.5</v>
      </c>
      <c r="F17" s="15">
        <v>3247</v>
      </c>
      <c r="G17" s="15">
        <v>6193</v>
      </c>
      <c r="H17" s="15">
        <v>17336</v>
      </c>
      <c r="I17" s="15">
        <v>2893.3</v>
      </c>
      <c r="J17" s="15">
        <v>-123.9</v>
      </c>
      <c r="K17" s="15">
        <v>-228.7</v>
      </c>
      <c r="L17" s="15">
        <v>334</v>
      </c>
      <c r="M17" s="15">
        <v>-690.2</v>
      </c>
      <c r="N17" s="15">
        <f>SUM(C16:C17)/4</f>
        <v>1337</v>
      </c>
      <c r="O17" s="15"/>
      <c r="P17" s="16">
        <f>C17/C16-1</f>
        <v>0.0215460215460215</v>
      </c>
      <c r="Q17" s="16">
        <f>J17/I17</f>
        <v>-0.0428230739985484</v>
      </c>
      <c r="R17" s="16">
        <f>AVERAGE(Q14:Q17)</f>
        <v>-0.0614615352198656</v>
      </c>
      <c r="S17" s="17"/>
      <c r="T17" s="15">
        <f>SUM(J16:K17)/4</f>
        <v>-99.125</v>
      </c>
      <c r="U17" s="17"/>
      <c r="V17" s="15">
        <f>-(L17+M17)+V16</f>
        <v>-2717.1</v>
      </c>
      <c r="W17" s="17"/>
      <c r="X17" s="15">
        <f>F17-G17</f>
        <v>-2946</v>
      </c>
      <c r="Y17" s="24"/>
      <c r="Z17" s="15">
        <v>490</v>
      </c>
      <c r="AA17" s="24"/>
    </row>
    <row r="18" ht="20.05" customHeight="1">
      <c r="B18" s="13"/>
      <c r="C18" s="14">
        <v>3170.5</v>
      </c>
      <c r="D18" s="15">
        <v>729.55</v>
      </c>
      <c r="E18" s="15">
        <v>571.4</v>
      </c>
      <c r="F18" s="15">
        <v>4229</v>
      </c>
      <c r="G18" s="15">
        <v>6332</v>
      </c>
      <c r="H18" s="15">
        <v>17636</v>
      </c>
      <c r="I18" s="15">
        <v>3204.7</v>
      </c>
      <c r="J18" s="15">
        <v>239</v>
      </c>
      <c r="K18" s="15">
        <v>901.7</v>
      </c>
      <c r="L18" s="15">
        <v>201.4</v>
      </c>
      <c r="M18" s="15">
        <v>-414.2</v>
      </c>
      <c r="N18" s="15">
        <f>SUM(C16:C18)/4</f>
        <v>2129.625</v>
      </c>
      <c r="O18" s="15"/>
      <c r="P18" s="16">
        <f>C18/C17-1</f>
        <v>0.173172987974098</v>
      </c>
      <c r="Q18" s="16">
        <f>J18/I18</f>
        <v>0.0745779636159391</v>
      </c>
      <c r="R18" s="16">
        <f>AVERAGE(Q15:Q18)</f>
        <v>-0.0313886738256917</v>
      </c>
      <c r="S18" s="17"/>
      <c r="T18" s="15">
        <f>SUM(J16:K18)/4</f>
        <v>186.05</v>
      </c>
      <c r="U18" s="17"/>
      <c r="V18" s="15">
        <f>-(L18+M18)+V17</f>
        <v>-2504.3</v>
      </c>
      <c r="W18" s="17"/>
      <c r="X18" s="15">
        <f>F18-G18</f>
        <v>-2103</v>
      </c>
      <c r="Y18" s="24"/>
      <c r="Z18" s="15">
        <v>750</v>
      </c>
      <c r="AA18" s="24"/>
    </row>
    <row r="19" ht="20.05" customHeight="1">
      <c r="B19" s="13"/>
      <c r="C19" s="14">
        <v>3417.9</v>
      </c>
      <c r="D19" s="15">
        <v>793.45</v>
      </c>
      <c r="E19" s="15">
        <v>1540.5</v>
      </c>
      <c r="F19" s="15">
        <v>2695</v>
      </c>
      <c r="G19" s="15">
        <v>5485</v>
      </c>
      <c r="H19" s="15">
        <v>17884</v>
      </c>
      <c r="I19" s="15">
        <v>3482.3</v>
      </c>
      <c r="J19" s="15">
        <v>1613</v>
      </c>
      <c r="K19" s="15">
        <v>-781</v>
      </c>
      <c r="L19" s="15">
        <v>115.3</v>
      </c>
      <c r="M19" s="15">
        <v>-1968</v>
      </c>
      <c r="N19" s="15">
        <f>SUM(C16:C19)/4</f>
        <v>2984.1</v>
      </c>
      <c r="O19" s="15"/>
      <c r="P19" s="16">
        <f>C19/C18-1</f>
        <v>0.078031856174105</v>
      </c>
      <c r="Q19" s="16">
        <f>J19/I19</f>
        <v>0.463199609453522</v>
      </c>
      <c r="R19" s="16">
        <f>AVERAGE(Q16:Q19)</f>
        <v>0.12755526848207</v>
      </c>
      <c r="S19" s="17"/>
      <c r="T19" s="15">
        <f>SUM(J16:K19)/4</f>
        <v>394.05</v>
      </c>
      <c r="U19" s="17"/>
      <c r="V19" s="15">
        <f>-(L19+M19)+V18</f>
        <v>-651.6</v>
      </c>
      <c r="W19" s="17"/>
      <c r="X19" s="15">
        <f>F19-G19</f>
        <v>-2790</v>
      </c>
      <c r="Y19" s="24"/>
      <c r="Z19" s="15">
        <v>1400</v>
      </c>
      <c r="AA19" s="24"/>
    </row>
    <row r="20" ht="20.05" customHeight="1">
      <c r="B20" s="21">
        <v>2021</v>
      </c>
      <c r="C20" s="14">
        <v>3125.5</v>
      </c>
      <c r="D20" s="15">
        <v>-101.8</v>
      </c>
      <c r="E20" s="15">
        <v>218</v>
      </c>
      <c r="F20" s="15">
        <v>12173</v>
      </c>
      <c r="G20" s="15">
        <v>5236</v>
      </c>
      <c r="H20" s="15">
        <v>27582</v>
      </c>
      <c r="I20" s="15">
        <v>3084.6</v>
      </c>
      <c r="J20" s="15">
        <v>432.8</v>
      </c>
      <c r="K20" s="15">
        <v>-391.3</v>
      </c>
      <c r="L20" s="15">
        <v>-406.7</v>
      </c>
      <c r="M20" s="15">
        <v>9754</v>
      </c>
      <c r="N20" s="15">
        <f>SUM(C17:C20)/4</f>
        <v>3104.1</v>
      </c>
      <c r="O20" s="15">
        <v>3356.373</v>
      </c>
      <c r="P20" s="16">
        <f>C20/C19-1</f>
        <v>-0.0855496064835133</v>
      </c>
      <c r="Q20" s="16">
        <f>J20/I20</f>
        <v>0.140309926732802</v>
      </c>
      <c r="R20" s="16">
        <f>AVERAGE(Q17:Q20)</f>
        <v>0.158816106450929</v>
      </c>
      <c r="S20" s="17"/>
      <c r="T20" s="15">
        <f>SUM(J17:K20)/4</f>
        <v>415.4</v>
      </c>
      <c r="U20" s="17"/>
      <c r="V20" s="15">
        <f>-(L20+M20)+V19</f>
        <v>-9998.9</v>
      </c>
      <c r="W20" s="17"/>
      <c r="X20" s="15">
        <f>F20-G20</f>
        <v>6937</v>
      </c>
      <c r="Y20" s="15"/>
      <c r="Z20" s="15">
        <v>2270</v>
      </c>
      <c r="AA20" s="15"/>
    </row>
    <row r="21" ht="20.05" customHeight="1">
      <c r="B21" s="13"/>
      <c r="C21" s="14">
        <v>3323.6</v>
      </c>
      <c r="D21" s="15">
        <v>-108.1</v>
      </c>
      <c r="E21" s="15">
        <v>275.9</v>
      </c>
      <c r="F21" s="15">
        <v>8430</v>
      </c>
      <c r="G21" s="15">
        <v>3286</v>
      </c>
      <c r="H21" s="15">
        <v>25885</v>
      </c>
      <c r="I21" s="15">
        <v>3208.5</v>
      </c>
      <c r="J21" s="15">
        <v>84.2</v>
      </c>
      <c r="K21" s="15">
        <v>-2622.4</v>
      </c>
      <c r="L21" s="15">
        <v>-1182.2</v>
      </c>
      <c r="M21" s="15">
        <v>11.2</v>
      </c>
      <c r="N21" s="15">
        <f>SUM(C18:C21)/4</f>
        <v>3259.375</v>
      </c>
      <c r="O21" s="15">
        <v>3321.088666666670</v>
      </c>
      <c r="P21" s="16">
        <f>C21/C20-1</f>
        <v>0.0633818589025756</v>
      </c>
      <c r="Q21" s="16">
        <f>J21/I21</f>
        <v>0.0262427925822035</v>
      </c>
      <c r="R21" s="16">
        <f>AVERAGE(Q18:Q21)</f>
        <v>0.176082573096117</v>
      </c>
      <c r="S21" s="17"/>
      <c r="T21" s="15">
        <f>SUM(J18:K21)/4</f>
        <v>-131</v>
      </c>
      <c r="U21" s="17"/>
      <c r="V21" s="15">
        <f>-(L21+M21)+V20</f>
        <v>-8827.9</v>
      </c>
      <c r="W21" s="17"/>
      <c r="X21" s="15">
        <f>F21-G21</f>
        <v>5144</v>
      </c>
      <c r="Y21" s="15"/>
      <c r="Z21" s="15">
        <v>2500</v>
      </c>
      <c r="AA21" s="15"/>
    </row>
    <row r="22" ht="20.05" customHeight="1">
      <c r="B22" s="13"/>
      <c r="C22" s="14">
        <v>3148.5</v>
      </c>
      <c r="D22" s="15">
        <v>-174.3</v>
      </c>
      <c r="E22" s="15">
        <v>56.1</v>
      </c>
      <c r="F22" s="15">
        <v>5885</v>
      </c>
      <c r="G22" s="15">
        <v>2934</v>
      </c>
      <c r="H22" s="15">
        <v>27206</v>
      </c>
      <c r="I22" s="15">
        <v>3189.9</v>
      </c>
      <c r="J22" s="15">
        <v>545</v>
      </c>
      <c r="K22" s="15">
        <v>-4389.9</v>
      </c>
      <c r="L22" s="15">
        <v>-406.4</v>
      </c>
      <c r="M22" s="15">
        <v>1746.7</v>
      </c>
      <c r="N22" s="15">
        <f>SUM(C19:C22)/4</f>
        <v>3253.875</v>
      </c>
      <c r="O22" s="15">
        <v>3338.3345</v>
      </c>
      <c r="P22" s="16">
        <f>C22/C21-1</f>
        <v>-0.0526838368034661</v>
      </c>
      <c r="Q22" s="16">
        <f>J22/I22</f>
        <v>0.170851750838584</v>
      </c>
      <c r="R22" s="16">
        <f>AVERAGE(Q19:Q22)</f>
        <v>0.200151019901778</v>
      </c>
      <c r="S22" s="17"/>
      <c r="T22" s="15">
        <f>SUM(J19:K22)/4</f>
        <v>-1377.4</v>
      </c>
      <c r="U22" s="17"/>
      <c r="V22" s="15">
        <f>-(L22+M22)+V21</f>
        <v>-10168.2</v>
      </c>
      <c r="W22" s="17"/>
      <c r="X22" s="15">
        <f>F22-G22</f>
        <v>2951</v>
      </c>
      <c r="Y22" s="15"/>
      <c r="Z22" s="15">
        <v>1740</v>
      </c>
      <c r="AA22" s="15"/>
    </row>
    <row r="23" ht="20.05" customHeight="1">
      <c r="B23" s="13"/>
      <c r="C23" s="14">
        <v>3243.1</v>
      </c>
      <c r="D23" s="15">
        <v>6668</v>
      </c>
      <c r="E23" s="15">
        <v>5469.8</v>
      </c>
      <c r="F23" s="15">
        <v>7383</v>
      </c>
      <c r="G23" s="15">
        <v>4499</v>
      </c>
      <c r="H23" s="15">
        <v>38168</v>
      </c>
      <c r="I23" s="15">
        <v>3495.6</v>
      </c>
      <c r="J23" s="15">
        <v>363.2</v>
      </c>
      <c r="K23" s="15">
        <v>-3346.8</v>
      </c>
      <c r="L23" s="15">
        <v>114.8</v>
      </c>
      <c r="M23" s="15">
        <v>3188.2</v>
      </c>
      <c r="N23" s="15">
        <f>SUM(C20:C23)/4</f>
        <v>3210.175</v>
      </c>
      <c r="O23" s="15">
        <v>3371.91575</v>
      </c>
      <c r="P23" s="16">
        <f>C23/C22-1</f>
        <v>0.0300460536763538</v>
      </c>
      <c r="Q23" s="16">
        <f>J23/I23</f>
        <v>0.103902048289278</v>
      </c>
      <c r="R23" s="16">
        <f>AVERAGE(Q20:Q23)</f>
        <v>0.110326629610717</v>
      </c>
      <c r="S23" s="17"/>
      <c r="T23" s="15">
        <f>SUM(J20:K23)/4</f>
        <v>-2331.3</v>
      </c>
      <c r="U23" s="17"/>
      <c r="V23" s="15">
        <f>-(L23+M23)+V22</f>
        <v>-13471.2</v>
      </c>
      <c r="W23" s="17"/>
      <c r="X23" s="15">
        <f>F23-G23</f>
        <v>2884</v>
      </c>
      <c r="Y23" s="15"/>
      <c r="Z23" s="15">
        <v>2280</v>
      </c>
      <c r="AA23" s="15"/>
    </row>
    <row r="24" ht="20.05" customHeight="1">
      <c r="B24" s="21">
        <v>2022</v>
      </c>
      <c r="C24" s="14">
        <v>3374.6</v>
      </c>
      <c r="D24" s="15">
        <v>3604.9</v>
      </c>
      <c r="E24" s="15">
        <v>4132.1</v>
      </c>
      <c r="F24" s="15">
        <v>6216.5</v>
      </c>
      <c r="G24" s="15">
        <v>4220</v>
      </c>
      <c r="H24" s="15">
        <v>42878</v>
      </c>
      <c r="I24" s="15">
        <v>3171.9</v>
      </c>
      <c r="J24" s="15">
        <v>-612.4</v>
      </c>
      <c r="K24" s="15">
        <v>-1708.6</v>
      </c>
      <c r="L24" s="15">
        <v>13.8</v>
      </c>
      <c r="M24" s="15">
        <v>1119.7</v>
      </c>
      <c r="N24" s="15">
        <f>SUM(C21:C24)/4</f>
        <v>3272.45</v>
      </c>
      <c r="O24" s="15">
        <v>3391.823</v>
      </c>
      <c r="P24" s="16">
        <f>C24/C23-1</f>
        <v>0.0405476241867349</v>
      </c>
      <c r="Q24" s="16">
        <f>J24/I24</f>
        <v>-0.193070399445128</v>
      </c>
      <c r="R24" s="16">
        <f>AVERAGE(Q21:Q24)</f>
        <v>0.0269815480662344</v>
      </c>
      <c r="S24" s="16"/>
      <c r="T24" s="15">
        <f>SUM(J21:K24)/4</f>
        <v>-2921.925</v>
      </c>
      <c r="U24" s="15">
        <v>436.11687725</v>
      </c>
      <c r="V24" s="15">
        <f>-(L24+M24)+V23</f>
        <v>-14604.7</v>
      </c>
      <c r="W24" s="15"/>
      <c r="X24" s="15">
        <f>F24-G24</f>
        <v>1996.5</v>
      </c>
      <c r="Y24" s="15">
        <v>3830.371286575</v>
      </c>
      <c r="Z24" s="15">
        <v>2450</v>
      </c>
      <c r="AA24" s="140">
        <v>1036.201014542480</v>
      </c>
    </row>
    <row r="25" ht="20.05" customHeight="1">
      <c r="B25" s="13"/>
      <c r="C25" s="14">
        <v>3725.3</v>
      </c>
      <c r="D25" s="15">
        <v>-1313.1</v>
      </c>
      <c r="E25" s="15">
        <v>-1313.4</v>
      </c>
      <c r="F25" s="15">
        <v>6941</v>
      </c>
      <c r="G25" s="15">
        <v>4820</v>
      </c>
      <c r="H25" s="15">
        <v>43886</v>
      </c>
      <c r="I25" s="15">
        <v>3568.4</v>
      </c>
      <c r="J25" s="15">
        <v>-338.8</v>
      </c>
      <c r="K25" s="15">
        <v>-1578.6</v>
      </c>
      <c r="L25" s="15">
        <v>673.8</v>
      </c>
      <c r="M25" s="15">
        <v>1940.7</v>
      </c>
      <c r="N25" s="15">
        <f>SUM(C22:C25)/4</f>
        <v>3372.875</v>
      </c>
      <c r="O25" s="15">
        <v>3465.0255</v>
      </c>
      <c r="P25" s="16">
        <f>C25/C24-1</f>
        <v>0.103923427961833</v>
      </c>
      <c r="Q25" s="16">
        <f>J25/I25</f>
        <v>-0.094944512946979</v>
      </c>
      <c r="R25" s="16">
        <f>AVERAGE(Q22:Q25)</f>
        <v>-0.00331527831606125</v>
      </c>
      <c r="S25" s="16"/>
      <c r="T25" s="15">
        <f>SUM(J22:K25)/4</f>
        <v>-2766.725</v>
      </c>
      <c r="U25" s="15">
        <v>436.11687725</v>
      </c>
      <c r="V25" s="15">
        <f>-(L25+M25)+V24</f>
        <v>-17219.2</v>
      </c>
      <c r="W25" s="15"/>
      <c r="X25" s="15">
        <f>F25-G25</f>
        <v>2121</v>
      </c>
      <c r="Y25" s="15">
        <v>3830.371286575</v>
      </c>
      <c r="Z25" s="15">
        <v>1605</v>
      </c>
      <c r="AA25" s="140">
        <v>1049.317483081</v>
      </c>
    </row>
    <row r="26" ht="20.05" customHeight="1">
      <c r="B26" s="13"/>
      <c r="C26" s="14">
        <v>3938.5</v>
      </c>
      <c r="D26" s="15">
        <v>-1154</v>
      </c>
      <c r="E26" s="15">
        <v>2858.8</v>
      </c>
      <c r="F26" s="15">
        <v>8607</v>
      </c>
      <c r="G26" s="15">
        <v>5225</v>
      </c>
      <c r="H26" s="15">
        <v>44652</v>
      </c>
      <c r="I26" s="15">
        <v>3943.4</v>
      </c>
      <c r="J26" s="15">
        <v>22.2</v>
      </c>
      <c r="K26" s="15">
        <v>4731.9</v>
      </c>
      <c r="L26" s="15">
        <v>-26.1</v>
      </c>
      <c r="M26" s="15">
        <v>-359.3</v>
      </c>
      <c r="N26" s="15">
        <f>SUM(C23:C26)/4</f>
        <v>3570.375</v>
      </c>
      <c r="O26" s="15">
        <v>3539.51925</v>
      </c>
      <c r="P26" s="16">
        <f>C26/C25-1</f>
        <v>0.0572302901779722</v>
      </c>
      <c r="Q26" s="16">
        <f>J26/I26</f>
        <v>0.00562965968453619</v>
      </c>
      <c r="R26" s="16">
        <f>AVERAGE(Q23:Q26)</f>
        <v>-0.0446208011045732</v>
      </c>
      <c r="S26" s="16">
        <f>S27</f>
        <v>0.0262427925822035</v>
      </c>
      <c r="T26" s="15">
        <f>SUM(J23:K26)/4</f>
        <v>-616.975</v>
      </c>
      <c r="U26" s="15">
        <v>-1169.5692278675</v>
      </c>
      <c r="V26" s="15">
        <f>-(L26+M26)+V25</f>
        <v>-16833.8</v>
      </c>
      <c r="W26" s="15">
        <f>V26</f>
        <v>-16833.8</v>
      </c>
      <c r="X26" s="15">
        <f>F26-G26</f>
        <v>3382</v>
      </c>
      <c r="Y26" s="15">
        <f>Y25</f>
        <v>3830.371286575</v>
      </c>
      <c r="Z26" s="15">
        <v>1520</v>
      </c>
      <c r="AA26" s="140">
        <v>1162.550391514170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AVERAGE(AC41:AF41)</f>
        <v>4327.703446316250</v>
      </c>
      <c r="P27" s="17"/>
      <c r="Q27" s="17"/>
      <c r="R27" s="17"/>
      <c r="S27" s="35">
        <f>AC42</f>
        <v>0.0262427925822035</v>
      </c>
      <c r="T27" s="17"/>
      <c r="U27" s="15">
        <f>SUM(AC44:AF44)/4</f>
        <v>30.8710238989646</v>
      </c>
      <c r="V27" s="17"/>
      <c r="W27" s="15">
        <f>-SUM(AC65:AF65)+V26</f>
        <v>-16710.3159044041</v>
      </c>
      <c r="X27" s="17"/>
      <c r="Y27" s="15">
        <f>AF64</f>
        <v>3505.484095595860</v>
      </c>
      <c r="Z27" s="15">
        <v>1010</v>
      </c>
      <c r="AA27" s="140">
        <v>1049.317483081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23043.225</v>
      </c>
      <c r="O28" s="15">
        <f>SUM(O20:O26)</f>
        <v>23784.0796666667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AF77</f>
        <v>1012.201224678760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20.05" customHeight="1">
      <c r="B30" t="s" s="56">
        <v>477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6" ht="27.65" customHeight="1">
      <c r="AB36" t="s" s="2">
        <v>304</v>
      </c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ht="20.25" customHeight="1">
      <c r="AB37" t="s" s="28">
        <v>366</v>
      </c>
      <c r="AC37" t="s" s="29">
        <v>24</v>
      </c>
      <c r="AD37" t="s" s="29">
        <v>25</v>
      </c>
      <c r="AE37" t="s" s="29">
        <v>26</v>
      </c>
      <c r="AF37" t="s" s="29">
        <v>23</v>
      </c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</row>
    <row r="38" ht="20.25" customHeight="1">
      <c r="AB38" t="s" s="31">
        <v>15</v>
      </c>
      <c r="AC38" s="32"/>
      <c r="AD38" s="9"/>
      <c r="AE38" s="9"/>
      <c r="AF38" s="9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</row>
    <row r="39" ht="20.05" customHeight="1">
      <c r="AB39" t="s" s="33">
        <v>27</v>
      </c>
      <c r="AC39" s="71">
        <f>AVERAGE(P23:P26)</f>
        <v>0.0579368490007235</v>
      </c>
      <c r="AD39" s="35"/>
      <c r="AE39" s="35"/>
      <c r="AF39" s="35">
        <f>AVERAGE(AC40:AF40)</f>
        <v>0.04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B40" t="s" s="33">
        <v>13</v>
      </c>
      <c r="AC40" s="37">
        <v>0.03</v>
      </c>
      <c r="AD40" s="35">
        <v>0.03</v>
      </c>
      <c r="AE40" s="35">
        <v>0.07000000000000001</v>
      </c>
      <c r="AF40" s="35">
        <v>0.03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B41" t="s" s="33">
        <v>28</v>
      </c>
      <c r="AC41" s="38">
        <f>C26*(1+AC40)</f>
        <v>4056.655</v>
      </c>
      <c r="AD41" s="23">
        <f>AC41*(1+AD40)</f>
        <v>4178.35465</v>
      </c>
      <c r="AE41" s="23">
        <f>AD41*(1+AE40)</f>
        <v>4470.8394755</v>
      </c>
      <c r="AF41" s="23">
        <f>AE41*(1+AF40)</f>
        <v>4604.964659765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B42" t="s" s="33">
        <v>14</v>
      </c>
      <c r="AC42" s="37">
        <f>Q21</f>
        <v>0.0262427925822035</v>
      </c>
      <c r="AD42" s="35">
        <f>AC42</f>
        <v>0.0262427925822035</v>
      </c>
      <c r="AE42" s="35">
        <f>AD42</f>
        <v>0.0262427925822035</v>
      </c>
      <c r="AF42" s="35">
        <f>AE42</f>
        <v>0.0262427925822035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B43" t="s" s="33">
        <v>29</v>
      </c>
      <c r="AC43" s="14">
        <f>AVERAGE(K16)</f>
        <v>-82.7</v>
      </c>
      <c r="AD43" s="15">
        <f>AC43</f>
        <v>-82.7</v>
      </c>
      <c r="AE43" s="15">
        <f>AD43</f>
        <v>-82.7</v>
      </c>
      <c r="AF43" s="15">
        <f>AE43</f>
        <v>-82.7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30</v>
      </c>
      <c r="AC44" s="14">
        <f>(AC41*AC42)+AC43</f>
        <v>23.7579557425587</v>
      </c>
      <c r="AD44" s="15">
        <f>(AD41*AD42)+AD43</f>
        <v>26.9516944148355</v>
      </c>
      <c r="AE44" s="15">
        <f>(AE41*AE42)+AE43</f>
        <v>34.627313023874</v>
      </c>
      <c r="AF44" s="15">
        <f>(AF41*AF42)+AF43</f>
        <v>38.1471324145902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31</v>
      </c>
      <c r="AC45" s="14">
        <f>-G26/20</f>
        <v>-261.25</v>
      </c>
      <c r="AD45" s="15">
        <f>-AC60/20</f>
        <v>-248.1875</v>
      </c>
      <c r="AE45" s="15">
        <f>-AD60/20</f>
        <v>-235.778125</v>
      </c>
      <c r="AF45" s="15">
        <f>-AE60/20</f>
        <v>-223.98921875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32</v>
      </c>
      <c r="AC46" s="39">
        <v>0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33</v>
      </c>
      <c r="AC47" s="14">
        <f>IF(AC55&gt;0,AC55*$AC$46,0)</f>
        <v>0</v>
      </c>
      <c r="AD47" s="15">
        <f>IF(AD55&gt;0,AD55*$AC$46,0)</f>
        <v>0</v>
      </c>
      <c r="AE47" s="15">
        <f>IF(AE55&gt;0,AE55*$AC$46,0)</f>
        <v>0</v>
      </c>
      <c r="AF47" s="15">
        <f>IF(AF55&gt;0,AF55*$AC$46,0)</f>
        <v>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34</v>
      </c>
      <c r="AC48" s="14">
        <f>AC44+AC45+AC47</f>
        <v>-237.492044257441</v>
      </c>
      <c r="AD48" s="15">
        <f>AD44+AD45+AD47</f>
        <v>-221.235805585165</v>
      </c>
      <c r="AE48" s="15">
        <f>AE44+AE45+AE47</f>
        <v>-201.150811976126</v>
      </c>
      <c r="AF48" s="15">
        <f>AF44+AF45+AF47</f>
        <v>-185.842086335410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33">
        <v>35</v>
      </c>
      <c r="AC49" s="14">
        <f>-MIN(0,AC48)</f>
        <v>237.492044257441</v>
      </c>
      <c r="AD49" s="15">
        <f>-MIN(AC61,AD48)</f>
        <v>221.235805585165</v>
      </c>
      <c r="AE49" s="15">
        <f>-MIN(AD61,AE48)</f>
        <v>201.150811976126</v>
      </c>
      <c r="AF49" s="15">
        <f>-MIN(AE61,AF48)</f>
        <v>185.842086335410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B50" t="s" s="33">
        <v>36</v>
      </c>
      <c r="AC50" s="14">
        <f>F26</f>
        <v>8607</v>
      </c>
      <c r="AD50" s="15">
        <f>AC52</f>
        <v>8607</v>
      </c>
      <c r="AE50" s="15">
        <f>AD52</f>
        <v>8607</v>
      </c>
      <c r="AF50" s="15">
        <f>AE52</f>
        <v>8607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33">
        <v>37</v>
      </c>
      <c r="AC51" s="14">
        <f>AC44+AC45+AC47+AC49</f>
        <v>-3e-13</v>
      </c>
      <c r="AD51" s="15">
        <f>AD44+AD45+AD47+AD49</f>
        <v>5e-13</v>
      </c>
      <c r="AE51" s="15">
        <f>AE44+AE45+AE47+AE49</f>
        <v>0</v>
      </c>
      <c r="AF51" s="15">
        <f>AF44+AF45+AF47+AF49</f>
        <v>2e-13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B52" t="s" s="33">
        <v>38</v>
      </c>
      <c r="AC52" s="14">
        <f>AC50+AC51</f>
        <v>8607</v>
      </c>
      <c r="AD52" s="15">
        <f>AD50+AD51</f>
        <v>8607</v>
      </c>
      <c r="AE52" s="15">
        <f>AE50+AE51</f>
        <v>8607</v>
      </c>
      <c r="AF52" s="15">
        <f>AF50+AF51</f>
        <v>8607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41">
        <v>4</v>
      </c>
      <c r="AC53" s="14"/>
      <c r="AD53" s="15"/>
      <c r="AE53" s="1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ht="20.05" customHeight="1">
      <c r="AB54" t="s" s="33">
        <v>3</v>
      </c>
      <c r="AC54" s="14">
        <f>-AVERAGE(D24:D26)</f>
        <v>-379.266666666667</v>
      </c>
      <c r="AD54" s="15">
        <f>AC54</f>
        <v>-379.266666666667</v>
      </c>
      <c r="AE54" s="15">
        <f>AD54</f>
        <v>-379.266666666667</v>
      </c>
      <c r="AF54" s="15">
        <f>AE54</f>
        <v>-379.266666666667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4</v>
      </c>
      <c r="AC55" s="14">
        <f>(AC41*AC42)+AC54</f>
        <v>-272.808710924108</v>
      </c>
      <c r="AD55" s="15">
        <f>(AD41*AD42)+AD54</f>
        <v>-269.614972251831</v>
      </c>
      <c r="AE55" s="15">
        <f>(AE41*AE42)+AE54</f>
        <v>-261.939353642793</v>
      </c>
      <c r="AF55" s="15">
        <f>(AF41*AF42)+AF54</f>
        <v>-258.419534252077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41">
        <v>39</v>
      </c>
      <c r="AC56" s="14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40</v>
      </c>
      <c r="AC57" s="14">
        <f>H26-F26-AC43</f>
        <v>36127.7</v>
      </c>
      <c r="AD57" s="15">
        <f>AC57-AD43</f>
        <v>36210.4</v>
      </c>
      <c r="AE57" s="15">
        <f>AD57-AE43</f>
        <v>36293.1</v>
      </c>
      <c r="AF57" s="15">
        <f>AE57-AF43</f>
        <v>36375.8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41</v>
      </c>
      <c r="AC58" s="14">
        <f>0-AC54</f>
        <v>379.266666666667</v>
      </c>
      <c r="AD58" s="15">
        <f>AC58-AD54</f>
        <v>758.533333333334</v>
      </c>
      <c r="AE58" s="15">
        <f>AD58-AE54</f>
        <v>1137.8</v>
      </c>
      <c r="AF58" s="15">
        <f>AE58-AF54</f>
        <v>1517.066666666670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42</v>
      </c>
      <c r="AC59" s="14">
        <f>AC57-AC58</f>
        <v>35748.4333333333</v>
      </c>
      <c r="AD59" s="15">
        <f>AD57-AD58</f>
        <v>35451.8666666667</v>
      </c>
      <c r="AE59" s="15">
        <f>AE57-AE58</f>
        <v>35155.3</v>
      </c>
      <c r="AF59" s="15">
        <f>AF57-AF58</f>
        <v>34858.7333333333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6</v>
      </c>
      <c r="AC60" s="14">
        <f>G26+AC45</f>
        <v>4963.75</v>
      </c>
      <c r="AD60" s="15">
        <f>AC60+AD45</f>
        <v>4715.5625</v>
      </c>
      <c r="AE60" s="15">
        <f>AD60+AE45</f>
        <v>4479.784375</v>
      </c>
      <c r="AF60" s="15">
        <f>AE60+AF45</f>
        <v>4255.79515625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35</v>
      </c>
      <c r="AC61" s="14">
        <f>AC49</f>
        <v>237.492044257441</v>
      </c>
      <c r="AD61" s="15">
        <f>AC61+AD49</f>
        <v>458.727849842606</v>
      </c>
      <c r="AE61" s="15">
        <f>AD61+AE49</f>
        <v>659.878661818732</v>
      </c>
      <c r="AF61" s="15">
        <f>AE61+AF49</f>
        <v>845.720748154142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11</v>
      </c>
      <c r="AC62" s="14">
        <f>(H26-G26)+AC55+AC47</f>
        <v>39154.1912890759</v>
      </c>
      <c r="AD62" s="15">
        <f>AC62+AD55+AD47</f>
        <v>38884.5763168241</v>
      </c>
      <c r="AE62" s="15">
        <f>AD62+AE55+AE47</f>
        <v>38622.6369631813</v>
      </c>
      <c r="AF62" s="15">
        <f>AE62+AF55+AF47</f>
        <v>38364.2174289292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43</v>
      </c>
      <c r="AC63" s="14">
        <f>AC60+AC61+AC62-AC52-AC59</f>
        <v>4.1e-11</v>
      </c>
      <c r="AD63" s="15">
        <f>AD60+AD61+AD62-AD52-AD59</f>
        <v>6e-12</v>
      </c>
      <c r="AE63" s="15">
        <f>AE60+AE61+AE62-AE52-AE59</f>
        <v>3.2e-11</v>
      </c>
      <c r="AF63" s="15">
        <f>AF60+AF61+AF62-AF52-AF59</f>
        <v>4.2e-11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33">
        <v>18</v>
      </c>
      <c r="AC64" s="14">
        <f>AC52-AC60-AC61</f>
        <v>3405.757955742560</v>
      </c>
      <c r="AD64" s="15">
        <f>AD52-AD60-AD61</f>
        <v>3432.709650157390</v>
      </c>
      <c r="AE64" s="15">
        <f>AE52-AE60-AE61</f>
        <v>3467.336963181270</v>
      </c>
      <c r="AF64" s="15">
        <f>AF52-AF60-AF61</f>
        <v>3505.484095595860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44</v>
      </c>
      <c r="AC65" s="14">
        <f>AC45+AC47+AC49</f>
        <v>-23.757955742559</v>
      </c>
      <c r="AD65" s="15">
        <f>AD45+AD47+AD49</f>
        <v>-26.951694414835</v>
      </c>
      <c r="AE65" s="15">
        <f>AE45+AE47+AE49</f>
        <v>-34.627313023874</v>
      </c>
      <c r="AF65" s="15">
        <f>AF45+AF47+AF49</f>
        <v>-38.147132414590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B66" t="s" s="33">
        <v>45</v>
      </c>
      <c r="AC66" s="14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96">
        <v>304</v>
      </c>
      <c r="AC67" s="14"/>
      <c r="AD67" s="15"/>
      <c r="AE67" s="15"/>
      <c r="AF67" s="15">
        <v>1010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8.35" customHeight="1" hidden="1">
      <c r="AB68" t="s" s="33">
        <f>$AB67</f>
        <v>567</v>
      </c>
      <c r="AC68" s="14"/>
      <c r="AD68" s="15"/>
      <c r="AE68" s="15"/>
      <c r="AF68" s="15">
        <v>61607777935360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B69" t="s" s="33">
        <v>46</v>
      </c>
      <c r="AC69" s="14"/>
      <c r="AD69" s="15"/>
      <c r="AE69" s="15"/>
      <c r="AF69" s="15">
        <f>AF68/1000000000</f>
        <v>61607.77793536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B70" t="s" s="33">
        <v>47</v>
      </c>
      <c r="AC70" s="14"/>
      <c r="AD70" s="15"/>
      <c r="AE70" s="15"/>
      <c r="AF70" s="15">
        <f>AF69/AF67</f>
        <v>60.997799936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B71" t="s" s="33">
        <v>48</v>
      </c>
      <c r="AC71" s="14"/>
      <c r="AD71" s="15"/>
      <c r="AE71" s="15"/>
      <c r="AF71" s="43">
        <f>AF69/(AF52+AF59)</f>
        <v>1.4173872890375</v>
      </c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</row>
    <row r="72" ht="20.05" customHeight="1">
      <c r="AB72" t="s" s="33">
        <v>49</v>
      </c>
      <c r="AC72" s="14"/>
      <c r="AD72" s="15"/>
      <c r="AE72" s="15"/>
      <c r="AF72" s="16">
        <f>-(AC47+AD47+AE47+AF47)/AF69</f>
        <v>0</v>
      </c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</row>
    <row r="73" ht="20.05" customHeight="1">
      <c r="AB73" t="s" s="33">
        <v>50</v>
      </c>
      <c r="AC73" s="14"/>
      <c r="AD73" s="15"/>
      <c r="AE73" s="15"/>
      <c r="AF73" s="15">
        <f>SUM(AC44:AF44)</f>
        <v>123.484095595858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51</v>
      </c>
      <c r="AC74" s="14"/>
      <c r="AD74" s="15"/>
      <c r="AE74" s="15"/>
      <c r="AF74" s="15">
        <f>(H26+F26)/AF73</f>
        <v>431.302506958527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B75" t="s" s="33">
        <v>52</v>
      </c>
      <c r="AC75" s="14"/>
      <c r="AD75" s="15"/>
      <c r="AE75" s="15">
        <f>AF69/AF73</f>
        <v>498.912654606076</v>
      </c>
      <c r="AF75" s="15">
        <v>500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B76" t="s" s="33">
        <v>53</v>
      </c>
      <c r="AC76" s="14"/>
      <c r="AD76" s="15"/>
      <c r="AE76" s="15"/>
      <c r="AF76" s="15">
        <f>AF73*AF75</f>
        <v>61742.047797929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B77" t="s" s="33">
        <v>54</v>
      </c>
      <c r="AC77" s="14"/>
      <c r="AD77" s="15"/>
      <c r="AE77" s="15"/>
      <c r="AF77" s="15">
        <f>AF76/AF70</f>
        <v>1012.201224678760</v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B78" t="s" s="33">
        <v>55</v>
      </c>
      <c r="AC78" s="38"/>
      <c r="AD78" s="23"/>
      <c r="AE78" s="23"/>
      <c r="AF78" s="16">
        <f>AF77/AF67-1</f>
        <v>0.0021794303750099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B79" t="s" s="33">
        <v>56</v>
      </c>
      <c r="AC79" s="38"/>
      <c r="AD79" s="23"/>
      <c r="AE79" s="23"/>
      <c r="AF79" s="16">
        <f>C26/C22-1</f>
        <v>0.25091313323805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B80" t="s" s="33">
        <v>57</v>
      </c>
      <c r="AC80" s="38"/>
      <c r="AD80" s="23"/>
      <c r="AE80" s="23"/>
      <c r="AF80" s="16">
        <f>O28/N28-1</f>
        <v>0.0321506502091916</v>
      </c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</row>
    <row r="81" ht="8.35" customHeight="1" hidden="1">
      <c r="AB81" s="98"/>
      <c r="AC81" s="38"/>
      <c r="AD81" s="23"/>
      <c r="AE81" s="23"/>
      <c r="AF81" s="16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  <c r="AT81" s="99"/>
    </row>
    <row r="82" ht="8.35" customHeight="1" hidden="1">
      <c r="AB82" s="36"/>
      <c r="AC82" t="s" s="100">
        <f>$AB67</f>
        <v>568</v>
      </c>
      <c r="AD82" t="s" s="44">
        <v>60</v>
      </c>
      <c r="AE82" s="15">
        <f>AF67</f>
        <v>1010</v>
      </c>
      <c r="AF82" t="s" s="44">
        <v>61</v>
      </c>
      <c r="AG82" s="198">
        <f>AF77</f>
        <v>1012.201224678760</v>
      </c>
      <c r="AH82" t="s" s="102">
        <f>IF(AI82&gt;0,"+","")</f>
        <v>361</v>
      </c>
      <c r="AI82" s="99">
        <f>AG82/AE82-1</f>
        <v>0.0021794303750099</v>
      </c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ht="8.35" customHeight="1" hidden="1">
      <c r="AB83" s="36"/>
      <c r="AC83" s="46">
        <f>TODAY()</f>
        <v>44942</v>
      </c>
      <c r="AD83" s="17"/>
      <c r="AE83" s="17"/>
      <c r="AF83" s="17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ht="8.35" customHeight="1" hidden="1">
      <c r="AB84" s="36"/>
      <c r="AC84" t="s" s="45">
        <v>62</v>
      </c>
      <c r="AD84" s="17"/>
      <c r="AE84" s="17"/>
      <c r="AF84" s="17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ht="8.35" customHeight="1" hidden="1">
      <c r="AB85" s="36"/>
      <c r="AC85" t="s" s="45">
        <v>63</v>
      </c>
      <c r="AD85" t="s" s="44">
        <v>64</v>
      </c>
      <c r="AE85" t="s" s="44">
        <f>IF(AF85&gt;0,"+","")</f>
        <v>361</v>
      </c>
      <c r="AF85" s="16">
        <f>AG92/AC92-1</f>
        <v>0.25091313323805</v>
      </c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ht="8.35" customHeight="1" hidden="1">
      <c r="AB86" s="36"/>
      <c r="AC86" t="s" s="45">
        <v>63</v>
      </c>
      <c r="AD86" t="s" s="44">
        <v>65</v>
      </c>
      <c r="AE86" t="s" s="44">
        <f>IF(AF86&gt;0,"+","")</f>
      </c>
      <c r="AF86" s="16">
        <f>SUM(AD105:AG106)/AD122</f>
        <v>-0.0400582537255177</v>
      </c>
      <c r="AG86" t="s" s="102">
        <v>66</v>
      </c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ht="8.35" customHeight="1" hidden="1">
      <c r="AB87" s="36"/>
      <c r="AC87" t="s" s="45">
        <v>63</v>
      </c>
      <c r="AD87" t="s" s="44">
        <v>17</v>
      </c>
      <c r="AE87" t="s" s="44">
        <f>IF(AF87&gt;0,"+","")</f>
      </c>
      <c r="AF87" s="16">
        <f>SUM(AD119:AG120)/AD122</f>
        <v>-0.108194131055882</v>
      </c>
      <c r="AG87" t="s" s="102">
        <f>AG86</f>
        <v>66</v>
      </c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ht="8.35" customHeight="1" hidden="1">
      <c r="AB88" s="36"/>
      <c r="AC88" t="s" s="45">
        <v>68</v>
      </c>
      <c r="AD88" t="s" s="44">
        <v>369</v>
      </c>
      <c r="AE88" s="16">
        <f>AN115/AD122</f>
        <v>0.0548956659912074</v>
      </c>
      <c r="AF88" t="s" s="44">
        <f>AG87</f>
        <v>66</v>
      </c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ht="8.35" customHeight="1" hidden="1">
      <c r="AB89" s="36"/>
      <c r="AC89" t="s" s="45">
        <v>28</v>
      </c>
      <c r="AD89" t="s" s="44">
        <f>AD93</f>
        <v>362</v>
      </c>
      <c r="AE89" s="16">
        <f>AE93</f>
        <v>0.0572302901779722</v>
      </c>
      <c r="AF89" s="17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ht="8.35" customHeight="1" hidden="1">
      <c r="AB90" s="36"/>
      <c r="AC90" t="s" s="45">
        <v>70</v>
      </c>
      <c r="AD90" t="s" s="44">
        <v>371</v>
      </c>
      <c r="AE90" t="s" s="44">
        <f>AK93</f>
        <v>372</v>
      </c>
      <c r="AF90" s="17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ht="8.35" customHeight="1" hidden="1">
      <c r="AB91" s="36"/>
      <c r="AC91" s="71">
        <f>P22</f>
        <v>-0.0526838368034661</v>
      </c>
      <c r="AD91" s="16">
        <f>P23</f>
        <v>0.0300460536763538</v>
      </c>
      <c r="AE91" s="16">
        <f>P24</f>
        <v>0.0405476241867349</v>
      </c>
      <c r="AF91" s="16">
        <f>P25</f>
        <v>0.103923427961833</v>
      </c>
      <c r="AG91" s="99">
        <f>P26</f>
        <v>0.0572302901779722</v>
      </c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ht="8.35" customHeight="1" hidden="1">
      <c r="AB92" s="36"/>
      <c r="AC92" s="14">
        <f>C22</f>
        <v>3148.5</v>
      </c>
      <c r="AD92" s="15">
        <f>C23</f>
        <v>3243.1</v>
      </c>
      <c r="AE92" s="15">
        <f>C24</f>
        <v>3374.6</v>
      </c>
      <c r="AF92" s="15">
        <f>C25</f>
        <v>3725.3</v>
      </c>
      <c r="AG92" s="198">
        <f>C26</f>
        <v>3938.5</v>
      </c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ht="8.35" customHeight="1" hidden="1">
      <c r="AB93" s="36"/>
      <c r="AC93" t="s" s="45">
        <v>2</v>
      </c>
      <c r="AD93" t="s" s="44">
        <f>IF(AE93&lt;0,"declined","grew")</f>
        <v>362</v>
      </c>
      <c r="AE93" s="16">
        <f>AG92/AF92-1</f>
        <v>0.0572302901779722</v>
      </c>
      <c r="AF93" t="s" s="44">
        <v>73</v>
      </c>
      <c r="AG93" t="s" s="102">
        <v>74</v>
      </c>
      <c r="AH93" t="s" s="102">
        <v>75</v>
      </c>
      <c r="AI93" t="s" s="102">
        <v>76</v>
      </c>
      <c r="AJ93" s="198">
        <f>AG92</f>
        <v>3938.5</v>
      </c>
      <c r="AK93" t="s" s="102">
        <v>372</v>
      </c>
      <c r="AL93" t="s" s="102">
        <v>378</v>
      </c>
      <c r="AM93" s="99">
        <v>0.0297063450445726</v>
      </c>
      <c r="AN93" t="s" s="102">
        <v>78</v>
      </c>
      <c r="AO93" s="103"/>
      <c r="AP93" s="103"/>
      <c r="AQ93" s="103"/>
      <c r="AR93" s="103"/>
      <c r="AS93" s="103"/>
      <c r="AT93" s="103"/>
    </row>
    <row r="94" ht="8.35" customHeight="1" hidden="1">
      <c r="AB94" s="36"/>
      <c r="AC94" t="s" s="45">
        <v>79</v>
      </c>
      <c r="AD94" s="16">
        <f>AVERAGE(AD91:AG91)</f>
        <v>0.0579368490007235</v>
      </c>
      <c r="AE94" t="s" s="44">
        <v>80</v>
      </c>
      <c r="AF94" s="17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ht="8.35" customHeight="1" hidden="1">
      <c r="AB95" s="36"/>
      <c r="AC95" t="s" s="45">
        <v>81</v>
      </c>
      <c r="AD95" s="35">
        <f>AF39</f>
        <v>0.04</v>
      </c>
      <c r="AE95" t="s" s="44">
        <v>82</v>
      </c>
      <c r="AF95" t="s" s="44">
        <v>83</v>
      </c>
      <c r="AG95" s="199">
        <f>AF41</f>
        <v>4604.964659765</v>
      </c>
      <c r="AH95" t="s" s="102">
        <f>AK93</f>
        <v>372</v>
      </c>
      <c r="AI95" t="s" s="102">
        <v>84</v>
      </c>
      <c r="AJ95" t="s" s="102">
        <f>AG93</f>
        <v>74</v>
      </c>
      <c r="AK95" t="s" s="102">
        <f>AH93</f>
        <v>75</v>
      </c>
      <c r="AL95" t="s" s="102">
        <v>85</v>
      </c>
      <c r="AM95" s="103"/>
      <c r="AN95" s="103"/>
      <c r="AO95" s="103"/>
      <c r="AP95" s="103"/>
      <c r="AQ95" s="103"/>
      <c r="AR95" s="103"/>
      <c r="AS95" s="103"/>
      <c r="AT95" s="103"/>
    </row>
    <row r="96" ht="8.35" customHeight="1" hidden="1">
      <c r="AB96" s="36"/>
      <c r="AC96" t="s" s="45">
        <v>14</v>
      </c>
      <c r="AD96" t="s" s="44">
        <f>IF(AF100&lt;AD100,"down","up")</f>
        <v>108</v>
      </c>
      <c r="AE96" t="s" s="44">
        <v>86</v>
      </c>
      <c r="AF96" t="s" s="44">
        <f>IF(AJ100&gt;AH100,"up","down")</f>
        <v>108</v>
      </c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ht="8.35" customHeight="1" hidden="1">
      <c r="AB97" s="36"/>
      <c r="AC97" t="s" s="45">
        <f>AC90</f>
        <v>70</v>
      </c>
      <c r="AD97" t="s" s="44">
        <v>474</v>
      </c>
      <c r="AE97" t="s" s="44">
        <f>AK93</f>
        <v>372</v>
      </c>
      <c r="AF97" s="17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ht="8.35" customHeight="1" hidden="1">
      <c r="AB98" s="36"/>
      <c r="AC98" s="71">
        <f>(D22+E22)/C22</f>
        <v>-0.0375416865173892</v>
      </c>
      <c r="AD98" s="16">
        <f>(D23+E23)/C23</f>
        <v>3.74265363386883</v>
      </c>
      <c r="AE98" s="16">
        <f>(D24+E24)/C24</f>
        <v>2.29271617376874</v>
      </c>
      <c r="AF98" s="16">
        <f>(D25+E25)/C25</f>
        <v>-0.7050438890827579</v>
      </c>
      <c r="AG98" s="99">
        <f>(D26+E26)/C26</f>
        <v>0.432855147898946</v>
      </c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ht="8.35" customHeight="1" hidden="1">
      <c r="AB99" s="36"/>
      <c r="AC99" s="14">
        <f>E22</f>
        <v>56.1</v>
      </c>
      <c r="AD99" s="15">
        <f>E23</f>
        <v>5469.8</v>
      </c>
      <c r="AE99" s="15">
        <f>E24</f>
        <v>4132.1</v>
      </c>
      <c r="AF99" s="15">
        <f>E25</f>
        <v>-1313.4</v>
      </c>
      <c r="AG99" s="198">
        <f>E26</f>
        <v>2858.8</v>
      </c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ht="8.35" customHeight="1" hidden="1">
      <c r="AB100" s="36"/>
      <c r="AC100" t="s" s="45">
        <v>89</v>
      </c>
      <c r="AD100" s="16">
        <f>AF98</f>
        <v>-0.7050438890827579</v>
      </c>
      <c r="AE100" t="s" s="44">
        <v>76</v>
      </c>
      <c r="AF100" s="16">
        <f>AG98</f>
        <v>0.432855147898946</v>
      </c>
      <c r="AG100" t="s" s="102">
        <v>90</v>
      </c>
      <c r="AH100" s="198">
        <f>AF99</f>
        <v>-1313.4</v>
      </c>
      <c r="AI100" t="s" s="102">
        <v>76</v>
      </c>
      <c r="AJ100" s="198">
        <f>AG99</f>
        <v>2858.8</v>
      </c>
      <c r="AK100" t="s" s="102">
        <f>AH95</f>
        <v>372</v>
      </c>
      <c r="AL100" t="s" s="102">
        <v>73</v>
      </c>
      <c r="AM100" t="s" s="102">
        <f>AJ95</f>
        <v>74</v>
      </c>
      <c r="AN100" t="s" s="102">
        <v>91</v>
      </c>
      <c r="AO100" s="103"/>
      <c r="AP100" s="103"/>
      <c r="AQ100" s="103"/>
      <c r="AR100" s="103"/>
      <c r="AS100" s="103"/>
      <c r="AT100" s="103"/>
    </row>
    <row r="101" ht="8.35" customHeight="1" hidden="1">
      <c r="AB101" s="36"/>
      <c r="AC101" t="s" s="45">
        <v>92</v>
      </c>
      <c r="AD101" s="16">
        <f>AVERAGE(AD98:AG98)</f>
        <v>1.44079526661344</v>
      </c>
      <c r="AE101" t="s" s="44">
        <v>78</v>
      </c>
      <c r="AF101" s="17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ht="8.35" customHeight="1" hidden="1">
      <c r="AB102" s="36"/>
      <c r="AC102" t="s" s="45">
        <v>93</v>
      </c>
      <c r="AD102" s="35">
        <f>AC42</f>
        <v>0.0262427925822035</v>
      </c>
      <c r="AE102" t="s" s="44">
        <v>94</v>
      </c>
      <c r="AF102" s="15">
        <f>AF55</f>
        <v>-258.419534252077</v>
      </c>
      <c r="AG102" t="s" s="102">
        <f>AK100</f>
        <v>372</v>
      </c>
      <c r="AH102" t="s" s="102">
        <v>95</v>
      </c>
      <c r="AI102" t="s" s="102">
        <f>AM100</f>
        <v>74</v>
      </c>
      <c r="AJ102" t="s" s="102">
        <f>AH93</f>
        <v>75</v>
      </c>
      <c r="AK102" t="s" s="102">
        <f>AL95</f>
        <v>85</v>
      </c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ht="8.35" customHeight="1" hidden="1">
      <c r="AB103" s="36"/>
      <c r="AC103" t="s" s="45">
        <v>15</v>
      </c>
      <c r="AD103" t="s" s="44">
        <f>IF(AF107&lt;AD107,"lower","higher")</f>
        <v>363</v>
      </c>
      <c r="AE103" s="17"/>
      <c r="AF103" s="17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ht="8.35" customHeight="1" hidden="1">
      <c r="AB104" s="36"/>
      <c r="AC104" t="s" s="45">
        <f>AC97</f>
        <v>70</v>
      </c>
      <c r="AD104" t="s" s="44">
        <v>96</v>
      </c>
      <c r="AE104" t="s" s="44">
        <f>AK93</f>
        <v>372</v>
      </c>
      <c r="AF104" s="17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ht="8.35" customHeight="1" hidden="1">
      <c r="AB105" s="36"/>
      <c r="AC105" s="14">
        <f>J22</f>
        <v>545</v>
      </c>
      <c r="AD105" s="15">
        <f>J23</f>
        <v>363.2</v>
      </c>
      <c r="AE105" s="15">
        <f>J24</f>
        <v>-612.4</v>
      </c>
      <c r="AF105" s="15">
        <f>J25</f>
        <v>-338.8</v>
      </c>
      <c r="AG105" s="198">
        <f>J26</f>
        <v>22.2</v>
      </c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ht="8.35" customHeight="1" hidden="1">
      <c r="AB106" s="36"/>
      <c r="AC106" s="14">
        <f>K22</f>
        <v>-4389.9</v>
      </c>
      <c r="AD106" s="15">
        <f>K23</f>
        <v>-3346.8</v>
      </c>
      <c r="AE106" s="15">
        <f>K24</f>
        <v>-1708.6</v>
      </c>
      <c r="AF106" s="15">
        <f>K25</f>
        <v>-1578.6</v>
      </c>
      <c r="AG106" s="198">
        <f>K26</f>
        <v>4731.9</v>
      </c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ht="8.35" customHeight="1" hidden="1">
      <c r="AB107" s="36"/>
      <c r="AC107" t="s" s="45">
        <v>97</v>
      </c>
      <c r="AD107" s="15">
        <f>AF105+AF106</f>
        <v>-1917.4</v>
      </c>
      <c r="AE107" t="s" s="44">
        <v>76</v>
      </c>
      <c r="AF107" s="15">
        <f>AG105+AG106</f>
        <v>4754.1</v>
      </c>
      <c r="AG107" t="s" s="102">
        <f>AG102</f>
        <v>372</v>
      </c>
      <c r="AH107" t="s" s="102">
        <v>84</v>
      </c>
      <c r="AI107" t="s" s="102">
        <f>AI102</f>
        <v>74</v>
      </c>
      <c r="AJ107" t="s" s="102">
        <v>98</v>
      </c>
      <c r="AK107" s="198">
        <f>AG106</f>
        <v>4731.9</v>
      </c>
      <c r="AL107" t="s" s="102">
        <f>AK93</f>
        <v>372</v>
      </c>
      <c r="AM107" t="s" s="102">
        <v>99</v>
      </c>
      <c r="AN107" s="103"/>
      <c r="AO107" s="103"/>
      <c r="AP107" s="103"/>
      <c r="AQ107" s="103"/>
      <c r="AR107" s="103"/>
      <c r="AS107" s="103"/>
      <c r="AT107" s="103"/>
    </row>
    <row r="108" ht="8.35" customHeight="1" hidden="1">
      <c r="AB108" s="36"/>
      <c r="AC108" t="s" s="45">
        <v>100</v>
      </c>
      <c r="AD108" s="15">
        <f>SUM(AD105:AG106)/4</f>
        <v>-616.975</v>
      </c>
      <c r="AE108" t="s" s="44">
        <f>AK93</f>
        <v>372</v>
      </c>
      <c r="AF108" t="s" s="44">
        <v>78</v>
      </c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ht="8.35" customHeight="1" hidden="1">
      <c r="AB109" s="36"/>
      <c r="AC109" t="s" s="45">
        <v>101</v>
      </c>
      <c r="AD109" s="15">
        <f>AC43</f>
        <v>-82.7</v>
      </c>
      <c r="AE109" t="s" s="44">
        <f>AE108</f>
        <v>372</v>
      </c>
      <c r="AF109" t="s" s="44">
        <v>102</v>
      </c>
      <c r="AG109" t="s" s="102">
        <v>103</v>
      </c>
      <c r="AH109" t="s" s="102">
        <f>IF(AG95&gt;AJ93,"higher","lower")</f>
        <v>363</v>
      </c>
      <c r="AI109" t="s" s="102">
        <v>105</v>
      </c>
      <c r="AJ109" s="198">
        <f>SUM(AC44:AF44)/4</f>
        <v>30.8710238989646</v>
      </c>
      <c r="AK109" t="s" s="102">
        <f>AE109</f>
        <v>372</v>
      </c>
      <c r="AL109" t="s" s="102">
        <v>106</v>
      </c>
      <c r="AM109" t="s" s="102">
        <v>107</v>
      </c>
      <c r="AN109" s="103"/>
      <c r="AO109" s="103"/>
      <c r="AP109" s="103"/>
      <c r="AQ109" s="103"/>
      <c r="AR109" s="103"/>
      <c r="AS109" s="103"/>
      <c r="AT109" s="103"/>
    </row>
    <row r="110" ht="8.35" customHeight="1" hidden="1">
      <c r="AB110" s="36"/>
      <c r="AC110" t="s" s="45">
        <v>18</v>
      </c>
      <c r="AD110" t="s" s="44">
        <f>AK115</f>
        <v>108</v>
      </c>
      <c r="AE110" s="17"/>
      <c r="AF110" s="17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ht="8.35" customHeight="1" hidden="1">
      <c r="AB111" s="36"/>
      <c r="AC111" t="s" s="45">
        <f>AC90</f>
        <v>70</v>
      </c>
      <c r="AD111" t="s" s="44">
        <v>109</v>
      </c>
      <c r="AE111" t="s" s="44">
        <f>AK93</f>
        <v>372</v>
      </c>
      <c r="AF111" s="17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ht="8.35" customHeight="1" hidden="1">
      <c r="AB112" s="36"/>
      <c r="AC112" s="14">
        <f>F22</f>
        <v>5885</v>
      </c>
      <c r="AD112" s="15">
        <f>F23</f>
        <v>7383</v>
      </c>
      <c r="AE112" s="15">
        <f>F24</f>
        <v>6216.5</v>
      </c>
      <c r="AF112" s="15">
        <f>F25</f>
        <v>6941</v>
      </c>
      <c r="AG112" s="198">
        <f>F26</f>
        <v>8607</v>
      </c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ht="8.35" customHeight="1" hidden="1">
      <c r="AB113" s="36"/>
      <c r="AC113" s="14">
        <f>G22</f>
        <v>2934</v>
      </c>
      <c r="AD113" s="15">
        <f>G23</f>
        <v>4499</v>
      </c>
      <c r="AE113" s="15">
        <f>G24</f>
        <v>4220</v>
      </c>
      <c r="AF113" s="15">
        <f>G25</f>
        <v>4820</v>
      </c>
      <c r="AG113" s="198">
        <f>G26</f>
        <v>5225</v>
      </c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ht="8.35" customHeight="1" hidden="1">
      <c r="AB114" s="36"/>
      <c r="AC114" t="s" s="45">
        <v>110</v>
      </c>
      <c r="AD114" t="s" s="44">
        <f>IF(AG114&lt;AE114,"declined","increased")</f>
        <v>111</v>
      </c>
      <c r="AE114" s="15">
        <f>AF112</f>
        <v>6941</v>
      </c>
      <c r="AF114" t="s" s="44">
        <v>76</v>
      </c>
      <c r="AG114" s="198">
        <f>AG112</f>
        <v>8607</v>
      </c>
      <c r="AH114" t="s" s="102">
        <f>AK109</f>
        <v>372</v>
      </c>
      <c r="AI114" t="s" s="102">
        <v>84</v>
      </c>
      <c r="AJ114" t="s" s="102">
        <f>AG93</f>
        <v>74</v>
      </c>
      <c r="AK114" t="s" s="102">
        <f>AN100</f>
        <v>91</v>
      </c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ht="8.35" customHeight="1" hidden="1">
      <c r="AB115" s="36"/>
      <c r="AC115" t="s" s="45">
        <v>112</v>
      </c>
      <c r="AD115" t="s" s="44">
        <f>IF(AG115&lt;AE115,"declined","increased")</f>
        <v>111</v>
      </c>
      <c r="AE115" s="15">
        <f>AF113</f>
        <v>4820</v>
      </c>
      <c r="AF115" t="s" s="44">
        <v>76</v>
      </c>
      <c r="AG115" s="198">
        <f>AG113</f>
        <v>5225</v>
      </c>
      <c r="AH115" t="s" s="102">
        <f>AH114</f>
        <v>372</v>
      </c>
      <c r="AI115" t="s" s="102">
        <v>113</v>
      </c>
      <c r="AJ115" t="s" s="102">
        <v>114</v>
      </c>
      <c r="AK115" t="s" s="102">
        <f>IF(AN115&lt;AL115,"down","up")</f>
        <v>108</v>
      </c>
      <c r="AL115" s="198">
        <f>AE114-AE115</f>
        <v>2121</v>
      </c>
      <c r="AM115" t="s" s="102">
        <v>76</v>
      </c>
      <c r="AN115" s="198">
        <f>AG114-AG115</f>
        <v>3382</v>
      </c>
      <c r="AO115" t="s" s="102">
        <f>AH115</f>
        <v>372</v>
      </c>
      <c r="AP115" t="s" s="102">
        <v>115</v>
      </c>
      <c r="AQ115" s="103"/>
      <c r="AR115" s="103"/>
      <c r="AS115" s="103"/>
      <c r="AT115" s="103"/>
    </row>
    <row r="116" ht="8.35" customHeight="1" hidden="1">
      <c r="AB116" s="36"/>
      <c r="AC116" t="s" s="45">
        <v>116</v>
      </c>
      <c r="AD116" s="15">
        <f>SUM(AC47:AF47)</f>
        <v>0</v>
      </c>
      <c r="AE116" t="s" s="44">
        <f>AH115</f>
        <v>372</v>
      </c>
      <c r="AF116" t="s" s="44">
        <v>117</v>
      </c>
      <c r="AG116" t="s" s="102">
        <f>IF(AH116&gt;0,"+","")</f>
      </c>
      <c r="AH116" s="198">
        <f>AC45+AD45+AE45+AF45+AC49+AD49+AE49+AF49</f>
        <v>-123.484095595858</v>
      </c>
      <c r="AI116" t="s" s="102">
        <f>AO115</f>
        <v>372</v>
      </c>
      <c r="AJ116" t="s" s="102">
        <v>118</v>
      </c>
      <c r="AK116" t="s" s="102">
        <v>119</v>
      </c>
      <c r="AL116" s="198">
        <f>AF64</f>
        <v>3505.484095595860</v>
      </c>
      <c r="AM116" t="s" s="102">
        <f>AH115</f>
        <v>372</v>
      </c>
      <c r="AN116" t="s" s="102">
        <v>120</v>
      </c>
      <c r="AO116" s="103"/>
      <c r="AP116" s="103"/>
      <c r="AQ116" s="103"/>
      <c r="AR116" s="103"/>
      <c r="AS116" s="103"/>
      <c r="AT116" s="103"/>
    </row>
    <row r="117" ht="8.35" customHeight="1" hidden="1">
      <c r="AB117" s="36"/>
      <c r="AC117" t="s" s="45">
        <v>17</v>
      </c>
      <c r="AD117" t="s" s="44">
        <f>AD121</f>
        <v>374</v>
      </c>
      <c r="AE117" s="17"/>
      <c r="AF117" s="17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ht="8.35" customHeight="1" hidden="1">
      <c r="AB118" s="36"/>
      <c r="AC118" t="s" s="45">
        <f>AC90</f>
        <v>70</v>
      </c>
      <c r="AD118" t="s" s="44">
        <v>379</v>
      </c>
      <c r="AE118" t="s" s="44">
        <f>AK93</f>
        <v>372</v>
      </c>
      <c r="AF118" s="17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ht="8.35" customHeight="1" hidden="1">
      <c r="AB119" s="36"/>
      <c r="AC119" s="14">
        <f>-L22</f>
        <v>406.4</v>
      </c>
      <c r="AD119" s="15">
        <f>-L23</f>
        <v>-114.8</v>
      </c>
      <c r="AE119" s="15">
        <f>-L24</f>
        <v>-13.8</v>
      </c>
      <c r="AF119" s="15">
        <f>-L25</f>
        <v>-673.8</v>
      </c>
      <c r="AG119" s="198">
        <f>-L26</f>
        <v>26.1</v>
      </c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ht="8.35" customHeight="1" hidden="1">
      <c r="AB120" s="36"/>
      <c r="AC120" s="14">
        <f>-M22</f>
        <v>-1746.7</v>
      </c>
      <c r="AD120" s="15">
        <f>-M23</f>
        <v>-3188.2</v>
      </c>
      <c r="AE120" s="15">
        <f>-M24</f>
        <v>-1119.7</v>
      </c>
      <c r="AF120" s="15">
        <f>-M25</f>
        <v>-1940.7</v>
      </c>
      <c r="AG120" s="198">
        <f>-M26</f>
        <v>359.3</v>
      </c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ht="8.35" customHeight="1" hidden="1">
      <c r="AB121" s="36"/>
      <c r="AC121" t="s" s="100">
        <f>AC82</f>
        <v>568</v>
      </c>
      <c r="AD121" t="s" s="44">
        <f>IF(AE121&gt;0,"paid","(raised)")</f>
        <v>374</v>
      </c>
      <c r="AE121" s="15">
        <f>SUM(AG119:AG120)</f>
        <v>385.4</v>
      </c>
      <c r="AF121" t="s" s="44">
        <f>AK93</f>
        <v>372</v>
      </c>
      <c r="AG121" t="s" s="102">
        <f>AF93</f>
        <v>73</v>
      </c>
      <c r="AH121" t="s" s="102">
        <f>AG93</f>
        <v>74</v>
      </c>
      <c r="AI121" t="s" s="102">
        <f>AH93</f>
        <v>75</v>
      </c>
      <c r="AJ121" s="198">
        <f>AG119</f>
        <v>26.1</v>
      </c>
      <c r="AK121" t="s" s="102">
        <f>AK93</f>
        <v>372</v>
      </c>
      <c r="AL121" t="s" s="102">
        <v>123</v>
      </c>
      <c r="AM121" s="198">
        <f>AG120</f>
        <v>359.3</v>
      </c>
      <c r="AN121" t="s" s="102">
        <f>AK93</f>
        <v>372</v>
      </c>
      <c r="AO121" t="s" s="102">
        <v>389</v>
      </c>
      <c r="AP121" t="s" s="102">
        <v>475</v>
      </c>
      <c r="AQ121" t="s" s="102">
        <f>IF(AR121&gt;0,"pay","raise")</f>
        <v>364</v>
      </c>
      <c r="AR121" s="198">
        <f>-SUM(AC65:AF65)</f>
        <v>123.484095595858</v>
      </c>
      <c r="AS121" t="s" s="102">
        <f>AK93</f>
        <v>372</v>
      </c>
      <c r="AT121" t="s" s="102">
        <v>126</v>
      </c>
    </row>
    <row r="122" ht="8.35" customHeight="1" hidden="1">
      <c r="AB122" s="36"/>
      <c r="AC122" t="s" s="45">
        <v>375</v>
      </c>
      <c r="AD122" s="15">
        <f>AF69</f>
        <v>61607.77793536</v>
      </c>
      <c r="AE122" t="s" s="44">
        <f>AK93</f>
        <v>372</v>
      </c>
      <c r="AF122" t="s" s="44">
        <v>128</v>
      </c>
      <c r="AG122" t="s" s="102">
        <v>129</v>
      </c>
      <c r="AH122" s="101">
        <f>AF71</f>
        <v>1.4173872890375</v>
      </c>
      <c r="AI122" t="s" s="102">
        <v>130</v>
      </c>
      <c r="AJ122" t="s" s="102">
        <v>131</v>
      </c>
      <c r="AK122" t="s" s="102">
        <v>132</v>
      </c>
      <c r="AL122" s="198">
        <f>AF74</f>
        <v>431.302506958527</v>
      </c>
      <c r="AM122" t="s" s="102">
        <v>133</v>
      </c>
      <c r="AN122" s="99">
        <f>-AD116/AD122</f>
        <v>0</v>
      </c>
      <c r="AO122" t="s" s="102">
        <v>134</v>
      </c>
      <c r="AP122" s="103"/>
      <c r="AQ122" s="103"/>
      <c r="AR122" s="103"/>
      <c r="AS122" s="103"/>
      <c r="AT122" s="103"/>
    </row>
    <row r="123" ht="8.35" customHeight="1" hidden="1">
      <c r="AB123" s="36"/>
      <c r="AC123" t="s" s="45">
        <v>135</v>
      </c>
      <c r="AD123" s="15">
        <f>AF73</f>
        <v>123.484095595858</v>
      </c>
      <c r="AE123" t="s" s="44">
        <f>AE122</f>
        <v>372</v>
      </c>
      <c r="AF123" t="s" s="44">
        <v>136</v>
      </c>
      <c r="AG123" s="198">
        <f>AD122/AD123</f>
        <v>498.912654606076</v>
      </c>
      <c r="AH123" t="s" s="102">
        <v>130</v>
      </c>
      <c r="AI123" t="s" s="102">
        <v>137</v>
      </c>
      <c r="AJ123" t="s" s="102">
        <v>138</v>
      </c>
      <c r="AK123" s="198">
        <f>AF75</f>
        <v>500</v>
      </c>
      <c r="AL123" t="s" s="102">
        <v>139</v>
      </c>
      <c r="AM123" t="s" s="102">
        <v>140</v>
      </c>
      <c r="AN123" t="s" s="102">
        <v>141</v>
      </c>
      <c r="AO123" s="99">
        <f>AI82</f>
        <v>0.0021794303750099</v>
      </c>
      <c r="AP123" t="s" s="102">
        <f>IF(AO123&gt;0,"higher","lower")</f>
        <v>363</v>
      </c>
      <c r="AQ123" t="s" s="102">
        <v>142</v>
      </c>
      <c r="AR123" s="198">
        <f>AG82</f>
        <v>1012.201224678760</v>
      </c>
      <c r="AS123" t="s" s="102">
        <v>143</v>
      </c>
      <c r="AT123" s="103"/>
    </row>
    <row r="124" ht="8.35" customHeight="1" hidden="1">
      <c r="AB124" s="36"/>
      <c r="AC124" s="34"/>
      <c r="AD124" s="17"/>
      <c r="AE124" s="17"/>
      <c r="AF124" s="17"/>
      <c r="AG124" s="198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ht="8.35" customHeight="1" hidden="1">
      <c r="AB125" s="36"/>
      <c r="AC125" s="14">
        <f>AC92</f>
        <v>3148.5</v>
      </c>
      <c r="AD125" s="15">
        <f>AD92</f>
        <v>3243.1</v>
      </c>
      <c r="AE125" s="15">
        <f>AE92</f>
        <v>3374.6</v>
      </c>
      <c r="AF125" s="15">
        <f>AF92</f>
        <v>3725.3</v>
      </c>
      <c r="AG125" s="198">
        <f>AG92</f>
        <v>3938.5</v>
      </c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ht="8.35" customHeight="1" hidden="1">
      <c r="AB126" s="36"/>
      <c r="AC126" s="14">
        <f>SUM(AC105:AC106)</f>
        <v>-3844.9</v>
      </c>
      <c r="AD126" s="15">
        <f>SUM(AD105:AD106)</f>
        <v>-2983.6</v>
      </c>
      <c r="AE126" s="15">
        <f>SUM(AE105:AE106)</f>
        <v>-2321</v>
      </c>
      <c r="AF126" s="15">
        <f>SUM(AF105:AF106)</f>
        <v>-1917.4</v>
      </c>
      <c r="AG126" s="198">
        <f>SUM(AG105:AG106)</f>
        <v>4754.1</v>
      </c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ht="8.35" customHeight="1" hidden="1">
      <c r="AB127" s="36"/>
      <c r="AC127" s="14">
        <f>SUM(AC119:AC120)</f>
        <v>-1340.3</v>
      </c>
      <c r="AD127" s="15">
        <f>SUM(AD119:AD120)</f>
        <v>-3303</v>
      </c>
      <c r="AE127" s="15">
        <f>SUM(AE119:AE120)</f>
        <v>-1133.5</v>
      </c>
      <c r="AF127" s="15">
        <f>SUM(AF119:AF120)</f>
        <v>-2614.5</v>
      </c>
      <c r="AG127" s="198">
        <f>SUM(AG119:AG120)</f>
        <v>385.4</v>
      </c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ht="8.35" customHeight="1" hidden="1">
      <c r="AB128" s="36"/>
      <c r="AC128" s="14">
        <f>AC112-AC113</f>
        <v>2951</v>
      </c>
      <c r="AD128" s="15">
        <f>AD112-AD113</f>
        <v>2884</v>
      </c>
      <c r="AE128" s="15">
        <f>AE112-AE113</f>
        <v>1996.5</v>
      </c>
      <c r="AF128" s="15">
        <f>AF112-AF113</f>
        <v>2121</v>
      </c>
      <c r="AG128" s="198">
        <f>AG112-AG113</f>
        <v>3382</v>
      </c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ht="8.35" customHeight="1" hidden="1">
      <c r="AB129" s="36"/>
      <c r="AC129" s="34"/>
      <c r="AD129" s="17"/>
      <c r="AE129" s="17"/>
      <c r="AF129" s="17"/>
      <c r="AG129" s="198">
        <f>AR123</f>
        <v>1012.201224678760</v>
      </c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ht="8.35" customHeight="1" hidden="1">
      <c r="AB130" s="36"/>
      <c r="AC130" s="34"/>
      <c r="AD130" s="17"/>
      <c r="AE130" s="17"/>
      <c r="AF130" s="17"/>
      <c r="AG130" s="198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ht="8.35" customHeight="1" hidden="1">
      <c r="AB131" s="36"/>
      <c r="AC131" s="34"/>
      <c r="AD131" s="17"/>
      <c r="AE131" s="17"/>
      <c r="AF131" s="17"/>
      <c r="AG131" s="198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ht="8.35" customHeight="1" hidden="1">
      <c r="AB132" s="36"/>
      <c r="AC132" s="34"/>
      <c r="AD132" s="17"/>
      <c r="AE132" s="17"/>
      <c r="AF132" s="17"/>
      <c r="AG132" s="198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ht="8.35" customHeight="1" hidden="1">
      <c r="AB133" s="36"/>
      <c r="AC133" s="34"/>
      <c r="AD133" s="17"/>
      <c r="AE133" s="17"/>
      <c r="AF133" s="17"/>
      <c r="AG133" s="198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ht="8.35" customHeight="1" hidden="1">
      <c r="AB134" s="36"/>
      <c r="AC134" s="34"/>
      <c r="AD134" s="17"/>
      <c r="AE134" s="17"/>
      <c r="AF134" s="17"/>
      <c r="AG134" s="198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ht="8.35" customHeight="1" hidden="1">
      <c r="AB135" s="36"/>
      <c r="AC135" s="34"/>
      <c r="AD135" s="17"/>
      <c r="AE135" s="17"/>
      <c r="AF135" s="17"/>
      <c r="AG135" s="198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ht="8.35" customHeight="1" hidden="1">
      <c r="AB136" s="36"/>
      <c r="AC136" s="34"/>
      <c r="AD136" s="17"/>
      <c r="AE136" s="17"/>
      <c r="AF136" s="17"/>
      <c r="AG136" s="198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</sheetData>
  <mergeCells count="2">
    <mergeCell ref="B2:AA2"/>
    <mergeCell ref="AB36:AT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00" customWidth="1"/>
    <col min="2" max="26" width="10.4844" style="200" customWidth="1"/>
    <col min="27" max="27" width="18.9766" style="201" customWidth="1"/>
    <col min="28" max="45" width="9" style="201" customWidth="1"/>
    <col min="46" max="16384" width="16.3516" style="201" customWidth="1"/>
  </cols>
  <sheetData>
    <row r="1" ht="11.65" customHeight="1"/>
    <row r="2" ht="27.65" customHeight="1">
      <c r="B2" t="s" s="2">
        <v>569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296</v>
      </c>
      <c r="Z3" t="s" s="3">
        <v>19</v>
      </c>
    </row>
    <row r="4" ht="20.25" customHeight="1">
      <c r="B4" s="6">
        <v>2017</v>
      </c>
      <c r="C4" s="7">
        <v>4632.4</v>
      </c>
      <c r="D4" s="8">
        <v>30</v>
      </c>
      <c r="E4" s="8">
        <v>90.09999999999999</v>
      </c>
      <c r="F4" s="8">
        <v>816</v>
      </c>
      <c r="G4" s="8">
        <v>2397</v>
      </c>
      <c r="H4" s="8">
        <v>7111</v>
      </c>
      <c r="I4" s="8">
        <v>4934.3</v>
      </c>
      <c r="J4" s="8">
        <v>-396.6</v>
      </c>
      <c r="K4" s="8">
        <v>-23.4</v>
      </c>
      <c r="L4" s="8">
        <v>0</v>
      </c>
      <c r="M4" s="8">
        <v>0</v>
      </c>
      <c r="N4" s="9"/>
      <c r="O4" s="9"/>
      <c r="P4" s="55"/>
      <c r="Q4" s="55"/>
      <c r="R4" s="9"/>
      <c r="S4" s="9"/>
      <c r="T4" s="9"/>
      <c r="U4" s="8">
        <f>-(L4+M4)</f>
        <v>0</v>
      </c>
      <c r="V4" s="9"/>
      <c r="W4" s="8">
        <f>F4-G4</f>
        <v>-1581</v>
      </c>
      <c r="X4" s="73"/>
      <c r="Y4" s="8">
        <v>2572.896729</v>
      </c>
      <c r="Z4" s="73"/>
    </row>
    <row r="5" ht="20.05" customHeight="1">
      <c r="B5" s="13"/>
      <c r="C5" s="14">
        <v>5172</v>
      </c>
      <c r="D5" s="15">
        <v>29.5</v>
      </c>
      <c r="E5" s="15">
        <v>154</v>
      </c>
      <c r="F5" s="15">
        <v>686</v>
      </c>
      <c r="G5" s="15">
        <v>2467</v>
      </c>
      <c r="H5" s="15">
        <v>7323</v>
      </c>
      <c r="I5" s="15">
        <v>5445.9</v>
      </c>
      <c r="J5" s="15">
        <v>-117.4</v>
      </c>
      <c r="K5" s="15">
        <v>-18.4</v>
      </c>
      <c r="L5" s="15">
        <v>0</v>
      </c>
      <c r="M5" s="15">
        <v>0</v>
      </c>
      <c r="N5" s="17"/>
      <c r="O5" s="17"/>
      <c r="P5" s="16"/>
      <c r="Q5" s="16"/>
      <c r="R5" s="17"/>
      <c r="S5" s="17"/>
      <c r="T5" s="17"/>
      <c r="U5" s="15">
        <f>-(L5+M5)+U4</f>
        <v>0</v>
      </c>
      <c r="V5" s="17"/>
      <c r="W5" s="15">
        <f>F5-G5</f>
        <v>-1781</v>
      </c>
      <c r="X5" s="24"/>
      <c r="Y5" s="15">
        <v>2655.302734</v>
      </c>
      <c r="Z5" s="24"/>
    </row>
    <row r="6" ht="20.05" customHeight="1">
      <c r="B6" s="13"/>
      <c r="C6" s="14">
        <v>4760.2</v>
      </c>
      <c r="D6" s="15">
        <v>29.8</v>
      </c>
      <c r="E6" s="15">
        <v>93.7</v>
      </c>
      <c r="F6" s="15">
        <v>764</v>
      </c>
      <c r="G6" s="15">
        <v>2227</v>
      </c>
      <c r="H6" s="15">
        <v>7180</v>
      </c>
      <c r="I6" s="15">
        <v>5334.6</v>
      </c>
      <c r="J6" s="15">
        <v>79.3</v>
      </c>
      <c r="K6" s="15">
        <v>-10.1</v>
      </c>
      <c r="L6" s="15">
        <v>0</v>
      </c>
      <c r="M6" s="15">
        <v>0</v>
      </c>
      <c r="N6" s="17"/>
      <c r="O6" s="17"/>
      <c r="P6" s="16"/>
      <c r="Q6" s="16"/>
      <c r="R6" s="17"/>
      <c r="S6" s="17"/>
      <c r="T6" s="17"/>
      <c r="U6" s="15">
        <f>-(L6+M6)+U5</f>
        <v>0</v>
      </c>
      <c r="V6" s="17"/>
      <c r="W6" s="15">
        <f>F6-G6</f>
        <v>-1463</v>
      </c>
      <c r="X6" s="24"/>
      <c r="Y6" s="15">
        <v>2659.888428</v>
      </c>
      <c r="Z6" s="24"/>
    </row>
    <row r="7" ht="20.05" customHeight="1">
      <c r="B7" s="13"/>
      <c r="C7" s="14">
        <v>5104.5</v>
      </c>
      <c r="D7" s="15">
        <v>31.5</v>
      </c>
      <c r="E7" s="15">
        <v>180</v>
      </c>
      <c r="F7" s="15">
        <v>811</v>
      </c>
      <c r="G7" s="15">
        <v>2295</v>
      </c>
      <c r="H7" s="15">
        <v>7426</v>
      </c>
      <c r="I7" s="15">
        <v>5669</v>
      </c>
      <c r="J7" s="15">
        <v>225.7</v>
      </c>
      <c r="K7" s="15">
        <v>-85.5</v>
      </c>
      <c r="L7" s="15">
        <v>0</v>
      </c>
      <c r="M7" s="15">
        <v>-14</v>
      </c>
      <c r="N7" s="17"/>
      <c r="O7" s="17"/>
      <c r="P7" s="16"/>
      <c r="Q7" s="16"/>
      <c r="R7" s="17"/>
      <c r="S7" s="17"/>
      <c r="T7" s="17"/>
      <c r="U7" s="15">
        <f>-(L7+M7)+U6</f>
        <v>14</v>
      </c>
      <c r="V7" s="17"/>
      <c r="W7" s="15">
        <f>F7-G7</f>
        <v>-1484</v>
      </c>
      <c r="X7" s="24"/>
      <c r="Y7" s="15">
        <v>2742.436768</v>
      </c>
      <c r="Z7" s="24"/>
    </row>
    <row r="8" ht="20.05" customHeight="1">
      <c r="B8" s="21">
        <v>2018</v>
      </c>
      <c r="C8" s="14">
        <v>4734.4</v>
      </c>
      <c r="D8" s="15">
        <v>32.2</v>
      </c>
      <c r="E8" s="15">
        <v>114.9</v>
      </c>
      <c r="F8" s="15">
        <v>869</v>
      </c>
      <c r="G8" s="15">
        <v>2225</v>
      </c>
      <c r="H8" s="15">
        <v>7472</v>
      </c>
      <c r="I8" s="15">
        <v>5159.5</v>
      </c>
      <c r="J8" s="15">
        <v>80.3</v>
      </c>
      <c r="K8" s="15">
        <v>-25.9</v>
      </c>
      <c r="L8" s="15">
        <v>0</v>
      </c>
      <c r="M8" s="15">
        <v>0</v>
      </c>
      <c r="N8" s="15">
        <f>SUM(C5:C8)/4</f>
        <v>4942.775</v>
      </c>
      <c r="O8" s="17"/>
      <c r="P8" s="16"/>
      <c r="Q8" s="16">
        <f>(D5+D6+D7+D8+E5+E6+E7+E8-C5-C6-C7-C8)/(C5+C6+C7+C8)</f>
        <v>-0.966334700648927</v>
      </c>
      <c r="R8" s="17"/>
      <c r="S8" s="15">
        <f>SUM(J5:K8)/4</f>
        <v>32</v>
      </c>
      <c r="T8" s="17"/>
      <c r="U8" s="15">
        <f>-(L8+M8)+U7</f>
        <v>14</v>
      </c>
      <c r="V8" s="17"/>
      <c r="W8" s="15">
        <f>F8-G8</f>
        <v>-1356</v>
      </c>
      <c r="X8" s="24"/>
      <c r="Y8" s="15">
        <v>1834.405884</v>
      </c>
      <c r="Z8" s="24"/>
    </row>
    <row r="9" ht="20.05" customHeight="1">
      <c r="B9" s="13"/>
      <c r="C9" s="14">
        <v>5358.1</v>
      </c>
      <c r="D9" s="15">
        <v>31.6</v>
      </c>
      <c r="E9" s="15">
        <v>169.5</v>
      </c>
      <c r="F9" s="15">
        <v>594</v>
      </c>
      <c r="G9" s="15">
        <v>2004</v>
      </c>
      <c r="H9" s="15">
        <v>7406</v>
      </c>
      <c r="I9" s="15">
        <v>5667.2</v>
      </c>
      <c r="J9" s="15">
        <v>-300.9</v>
      </c>
      <c r="K9" s="15">
        <v>-6.7</v>
      </c>
      <c r="L9" s="15">
        <v>0</v>
      </c>
      <c r="M9" s="15">
        <v>0</v>
      </c>
      <c r="N9" s="15">
        <f>SUM(C6:C9)/4</f>
        <v>4989.3</v>
      </c>
      <c r="O9" s="17"/>
      <c r="P9" s="16">
        <f>C9/C8-1</f>
        <v>0.131737918215613</v>
      </c>
      <c r="Q9" s="16">
        <f>(D6+D7+D8+D9+E6+E7+E8+E9-C6-C7-C8-C9)/(C6+C7+C8+C9)</f>
        <v>-0.965766740825366</v>
      </c>
      <c r="R9" s="17"/>
      <c r="S9" s="15">
        <f>SUM(J6:K9)/4</f>
        <v>-10.95</v>
      </c>
      <c r="T9" s="17"/>
      <c r="U9" s="15">
        <f>-(L9+M9)+U8</f>
        <v>14</v>
      </c>
      <c r="V9" s="17"/>
      <c r="W9" s="15">
        <f>F9-G9</f>
        <v>-1410</v>
      </c>
      <c r="X9" s="24"/>
      <c r="Y9" s="15">
        <v>1701.302612</v>
      </c>
      <c r="Z9" s="24"/>
    </row>
    <row r="10" ht="20.05" customHeight="1">
      <c r="B10" s="13"/>
      <c r="C10" s="14">
        <v>5035.6</v>
      </c>
      <c r="D10" s="15">
        <v>31.7</v>
      </c>
      <c r="E10" s="15">
        <v>185.2</v>
      </c>
      <c r="F10" s="15">
        <v>1072</v>
      </c>
      <c r="G10" s="15">
        <v>2497</v>
      </c>
      <c r="H10" s="15">
        <v>8086</v>
      </c>
      <c r="I10" s="15">
        <v>5325.1</v>
      </c>
      <c r="J10" s="15">
        <v>545.3</v>
      </c>
      <c r="K10" s="15">
        <v>-20.2</v>
      </c>
      <c r="L10" s="15">
        <v>0</v>
      </c>
      <c r="M10" s="15">
        <v>0</v>
      </c>
      <c r="N10" s="15">
        <f>SUM(C7:C10)/4</f>
        <v>5058.15</v>
      </c>
      <c r="O10" s="17"/>
      <c r="P10" s="16">
        <f>C10/C9-1</f>
        <v>-0.0601892461880144</v>
      </c>
      <c r="Q10" s="16">
        <f>(D7+D8+D9+D10+E7+E8+E9+E10-C7-C8-C9-C10)/(C7+C8+C9+C10)</f>
        <v>-0.961616401253423</v>
      </c>
      <c r="R10" s="17"/>
      <c r="S10" s="15">
        <f>SUM(J7:K10)/4</f>
        <v>103.025</v>
      </c>
      <c r="T10" s="17"/>
      <c r="U10" s="15">
        <f>-(L10+M10)+U9</f>
        <v>14</v>
      </c>
      <c r="V10" s="17"/>
      <c r="W10" s="15">
        <f>F10-G10</f>
        <v>-1425</v>
      </c>
      <c r="X10" s="24"/>
      <c r="Y10" s="15">
        <v>1784.068604</v>
      </c>
      <c r="Z10" s="24"/>
    </row>
    <row r="11" ht="20.05" customHeight="1">
      <c r="B11" s="13"/>
      <c r="C11" s="14">
        <v>5476.4</v>
      </c>
      <c r="D11" s="15">
        <v>31.8</v>
      </c>
      <c r="E11" s="15">
        <v>183.6</v>
      </c>
      <c r="F11" s="15">
        <v>1263</v>
      </c>
      <c r="G11" s="15">
        <v>2535</v>
      </c>
      <c r="H11" s="15">
        <v>8323</v>
      </c>
      <c r="I11" s="15">
        <v>6105.2</v>
      </c>
      <c r="J11" s="15">
        <v>213.7</v>
      </c>
      <c r="K11" s="15">
        <v>-23.5</v>
      </c>
      <c r="L11" s="15">
        <v>0</v>
      </c>
      <c r="M11" s="15">
        <v>-14</v>
      </c>
      <c r="N11" s="15">
        <f>SUM(C8:C11)/4</f>
        <v>5151.125</v>
      </c>
      <c r="O11" s="17"/>
      <c r="P11" s="16">
        <f>C11/C10-1</f>
        <v>0.0875367384224323</v>
      </c>
      <c r="Q11" s="16">
        <f>(D8+D9+D10+D11+E8+E9+E10+E11-C8-C9-C10-C11)/(C8+C9+C10+C11)</f>
        <v>-0.962119925259045</v>
      </c>
      <c r="R11" s="17"/>
      <c r="S11" s="15">
        <f>SUM(J8:K11)/4</f>
        <v>115.525</v>
      </c>
      <c r="T11" s="17"/>
      <c r="U11" s="15">
        <f>-(L11+M11)+U10</f>
        <v>28</v>
      </c>
      <c r="V11" s="17"/>
      <c r="W11" s="15">
        <f>F11-G11</f>
        <v>-1272</v>
      </c>
      <c r="X11" s="24"/>
      <c r="Y11" s="15">
        <v>1931.208374</v>
      </c>
      <c r="Z11" s="24"/>
    </row>
    <row r="12" ht="20.05" customHeight="1">
      <c r="B12" s="21">
        <v>2019</v>
      </c>
      <c r="C12" s="14">
        <v>5108.5</v>
      </c>
      <c r="D12" s="15">
        <v>31.7</v>
      </c>
      <c r="E12" s="15">
        <v>132.1</v>
      </c>
      <c r="F12" s="15">
        <v>1269</v>
      </c>
      <c r="G12" s="15">
        <v>2781</v>
      </c>
      <c r="H12" s="15">
        <v>8706</v>
      </c>
      <c r="I12" s="15">
        <v>5387.2</v>
      </c>
      <c r="J12" s="15">
        <v>86.09999999999999</v>
      </c>
      <c r="K12" s="15">
        <v>-79</v>
      </c>
      <c r="L12" s="15">
        <v>0</v>
      </c>
      <c r="M12" s="15">
        <v>0</v>
      </c>
      <c r="N12" s="15">
        <f>SUM(C9:C12)/4</f>
        <v>5244.65</v>
      </c>
      <c r="O12" s="17"/>
      <c r="P12" s="16">
        <f>C12/C11-1</f>
        <v>-0.06717916879701991</v>
      </c>
      <c r="Q12" s="16">
        <f>(D9+D10+D11+D12+E9+E10+E11+E12-C9-C10-C11-C12)/(C9+C10+C11+C12)</f>
        <v>-0.961999370787374</v>
      </c>
      <c r="R12" s="17"/>
      <c r="S12" s="15">
        <f>SUM(J9:K12)/4</f>
        <v>103.7</v>
      </c>
      <c r="T12" s="17"/>
      <c r="U12" s="15">
        <f>-(L12+M12)+U11</f>
        <v>28</v>
      </c>
      <c r="V12" s="17"/>
      <c r="W12" s="15">
        <f>F12-G12</f>
        <v>-1512</v>
      </c>
      <c r="X12" s="24"/>
      <c r="Y12" s="15">
        <v>2023.170654</v>
      </c>
      <c r="Z12" s="24"/>
    </row>
    <row r="13" ht="20.05" customHeight="1">
      <c r="B13" s="13"/>
      <c r="C13" s="14">
        <v>5897</v>
      </c>
      <c r="D13" s="15">
        <v>31.7</v>
      </c>
      <c r="E13" s="15">
        <v>182.2</v>
      </c>
      <c r="F13" s="15">
        <v>380</v>
      </c>
      <c r="G13" s="15">
        <v>2111</v>
      </c>
      <c r="H13" s="15">
        <v>7977</v>
      </c>
      <c r="I13" s="15">
        <v>6458.1</v>
      </c>
      <c r="J13" s="15">
        <v>-673.7</v>
      </c>
      <c r="K13" s="15">
        <v>-21.6</v>
      </c>
      <c r="L13" s="15">
        <v>0</v>
      </c>
      <c r="M13" s="15">
        <v>0</v>
      </c>
      <c r="N13" s="15">
        <f>SUM(C10:C13)/4</f>
        <v>5379.375</v>
      </c>
      <c r="O13" s="17"/>
      <c r="P13" s="16">
        <f>C13/C12-1</f>
        <v>0.154350592150338</v>
      </c>
      <c r="Q13" s="16">
        <f>(D10+D11+D12+D13+E10+E11+E12+E13-C10-C11-C12-C13)/(C10+C11+C12+C13)</f>
        <v>-0.962356221680028</v>
      </c>
      <c r="R13" s="17"/>
      <c r="S13" s="15">
        <f>SUM(J10:K13)/4</f>
        <v>6.775</v>
      </c>
      <c r="T13" s="17"/>
      <c r="U13" s="15">
        <f>-(L13+M13)+U12</f>
        <v>28</v>
      </c>
      <c r="V13" s="17"/>
      <c r="W13" s="15">
        <f>F13-G13</f>
        <v>-1731</v>
      </c>
      <c r="X13" s="24"/>
      <c r="Y13" s="15">
        <v>2290.908936</v>
      </c>
      <c r="Z13" s="24"/>
    </row>
    <row r="14" ht="20.05" customHeight="1">
      <c r="B14" s="13"/>
      <c r="C14" s="14">
        <v>5475.3</v>
      </c>
      <c r="D14" s="15">
        <v>31.5</v>
      </c>
      <c r="E14" s="15">
        <v>156.7</v>
      </c>
      <c r="F14" s="15">
        <v>693</v>
      </c>
      <c r="G14" s="15">
        <v>2347</v>
      </c>
      <c r="H14" s="15">
        <v>8374</v>
      </c>
      <c r="I14" s="15">
        <v>5866.9</v>
      </c>
      <c r="J14" s="15">
        <v>399.8</v>
      </c>
      <c r="K14" s="15">
        <v>-73.40000000000001</v>
      </c>
      <c r="L14" s="15">
        <v>0</v>
      </c>
      <c r="M14" s="15">
        <v>0</v>
      </c>
      <c r="N14" s="15">
        <f>SUM(C11:C14)/4</f>
        <v>5489.3</v>
      </c>
      <c r="O14" s="17"/>
      <c r="P14" s="16">
        <f>C14/C13-1</f>
        <v>-0.0715109377649652</v>
      </c>
      <c r="Q14" s="16">
        <f>(D11+D12+D13+D14+E11+E12+E13+E14-C11-C12-C13-C14)/(C11+C12+C13+C14)</f>
        <v>-0.964417138797297</v>
      </c>
      <c r="R14" s="17"/>
      <c r="S14" s="15">
        <f>SUM(J11:K14)/4</f>
        <v>-42.9</v>
      </c>
      <c r="T14" s="17"/>
      <c r="U14" s="15">
        <f>-(L14+M14)+U13</f>
        <v>28</v>
      </c>
      <c r="V14" s="17"/>
      <c r="W14" s="15">
        <f>F14-G14</f>
        <v>-1654</v>
      </c>
      <c r="X14" s="24"/>
      <c r="Y14" s="15">
        <v>2052.272705</v>
      </c>
      <c r="Z14" s="24"/>
    </row>
    <row r="15" ht="20.05" customHeight="1">
      <c r="B15" s="13"/>
      <c r="C15" s="14">
        <v>5746.1</v>
      </c>
      <c r="D15" s="15">
        <v>33.2</v>
      </c>
      <c r="E15" s="15">
        <v>109.8</v>
      </c>
      <c r="F15" s="15">
        <v>1041</v>
      </c>
      <c r="G15" s="15">
        <v>2576</v>
      </c>
      <c r="H15" s="15">
        <v>8705</v>
      </c>
      <c r="I15" s="15">
        <v>6491.3</v>
      </c>
      <c r="J15" s="15">
        <v>430.5</v>
      </c>
      <c r="K15" s="15">
        <v>-88.90000000000001</v>
      </c>
      <c r="L15" s="15">
        <v>0</v>
      </c>
      <c r="M15" s="15">
        <v>-244</v>
      </c>
      <c r="N15" s="15">
        <f>SUM(C12:C15)/4</f>
        <v>5556.725</v>
      </c>
      <c r="O15" s="17"/>
      <c r="P15" s="16">
        <f>C15/C14-1</f>
        <v>0.0494584771610688</v>
      </c>
      <c r="Q15" s="16">
        <f>(D12+D13+D14+D15+E12+E13+E14+E15-C12-C13-C14-C15)/(C12+C13+C14+C15)</f>
        <v>-0.968106213642028</v>
      </c>
      <c r="R15" s="17"/>
      <c r="S15" s="15">
        <f>SUM(J12:K15)/4</f>
        <v>-5.05</v>
      </c>
      <c r="T15" s="17"/>
      <c r="U15" s="15">
        <f>-(L15+M15)+U14</f>
        <v>272</v>
      </c>
      <c r="V15" s="17"/>
      <c r="W15" s="15">
        <f>F15-G15</f>
        <v>-1535</v>
      </c>
      <c r="X15" s="24"/>
      <c r="Y15" s="15">
        <v>1956.818115</v>
      </c>
      <c r="Z15" s="24"/>
    </row>
    <row r="16" ht="20.05" customHeight="1">
      <c r="B16" s="21">
        <v>2020</v>
      </c>
      <c r="C16" s="14">
        <v>5574.18</v>
      </c>
      <c r="D16" s="15">
        <v>32.8</v>
      </c>
      <c r="E16" s="15">
        <v>175.85</v>
      </c>
      <c r="F16" s="15">
        <v>996</v>
      </c>
      <c r="G16" s="15">
        <v>3350</v>
      </c>
      <c r="H16" s="15">
        <v>9609</v>
      </c>
      <c r="I16" s="15">
        <v>5806.9</v>
      </c>
      <c r="J16" s="15">
        <v>6.9</v>
      </c>
      <c r="K16" s="15">
        <v>-59.4</v>
      </c>
      <c r="L16" s="15">
        <v>-0.1</v>
      </c>
      <c r="M16" s="15">
        <v>0</v>
      </c>
      <c r="N16" s="15">
        <f>SUM(C13:C16)/4</f>
        <v>5673.145</v>
      </c>
      <c r="O16" s="15"/>
      <c r="P16" s="16">
        <f>C16/C15-1</f>
        <v>-0.0299194236090566</v>
      </c>
      <c r="Q16" s="16">
        <f>(D13+D14+D15+D16+E13+E14+E15+E16-C13-C14-C15-C16)/(C13+C14+C15+C16)</f>
        <v>-0.966784296893522</v>
      </c>
      <c r="R16" s="17"/>
      <c r="S16" s="15">
        <f>SUM(J13:K16)/4</f>
        <v>-19.95</v>
      </c>
      <c r="T16" s="17"/>
      <c r="U16" s="15">
        <f>-(L16+M16)+U15</f>
        <v>272.1</v>
      </c>
      <c r="V16" s="17"/>
      <c r="W16" s="15">
        <f>F16-G16</f>
        <v>-2354</v>
      </c>
      <c r="X16" s="24"/>
      <c r="Y16" s="15">
        <v>2243.181885</v>
      </c>
      <c r="Z16" s="24"/>
    </row>
    <row r="17" ht="20.05" customHeight="1">
      <c r="B17" s="13"/>
      <c r="C17" s="14">
        <v>5927.62</v>
      </c>
      <c r="D17" s="15">
        <v>33.5</v>
      </c>
      <c r="E17" s="15">
        <v>146.25</v>
      </c>
      <c r="F17" s="15">
        <v>547</v>
      </c>
      <c r="G17" s="15">
        <v>2132</v>
      </c>
      <c r="H17" s="15">
        <v>8354</v>
      </c>
      <c r="I17" s="15">
        <v>7088.9</v>
      </c>
      <c r="J17" s="15">
        <v>-249.1</v>
      </c>
      <c r="K17" s="15">
        <v>-27.9</v>
      </c>
      <c r="L17" s="15">
        <v>75.09999999999999</v>
      </c>
      <c r="M17" s="15">
        <v>-240.9</v>
      </c>
      <c r="N17" s="15">
        <f>SUM(C14:C17)/4</f>
        <v>5680.8</v>
      </c>
      <c r="O17" s="15"/>
      <c r="P17" s="16">
        <f>C17/C16-1</f>
        <v>0.06340663559483189</v>
      </c>
      <c r="Q17" s="16">
        <f>(D14+D15+D16+D17+E14+E15+E16+E17-C14-C15-C16-C17)/(C14+C15+C16+C17)</f>
        <v>-0.968331925080975</v>
      </c>
      <c r="R17" s="17"/>
      <c r="S17" s="15">
        <f>SUM(J14:K17)/4</f>
        <v>84.625</v>
      </c>
      <c r="T17" s="17"/>
      <c r="U17" s="15">
        <f>-(L17+M17)+U16</f>
        <v>437.9</v>
      </c>
      <c r="V17" s="17"/>
      <c r="W17" s="15">
        <f>F17-G17</f>
        <v>-1585</v>
      </c>
      <c r="X17" s="24"/>
      <c r="Y17" s="15">
        <v>1850</v>
      </c>
      <c r="Z17" s="24"/>
    </row>
    <row r="18" ht="20.05" customHeight="1">
      <c r="B18" s="13"/>
      <c r="C18" s="14">
        <v>5367.1</v>
      </c>
      <c r="D18" s="15">
        <v>34.9</v>
      </c>
      <c r="E18" s="15">
        <v>115.6</v>
      </c>
      <c r="F18" s="15">
        <v>1373</v>
      </c>
      <c r="G18" s="15">
        <v>2584</v>
      </c>
      <c r="H18" s="15">
        <v>8924</v>
      </c>
      <c r="I18" s="15">
        <v>5903.2</v>
      </c>
      <c r="J18" s="15">
        <v>883.8</v>
      </c>
      <c r="K18" s="15">
        <v>-48.4</v>
      </c>
      <c r="L18" s="15">
        <v>-7.7</v>
      </c>
      <c r="M18" s="15">
        <v>-2.9</v>
      </c>
      <c r="N18" s="15">
        <f>SUM(C15:C18)/4</f>
        <v>5653.75</v>
      </c>
      <c r="O18" s="15"/>
      <c r="P18" s="16">
        <f>C18/C17-1</f>
        <v>-0.09456071745489759</v>
      </c>
      <c r="Q18" s="16">
        <f>(D15+D16+D17+D18+E15+E16+E17+E18-C15-C16-C17-C18)/(C15+C16+C17+C18)</f>
        <v>-0.969847446385143</v>
      </c>
      <c r="R18" s="17"/>
      <c r="S18" s="15">
        <f>SUM(J15:K18)/4</f>
        <v>211.875</v>
      </c>
      <c r="T18" s="17"/>
      <c r="U18" s="15">
        <f>-(L18+M18)+U17</f>
        <v>448.5</v>
      </c>
      <c r="V18" s="17"/>
      <c r="W18" s="15">
        <f>F18-G18</f>
        <v>-1211</v>
      </c>
      <c r="X18" s="24"/>
      <c r="Y18" s="15">
        <v>1840</v>
      </c>
      <c r="Z18" s="24"/>
    </row>
    <row r="19" ht="20.05" customHeight="1">
      <c r="B19" s="13"/>
      <c r="C19" s="14">
        <v>5676.5</v>
      </c>
      <c r="D19" s="15">
        <v>99.8</v>
      </c>
      <c r="E19" s="15">
        <v>242.2</v>
      </c>
      <c r="F19" s="15">
        <v>1619</v>
      </c>
      <c r="G19" s="15">
        <v>2652</v>
      </c>
      <c r="H19" s="15">
        <v>9212</v>
      </c>
      <c r="I19" s="15">
        <v>6073.4</v>
      </c>
      <c r="J19" s="15">
        <v>319.7</v>
      </c>
      <c r="K19" s="15">
        <v>-20.8</v>
      </c>
      <c r="L19" s="15">
        <v>-67.40000000000001</v>
      </c>
      <c r="M19" s="15">
        <v>16.4</v>
      </c>
      <c r="N19" s="15">
        <f>SUM(C16:C19)/4</f>
        <v>5636.35</v>
      </c>
      <c r="O19" s="15"/>
      <c r="P19" s="16">
        <f>C19/C18-1</f>
        <v>0.0576475191444169</v>
      </c>
      <c r="Q19" s="16">
        <f>(D16+D17+D18+D19+E16+E17+E18+E19-C16-C17-C18-C19)/(C16+C17+C18+C19)</f>
        <v>-0.9609277280509551</v>
      </c>
      <c r="R19" s="17"/>
      <c r="S19" s="15">
        <f>SUM(J16:K19)/4</f>
        <v>201.2</v>
      </c>
      <c r="T19" s="17"/>
      <c r="U19" s="15">
        <f>-(L19+M19)+U18</f>
        <v>499.5</v>
      </c>
      <c r="V19" s="17"/>
      <c r="W19" s="15">
        <f>F19-G19</f>
        <v>-1033</v>
      </c>
      <c r="X19" s="24"/>
      <c r="Y19" s="15">
        <v>2110</v>
      </c>
      <c r="Z19" s="24"/>
    </row>
    <row r="20" ht="20.05" customHeight="1">
      <c r="B20" s="21">
        <v>2021</v>
      </c>
      <c r="C20" s="14">
        <v>5775.7</v>
      </c>
      <c r="D20" s="15">
        <v>36.9</v>
      </c>
      <c r="E20" s="15">
        <v>229.102</v>
      </c>
      <c r="F20" s="15">
        <v>1375</v>
      </c>
      <c r="G20" s="15">
        <v>2813</v>
      </c>
      <c r="H20" s="15">
        <v>9604</v>
      </c>
      <c r="I20" s="15">
        <v>6118.2</v>
      </c>
      <c r="J20" s="15">
        <v>-248.4</v>
      </c>
      <c r="K20" s="15">
        <v>2.5</v>
      </c>
      <c r="L20" s="15">
        <v>0</v>
      </c>
      <c r="M20" s="15">
        <v>0</v>
      </c>
      <c r="N20" s="15">
        <f>SUM(C17:C20)/4</f>
        <v>5686.73</v>
      </c>
      <c r="O20" s="15"/>
      <c r="P20" s="16">
        <f>C20/C19-1</f>
        <v>0.0174755571214657</v>
      </c>
      <c r="Q20" s="16">
        <f>(D17+D18+D19+D20+E17+E18+E19+E20-C17-C18-C19-C20)/(C17+C18+C19+C20)</f>
        <v>-0.958752569578651</v>
      </c>
      <c r="R20" s="17"/>
      <c r="S20" s="15">
        <f>SUM(J17:K20)/4</f>
        <v>152.85</v>
      </c>
      <c r="T20" s="17"/>
      <c r="U20" s="15">
        <f>-(L20+M20)+U19</f>
        <v>499.5</v>
      </c>
      <c r="V20" s="17"/>
      <c r="W20" s="15">
        <f>F20-G20</f>
        <v>-1438</v>
      </c>
      <c r="X20" s="15"/>
      <c r="Y20" s="15">
        <v>2150</v>
      </c>
      <c r="Z20" s="15"/>
    </row>
    <row r="21" ht="20.05" customHeight="1">
      <c r="B21" s="13"/>
      <c r="C21" s="14">
        <v>6455.6</v>
      </c>
      <c r="D21" s="15">
        <v>37.4</v>
      </c>
      <c r="E21" s="15">
        <v>180.698</v>
      </c>
      <c r="F21" s="15">
        <v>827</v>
      </c>
      <c r="G21" s="15">
        <v>2755</v>
      </c>
      <c r="H21" s="15">
        <v>9187</v>
      </c>
      <c r="I21" s="15">
        <v>6881.2</v>
      </c>
      <c r="J21" s="15">
        <v>-80</v>
      </c>
      <c r="K21" s="15">
        <v>-28</v>
      </c>
      <c r="L21" s="15">
        <v>99.90000000000001</v>
      </c>
      <c r="M21" s="15">
        <v>-539</v>
      </c>
      <c r="N21" s="15">
        <f>SUM(C18:C21)/4</f>
        <v>5818.725</v>
      </c>
      <c r="O21" s="15"/>
      <c r="P21" s="16">
        <f>C21/C20-1</f>
        <v>0.11771733296397</v>
      </c>
      <c r="Q21" s="16">
        <f>(D18+D19+D20+D21+E18+E19+E20+E21-C18-C19-C20-C21)/(C18+C19+C20+C21)</f>
        <v>-0.958040636049994</v>
      </c>
      <c r="R21" s="17"/>
      <c r="S21" s="15">
        <f>SUM(J18:K21)/4</f>
        <v>195.1</v>
      </c>
      <c r="T21" s="17"/>
      <c r="U21" s="15">
        <f>-(L21+M21)+U20</f>
        <v>938.6</v>
      </c>
      <c r="V21" s="17"/>
      <c r="W21" s="15">
        <f>F21-G21</f>
        <v>-1928</v>
      </c>
      <c r="X21" s="15"/>
      <c r="Y21" s="15">
        <v>2320</v>
      </c>
      <c r="Z21" s="15"/>
    </row>
    <row r="22" ht="20.05" customHeight="1">
      <c r="B22" s="13"/>
      <c r="C22" s="14">
        <v>6585.4</v>
      </c>
      <c r="D22" s="15">
        <v>38.18</v>
      </c>
      <c r="E22" s="15">
        <v>260.3</v>
      </c>
      <c r="F22" s="15">
        <v>1237</v>
      </c>
      <c r="G22" s="15">
        <v>3107</v>
      </c>
      <c r="H22" s="15">
        <v>9777</v>
      </c>
      <c r="I22" s="15">
        <v>7363.75</v>
      </c>
      <c r="J22" s="15">
        <v>465.9</v>
      </c>
      <c r="K22" s="15">
        <v>-12.9</v>
      </c>
      <c r="L22" s="15">
        <v>-40</v>
      </c>
      <c r="M22" s="15">
        <v>-2.7</v>
      </c>
      <c r="N22" s="15">
        <f>SUM(C19:C22)/4</f>
        <v>6123.3</v>
      </c>
      <c r="O22" s="15">
        <v>6008.6175</v>
      </c>
      <c r="P22" s="16">
        <f>C22/C21-1</f>
        <v>0.0201065741371832</v>
      </c>
      <c r="Q22" s="16">
        <f>(D19+D20+D21+D22+E19+E20+E21+E22-C19-C20-C21-C22)/(C19+C20+C21+C22)</f>
        <v>-0.954086032041546</v>
      </c>
      <c r="R22" s="17"/>
      <c r="S22" s="15">
        <f>SUM(J19:K22)/4</f>
        <v>99.5</v>
      </c>
      <c r="T22" s="17"/>
      <c r="U22" s="15">
        <f>-(L22+M22)+U21</f>
        <v>981.3</v>
      </c>
      <c r="V22" s="17"/>
      <c r="W22" s="15">
        <f>F22-G22</f>
        <v>-1870</v>
      </c>
      <c r="X22" s="15"/>
      <c r="Y22" s="15">
        <v>2260</v>
      </c>
      <c r="Z22" s="15"/>
    </row>
    <row r="23" ht="20.05" customHeight="1">
      <c r="B23" s="13"/>
      <c r="C23" s="14">
        <v>6857.1</v>
      </c>
      <c r="D23" s="15">
        <v>39.12</v>
      </c>
      <c r="E23" s="15">
        <v>176.1</v>
      </c>
      <c r="F23" s="15">
        <v>1325</v>
      </c>
      <c r="G23" s="15">
        <v>2883</v>
      </c>
      <c r="H23" s="15">
        <v>9730</v>
      </c>
      <c r="I23" s="15">
        <v>7969.05</v>
      </c>
      <c r="J23" s="15">
        <v>240.9</v>
      </c>
      <c r="K23" s="15">
        <v>-95.40000000000001</v>
      </c>
      <c r="L23" s="15">
        <v>-60</v>
      </c>
      <c r="M23" s="15">
        <v>2</v>
      </c>
      <c r="N23" s="15">
        <f>SUM(C20:C23)/4</f>
        <v>6418.45</v>
      </c>
      <c r="O23" s="15">
        <v>6310.635</v>
      </c>
      <c r="P23" s="16">
        <f>C23/C22-1</f>
        <v>0.0412579342181189</v>
      </c>
      <c r="Q23" s="16">
        <f>(D20+D21+D22+D23+E20+E21+E22+E23-C20-C21-C22-C23)/(C20+C21+C22+C23)</f>
        <v>-0.961135476633767</v>
      </c>
      <c r="R23" s="17"/>
      <c r="S23" s="15">
        <f>SUM(J20:K23)/4</f>
        <v>61.15</v>
      </c>
      <c r="T23" s="17"/>
      <c r="U23" s="15">
        <f>-(L23+M23)+U22</f>
        <v>1039.3</v>
      </c>
      <c r="V23" s="17"/>
      <c r="W23" s="15">
        <f>F23-G23</f>
        <v>-1558</v>
      </c>
      <c r="X23" s="15"/>
      <c r="Y23" s="15">
        <v>2700</v>
      </c>
      <c r="Z23" s="15"/>
    </row>
    <row r="24" ht="20.05" customHeight="1">
      <c r="B24" s="21">
        <v>2022</v>
      </c>
      <c r="C24" s="14">
        <v>6798.8</v>
      </c>
      <c r="D24" s="15">
        <v>46</v>
      </c>
      <c r="E24" s="15">
        <v>264.1</v>
      </c>
      <c r="F24" s="15">
        <v>1255</v>
      </c>
      <c r="G24" s="15">
        <v>3633</v>
      </c>
      <c r="H24" s="15">
        <v>10746</v>
      </c>
      <c r="I24" s="15">
        <v>6778.9</v>
      </c>
      <c r="J24" s="15">
        <v>-203.4</v>
      </c>
      <c r="K24" s="15">
        <v>-16.2</v>
      </c>
      <c r="L24" s="15">
        <v>150</v>
      </c>
      <c r="M24" s="15">
        <v>0</v>
      </c>
      <c r="N24" s="15">
        <f>SUM(C21:C24)/4</f>
        <v>6674.225</v>
      </c>
      <c r="O24" s="15">
        <v>6412.96575</v>
      </c>
      <c r="P24" s="16">
        <f>C24/C23-1</f>
        <v>-0.008502136471686281</v>
      </c>
      <c r="Q24" s="16">
        <f>(D21+D22+D23+D24+E21+E22+E23+E24-C21-C22-C23-C24)/(C21+C22+C23+C24)</f>
        <v>-0.96097307177987</v>
      </c>
      <c r="R24" s="16">
        <v>-0.9612308350243099</v>
      </c>
      <c r="S24" s="15">
        <f>SUM(J21:K24)/4</f>
        <v>67.72499999999999</v>
      </c>
      <c r="T24" s="15">
        <v>256.731141213010</v>
      </c>
      <c r="U24" s="15">
        <f>-(L24+M24)+U23</f>
        <v>889.3</v>
      </c>
      <c r="V24" s="15"/>
      <c r="W24" s="15">
        <f>F24-G24</f>
        <v>-2378</v>
      </c>
      <c r="X24" s="15">
        <v>-1059.341309517990</v>
      </c>
      <c r="Y24" s="15">
        <v>2730</v>
      </c>
      <c r="Z24" s="17"/>
    </row>
    <row r="25" ht="20.05" customHeight="1">
      <c r="B25" s="13"/>
      <c r="C25" s="14">
        <v>6925.7</v>
      </c>
      <c r="D25" s="15">
        <v>39.4</v>
      </c>
      <c r="E25" s="15">
        <v>169.5</v>
      </c>
      <c r="F25" s="15">
        <v>761</v>
      </c>
      <c r="G25" s="15">
        <v>3464</v>
      </c>
      <c r="H25" s="15">
        <v>10181</v>
      </c>
      <c r="I25" s="15">
        <v>7769</v>
      </c>
      <c r="J25" s="15">
        <v>-90.2</v>
      </c>
      <c r="K25" s="15">
        <v>142.7</v>
      </c>
      <c r="L25" s="15">
        <v>5</v>
      </c>
      <c r="M25" s="15">
        <v>-552.6</v>
      </c>
      <c r="N25" s="15">
        <f>SUM(C22:C25)/4</f>
        <v>6791.75</v>
      </c>
      <c r="O25" s="15">
        <v>6693.411</v>
      </c>
      <c r="P25" s="16">
        <f>C25/C24-1</f>
        <v>0.0186650585397423</v>
      </c>
      <c r="Q25" s="16">
        <f>(D22+D23+D24+D25+E22+E23+E24+E25-C22-C23-C24-C25)/(C22+C23+C24+C25)</f>
        <v>-0.961986969485037</v>
      </c>
      <c r="R25" s="16">
        <v>-0.9612308350243099</v>
      </c>
      <c r="S25" s="15">
        <f>SUM(J22:K25)/4</f>
        <v>107.85</v>
      </c>
      <c r="T25" s="15">
        <v>256.731141213010</v>
      </c>
      <c r="U25" s="15">
        <f>-(L25+M25)+U24</f>
        <v>1436.9</v>
      </c>
      <c r="V25" s="15"/>
      <c r="W25" s="15">
        <f>F25-G25</f>
        <v>-2703</v>
      </c>
      <c r="X25" s="15">
        <v>-1059.341309517990</v>
      </c>
      <c r="Y25" s="15">
        <v>2800</v>
      </c>
      <c r="Z25" s="15">
        <v>4317.9043990963</v>
      </c>
    </row>
    <row r="26" ht="20.05" customHeight="1">
      <c r="B26" s="13"/>
      <c r="C26" s="14">
        <v>7107.3</v>
      </c>
      <c r="D26" s="15">
        <v>35</v>
      </c>
      <c r="E26" s="15">
        <v>237.1</v>
      </c>
      <c r="F26" s="15">
        <v>539</v>
      </c>
      <c r="G26" s="15">
        <v>3206</v>
      </c>
      <c r="H26" s="15">
        <v>10160</v>
      </c>
      <c r="I26" s="15">
        <v>7603.7</v>
      </c>
      <c r="J26" s="15">
        <v>-199.5</v>
      </c>
      <c r="K26" s="15">
        <v>0.5</v>
      </c>
      <c r="L26" s="15">
        <v>-20</v>
      </c>
      <c r="M26" s="15">
        <v>-2.7</v>
      </c>
      <c r="N26" s="15">
        <f>SUM(C23:C26)/4</f>
        <v>6922.225</v>
      </c>
      <c r="O26" s="15">
        <v>6890.45575</v>
      </c>
      <c r="P26" s="16">
        <f>C26/C25-1</f>
        <v>0.0262211761987958</v>
      </c>
      <c r="Q26" s="16">
        <f>(D23+D24+D25+D26+E23+E24+E25+E26-C23-C24-C25-C26)/(C23+C24+C25+C26)</f>
        <v>-0.963656194359473</v>
      </c>
      <c r="R26" s="16">
        <v>-0.961878760480592</v>
      </c>
      <c r="S26" s="15">
        <f>SUM(J23:K26)/4</f>
        <v>-55.15</v>
      </c>
      <c r="T26" s="15">
        <v>254.854954094790</v>
      </c>
      <c r="U26" s="15">
        <f>-(L26+M26)+U25</f>
        <v>1459.6</v>
      </c>
      <c r="V26" s="15">
        <f>U26</f>
        <v>1459.6</v>
      </c>
      <c r="W26" s="15">
        <f>F26-G26</f>
        <v>-2667</v>
      </c>
      <c r="X26" s="15">
        <v>-2131.483459332530</v>
      </c>
      <c r="Y26" s="15">
        <v>2700</v>
      </c>
      <c r="Z26" s="15">
        <v>4317.9043990963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AVERAGE(AB41:AE41)</f>
        <v>7446.651968808</v>
      </c>
      <c r="P27" s="17"/>
      <c r="Q27" s="17"/>
      <c r="R27" s="35">
        <f>AB42</f>
        <v>-0.963656194359473</v>
      </c>
      <c r="S27" s="17"/>
      <c r="T27" s="15">
        <f>SUM(AB45:AE45)/4</f>
        <v>254.439671827003</v>
      </c>
      <c r="U27" s="17"/>
      <c r="V27" s="15">
        <f>-SUM(AB66:AE66)+U26</f>
        <v>2477.358687308010</v>
      </c>
      <c r="W27" s="17"/>
      <c r="X27" s="15">
        <f>AE65</f>
        <v>-2110.253989679330</v>
      </c>
      <c r="Y27" s="15">
        <v>2700</v>
      </c>
      <c r="Z27" s="15">
        <v>4317.9043990963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SUM(N22:N26)</f>
        <v>32929.95</v>
      </c>
      <c r="O28" s="15">
        <f>SUM(O22:O26)</f>
        <v>32316.085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AE78</f>
        <v>4133.198047872030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20.05" customHeight="1">
      <c r="B30" t="s" s="56">
        <v>477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6" ht="27.65" customHeight="1">
      <c r="AA36" t="s" s="2">
        <v>296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20.25" customHeight="1">
      <c r="AA37" t="s" s="28">
        <v>366</v>
      </c>
      <c r="AB37" t="s" s="29">
        <v>24</v>
      </c>
      <c r="AC37" t="s" s="29">
        <v>25</v>
      </c>
      <c r="AD37" t="s" s="29">
        <v>26</v>
      </c>
      <c r="AE37" t="s" s="29">
        <v>23</v>
      </c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</row>
    <row r="38" ht="20.25" customHeight="1">
      <c r="AA38" t="s" s="31">
        <v>15</v>
      </c>
      <c r="AB38" s="32"/>
      <c r="AC38" s="9"/>
      <c r="AD38" s="9"/>
      <c r="AE38" s="202"/>
      <c r="AF38" s="203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204"/>
    </row>
    <row r="39" ht="20.05" customHeight="1">
      <c r="AA39" t="s" s="33">
        <v>27</v>
      </c>
      <c r="AB39" s="71">
        <f>AVERAGE(P23:P26)</f>
        <v>0.0194105081212427</v>
      </c>
      <c r="AC39" s="35"/>
      <c r="AD39" s="35"/>
      <c r="AE39" s="205">
        <f>AVERAGE(AB40:AE40)</f>
        <v>0.0175</v>
      </c>
      <c r="AF39" s="206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205"/>
    </row>
    <row r="40" ht="20.05" customHeight="1">
      <c r="AA40" t="s" s="33">
        <v>13</v>
      </c>
      <c r="AB40" s="37">
        <v>0.04</v>
      </c>
      <c r="AC40" s="35">
        <v>-0.01</v>
      </c>
      <c r="AD40" s="35">
        <v>0.02</v>
      </c>
      <c r="AE40" s="205">
        <v>0.02</v>
      </c>
      <c r="AF40" s="206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205"/>
    </row>
    <row r="41" ht="20.05" customHeight="1">
      <c r="AA41" t="s" s="33">
        <v>28</v>
      </c>
      <c r="AB41" s="38">
        <f>C26*(1+AB40)</f>
        <v>7391.592</v>
      </c>
      <c r="AC41" s="23">
        <f>AB41*(1+AC40)</f>
        <v>7317.67608</v>
      </c>
      <c r="AD41" s="23">
        <f>AC41*(1+AD40)</f>
        <v>7464.0296016</v>
      </c>
      <c r="AE41" s="207">
        <f>AD41*(1+AE40)</f>
        <v>7613.310193632</v>
      </c>
      <c r="AF41" s="208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07"/>
    </row>
    <row r="42" ht="20.05" customHeight="1">
      <c r="AA42" t="s" s="33">
        <v>570</v>
      </c>
      <c r="AB42" s="37">
        <f>AVERAGE(Q26)</f>
        <v>-0.963656194359473</v>
      </c>
      <c r="AC42" s="35">
        <f>AB42</f>
        <v>-0.963656194359473</v>
      </c>
      <c r="AD42" s="35">
        <f>AC42</f>
        <v>-0.963656194359473</v>
      </c>
      <c r="AE42" s="205">
        <f>AD42</f>
        <v>-0.963656194359473</v>
      </c>
      <c r="AF42" s="206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205"/>
    </row>
    <row r="43" ht="20.05" customHeight="1">
      <c r="AA43" t="s" s="33">
        <v>571</v>
      </c>
      <c r="AB43" s="14">
        <f>AB41*AB42</f>
        <v>-7122.953416977930</v>
      </c>
      <c r="AC43" s="15">
        <f>AC41*AC42</f>
        <v>-7051.723882808150</v>
      </c>
      <c r="AD43" s="15">
        <f>AD41*AD42</f>
        <v>-7192.758360464310</v>
      </c>
      <c r="AE43" s="209">
        <f>AE41*AE42</f>
        <v>-7336.6135276736</v>
      </c>
      <c r="AF43" s="210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209"/>
    </row>
    <row r="44" ht="20.05" customHeight="1">
      <c r="AA44" t="s" s="33">
        <v>29</v>
      </c>
      <c r="AB44" s="14">
        <f>AVERAGE(K24)</f>
        <v>-16.2</v>
      </c>
      <c r="AC44" s="15">
        <f>AB44</f>
        <v>-16.2</v>
      </c>
      <c r="AD44" s="15">
        <f>AC44</f>
        <v>-16.2</v>
      </c>
      <c r="AE44" s="209">
        <f>AD44</f>
        <v>-16.2</v>
      </c>
      <c r="AF44" s="210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209"/>
    </row>
    <row r="45" ht="20.05" customHeight="1">
      <c r="AA45" t="s" s="33">
        <v>30</v>
      </c>
      <c r="AB45" s="14">
        <f>AB41+AB43+AB44</f>
        <v>252.438583022070</v>
      </c>
      <c r="AC45" s="15">
        <f>AC41+AC43+AC44</f>
        <v>249.752197191850</v>
      </c>
      <c r="AD45" s="15">
        <f>AD41+AD43+AD44</f>
        <v>255.071241135690</v>
      </c>
      <c r="AE45" s="209">
        <f>AE41+AE43+AE44</f>
        <v>260.4966659584</v>
      </c>
      <c r="AF45" s="210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209"/>
    </row>
    <row r="46" ht="20.05" customHeight="1">
      <c r="AA46" t="s" s="33">
        <v>31</v>
      </c>
      <c r="AB46" s="14">
        <f>-G26/20</f>
        <v>-160.3</v>
      </c>
      <c r="AC46" s="15">
        <f>-AB61/20</f>
        <v>-152.285</v>
      </c>
      <c r="AD46" s="15">
        <f>-AC61/20</f>
        <v>-144.67075</v>
      </c>
      <c r="AE46" s="209">
        <f>-AD61/20</f>
        <v>-137.4372125</v>
      </c>
      <c r="AF46" s="210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209"/>
    </row>
    <row r="47" ht="20.05" customHeight="1">
      <c r="AA47" t="s" s="33">
        <v>32</v>
      </c>
      <c r="AB47" s="39">
        <v>-0.5</v>
      </c>
      <c r="AC47" s="15"/>
      <c r="AD47" s="15"/>
      <c r="AE47" s="209"/>
      <c r="AF47" s="210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209"/>
    </row>
    <row r="48" ht="20.05" customHeight="1">
      <c r="AA48" t="s" s="33">
        <v>33</v>
      </c>
      <c r="AB48" s="14">
        <f>IF(AB56&gt;0,AB56*$AB$47,0)</f>
        <v>-114.252624844369</v>
      </c>
      <c r="AC48" s="15">
        <f>IF(AC56&gt;0,AC56*$AB$47,0)</f>
        <v>-112.909431929259</v>
      </c>
      <c r="AD48" s="15">
        <f>IF(AD56&gt;0,AD56*$AB$47,0)</f>
        <v>-115.568953901179</v>
      </c>
      <c r="AE48" s="209">
        <f>IF(AE56&gt;0,AE56*$AB$47,0)</f>
        <v>-118.281666312534</v>
      </c>
      <c r="AF48" s="210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209"/>
    </row>
    <row r="49" ht="20.05" customHeight="1">
      <c r="AA49" t="s" s="33">
        <v>34</v>
      </c>
      <c r="AB49" s="14">
        <f>AB45+AB46+AB48</f>
        <v>-22.114041822299</v>
      </c>
      <c r="AC49" s="15">
        <f>AC45+AC46+AC48</f>
        <v>-15.442234737409</v>
      </c>
      <c r="AD49" s="15">
        <f>AD45+AD46+AD48</f>
        <v>-5.168462765489</v>
      </c>
      <c r="AE49" s="209">
        <f>AE45+AE46+AE48</f>
        <v>4.777787145866</v>
      </c>
      <c r="AF49" s="210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209"/>
    </row>
    <row r="50" ht="20.05" customHeight="1">
      <c r="AA50" t="s" s="33">
        <v>35</v>
      </c>
      <c r="AB50" s="14">
        <f>-MIN(0,AB49)</f>
        <v>22.114041822299</v>
      </c>
      <c r="AC50" s="15">
        <f>-MIN(AB62,AC49)</f>
        <v>15.442234737409</v>
      </c>
      <c r="AD50" s="15">
        <f>-MIN(AC62,AD49)</f>
        <v>5.168462765489</v>
      </c>
      <c r="AE50" s="209">
        <f>-MIN(AD62,AE49)</f>
        <v>-4.777787145866</v>
      </c>
      <c r="AF50" s="210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209"/>
    </row>
    <row r="51" ht="20.05" customHeight="1">
      <c r="AA51" t="s" s="33">
        <v>36</v>
      </c>
      <c r="AB51" s="14">
        <f>F26</f>
        <v>539</v>
      </c>
      <c r="AC51" s="15">
        <f>AB53</f>
        <v>539</v>
      </c>
      <c r="AD51" s="15">
        <f>AC53</f>
        <v>539</v>
      </c>
      <c r="AE51" s="209">
        <f>AD53</f>
        <v>539</v>
      </c>
      <c r="AF51" s="210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209"/>
    </row>
    <row r="52" ht="20.05" customHeight="1">
      <c r="AA52" t="s" s="33">
        <v>37</v>
      </c>
      <c r="AB52" s="14">
        <f>AB45+AB46+AB48+AB50</f>
        <v>0</v>
      </c>
      <c r="AC52" s="15">
        <f>AC45+AC46+AC48+AC50</f>
        <v>0</v>
      </c>
      <c r="AD52" s="15">
        <f>AD45+AD46+AD48+AD50</f>
        <v>0</v>
      </c>
      <c r="AE52" s="209">
        <f>AE45+AE46+AE48+AE50</f>
        <v>0</v>
      </c>
      <c r="AF52" s="210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209"/>
    </row>
    <row r="53" ht="20.05" customHeight="1">
      <c r="AA53" t="s" s="33">
        <v>38</v>
      </c>
      <c r="AB53" s="14">
        <f>AB51+AB52</f>
        <v>539</v>
      </c>
      <c r="AC53" s="15">
        <f>AC51+AC52</f>
        <v>539</v>
      </c>
      <c r="AD53" s="15">
        <f>AD51+AD52</f>
        <v>539</v>
      </c>
      <c r="AE53" s="209">
        <f>AE51+AE52</f>
        <v>539</v>
      </c>
      <c r="AF53" s="210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209"/>
    </row>
    <row r="54" ht="20.05" customHeight="1">
      <c r="AA54" t="s" s="41">
        <v>4</v>
      </c>
      <c r="AB54" s="14"/>
      <c r="AC54" s="15"/>
      <c r="AD54" s="15"/>
      <c r="AE54" s="211"/>
      <c r="AF54" s="212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211"/>
    </row>
    <row r="55" ht="20.05" customHeight="1">
      <c r="AA55" t="s" s="33">
        <v>3</v>
      </c>
      <c r="AB55" s="14">
        <f>-AVERAGE(D24:D26)</f>
        <v>-40.1333333333333</v>
      </c>
      <c r="AC55" s="15">
        <f>AB55</f>
        <v>-40.1333333333333</v>
      </c>
      <c r="AD55" s="15">
        <f>AC55</f>
        <v>-40.1333333333333</v>
      </c>
      <c r="AE55" s="209">
        <f>AD55</f>
        <v>-40.1333333333333</v>
      </c>
      <c r="AF55" s="210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209"/>
    </row>
    <row r="56" ht="20.05" customHeight="1">
      <c r="AA56" t="s" s="33">
        <v>4</v>
      </c>
      <c r="AB56" s="14">
        <f>AB41+AB43+AB55</f>
        <v>228.505249688737</v>
      </c>
      <c r="AC56" s="15">
        <f>AC41+AC43+AC55</f>
        <v>225.818863858517</v>
      </c>
      <c r="AD56" s="15">
        <f>AD41+AD43+AD55</f>
        <v>231.137907802357</v>
      </c>
      <c r="AE56" s="209">
        <f>AE41+AE43+AE55</f>
        <v>236.563332625067</v>
      </c>
      <c r="AF56" s="210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209"/>
    </row>
    <row r="57" ht="20.05" customHeight="1">
      <c r="AA57" t="s" s="41">
        <v>39</v>
      </c>
      <c r="AB57" s="14"/>
      <c r="AC57" s="15"/>
      <c r="AD57" s="15"/>
      <c r="AE57" s="209"/>
      <c r="AF57" s="210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209"/>
    </row>
    <row r="58" ht="20.05" customHeight="1">
      <c r="AA58" t="s" s="33">
        <v>40</v>
      </c>
      <c r="AB58" s="14">
        <f>H26-F26-AB44</f>
        <v>9637.200000000001</v>
      </c>
      <c r="AC58" s="15">
        <f>AB58-AC44</f>
        <v>9653.4</v>
      </c>
      <c r="AD58" s="15">
        <f>AC58-AD44</f>
        <v>9669.6</v>
      </c>
      <c r="AE58" s="209">
        <f>AD58-AE44</f>
        <v>9685.799999999999</v>
      </c>
      <c r="AF58" s="210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209"/>
    </row>
    <row r="59" ht="20.05" customHeight="1">
      <c r="AA59" t="s" s="33">
        <v>41</v>
      </c>
      <c r="AB59" s="14">
        <f>0-AB55</f>
        <v>40.1333333333333</v>
      </c>
      <c r="AC59" s="15">
        <f>AB59-AC55</f>
        <v>80.26666666666659</v>
      </c>
      <c r="AD59" s="15">
        <f>AC59-AD55</f>
        <v>120.4</v>
      </c>
      <c r="AE59" s="209">
        <f>AD59-AE55</f>
        <v>160.533333333333</v>
      </c>
      <c r="AF59" s="210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209"/>
    </row>
    <row r="60" ht="20.05" customHeight="1">
      <c r="AA60" t="s" s="33">
        <v>42</v>
      </c>
      <c r="AB60" s="14">
        <f>AB58-AB59</f>
        <v>9597.066666666669</v>
      </c>
      <c r="AC60" s="15">
        <f>AC58-AC59</f>
        <v>9573.133333333330</v>
      </c>
      <c r="AD60" s="15">
        <f>AD58-AD59</f>
        <v>9549.200000000001</v>
      </c>
      <c r="AE60" s="209">
        <f>AE58-AE59</f>
        <v>9525.266666666670</v>
      </c>
      <c r="AF60" s="210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209"/>
    </row>
    <row r="61" ht="20.05" customHeight="1">
      <c r="AA61" t="s" s="33">
        <v>6</v>
      </c>
      <c r="AB61" s="14">
        <f>G26+AB46</f>
        <v>3045.7</v>
      </c>
      <c r="AC61" s="15">
        <f>AB61+AC46</f>
        <v>2893.415</v>
      </c>
      <c r="AD61" s="15">
        <f>AC61+AD46</f>
        <v>2748.74425</v>
      </c>
      <c r="AE61" s="209">
        <f>AD61+AE46</f>
        <v>2611.3070375</v>
      </c>
      <c r="AF61" s="210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209"/>
    </row>
    <row r="62" ht="20.05" customHeight="1">
      <c r="AA62" t="s" s="33">
        <v>35</v>
      </c>
      <c r="AB62" s="14">
        <f>AB50</f>
        <v>22.114041822299</v>
      </c>
      <c r="AC62" s="15">
        <f>AB62+AC50</f>
        <v>37.556276559708</v>
      </c>
      <c r="AD62" s="15">
        <f>AC62+AD50</f>
        <v>42.724739325197</v>
      </c>
      <c r="AE62" s="209">
        <f>AD62+AE50</f>
        <v>37.946952179331</v>
      </c>
      <c r="AF62" s="210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209"/>
    </row>
    <row r="63" ht="20.05" customHeight="1">
      <c r="AA63" t="s" s="33">
        <v>11</v>
      </c>
      <c r="AB63" s="14">
        <f>(H26-G26)+AB56+AB48</f>
        <v>7068.252624844370</v>
      </c>
      <c r="AC63" s="15">
        <f>AB63+AC56+AC48</f>
        <v>7181.162056773630</v>
      </c>
      <c r="AD63" s="15">
        <f>AC63+AD56+AD48</f>
        <v>7296.731010674810</v>
      </c>
      <c r="AE63" s="209">
        <f>AD63+AE56+AE48</f>
        <v>7415.012676987340</v>
      </c>
      <c r="AF63" s="210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209"/>
    </row>
    <row r="64" ht="20.05" customHeight="1">
      <c r="AA64" t="s" s="33">
        <v>43</v>
      </c>
      <c r="AB64" s="14">
        <f>AB61+AB62+AB63-AB53-AB60</f>
        <v>-1e-12</v>
      </c>
      <c r="AC64" s="15">
        <f>AC61+AC62+AC63-AC53-AC60</f>
        <v>8e-12</v>
      </c>
      <c r="AD64" s="15">
        <f>AD61+AD62+AD63-AD53-AD60</f>
        <v>7e-12</v>
      </c>
      <c r="AE64" s="209">
        <f>AE61+AE62+AE63-AE53-AE60</f>
        <v>1e-12</v>
      </c>
      <c r="AF64" s="210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209"/>
    </row>
    <row r="65" ht="20.05" customHeight="1">
      <c r="AA65" t="s" s="33">
        <v>18</v>
      </c>
      <c r="AB65" s="14">
        <f>AB53-AB61-AB62</f>
        <v>-2528.8140418223</v>
      </c>
      <c r="AC65" s="15">
        <f>AC53-AC61-AC62</f>
        <v>-2391.971276559710</v>
      </c>
      <c r="AD65" s="15">
        <f>AD53-AD61-AD62</f>
        <v>-2252.4689893252</v>
      </c>
      <c r="AE65" s="209">
        <f>AE53-AE61-AE62</f>
        <v>-2110.253989679330</v>
      </c>
      <c r="AF65" s="210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209"/>
    </row>
    <row r="66" ht="20.05" customHeight="1">
      <c r="AA66" t="s" s="33">
        <v>44</v>
      </c>
      <c r="AB66" s="14">
        <f>AB46+AB48+AB50</f>
        <v>-252.438583022070</v>
      </c>
      <c r="AC66" s="15">
        <f>AC46+AC48+AC50</f>
        <v>-249.752197191850</v>
      </c>
      <c r="AD66" s="15">
        <f>AD46+AD48+AD50</f>
        <v>-255.071241135690</v>
      </c>
      <c r="AE66" s="209">
        <f>AE46+AE48+AE50</f>
        <v>-260.4966659584</v>
      </c>
      <c r="AF66" s="210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209"/>
    </row>
    <row r="67" ht="20.05" customHeight="1">
      <c r="AA67" t="s" s="33">
        <v>45</v>
      </c>
      <c r="AB67" s="14"/>
      <c r="AC67" s="15"/>
      <c r="AD67" s="15"/>
      <c r="AE67" s="209"/>
      <c r="AF67" s="210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209"/>
    </row>
    <row r="68" ht="20.05" customHeight="1">
      <c r="AA68" t="s" s="96">
        <v>296</v>
      </c>
      <c r="AB68" s="14"/>
      <c r="AC68" s="15"/>
      <c r="AD68" s="15"/>
      <c r="AE68" s="209">
        <v>2720</v>
      </c>
      <c r="AF68" s="210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209"/>
    </row>
    <row r="69" ht="20.05" customHeight="1">
      <c r="AA69" t="s" s="33">
        <f>$AA68</f>
        <v>572</v>
      </c>
      <c r="AB69" s="14"/>
      <c r="AC69" s="15"/>
      <c r="AD69" s="15"/>
      <c r="AE69" s="209">
        <v>7367500800000</v>
      </c>
      <c r="AF69" s="210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209"/>
    </row>
    <row r="70" ht="20.05" customHeight="1">
      <c r="AA70" t="s" s="33">
        <v>46</v>
      </c>
      <c r="AB70" s="14"/>
      <c r="AC70" s="15"/>
      <c r="AD70" s="15"/>
      <c r="AE70" s="209">
        <f>AE69/1000000000</f>
        <v>7367.5008</v>
      </c>
      <c r="AF70" s="210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209"/>
    </row>
    <row r="71" ht="20.05" customHeight="1">
      <c r="AA71" t="s" s="33">
        <v>47</v>
      </c>
      <c r="AB71" s="14"/>
      <c r="AC71" s="15"/>
      <c r="AD71" s="15"/>
      <c r="AE71" s="209">
        <f>AE70/AE68</f>
        <v>2.70864</v>
      </c>
      <c r="AF71" s="210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209"/>
    </row>
    <row r="72" ht="20.05" customHeight="1">
      <c r="AA72" t="s" s="33">
        <v>48</v>
      </c>
      <c r="AB72" s="14"/>
      <c r="AC72" s="15"/>
      <c r="AD72" s="15"/>
      <c r="AE72" s="213">
        <f>AE70/(AE53+AE60)</f>
        <v>0.732045467793646</v>
      </c>
      <c r="AF72" s="214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213"/>
    </row>
    <row r="73" ht="20.05" customHeight="1">
      <c r="AA73" t="s" s="33">
        <v>49</v>
      </c>
      <c r="AB73" s="14"/>
      <c r="AC73" s="15"/>
      <c r="AD73" s="15"/>
      <c r="AE73" s="215">
        <f>-(AB48+AC48+AD48+AE48)/AE70</f>
        <v>0.06257382109647559</v>
      </c>
      <c r="AF73" s="2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215"/>
    </row>
    <row r="74" ht="20.05" customHeight="1">
      <c r="AA74" t="s" s="33">
        <v>50</v>
      </c>
      <c r="AB74" s="14"/>
      <c r="AC74" s="15"/>
      <c r="AD74" s="15"/>
      <c r="AE74" s="209">
        <f>SUM(AB45:AE45)</f>
        <v>1017.758687308010</v>
      </c>
      <c r="AF74" s="210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209"/>
    </row>
    <row r="75" ht="20.05" customHeight="1">
      <c r="AA75" t="s" s="33">
        <v>51</v>
      </c>
      <c r="AB75" s="14"/>
      <c r="AC75" s="15"/>
      <c r="AD75" s="15"/>
      <c r="AE75" s="209">
        <f>(H26+F26)/AE74</f>
        <v>10.512315083548</v>
      </c>
      <c r="AF75" s="210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209"/>
    </row>
    <row r="76" ht="20.05" customHeight="1">
      <c r="AA76" t="s" s="33">
        <v>52</v>
      </c>
      <c r="AB76" s="14"/>
      <c r="AC76" s="15"/>
      <c r="AD76" s="15">
        <f>AE70/AE74</f>
        <v>7.23894661070118</v>
      </c>
      <c r="AE76" s="209">
        <v>11</v>
      </c>
      <c r="AF76" s="210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209"/>
    </row>
    <row r="77" ht="20.05" customHeight="1">
      <c r="AA77" t="s" s="33">
        <v>53</v>
      </c>
      <c r="AB77" s="14"/>
      <c r="AC77" s="15"/>
      <c r="AD77" s="15"/>
      <c r="AE77" s="209">
        <f>AE74*AE76</f>
        <v>11195.3455603881</v>
      </c>
      <c r="AF77" s="210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209"/>
    </row>
    <row r="78" ht="20.05" customHeight="1">
      <c r="AA78" t="s" s="33">
        <v>54</v>
      </c>
      <c r="AB78" s="14"/>
      <c r="AC78" s="15"/>
      <c r="AD78" s="15"/>
      <c r="AE78" s="209">
        <f>AE77/AE71</f>
        <v>4133.198047872030</v>
      </c>
      <c r="AF78" s="210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209"/>
    </row>
    <row r="79" ht="20.05" customHeight="1">
      <c r="AA79" t="s" s="33">
        <v>55</v>
      </c>
      <c r="AB79" s="38"/>
      <c r="AC79" s="23"/>
      <c r="AD79" s="23"/>
      <c r="AE79" s="215">
        <f>AE78/AE68-1</f>
        <v>0.519558105835305</v>
      </c>
      <c r="AF79" s="2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215"/>
    </row>
    <row r="80" ht="20.05" customHeight="1">
      <c r="AA80" t="s" s="33">
        <v>56</v>
      </c>
      <c r="AB80" s="38"/>
      <c r="AC80" s="23"/>
      <c r="AD80" s="23"/>
      <c r="AE80" s="215">
        <f>C26/C22-1</f>
        <v>0.0792510705500046</v>
      </c>
      <c r="AF80" s="2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215"/>
    </row>
    <row r="81" ht="20.05" customHeight="1">
      <c r="AA81" t="s" s="33">
        <v>57</v>
      </c>
      <c r="AB81" s="38"/>
      <c r="AC81" s="23"/>
      <c r="AD81" s="23"/>
      <c r="AE81" s="215">
        <f>O28/N28-1</f>
        <v>-0.0186415406036146</v>
      </c>
      <c r="AF81" s="21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218"/>
    </row>
    <row r="82" ht="20.05" customHeight="1">
      <c r="AA82" s="98"/>
      <c r="AB82" s="38"/>
      <c r="AC82" s="23"/>
      <c r="AD82" s="23"/>
      <c r="AE82" s="16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</row>
    <row r="83" ht="22" customHeight="1">
      <c r="AA83" s="36"/>
      <c r="AB83" t="s" s="100">
        <f>$AA68</f>
        <v>573</v>
      </c>
      <c r="AC83" t="s" s="44">
        <v>60</v>
      </c>
      <c r="AD83" s="15">
        <f>AE68</f>
        <v>2720</v>
      </c>
      <c r="AE83" t="s" s="44">
        <v>61</v>
      </c>
      <c r="AF83" s="15">
        <f>AE78</f>
        <v>4133.198047872030</v>
      </c>
      <c r="AG83" t="s" s="44">
        <f>IF(AH83&gt;0,"+","")</f>
        <v>361</v>
      </c>
      <c r="AH83" s="16">
        <f>AF83/AD83-1</f>
        <v>0.519558105835305</v>
      </c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</row>
    <row r="84" ht="20.05" customHeight="1">
      <c r="AA84" s="36"/>
      <c r="AB84" s="46">
        <f>TODAY()</f>
        <v>44942</v>
      </c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</row>
    <row r="85" ht="32.05" customHeight="1">
      <c r="AA85" s="36"/>
      <c r="AB85" t="s" s="45">
        <v>62</v>
      </c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</row>
    <row r="86" ht="32.05" customHeight="1">
      <c r="AA86" s="36"/>
      <c r="AB86" t="s" s="45">
        <v>63</v>
      </c>
      <c r="AC86" t="s" s="44">
        <v>64</v>
      </c>
      <c r="AD86" t="s" s="44">
        <f>IF(AE86&gt;0,"+","")</f>
        <v>361</v>
      </c>
      <c r="AE86" s="16">
        <f>AF93/AB93-1</f>
        <v>0.0792510705500046</v>
      </c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</row>
    <row r="87" ht="32.05" customHeight="1">
      <c r="AA87" s="36"/>
      <c r="AB87" t="s" s="45">
        <v>63</v>
      </c>
      <c r="AC87" t="s" s="44">
        <v>65</v>
      </c>
      <c r="AD87" t="s" s="44">
        <f>IF(AE87&gt;0,"+","")</f>
      </c>
      <c r="AE87" s="16">
        <f>SUM(AC106:AF107)/AC123</f>
        <v>-0.0299423109665628</v>
      </c>
      <c r="AF87" t="s" s="44">
        <v>66</v>
      </c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</row>
    <row r="88" ht="32.05" customHeight="1">
      <c r="AA88" s="36"/>
      <c r="AB88" t="s" s="45">
        <v>63</v>
      </c>
      <c r="AC88" t="s" s="44">
        <v>17</v>
      </c>
      <c r="AD88" t="s" s="44">
        <f>IF(AE88&gt;0,"+","")</f>
        <v>361</v>
      </c>
      <c r="AE88" s="16">
        <f>SUM(AC120:AF121)/AC123</f>
        <v>0.0649202508400135</v>
      </c>
      <c r="AF88" t="s" s="44">
        <f>AF87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</row>
    <row r="89" ht="32.05" customHeight="1">
      <c r="AA89" s="36"/>
      <c r="AB89" t="s" s="45">
        <v>68</v>
      </c>
      <c r="AC89" t="s" s="44">
        <v>369</v>
      </c>
      <c r="AD89" s="16">
        <f>AM116/AC123</f>
        <v>-0.361995210098925</v>
      </c>
      <c r="AE89" t="s" s="44">
        <f>AF88</f>
        <v>66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</row>
    <row r="90" ht="20.05" customHeight="1">
      <c r="AA90" s="36"/>
      <c r="AB90" t="s" s="45">
        <v>28</v>
      </c>
      <c r="AC90" t="s" s="44">
        <f>AC94</f>
        <v>362</v>
      </c>
      <c r="AD90" s="16">
        <f>AD94</f>
        <v>0.0262211761987958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</row>
    <row r="91" ht="32.05" customHeight="1">
      <c r="AA91" s="36"/>
      <c r="AB91" t="s" s="45">
        <v>70</v>
      </c>
      <c r="AC91" t="s" s="44">
        <v>371</v>
      </c>
      <c r="AD91" t="s" s="44">
        <f>AJ94</f>
        <v>372</v>
      </c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</row>
    <row r="92" ht="20.05" customHeight="1">
      <c r="AA92" s="36"/>
      <c r="AB92" s="71">
        <f>P22</f>
        <v>0.0201065741371832</v>
      </c>
      <c r="AC92" s="16">
        <f>P23</f>
        <v>0.0412579342181189</v>
      </c>
      <c r="AD92" s="16">
        <f>P24</f>
        <v>-0.008502136471686281</v>
      </c>
      <c r="AE92" s="16">
        <f>P25</f>
        <v>0.0186650585397423</v>
      </c>
      <c r="AF92" s="16">
        <f>P26</f>
        <v>0.0262211761987958</v>
      </c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</row>
    <row r="93" ht="20.05" customHeight="1">
      <c r="AA93" s="36"/>
      <c r="AB93" s="14">
        <f>C22</f>
        <v>6585.4</v>
      </c>
      <c r="AC93" s="15">
        <f>C23</f>
        <v>6857.1</v>
      </c>
      <c r="AD93" s="15">
        <f>C24</f>
        <v>6798.8</v>
      </c>
      <c r="AE93" s="15">
        <f>C25</f>
        <v>6925.7</v>
      </c>
      <c r="AF93" s="15">
        <f>C26</f>
        <v>7107.3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</row>
    <row r="94" ht="44.05" customHeight="1">
      <c r="AA94" s="36"/>
      <c r="AB94" t="s" s="45">
        <v>2</v>
      </c>
      <c r="AC94" t="s" s="44">
        <f>IF(AD94&lt;0,"declined","grew")</f>
        <v>362</v>
      </c>
      <c r="AD94" s="16">
        <f>AF93/AE93-1</f>
        <v>0.0262211761987958</v>
      </c>
      <c r="AE94" t="s" s="44">
        <v>73</v>
      </c>
      <c r="AF94" t="s" s="44">
        <v>74</v>
      </c>
      <c r="AG94" t="s" s="44">
        <v>75</v>
      </c>
      <c r="AH94" t="s" s="44">
        <v>76</v>
      </c>
      <c r="AI94" s="15">
        <f>AF93</f>
        <v>7107.3</v>
      </c>
      <c r="AJ94" t="s" s="44">
        <v>372</v>
      </c>
      <c r="AK94" t="s" s="44">
        <v>378</v>
      </c>
      <c r="AL94" s="16">
        <v>0.0297063450445726</v>
      </c>
      <c r="AM94" t="s" s="44">
        <v>78</v>
      </c>
      <c r="AN94" s="17"/>
      <c r="AO94" s="17"/>
      <c r="AP94" s="17"/>
      <c r="AQ94" s="17"/>
      <c r="AR94" s="17"/>
      <c r="AS94" s="17"/>
    </row>
    <row r="95" ht="56.05" customHeight="1">
      <c r="AA95" s="36"/>
      <c r="AB95" t="s" s="45">
        <v>79</v>
      </c>
      <c r="AC95" s="16">
        <f>AVERAGE(AC92:AF92)</f>
        <v>0.0194105081212427</v>
      </c>
      <c r="AD95" t="s" s="44">
        <v>80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</row>
    <row r="96" ht="56.05" customHeight="1">
      <c r="AA96" s="36"/>
      <c r="AB96" t="s" s="45">
        <v>81</v>
      </c>
      <c r="AC96" s="35">
        <f>AE39</f>
        <v>0.0175</v>
      </c>
      <c r="AD96" t="s" s="44">
        <v>82</v>
      </c>
      <c r="AE96" t="s" s="44">
        <v>83</v>
      </c>
      <c r="AF96" s="23">
        <f>AE41</f>
        <v>7613.310193632</v>
      </c>
      <c r="AG96" t="s" s="44">
        <f>AJ94</f>
        <v>372</v>
      </c>
      <c r="AH96" t="s" s="44">
        <v>84</v>
      </c>
      <c r="AI96" t="s" s="44">
        <f>AF94</f>
        <v>74</v>
      </c>
      <c r="AJ96" t="s" s="44">
        <f>AG94</f>
        <v>75</v>
      </c>
      <c r="AK96" t="s" s="44">
        <v>85</v>
      </c>
      <c r="AL96" s="17"/>
      <c r="AM96" s="17"/>
      <c r="AN96" s="17"/>
      <c r="AO96" s="17"/>
      <c r="AP96" s="17"/>
      <c r="AQ96" s="17"/>
      <c r="AR96" s="17"/>
      <c r="AS96" s="17"/>
    </row>
    <row r="97" ht="20.05" customHeight="1">
      <c r="AA97" s="36"/>
      <c r="AB97" t="s" s="45">
        <v>574</v>
      </c>
      <c r="AC97" t="s" s="44">
        <f>IF(AE101&lt;AC101,"up","down")</f>
        <v>108</v>
      </c>
      <c r="AD97" t="s" s="44">
        <v>86</v>
      </c>
      <c r="AE97" t="s" s="44">
        <f>IF(AI101&gt;AG101,"up","down")</f>
        <v>108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</row>
    <row r="98" ht="32.05" customHeight="1">
      <c r="AA98" s="36"/>
      <c r="AB98" t="s" s="45">
        <f>AB91</f>
        <v>70</v>
      </c>
      <c r="AC98" t="s" s="44">
        <v>575</v>
      </c>
      <c r="AD98" t="s" s="44">
        <f>AJ94</f>
        <v>372</v>
      </c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</row>
    <row r="99" ht="20.05" customHeight="1">
      <c r="AA99" s="36"/>
      <c r="AB99" s="71">
        <f>Q22</f>
        <v>-0.954086032041546</v>
      </c>
      <c r="AC99" s="16">
        <f>Q23</f>
        <v>-0.961135476633767</v>
      </c>
      <c r="AD99" s="16">
        <f>Q24</f>
        <v>-0.96097307177987</v>
      </c>
      <c r="AE99" s="16">
        <f>Q25</f>
        <v>-0.961986969485037</v>
      </c>
      <c r="AF99" s="16">
        <f>Q26</f>
        <v>-0.963656194359473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</row>
    <row r="100" ht="20.05" customHeight="1">
      <c r="AA100" s="36"/>
      <c r="AB100" s="14">
        <f>E22</f>
        <v>260.3</v>
      </c>
      <c r="AC100" s="15">
        <f>E23</f>
        <v>176.1</v>
      </c>
      <c r="AD100" s="15">
        <f>E24</f>
        <v>264.1</v>
      </c>
      <c r="AE100" s="15">
        <f>E25</f>
        <v>169.5</v>
      </c>
      <c r="AF100" s="15">
        <f>E26</f>
        <v>237.1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</row>
    <row r="101" ht="44.05" customHeight="1">
      <c r="AA101" s="36"/>
      <c r="AB101" t="s" s="45">
        <v>576</v>
      </c>
      <c r="AC101" s="16">
        <f>AE99</f>
        <v>-0.961986969485037</v>
      </c>
      <c r="AD101" t="s" s="44">
        <v>76</v>
      </c>
      <c r="AE101" s="16">
        <f>AF99</f>
        <v>-0.963656194359473</v>
      </c>
      <c r="AF101" t="s" s="44">
        <v>90</v>
      </c>
      <c r="AG101" s="15">
        <f>AE100</f>
        <v>169.5</v>
      </c>
      <c r="AH101" t="s" s="44">
        <v>76</v>
      </c>
      <c r="AI101" s="15">
        <f>AF100</f>
        <v>237.1</v>
      </c>
      <c r="AJ101" t="s" s="44">
        <f>AG96</f>
        <v>372</v>
      </c>
      <c r="AK101" t="s" s="44">
        <v>73</v>
      </c>
      <c r="AL101" t="s" s="44">
        <f>AI96</f>
        <v>74</v>
      </c>
      <c r="AM101" t="s" s="44">
        <v>91</v>
      </c>
      <c r="AN101" s="17"/>
      <c r="AO101" s="17"/>
      <c r="AP101" s="17"/>
      <c r="AQ101" s="17"/>
      <c r="AR101" s="17"/>
      <c r="AS101" s="17"/>
    </row>
    <row r="102" ht="56.05" customHeight="1">
      <c r="AA102" s="36"/>
      <c r="AB102" t="s" s="45">
        <v>577</v>
      </c>
      <c r="AC102" s="16">
        <f>AVERAGE(AC99:AF99)</f>
        <v>-0.961937928064537</v>
      </c>
      <c r="AD102" t="s" s="44">
        <v>78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</row>
    <row r="103" ht="44.05" customHeight="1">
      <c r="AA103" s="36"/>
      <c r="AB103" t="s" s="45">
        <v>93</v>
      </c>
      <c r="AC103" s="35">
        <f>AB42</f>
        <v>-0.963656194359473</v>
      </c>
      <c r="AD103" t="s" s="44">
        <v>559</v>
      </c>
      <c r="AE103" s="15">
        <f>AE56</f>
        <v>236.563332625067</v>
      </c>
      <c r="AF103" t="s" s="44">
        <f>AJ101</f>
        <v>372</v>
      </c>
      <c r="AG103" t="s" s="44">
        <v>95</v>
      </c>
      <c r="AH103" t="s" s="44">
        <f>AL101</f>
        <v>74</v>
      </c>
      <c r="AI103" t="s" s="44">
        <f>AG94</f>
        <v>75</v>
      </c>
      <c r="AJ103" t="s" s="44">
        <f>AK96</f>
        <v>85</v>
      </c>
      <c r="AK103" s="17"/>
      <c r="AL103" s="17"/>
      <c r="AM103" s="17"/>
      <c r="AN103" s="17"/>
      <c r="AO103" s="17"/>
      <c r="AP103" s="17"/>
      <c r="AQ103" s="17"/>
      <c r="AR103" s="17"/>
      <c r="AS103" s="17"/>
    </row>
    <row r="104" ht="20.05" customHeight="1">
      <c r="AA104" s="36"/>
      <c r="AB104" t="s" s="45">
        <v>15</v>
      </c>
      <c r="AC104" t="s" s="44">
        <f>IF(AE108&lt;AC108,"lower","higher")</f>
        <v>104</v>
      </c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</row>
    <row r="105" ht="56.05" customHeight="1">
      <c r="AA105" s="36"/>
      <c r="AB105" t="s" s="45">
        <f>AB98</f>
        <v>70</v>
      </c>
      <c r="AC105" t="s" s="44">
        <v>96</v>
      </c>
      <c r="AD105" t="s" s="44">
        <f>AJ94</f>
        <v>372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</row>
    <row r="106" ht="20.05" customHeight="1">
      <c r="AA106" s="36"/>
      <c r="AB106" s="14">
        <f>J22</f>
        <v>465.9</v>
      </c>
      <c r="AC106" s="15">
        <f>J23</f>
        <v>240.9</v>
      </c>
      <c r="AD106" s="15">
        <f>J24</f>
        <v>-203.4</v>
      </c>
      <c r="AE106" s="15">
        <f>J25</f>
        <v>-90.2</v>
      </c>
      <c r="AF106" s="15">
        <f>J26</f>
        <v>-199.5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</row>
    <row r="107" ht="20.05" customHeight="1">
      <c r="AA107" s="36"/>
      <c r="AB107" s="14">
        <f>K22</f>
        <v>-12.9</v>
      </c>
      <c r="AC107" s="15">
        <f>K23</f>
        <v>-95.40000000000001</v>
      </c>
      <c r="AD107" s="15">
        <f>K24</f>
        <v>-16.2</v>
      </c>
      <c r="AE107" s="15">
        <f>K25</f>
        <v>142.7</v>
      </c>
      <c r="AF107" s="15">
        <f>K26</f>
        <v>0.5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</row>
    <row r="108" ht="44.05" customHeight="1">
      <c r="AA108" s="36"/>
      <c r="AB108" t="s" s="45">
        <v>97</v>
      </c>
      <c r="AC108" s="15">
        <f>AE106+AE107</f>
        <v>52.5</v>
      </c>
      <c r="AD108" t="s" s="44">
        <v>76</v>
      </c>
      <c r="AE108" s="15">
        <f>AF106+AF107</f>
        <v>-199</v>
      </c>
      <c r="AF108" t="s" s="44">
        <f>AF103</f>
        <v>372</v>
      </c>
      <c r="AG108" t="s" s="44">
        <v>84</v>
      </c>
      <c r="AH108" t="s" s="44">
        <f>AH103</f>
        <v>74</v>
      </c>
      <c r="AI108" t="s" s="44">
        <v>98</v>
      </c>
      <c r="AJ108" s="15">
        <f>AF107</f>
        <v>0.5</v>
      </c>
      <c r="AK108" t="s" s="44">
        <f>AJ94</f>
        <v>372</v>
      </c>
      <c r="AL108" t="s" s="44">
        <v>99</v>
      </c>
      <c r="AM108" s="17"/>
      <c r="AN108" s="17"/>
      <c r="AO108" s="17"/>
      <c r="AP108" s="17"/>
      <c r="AQ108" s="17"/>
      <c r="AR108" s="17"/>
      <c r="AS108" s="17"/>
    </row>
    <row r="109" ht="56.05" customHeight="1">
      <c r="AA109" s="36"/>
      <c r="AB109" t="s" s="45">
        <v>100</v>
      </c>
      <c r="AC109" s="15">
        <f>SUM(AC106:AF107)/4</f>
        <v>-55.15</v>
      </c>
      <c r="AD109" t="s" s="44">
        <f>AJ94</f>
        <v>372</v>
      </c>
      <c r="AE109" t="s" s="44">
        <v>78</v>
      </c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</row>
    <row r="110" ht="44.05" customHeight="1">
      <c r="AA110" s="36"/>
      <c r="AB110" t="s" s="45">
        <v>101</v>
      </c>
      <c r="AC110" s="15">
        <f>AB44</f>
        <v>-16.2</v>
      </c>
      <c r="AD110" t="s" s="44">
        <f>AD109</f>
        <v>372</v>
      </c>
      <c r="AE110" t="s" s="44">
        <v>102</v>
      </c>
      <c r="AF110" t="s" s="44">
        <v>103</v>
      </c>
      <c r="AG110" t="s" s="44">
        <f>IF(AF96&gt;AI94,"higher","lower")</f>
        <v>363</v>
      </c>
      <c r="AH110" t="s" s="44">
        <v>105</v>
      </c>
      <c r="AI110" s="15">
        <f>SUM(AB45:AE45)/4</f>
        <v>254.439671827003</v>
      </c>
      <c r="AJ110" t="s" s="44">
        <f>AD110</f>
        <v>372</v>
      </c>
      <c r="AK110" t="s" s="44">
        <v>106</v>
      </c>
      <c r="AL110" t="s" s="44">
        <v>107</v>
      </c>
      <c r="AM110" s="17"/>
      <c r="AN110" s="17"/>
      <c r="AO110" s="17"/>
      <c r="AP110" s="17"/>
      <c r="AQ110" s="17"/>
      <c r="AR110" s="17"/>
      <c r="AS110" s="17"/>
    </row>
    <row r="111" ht="20.05" customHeight="1">
      <c r="AA111" s="36"/>
      <c r="AB111" t="s" s="45">
        <v>18</v>
      </c>
      <c r="AC111" t="s" s="44">
        <f>AJ116</f>
        <v>108</v>
      </c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</row>
    <row r="112" ht="32.05" customHeight="1">
      <c r="AA112" s="36"/>
      <c r="AB112" t="s" s="45">
        <f>AB91</f>
        <v>70</v>
      </c>
      <c r="AC112" t="s" s="44">
        <v>109</v>
      </c>
      <c r="AD112" t="s" s="44">
        <f>AJ94</f>
        <v>372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</row>
    <row r="113" ht="20.05" customHeight="1">
      <c r="AA113" s="36"/>
      <c r="AB113" s="14">
        <f>F22</f>
        <v>1237</v>
      </c>
      <c r="AC113" s="15">
        <f>F23</f>
        <v>1325</v>
      </c>
      <c r="AD113" s="15">
        <f>F24</f>
        <v>1255</v>
      </c>
      <c r="AE113" s="15">
        <f>F25</f>
        <v>761</v>
      </c>
      <c r="AF113" s="15">
        <f>F26</f>
        <v>539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</row>
    <row r="114" ht="20.05" customHeight="1">
      <c r="AA114" s="36"/>
      <c r="AB114" s="14">
        <f>G22</f>
        <v>3107</v>
      </c>
      <c r="AC114" s="15">
        <f>G23</f>
        <v>2883</v>
      </c>
      <c r="AD114" s="15">
        <f>G24</f>
        <v>3633</v>
      </c>
      <c r="AE114" s="15">
        <f>G25</f>
        <v>3464</v>
      </c>
      <c r="AF114" s="15">
        <f>G26</f>
        <v>3206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</row>
    <row r="115" ht="32.05" customHeight="1">
      <c r="AA115" s="36"/>
      <c r="AB115" t="s" s="45">
        <v>110</v>
      </c>
      <c r="AC115" t="s" s="44">
        <f>IF(AF115&lt;AD115,"declined","increased")</f>
        <v>370</v>
      </c>
      <c r="AD115" s="15">
        <f>AE113</f>
        <v>761</v>
      </c>
      <c r="AE115" t="s" s="44">
        <v>76</v>
      </c>
      <c r="AF115" s="15">
        <f>AF113</f>
        <v>539</v>
      </c>
      <c r="AG115" t="s" s="44">
        <f>AJ110</f>
        <v>372</v>
      </c>
      <c r="AH115" t="s" s="44">
        <v>84</v>
      </c>
      <c r="AI115" t="s" s="44">
        <f>AF94</f>
        <v>74</v>
      </c>
      <c r="AJ115" t="s" s="44">
        <f>AM101</f>
        <v>91</v>
      </c>
      <c r="AK115" s="17"/>
      <c r="AL115" s="17"/>
      <c r="AM115" s="17"/>
      <c r="AN115" s="17"/>
      <c r="AO115" s="17"/>
      <c r="AP115" s="17"/>
      <c r="AQ115" s="17"/>
      <c r="AR115" s="17"/>
      <c r="AS115" s="17"/>
    </row>
    <row r="116" ht="32.05" customHeight="1">
      <c r="AA116" s="36"/>
      <c r="AB116" t="s" s="45">
        <v>112</v>
      </c>
      <c r="AC116" t="s" s="44">
        <f>IF(AF116&lt;AD116,"declined","increased")</f>
        <v>370</v>
      </c>
      <c r="AD116" s="15">
        <f>AE114</f>
        <v>3464</v>
      </c>
      <c r="AE116" t="s" s="44">
        <v>76</v>
      </c>
      <c r="AF116" s="15">
        <f>AF114</f>
        <v>3206</v>
      </c>
      <c r="AG116" t="s" s="44">
        <f>AG115</f>
        <v>372</v>
      </c>
      <c r="AH116" t="s" s="44">
        <v>113</v>
      </c>
      <c r="AI116" t="s" s="44">
        <v>114</v>
      </c>
      <c r="AJ116" t="s" s="44">
        <f>IF(AM116&lt;AK116,"down","up")</f>
        <v>108</v>
      </c>
      <c r="AK116" s="15">
        <f>AD115-AD116</f>
        <v>-2703</v>
      </c>
      <c r="AL116" t="s" s="44">
        <v>76</v>
      </c>
      <c r="AM116" s="15">
        <f>AF115-AF116</f>
        <v>-2667</v>
      </c>
      <c r="AN116" t="s" s="44">
        <f>AG116</f>
        <v>372</v>
      </c>
      <c r="AO116" t="s" s="44">
        <v>115</v>
      </c>
      <c r="AP116" s="17"/>
      <c r="AQ116" s="17"/>
      <c r="AR116" s="17"/>
      <c r="AS116" s="17"/>
    </row>
    <row r="117" ht="56.05" customHeight="1">
      <c r="AA117" s="36"/>
      <c r="AB117" t="s" s="45">
        <v>116</v>
      </c>
      <c r="AC117" s="15">
        <f>SUM(AB48:AE48)</f>
        <v>-461.012676987341</v>
      </c>
      <c r="AD117" t="s" s="44">
        <f>AG116</f>
        <v>372</v>
      </c>
      <c r="AE117" t="s" s="44">
        <v>117</v>
      </c>
      <c r="AF117" t="s" s="44">
        <f>IF(AG117&gt;0,"+","")</f>
      </c>
      <c r="AG117" s="15">
        <f>AB46+AC46+AD46+AE46+AB50+AC50+AD50+AE50</f>
        <v>-556.746010320669</v>
      </c>
      <c r="AH117" t="s" s="44">
        <f>AN116</f>
        <v>372</v>
      </c>
      <c r="AI117" t="s" s="44">
        <v>118</v>
      </c>
      <c r="AJ117" t="s" s="44">
        <v>119</v>
      </c>
      <c r="AK117" s="15">
        <f>AE65</f>
        <v>-2110.253989679330</v>
      </c>
      <c r="AL117" t="s" s="44">
        <f>AG116</f>
        <v>372</v>
      </c>
      <c r="AM117" t="s" s="44">
        <v>120</v>
      </c>
      <c r="AN117" s="17"/>
      <c r="AO117" s="17"/>
      <c r="AP117" s="17"/>
      <c r="AQ117" s="17"/>
      <c r="AR117" s="17"/>
      <c r="AS117" s="17"/>
    </row>
    <row r="118" ht="20.05" customHeight="1">
      <c r="AA118" s="36"/>
      <c r="AB118" t="s" s="45">
        <v>17</v>
      </c>
      <c r="AC118" t="s" s="44">
        <f>AC122</f>
        <v>374</v>
      </c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</row>
    <row r="119" ht="56.05" customHeight="1">
      <c r="AA119" s="36"/>
      <c r="AB119" t="s" s="45">
        <f>AB91</f>
        <v>70</v>
      </c>
      <c r="AC119" t="s" s="44">
        <v>379</v>
      </c>
      <c r="AD119" t="s" s="44">
        <f>AJ94</f>
        <v>372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</row>
    <row r="120" ht="20.05" customHeight="1">
      <c r="AA120" s="36"/>
      <c r="AB120" s="14">
        <f>-L22</f>
        <v>40</v>
      </c>
      <c r="AC120" s="15">
        <f>-L23</f>
        <v>60</v>
      </c>
      <c r="AD120" s="15">
        <f>-L24</f>
        <v>-150</v>
      </c>
      <c r="AE120" s="15">
        <f>-L25</f>
        <v>-5</v>
      </c>
      <c r="AF120" s="15">
        <f>-L26</f>
        <v>20</v>
      </c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</row>
    <row r="121" ht="20.05" customHeight="1">
      <c r="AA121" s="36"/>
      <c r="AB121" s="14">
        <f>-M22</f>
        <v>2.7</v>
      </c>
      <c r="AC121" s="15">
        <f>-M23</f>
        <v>-2</v>
      </c>
      <c r="AD121" s="15">
        <f>-M24</f>
        <v>0</v>
      </c>
      <c r="AE121" s="15">
        <f>-M25</f>
        <v>552.6</v>
      </c>
      <c r="AF121" s="15">
        <f>-M26</f>
        <v>2.7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</row>
    <row r="122" ht="44.05" customHeight="1">
      <c r="AA122" s="36"/>
      <c r="AB122" t="s" s="100">
        <f>AB83</f>
        <v>573</v>
      </c>
      <c r="AC122" t="s" s="44">
        <f>IF(AD122&gt;0,"paid","(raised)")</f>
        <v>374</v>
      </c>
      <c r="AD122" s="15">
        <f>SUM(AF120:AF121)</f>
        <v>22.7</v>
      </c>
      <c r="AE122" t="s" s="44">
        <f>AJ94</f>
        <v>372</v>
      </c>
      <c r="AF122" t="s" s="44">
        <f>AE94</f>
        <v>73</v>
      </c>
      <c r="AG122" t="s" s="44">
        <f>AF94</f>
        <v>74</v>
      </c>
      <c r="AH122" t="s" s="44">
        <f>AG94</f>
        <v>75</v>
      </c>
      <c r="AI122" s="15">
        <f>AF120</f>
        <v>20</v>
      </c>
      <c r="AJ122" t="s" s="44">
        <f>AJ94</f>
        <v>372</v>
      </c>
      <c r="AK122" t="s" s="44">
        <v>123</v>
      </c>
      <c r="AL122" s="15">
        <f>AF121</f>
        <v>2.7</v>
      </c>
      <c r="AM122" t="s" s="44">
        <f>AJ94</f>
        <v>372</v>
      </c>
      <c r="AN122" t="s" s="44">
        <v>389</v>
      </c>
      <c r="AO122" t="s" s="44">
        <v>475</v>
      </c>
      <c r="AP122" t="s" s="44">
        <f>IF(AQ122&gt;0,"pay","raise")</f>
        <v>364</v>
      </c>
      <c r="AQ122" s="15">
        <f>-SUM(AB66:AE66)</f>
        <v>1017.758687308010</v>
      </c>
      <c r="AR122" t="s" s="44">
        <f>AJ94</f>
        <v>372</v>
      </c>
      <c r="AS122" t="s" s="44">
        <v>126</v>
      </c>
    </row>
    <row r="123" ht="56.05" customHeight="1">
      <c r="AA123" s="36"/>
      <c r="AB123" t="s" s="45">
        <v>375</v>
      </c>
      <c r="AC123" s="15">
        <f>AE70</f>
        <v>7367.5008</v>
      </c>
      <c r="AD123" t="s" s="44">
        <f>AJ94</f>
        <v>372</v>
      </c>
      <c r="AE123" t="s" s="44">
        <v>128</v>
      </c>
      <c r="AF123" t="s" s="44">
        <v>129</v>
      </c>
      <c r="AG123" s="43">
        <f>AE72</f>
        <v>0.732045467793646</v>
      </c>
      <c r="AH123" t="s" s="44">
        <v>130</v>
      </c>
      <c r="AI123" t="s" s="44">
        <v>131</v>
      </c>
      <c r="AJ123" t="s" s="44">
        <v>132</v>
      </c>
      <c r="AK123" s="15">
        <f>AE75</f>
        <v>10.512315083548</v>
      </c>
      <c r="AL123" t="s" s="44">
        <v>133</v>
      </c>
      <c r="AM123" s="16">
        <f>-AC117/AC123</f>
        <v>0.06257382109647559</v>
      </c>
      <c r="AN123" t="s" s="44">
        <v>134</v>
      </c>
      <c r="AO123" s="17"/>
      <c r="AP123" s="17"/>
      <c r="AQ123" s="17"/>
      <c r="AR123" s="17"/>
      <c r="AS123" s="17"/>
    </row>
    <row r="124" ht="56.05" customHeight="1">
      <c r="AA124" s="36"/>
      <c r="AB124" t="s" s="45">
        <v>135</v>
      </c>
      <c r="AC124" s="15">
        <f>AE74</f>
        <v>1017.758687308010</v>
      </c>
      <c r="AD124" t="s" s="44">
        <f>AD123</f>
        <v>372</v>
      </c>
      <c r="AE124" t="s" s="44">
        <v>136</v>
      </c>
      <c r="AF124" s="15">
        <f>AC123/AC124</f>
        <v>7.23894661070118</v>
      </c>
      <c r="AG124" t="s" s="44">
        <v>130</v>
      </c>
      <c r="AH124" t="s" s="44">
        <v>137</v>
      </c>
      <c r="AI124" t="s" s="44">
        <v>138</v>
      </c>
      <c r="AJ124" s="15">
        <f>AE76</f>
        <v>11</v>
      </c>
      <c r="AK124" t="s" s="44">
        <v>139</v>
      </c>
      <c r="AL124" t="s" s="44">
        <v>140</v>
      </c>
      <c r="AM124" t="s" s="44">
        <v>141</v>
      </c>
      <c r="AN124" s="16">
        <f>AH83</f>
        <v>0.519558105835305</v>
      </c>
      <c r="AO124" t="s" s="44">
        <f>IF(AN124&gt;0,"higher","lower")</f>
        <v>363</v>
      </c>
      <c r="AP124" t="s" s="44">
        <v>142</v>
      </c>
      <c r="AQ124" s="15">
        <f>AF83</f>
        <v>4133.198047872030</v>
      </c>
      <c r="AR124" t="s" s="44">
        <v>143</v>
      </c>
      <c r="AS124" s="17"/>
    </row>
    <row r="125" ht="20.05" customHeight="1">
      <c r="AA125" s="36"/>
      <c r="AB125" s="34"/>
      <c r="AC125" s="17"/>
      <c r="AD125" s="17"/>
      <c r="AE125" s="17"/>
      <c r="AF125" s="15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</row>
    <row r="126" ht="20.05" customHeight="1">
      <c r="AA126" s="36"/>
      <c r="AB126" s="14">
        <f>AB93</f>
        <v>6585.4</v>
      </c>
      <c r="AC126" s="15">
        <f>AC93</f>
        <v>6857.1</v>
      </c>
      <c r="AD126" s="15">
        <f>AD93</f>
        <v>6798.8</v>
      </c>
      <c r="AE126" s="15">
        <f>AE93</f>
        <v>6925.7</v>
      </c>
      <c r="AF126" s="15">
        <f>AF93</f>
        <v>7107.3</v>
      </c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</row>
    <row r="127" ht="20.05" customHeight="1">
      <c r="AA127" s="36"/>
      <c r="AB127" s="14">
        <f>SUM(AB106:AB107)</f>
        <v>453</v>
      </c>
      <c r="AC127" s="15">
        <f>SUM(AC106:AC107)</f>
        <v>145.5</v>
      </c>
      <c r="AD127" s="15">
        <f>SUM(AD106:AD107)</f>
        <v>-219.6</v>
      </c>
      <c r="AE127" s="15">
        <f>SUM(AE106:AE107)</f>
        <v>52.5</v>
      </c>
      <c r="AF127" s="15">
        <f>SUM(AF106:AF107)</f>
        <v>-199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</row>
    <row r="128" ht="20.05" customHeight="1">
      <c r="AA128" s="36"/>
      <c r="AB128" s="14">
        <f>SUM(AB120:AB121)</f>
        <v>42.7</v>
      </c>
      <c r="AC128" s="15">
        <f>SUM(AC120:AC121)</f>
        <v>58</v>
      </c>
      <c r="AD128" s="15">
        <f>SUM(AD120:AD121)</f>
        <v>-150</v>
      </c>
      <c r="AE128" s="15">
        <f>SUM(AE120:AE121)</f>
        <v>547.6</v>
      </c>
      <c r="AF128" s="15">
        <f>SUM(AF120:AF121)</f>
        <v>22.7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</row>
    <row r="129" ht="20.05" customHeight="1">
      <c r="AA129" s="36"/>
      <c r="AB129" s="14">
        <f>AB113-AB114</f>
        <v>-1870</v>
      </c>
      <c r="AC129" s="15">
        <f>AC113-AC114</f>
        <v>-1558</v>
      </c>
      <c r="AD129" s="15">
        <f>AD113-AD114</f>
        <v>-2378</v>
      </c>
      <c r="AE129" s="15">
        <f>AE113-AE114</f>
        <v>-2703</v>
      </c>
      <c r="AF129" s="15">
        <f>AF113-AF114</f>
        <v>-2667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</row>
    <row r="130" ht="20.05" customHeight="1">
      <c r="AA130" s="36"/>
      <c r="AB130" s="34"/>
      <c r="AC130" s="17"/>
      <c r="AD130" s="17"/>
      <c r="AE130" s="17"/>
      <c r="AF130" s="15">
        <f>AQ124</f>
        <v>4133.198047872030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</row>
    <row r="131" ht="20.05" customHeight="1">
      <c r="AA131" s="36"/>
      <c r="AB131" s="34"/>
      <c r="AC131" s="17"/>
      <c r="AD131" s="17"/>
      <c r="AE131" s="17"/>
      <c r="AF131" s="15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</row>
    <row r="132" ht="20.05" customHeight="1">
      <c r="AA132" s="36"/>
      <c r="AB132" s="34"/>
      <c r="AC132" s="17"/>
      <c r="AD132" s="17"/>
      <c r="AE132" s="17"/>
      <c r="AF132" s="15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</row>
    <row r="133" ht="20.05" customHeight="1">
      <c r="AA133" s="36"/>
      <c r="AB133" s="34"/>
      <c r="AC133" s="17"/>
      <c r="AD133" s="17"/>
      <c r="AE133" s="17"/>
      <c r="AF133" s="15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</row>
    <row r="134" ht="20.05" customHeight="1">
      <c r="AA134" s="36"/>
      <c r="AB134" s="34"/>
      <c r="AC134" s="17"/>
      <c r="AD134" s="17"/>
      <c r="AE134" s="17"/>
      <c r="AF134" s="15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</row>
    <row r="135" ht="20.05" customHeight="1">
      <c r="AA135" s="36"/>
      <c r="AB135" s="34"/>
      <c r="AC135" s="17"/>
      <c r="AD135" s="17"/>
      <c r="AE135" s="17"/>
      <c r="AF135" s="15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</row>
    <row r="136" ht="20.05" customHeight="1">
      <c r="AA136" s="36"/>
      <c r="AB136" s="34"/>
      <c r="AC136" s="17"/>
      <c r="AD136" s="17"/>
      <c r="AE136" s="17"/>
      <c r="AF136" s="15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</row>
    <row r="137" ht="20.05" customHeight="1">
      <c r="AA137" s="36"/>
      <c r="AB137" s="34"/>
      <c r="AC137" s="17"/>
      <c r="AD137" s="17"/>
      <c r="AE137" s="17"/>
      <c r="AF137" s="15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</row>
  </sheetData>
  <mergeCells count="2">
    <mergeCell ref="B2:Z2"/>
    <mergeCell ref="AA36:AS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64" customWidth="1"/>
    <col min="2" max="28" width="10.4844" style="64" customWidth="1"/>
    <col min="29" max="29" width="18.9766" style="70" customWidth="1"/>
    <col min="30" max="48" width="9" style="70" customWidth="1"/>
    <col min="49" max="16384" width="16.3516" style="70" customWidth="1"/>
  </cols>
  <sheetData>
    <row r="1" ht="11.65" customHeight="1"/>
    <row r="2" ht="27.65" customHeight="1">
      <c r="B2" t="s" s="2">
        <v>376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267</v>
      </c>
      <c r="AA3" t="s" s="3">
        <v>19</v>
      </c>
      <c r="AB3" t="s" s="3">
        <v>20</v>
      </c>
    </row>
    <row r="4" ht="20.25" customHeight="1">
      <c r="B4" s="6">
        <v>2017</v>
      </c>
      <c r="C4" s="65">
        <v>196.7</v>
      </c>
      <c r="D4" s="59">
        <v>8.199999999999999</v>
      </c>
      <c r="E4" s="59">
        <v>11.1</v>
      </c>
      <c r="F4" s="59">
        <v>23</v>
      </c>
      <c r="G4" s="59">
        <v>389</v>
      </c>
      <c r="H4" s="59">
        <v>784</v>
      </c>
      <c r="I4" s="59">
        <v>194.927</v>
      </c>
      <c r="J4" s="59">
        <v>16.537</v>
      </c>
      <c r="K4" s="59">
        <v>-31.438</v>
      </c>
      <c r="L4" s="59">
        <v>0.25</v>
      </c>
      <c r="M4" s="59">
        <v>0</v>
      </c>
      <c r="N4" s="59"/>
      <c r="O4" s="59"/>
      <c r="P4" s="9"/>
      <c r="Q4" s="9"/>
      <c r="R4" s="9"/>
      <c r="S4" s="9"/>
      <c r="T4" s="9"/>
      <c r="U4" s="9"/>
      <c r="V4" s="59">
        <f>-(L4+M4)</f>
        <v>-0.25</v>
      </c>
      <c r="W4" s="9"/>
      <c r="X4" s="59">
        <f>F4-G4</f>
        <v>-366</v>
      </c>
      <c r="Y4" s="9"/>
      <c r="Z4" s="66">
        <v>1170</v>
      </c>
      <c r="AA4" s="11"/>
      <c r="AB4" s="12">
        <v>13.3</v>
      </c>
    </row>
    <row r="5" ht="20.05" customHeight="1">
      <c r="B5" s="13"/>
      <c r="C5" s="67">
        <v>208.6</v>
      </c>
      <c r="D5" s="26">
        <v>8.6</v>
      </c>
      <c r="E5" s="26">
        <v>1.9</v>
      </c>
      <c r="F5" s="26">
        <v>35</v>
      </c>
      <c r="G5" s="26">
        <v>439</v>
      </c>
      <c r="H5" s="26">
        <v>836</v>
      </c>
      <c r="I5" s="26">
        <v>193.03</v>
      </c>
      <c r="J5" s="26">
        <v>22.049</v>
      </c>
      <c r="K5" s="26">
        <v>-16.123</v>
      </c>
      <c r="L5" s="26">
        <v>0.25</v>
      </c>
      <c r="M5" s="26">
        <v>0</v>
      </c>
      <c r="N5" s="26"/>
      <c r="O5" s="26"/>
      <c r="P5" s="16"/>
      <c r="Q5" s="17"/>
      <c r="R5" s="17"/>
      <c r="S5" s="17"/>
      <c r="T5" s="17"/>
      <c r="U5" s="17"/>
      <c r="V5" s="26">
        <f>-(L5+M5)+V4</f>
        <v>-0.5</v>
      </c>
      <c r="W5" s="17"/>
      <c r="X5" s="26">
        <f>F5-G5</f>
        <v>-404</v>
      </c>
      <c r="Y5" s="17"/>
      <c r="Z5" s="68">
        <v>1080</v>
      </c>
      <c r="AA5" s="19"/>
      <c r="AB5" s="20">
        <v>13.327</v>
      </c>
    </row>
    <row r="6" ht="20.05" customHeight="1">
      <c r="B6" s="13"/>
      <c r="C6" s="67">
        <v>207.8</v>
      </c>
      <c r="D6" s="26">
        <v>8.6</v>
      </c>
      <c r="E6" s="26">
        <v>10.2</v>
      </c>
      <c r="F6" s="26">
        <v>19</v>
      </c>
      <c r="G6" s="26">
        <v>392</v>
      </c>
      <c r="H6" s="26">
        <v>800</v>
      </c>
      <c r="I6" s="26">
        <v>236.523</v>
      </c>
      <c r="J6" s="26">
        <v>7.391</v>
      </c>
      <c r="K6" s="26">
        <v>-19.426</v>
      </c>
      <c r="L6" s="26">
        <v>0.25</v>
      </c>
      <c r="M6" s="26">
        <v>0</v>
      </c>
      <c r="N6" s="26"/>
      <c r="O6" s="26"/>
      <c r="P6" s="16"/>
      <c r="Q6" s="17"/>
      <c r="R6" s="17"/>
      <c r="S6" s="17"/>
      <c r="T6" s="17"/>
      <c r="U6" s="17"/>
      <c r="V6" s="26">
        <f>-(L6+M6)+V5</f>
        <v>-0.75</v>
      </c>
      <c r="W6" s="17"/>
      <c r="X6" s="26">
        <f>F6-G6</f>
        <v>-373</v>
      </c>
      <c r="Y6" s="17"/>
      <c r="Z6" s="69">
        <v>980</v>
      </c>
      <c r="AA6" s="19"/>
      <c r="AB6" s="20">
        <v>13.305</v>
      </c>
    </row>
    <row r="7" ht="20.05" customHeight="1">
      <c r="B7" s="13"/>
      <c r="C7" s="67">
        <v>201.4</v>
      </c>
      <c r="D7" s="26">
        <v>8.9</v>
      </c>
      <c r="E7" s="26">
        <v>15</v>
      </c>
      <c r="F7" s="26">
        <v>25</v>
      </c>
      <c r="G7" s="26">
        <v>417</v>
      </c>
      <c r="H7" s="26">
        <v>840</v>
      </c>
      <c r="I7" s="26">
        <v>201.759</v>
      </c>
      <c r="J7" s="26">
        <v>41.222</v>
      </c>
      <c r="K7" s="26">
        <v>-29.948</v>
      </c>
      <c r="L7" s="26">
        <v>0.25</v>
      </c>
      <c r="M7" s="26">
        <v>0</v>
      </c>
      <c r="N7" s="26"/>
      <c r="O7" s="26"/>
      <c r="P7" s="16"/>
      <c r="Q7" s="17"/>
      <c r="R7" s="17"/>
      <c r="S7" s="17"/>
      <c r="T7" s="17"/>
      <c r="U7" s="17"/>
      <c r="V7" s="26">
        <f>-(L7+M7)+V6</f>
        <v>-1</v>
      </c>
      <c r="W7" s="17"/>
      <c r="X7" s="26">
        <f>F7-G7</f>
        <v>-392</v>
      </c>
      <c r="Y7" s="17"/>
      <c r="Z7" s="69">
        <v>885</v>
      </c>
      <c r="AA7" s="19"/>
      <c r="AB7" s="20">
        <v>13.557</v>
      </c>
    </row>
    <row r="8" ht="20.05" customHeight="1">
      <c r="B8" s="21">
        <v>2018</v>
      </c>
      <c r="C8" s="67">
        <v>189.3</v>
      </c>
      <c r="D8" s="26">
        <v>10.3</v>
      </c>
      <c r="E8" s="26">
        <v>13.6</v>
      </c>
      <c r="F8" s="26">
        <v>50</v>
      </c>
      <c r="G8" s="26">
        <v>414</v>
      </c>
      <c r="H8" s="26">
        <v>851</v>
      </c>
      <c r="I8" s="26">
        <v>195.478</v>
      </c>
      <c r="J8" s="26">
        <v>27.729</v>
      </c>
      <c r="K8" s="26">
        <v>-29.872</v>
      </c>
      <c r="L8" s="26">
        <v>-7.5</v>
      </c>
      <c r="M8" s="26">
        <v>0</v>
      </c>
      <c r="N8" s="26">
        <f>SUM(C5:C8)/4</f>
        <v>201.775</v>
      </c>
      <c r="O8" s="26"/>
      <c r="P8" s="16"/>
      <c r="Q8" s="16"/>
      <c r="R8" s="16"/>
      <c r="S8" s="17"/>
      <c r="T8" s="26">
        <f>SUM(J5:K8)/4</f>
        <v>0.7554999999999999</v>
      </c>
      <c r="U8" s="25"/>
      <c r="V8" s="26">
        <f>-(L8+M8)+V7</f>
        <v>6.5</v>
      </c>
      <c r="W8" s="17"/>
      <c r="X8" s="26">
        <f>F8-G8</f>
        <v>-364</v>
      </c>
      <c r="Y8" s="24"/>
      <c r="Z8" s="69">
        <v>910</v>
      </c>
      <c r="AA8" s="22"/>
      <c r="AB8" s="20">
        <v>13.761</v>
      </c>
    </row>
    <row r="9" ht="20.05" customHeight="1">
      <c r="B9" s="13"/>
      <c r="C9" s="67">
        <v>203.3</v>
      </c>
      <c r="D9" s="26">
        <v>10.2</v>
      </c>
      <c r="E9" s="26">
        <v>8</v>
      </c>
      <c r="F9" s="26">
        <v>64</v>
      </c>
      <c r="G9" s="26">
        <v>418</v>
      </c>
      <c r="H9" s="26">
        <v>863</v>
      </c>
      <c r="I9" s="26">
        <v>195.971</v>
      </c>
      <c r="J9" s="26">
        <v>31.494</v>
      </c>
      <c r="K9" s="26">
        <v>-2.098</v>
      </c>
      <c r="L9" s="26">
        <v>-7.5</v>
      </c>
      <c r="M9" s="26">
        <v>0</v>
      </c>
      <c r="N9" s="26">
        <f>SUM(C6:C9)/4</f>
        <v>200.45</v>
      </c>
      <c r="O9" s="26"/>
      <c r="P9" s="16"/>
      <c r="Q9" s="16">
        <f>(E9+D9)/C9</f>
        <v>0.0895228726020659</v>
      </c>
      <c r="R9" s="16"/>
      <c r="S9" s="17"/>
      <c r="T9" s="26">
        <f>SUM(J6:K9)/4</f>
        <v>6.623</v>
      </c>
      <c r="U9" s="25"/>
      <c r="V9" s="26">
        <f>-(L9+M9)+V8</f>
        <v>14</v>
      </c>
      <c r="W9" s="17"/>
      <c r="X9" s="26">
        <f>F9-G9</f>
        <v>-354</v>
      </c>
      <c r="Y9" s="24"/>
      <c r="Z9" s="69">
        <v>950</v>
      </c>
      <c r="AA9" s="22"/>
      <c r="AB9" s="20">
        <v>14</v>
      </c>
    </row>
    <row r="10" ht="20.05" customHeight="1">
      <c r="B10" s="13"/>
      <c r="C10" s="67">
        <v>203.8</v>
      </c>
      <c r="D10" s="26">
        <v>10.4</v>
      </c>
      <c r="E10" s="26">
        <v>14</v>
      </c>
      <c r="F10" s="26">
        <v>91</v>
      </c>
      <c r="G10" s="26">
        <v>417</v>
      </c>
      <c r="H10" s="26">
        <v>876</v>
      </c>
      <c r="I10" s="26">
        <v>218.179</v>
      </c>
      <c r="J10" s="26">
        <v>53.441</v>
      </c>
      <c r="K10" s="26">
        <v>-5.553</v>
      </c>
      <c r="L10" s="26">
        <v>-7.5</v>
      </c>
      <c r="M10" s="26">
        <v>0</v>
      </c>
      <c r="N10" s="26">
        <f>SUM(C7:C10)/4</f>
        <v>199.45</v>
      </c>
      <c r="O10" s="26"/>
      <c r="P10" s="16">
        <f>C10/C9-1</f>
        <v>0.00245941957697983</v>
      </c>
      <c r="Q10" s="16">
        <f>(E10+D10)/C10</f>
        <v>0.119725220804711</v>
      </c>
      <c r="R10" s="16"/>
      <c r="S10" s="17"/>
      <c r="T10" s="26">
        <f>SUM(J7:K10)/4</f>
        <v>21.60375</v>
      </c>
      <c r="U10" s="25"/>
      <c r="V10" s="26">
        <f>-(L10+M10)+V9</f>
        <v>21.5</v>
      </c>
      <c r="W10" s="17"/>
      <c r="X10" s="26">
        <f>F10-G10</f>
        <v>-326</v>
      </c>
      <c r="Y10" s="24"/>
      <c r="Z10" s="69">
        <v>920</v>
      </c>
      <c r="AA10" s="22"/>
      <c r="AB10" s="20">
        <v>14.902</v>
      </c>
    </row>
    <row r="11" ht="20.05" customHeight="1">
      <c r="B11" s="13"/>
      <c r="C11" s="67">
        <v>207.9</v>
      </c>
      <c r="D11" s="26">
        <v>9.9</v>
      </c>
      <c r="E11" s="26">
        <v>17.4</v>
      </c>
      <c r="F11" s="26">
        <v>102</v>
      </c>
      <c r="G11" s="26">
        <v>399</v>
      </c>
      <c r="H11" s="26">
        <v>881</v>
      </c>
      <c r="I11" s="26">
        <v>203.216</v>
      </c>
      <c r="J11" s="26">
        <v>33.924</v>
      </c>
      <c r="K11" s="26">
        <v>-1.936</v>
      </c>
      <c r="L11" s="26">
        <v>-7.5</v>
      </c>
      <c r="M11" s="26">
        <v>0</v>
      </c>
      <c r="N11" s="26">
        <f>SUM(C8:C11)/4</f>
        <v>201.075</v>
      </c>
      <c r="O11" s="26"/>
      <c r="P11" s="16">
        <f>C11/C10-1</f>
        <v>0.0201177625122669</v>
      </c>
      <c r="Q11" s="16">
        <f>(E11+D11)/C11</f>
        <v>0.131313131313131</v>
      </c>
      <c r="R11" s="16"/>
      <c r="S11" s="17"/>
      <c r="T11" s="26">
        <f>SUM(J8:K11)/4</f>
        <v>26.78225</v>
      </c>
      <c r="U11" s="25"/>
      <c r="V11" s="26">
        <f>-(L11+M11)+V10</f>
        <v>29</v>
      </c>
      <c r="W11" s="17"/>
      <c r="X11" s="26">
        <f>F11-G11</f>
        <v>-297</v>
      </c>
      <c r="Y11" s="24"/>
      <c r="Z11" s="69">
        <v>920</v>
      </c>
      <c r="AA11" s="22"/>
      <c r="AB11" s="20">
        <v>14.38</v>
      </c>
    </row>
    <row r="12" ht="20.05" customHeight="1">
      <c r="B12" s="21">
        <v>2019</v>
      </c>
      <c r="C12" s="67">
        <v>191.2</v>
      </c>
      <c r="D12" s="26">
        <v>11.1</v>
      </c>
      <c r="E12" s="26">
        <v>17.4</v>
      </c>
      <c r="F12" s="26">
        <v>102</v>
      </c>
      <c r="G12" s="26">
        <v>367</v>
      </c>
      <c r="H12" s="26">
        <v>866</v>
      </c>
      <c r="I12" s="26">
        <v>197.224</v>
      </c>
      <c r="J12" s="26">
        <v>23.524</v>
      </c>
      <c r="K12" s="26">
        <v>-2.902</v>
      </c>
      <c r="L12" s="26">
        <v>-37</v>
      </c>
      <c r="M12" s="26">
        <v>0</v>
      </c>
      <c r="N12" s="26">
        <f>SUM(C9:C12)/4</f>
        <v>201.55</v>
      </c>
      <c r="O12" s="23"/>
      <c r="P12" s="16">
        <f>C12/C11-1</f>
        <v>-0.0803270803270803</v>
      </c>
      <c r="Q12" s="16">
        <f>(E12+D12)/C12</f>
        <v>0.149058577405858</v>
      </c>
      <c r="R12" s="16">
        <f>AVERAGE(Q9:Q12)</f>
        <v>0.122404950531441</v>
      </c>
      <c r="S12" s="17"/>
      <c r="T12" s="26">
        <f>SUM(J9:K12)/4</f>
        <v>32.4735</v>
      </c>
      <c r="U12" s="25"/>
      <c r="V12" s="26">
        <f>-(L12+M12)+V11</f>
        <v>66</v>
      </c>
      <c r="W12" s="17"/>
      <c r="X12" s="26">
        <f>F12-G12</f>
        <v>-265</v>
      </c>
      <c r="Y12" s="24"/>
      <c r="Z12" s="68">
        <v>1090</v>
      </c>
      <c r="AA12" s="22"/>
      <c r="AB12" s="20">
        <v>14.24</v>
      </c>
    </row>
    <row r="13" ht="20.05" customHeight="1">
      <c r="B13" s="13"/>
      <c r="C13" s="67">
        <v>211.9</v>
      </c>
      <c r="D13" s="26">
        <v>10.7</v>
      </c>
      <c r="E13" s="26">
        <v>13.2</v>
      </c>
      <c r="F13" s="26">
        <v>119</v>
      </c>
      <c r="G13" s="26">
        <v>354</v>
      </c>
      <c r="H13" s="26">
        <v>866</v>
      </c>
      <c r="I13" s="26">
        <v>210.704</v>
      </c>
      <c r="J13" s="26">
        <v>42.311</v>
      </c>
      <c r="K13" s="26">
        <v>9.316000000000001</v>
      </c>
      <c r="L13" s="26">
        <v>-37</v>
      </c>
      <c r="M13" s="26">
        <v>0</v>
      </c>
      <c r="N13" s="26">
        <f>SUM(C10:C13)/4</f>
        <v>203.7</v>
      </c>
      <c r="O13" s="23"/>
      <c r="P13" s="16">
        <f>C13/C12-1</f>
        <v>0.10826359832636</v>
      </c>
      <c r="Q13" s="16">
        <f>(E13+D13)/C13</f>
        <v>0.112789051439358</v>
      </c>
      <c r="R13" s="16">
        <f>AVERAGE(Q10:Q13)</f>
        <v>0.128221495240765</v>
      </c>
      <c r="S13" s="17"/>
      <c r="T13" s="26">
        <f>SUM(J10:K13)/4</f>
        <v>38.03125</v>
      </c>
      <c r="U13" s="25"/>
      <c r="V13" s="26">
        <f>-(L13+M13)+V12</f>
        <v>103</v>
      </c>
      <c r="W13" s="17"/>
      <c r="X13" s="26">
        <f>F13-G13</f>
        <v>-235</v>
      </c>
      <c r="Y13" s="24"/>
      <c r="Z13" s="68">
        <v>1090</v>
      </c>
      <c r="AA13" s="24"/>
      <c r="AB13" s="15">
        <v>14.127</v>
      </c>
    </row>
    <row r="14" ht="20.05" customHeight="1">
      <c r="B14" s="13"/>
      <c r="C14" s="67">
        <v>212.9</v>
      </c>
      <c r="D14" s="26">
        <v>10.4</v>
      </c>
      <c r="E14" s="26">
        <v>-1.1</v>
      </c>
      <c r="F14" s="26">
        <v>162</v>
      </c>
      <c r="G14" s="26">
        <v>353</v>
      </c>
      <c r="H14" s="26">
        <v>882</v>
      </c>
      <c r="I14" s="26">
        <v>217.713</v>
      </c>
      <c r="J14" s="26">
        <v>66.092</v>
      </c>
      <c r="K14" s="26">
        <v>-15.728</v>
      </c>
      <c r="L14" s="26">
        <v>-37</v>
      </c>
      <c r="M14" s="26">
        <v>0</v>
      </c>
      <c r="N14" s="26">
        <f>SUM(C11:C14)/4</f>
        <v>205.975</v>
      </c>
      <c r="O14" s="23"/>
      <c r="P14" s="16">
        <f>C14/C13-1</f>
        <v>0.0047192071731949</v>
      </c>
      <c r="Q14" s="16">
        <f>(E14+D14)/C14</f>
        <v>0.0436824800375763</v>
      </c>
      <c r="R14" s="16">
        <f>AVERAGE(Q11:Q14)</f>
        <v>0.109210810048981</v>
      </c>
      <c r="S14" s="17"/>
      <c r="T14" s="26">
        <f>SUM(J11:K14)/4</f>
        <v>38.65025</v>
      </c>
      <c r="U14" s="25"/>
      <c r="V14" s="26">
        <f>-(L14+M14)+V13</f>
        <v>140</v>
      </c>
      <c r="W14" s="17"/>
      <c r="X14" s="26">
        <f>F14-G14</f>
        <v>-191</v>
      </c>
      <c r="Y14" s="24"/>
      <c r="Z14" s="68">
        <v>1055</v>
      </c>
      <c r="AA14" s="24"/>
      <c r="AB14" s="15">
        <v>14.195</v>
      </c>
    </row>
    <row r="15" ht="20.05" customHeight="1">
      <c r="B15" s="13"/>
      <c r="C15" s="67">
        <v>218.3</v>
      </c>
      <c r="D15" s="26">
        <v>10.4</v>
      </c>
      <c r="E15" s="26">
        <v>54.4</v>
      </c>
      <c r="F15" s="26">
        <v>129</v>
      </c>
      <c r="G15" s="26">
        <v>254</v>
      </c>
      <c r="H15" s="26">
        <v>822</v>
      </c>
      <c r="I15" s="26">
        <v>206.14</v>
      </c>
      <c r="J15" s="26">
        <v>52.251</v>
      </c>
      <c r="K15" s="26">
        <v>-3.045</v>
      </c>
      <c r="L15" s="26">
        <v>-37</v>
      </c>
      <c r="M15" s="26">
        <v>0</v>
      </c>
      <c r="N15" s="26">
        <f>SUM(C12:C15)/4</f>
        <v>208.575</v>
      </c>
      <c r="O15" s="26"/>
      <c r="P15" s="16">
        <f>C15/C14-1</f>
        <v>0.0253640206669798</v>
      </c>
      <c r="Q15" s="16">
        <f>(E15+D15)/C15</f>
        <v>0.296839212093449</v>
      </c>
      <c r="R15" s="16">
        <f>AVERAGE(Q12:Q15)</f>
        <v>0.15059233024406</v>
      </c>
      <c r="S15" s="17"/>
      <c r="T15" s="26">
        <f>SUM(J12:K15)/4</f>
        <v>42.95475</v>
      </c>
      <c r="U15" s="25"/>
      <c r="V15" s="26">
        <f>-(L15+M15)+V14</f>
        <v>177</v>
      </c>
      <c r="W15" s="17"/>
      <c r="X15" s="26">
        <f>F15-G15</f>
        <v>-125</v>
      </c>
      <c r="Y15" s="24"/>
      <c r="Z15" s="68">
        <v>1045</v>
      </c>
      <c r="AA15" s="24"/>
      <c r="AB15" s="15">
        <v>13.882</v>
      </c>
    </row>
    <row r="16" ht="20.05" customHeight="1">
      <c r="B16" s="21">
        <v>2020</v>
      </c>
      <c r="C16" s="67">
        <v>199</v>
      </c>
      <c r="D16" s="26">
        <v>10.7</v>
      </c>
      <c r="E16" s="26">
        <v>21.2</v>
      </c>
      <c r="F16" s="26">
        <v>180</v>
      </c>
      <c r="G16" s="26">
        <v>257</v>
      </c>
      <c r="H16" s="26">
        <v>846</v>
      </c>
      <c r="I16" s="26">
        <v>216.089</v>
      </c>
      <c r="J16" s="25">
        <v>75.735</v>
      </c>
      <c r="K16" s="26">
        <v>-2.886</v>
      </c>
      <c r="L16" s="26">
        <v>-5.75</v>
      </c>
      <c r="M16" s="26">
        <v>0</v>
      </c>
      <c r="N16" s="26">
        <f>SUM(C13:C16)/4</f>
        <v>210.525</v>
      </c>
      <c r="O16" s="26"/>
      <c r="P16" s="16">
        <f>C16/C15-1</f>
        <v>-0.08841044434264771</v>
      </c>
      <c r="Q16" s="16">
        <f>(E16+D16)/C16</f>
        <v>0.160301507537688</v>
      </c>
      <c r="R16" s="16">
        <f>AVERAGE(Q13:Q16)</f>
        <v>0.153403062777018</v>
      </c>
      <c r="S16" s="17"/>
      <c r="T16" s="26">
        <f>SUM(J13:K16)/4</f>
        <v>56.0115</v>
      </c>
      <c r="U16" s="25"/>
      <c r="V16" s="26">
        <f>-(L16+M16)+V15</f>
        <v>182.75</v>
      </c>
      <c r="W16" s="17"/>
      <c r="X16" s="26">
        <f>F16-G16</f>
        <v>-77</v>
      </c>
      <c r="Y16" s="24"/>
      <c r="Z16" s="69">
        <v>700</v>
      </c>
      <c r="AA16" s="24"/>
      <c r="AB16" s="15">
        <v>16.31</v>
      </c>
    </row>
    <row r="17" ht="20.05" customHeight="1">
      <c r="B17" s="13"/>
      <c r="C17" s="67">
        <v>120.9</v>
      </c>
      <c r="D17" s="26">
        <v>10.7</v>
      </c>
      <c r="E17" s="26">
        <v>18.7</v>
      </c>
      <c r="F17" s="26">
        <v>203</v>
      </c>
      <c r="G17" s="26">
        <v>210</v>
      </c>
      <c r="H17" s="26">
        <v>818</v>
      </c>
      <c r="I17" s="26">
        <v>147.78</v>
      </c>
      <c r="J17" s="25">
        <v>24.493</v>
      </c>
      <c r="K17" s="26">
        <v>-1.667</v>
      </c>
      <c r="L17" s="26">
        <v>-5.75</v>
      </c>
      <c r="M17" s="26">
        <v>0</v>
      </c>
      <c r="N17" s="26">
        <f>SUM(C14:C17)/4</f>
        <v>187.775</v>
      </c>
      <c r="O17" s="26"/>
      <c r="P17" s="16">
        <f>C17/C16-1</f>
        <v>-0.392462311557789</v>
      </c>
      <c r="Q17" s="16">
        <f>(E17+D17)/C17</f>
        <v>0.24317617866005</v>
      </c>
      <c r="R17" s="16">
        <f>AVERAGE(Q14:Q17)</f>
        <v>0.185999844582191</v>
      </c>
      <c r="S17" s="17"/>
      <c r="T17" s="25">
        <f>SUM(J14:K17)/4</f>
        <v>48.81125</v>
      </c>
      <c r="U17" s="25"/>
      <c r="V17" s="26">
        <f>-(L17+M17)+V16</f>
        <v>188.5</v>
      </c>
      <c r="W17" s="17"/>
      <c r="X17" s="26">
        <f>F17-G17</f>
        <v>-7</v>
      </c>
      <c r="Y17" s="24"/>
      <c r="Z17" s="69">
        <v>865</v>
      </c>
      <c r="AA17" s="24"/>
      <c r="AB17" s="15">
        <v>14.255</v>
      </c>
    </row>
    <row r="18" ht="20.05" customHeight="1">
      <c r="B18" s="13"/>
      <c r="C18" s="67">
        <v>165.1</v>
      </c>
      <c r="D18" s="26">
        <v>10</v>
      </c>
      <c r="E18" s="26">
        <v>34.1</v>
      </c>
      <c r="F18" s="26">
        <v>273</v>
      </c>
      <c r="G18" s="26">
        <v>248</v>
      </c>
      <c r="H18" s="25">
        <v>890</v>
      </c>
      <c r="I18" s="26">
        <v>148.131</v>
      </c>
      <c r="J18" s="25">
        <v>61.772</v>
      </c>
      <c r="K18" s="26">
        <v>7.153</v>
      </c>
      <c r="L18" s="26">
        <v>-5.75</v>
      </c>
      <c r="M18" s="26">
        <v>0</v>
      </c>
      <c r="N18" s="26">
        <f>SUM(C15:C18)/4</f>
        <v>175.825</v>
      </c>
      <c r="O18" s="26"/>
      <c r="P18" s="16">
        <f>C18/C17-1</f>
        <v>0.365591397849462</v>
      </c>
      <c r="Q18" s="16">
        <f>(E18+D18)/C18</f>
        <v>0.267110841913992</v>
      </c>
      <c r="R18" s="16">
        <f>AVERAGE(Q15:Q18)</f>
        <v>0.241856935051295</v>
      </c>
      <c r="S18" s="17"/>
      <c r="T18" s="25">
        <f>SUM(J15:K18)/4</f>
        <v>53.4515</v>
      </c>
      <c r="U18" s="25"/>
      <c r="V18" s="26">
        <f>-(L18+M18)+V17</f>
        <v>194.25</v>
      </c>
      <c r="W18" s="17"/>
      <c r="X18" s="26">
        <f>F18-G18</f>
        <v>25</v>
      </c>
      <c r="Y18" s="24"/>
      <c r="Z18" s="25">
        <v>1125</v>
      </c>
      <c r="AA18" s="24"/>
      <c r="AB18" s="15">
        <v>14.79</v>
      </c>
    </row>
    <row r="19" ht="20.05" customHeight="1">
      <c r="B19" s="13"/>
      <c r="C19" s="67">
        <v>188.4</v>
      </c>
      <c r="D19" s="26">
        <v>11.7</v>
      </c>
      <c r="E19" s="26">
        <v>61.8</v>
      </c>
      <c r="F19" s="25">
        <v>338</v>
      </c>
      <c r="G19" s="26">
        <v>259</v>
      </c>
      <c r="H19" s="25">
        <v>959</v>
      </c>
      <c r="I19" s="26">
        <v>176.1</v>
      </c>
      <c r="J19" s="25">
        <v>64.7</v>
      </c>
      <c r="K19" s="26">
        <v>-4.4</v>
      </c>
      <c r="L19" s="26">
        <v>-5.75</v>
      </c>
      <c r="M19" s="26">
        <v>0</v>
      </c>
      <c r="N19" s="26">
        <f>SUM(C16:C19)/4</f>
        <v>168.35</v>
      </c>
      <c r="O19" s="26">
        <v>157.3</v>
      </c>
      <c r="P19" s="16">
        <f>C19/C18-1</f>
        <v>0.141126589945488</v>
      </c>
      <c r="Q19" s="16">
        <f>(E19+D19)/C19</f>
        <v>0.390127388535032</v>
      </c>
      <c r="R19" s="16">
        <f>AVERAGE(Q16:Q19)</f>
        <v>0.265178979161691</v>
      </c>
      <c r="S19" s="17"/>
      <c r="T19" s="25">
        <f>SUM(J16:K19)/4</f>
        <v>56.225</v>
      </c>
      <c r="U19" s="25"/>
      <c r="V19" s="26">
        <f>-(L19+M19)+V18</f>
        <v>200</v>
      </c>
      <c r="W19" s="17"/>
      <c r="X19" s="25">
        <f>F19-G19</f>
        <v>79</v>
      </c>
      <c r="Y19" s="24"/>
      <c r="Z19" s="25">
        <v>1530</v>
      </c>
      <c r="AA19" s="24"/>
      <c r="AB19" s="15">
        <v>14.1</v>
      </c>
    </row>
    <row r="20" ht="20.05" customHeight="1">
      <c r="B20" s="21">
        <v>2021</v>
      </c>
      <c r="C20" s="67">
        <v>185</v>
      </c>
      <c r="D20" s="25">
        <v>11.3</v>
      </c>
      <c r="E20" s="26">
        <v>48</v>
      </c>
      <c r="F20" s="25">
        <v>396</v>
      </c>
      <c r="G20" s="26">
        <v>269</v>
      </c>
      <c r="H20" s="25">
        <v>1017</v>
      </c>
      <c r="I20" s="26">
        <v>193</v>
      </c>
      <c r="J20" s="25">
        <v>70</v>
      </c>
      <c r="K20" s="26">
        <v>-13</v>
      </c>
      <c r="L20" s="25">
        <v>0</v>
      </c>
      <c r="M20" s="25">
        <v>0</v>
      </c>
      <c r="N20" s="26">
        <f>SUM(C17:C20)/4</f>
        <v>164.85</v>
      </c>
      <c r="O20" s="26">
        <v>168.430166666667</v>
      </c>
      <c r="P20" s="16">
        <f>C20/C19-1</f>
        <v>-0.0180467091295117</v>
      </c>
      <c r="Q20" s="16">
        <f>(E20+D20)/C20</f>
        <v>0.320540540540541</v>
      </c>
      <c r="R20" s="16">
        <f>AVERAGE(Q17:Q20)</f>
        <v>0.305238737412404</v>
      </c>
      <c r="S20" s="17"/>
      <c r="T20" s="25">
        <f>SUM(J17:K20)/4</f>
        <v>52.26275</v>
      </c>
      <c r="U20" s="25"/>
      <c r="V20" s="25">
        <f>-(L20+M20)+V19</f>
        <v>200</v>
      </c>
      <c r="W20" s="17"/>
      <c r="X20" s="25">
        <f>F20-G20</f>
        <v>127</v>
      </c>
      <c r="Y20" s="26"/>
      <c r="Z20" s="26">
        <v>1670</v>
      </c>
      <c r="AA20" s="17"/>
      <c r="AB20" s="15">
        <v>14.606</v>
      </c>
    </row>
    <row r="21" ht="20.05" customHeight="1">
      <c r="B21" s="13"/>
      <c r="C21" s="67">
        <v>190</v>
      </c>
      <c r="D21" s="26">
        <v>9.1</v>
      </c>
      <c r="E21" s="26">
        <v>41.9</v>
      </c>
      <c r="F21" s="25">
        <v>360</v>
      </c>
      <c r="G21" s="26">
        <v>274</v>
      </c>
      <c r="H21" s="25">
        <v>1065</v>
      </c>
      <c r="I21" s="25">
        <v>167.6</v>
      </c>
      <c r="J21" s="25">
        <v>37.6</v>
      </c>
      <c r="K21" s="25">
        <v>-73.3</v>
      </c>
      <c r="L21" s="25">
        <v>0</v>
      </c>
      <c r="M21" s="25">
        <v>0</v>
      </c>
      <c r="N21" s="26">
        <f>SUM(C18:C21)/4</f>
        <v>182.125</v>
      </c>
      <c r="O21" s="26">
        <v>177.660125</v>
      </c>
      <c r="P21" s="16">
        <f>C21/C20-1</f>
        <v>0.027027027027027</v>
      </c>
      <c r="Q21" s="16">
        <f>(E21+D21)/C21</f>
        <v>0.268421052631579</v>
      </c>
      <c r="R21" s="16">
        <f>AVERAGE(Q18:Q21)</f>
        <v>0.311549955905286</v>
      </c>
      <c r="S21" s="17"/>
      <c r="T21" s="25">
        <f>SUM(J18:K21)/4</f>
        <v>37.63125</v>
      </c>
      <c r="U21" s="25"/>
      <c r="V21" s="25">
        <f>-(L21+M21)+V20</f>
        <v>200</v>
      </c>
      <c r="W21" s="17"/>
      <c r="X21" s="25">
        <f>F21-G21</f>
        <v>86</v>
      </c>
      <c r="Y21" s="26"/>
      <c r="Z21" s="26">
        <v>1930</v>
      </c>
      <c r="AA21" s="17"/>
      <c r="AB21" s="15">
        <v>14.45</v>
      </c>
    </row>
    <row r="22" ht="20.05" customHeight="1">
      <c r="B22" s="13"/>
      <c r="C22" s="67">
        <v>241.073</v>
      </c>
      <c r="D22" s="26">
        <v>8.44</v>
      </c>
      <c r="E22" s="26">
        <v>52.953</v>
      </c>
      <c r="F22" s="25">
        <v>421.169</v>
      </c>
      <c r="G22" s="26">
        <v>305.728</v>
      </c>
      <c r="H22" s="25">
        <v>1149.089</v>
      </c>
      <c r="I22" s="25">
        <v>230.665</v>
      </c>
      <c r="J22" s="25">
        <v>84.509</v>
      </c>
      <c r="K22" s="25">
        <v>-23.459</v>
      </c>
      <c r="L22" s="25">
        <v>0.11</v>
      </c>
      <c r="M22" s="25">
        <v>0</v>
      </c>
      <c r="N22" s="26">
        <f>SUM(C19:C22)/4</f>
        <v>201.11825</v>
      </c>
      <c r="O22" s="26">
        <v>232.742625</v>
      </c>
      <c r="P22" s="16">
        <f>C22/C21-1</f>
        <v>0.268805263157895</v>
      </c>
      <c r="Q22" s="16">
        <f>(E22+D22)/C22</f>
        <v>0.254665599216835</v>
      </c>
      <c r="R22" s="16">
        <f>AVERAGE(Q19:Q22)</f>
        <v>0.308438645230997</v>
      </c>
      <c r="S22" s="17"/>
      <c r="T22" s="25">
        <f>SUM(J19:K22)/4</f>
        <v>35.6625</v>
      </c>
      <c r="U22" s="25"/>
      <c r="V22" s="25">
        <f>-(L22+M22)+V21</f>
        <v>199.89</v>
      </c>
      <c r="W22" s="17"/>
      <c r="X22" s="25">
        <f>F22-G22</f>
        <v>115.441</v>
      </c>
      <c r="Y22" s="26"/>
      <c r="Z22" s="26">
        <v>2680</v>
      </c>
      <c r="AA22" s="17"/>
      <c r="AB22" s="15">
        <v>14.328</v>
      </c>
    </row>
    <row r="23" ht="20.05" customHeight="1">
      <c r="B23" s="13"/>
      <c r="C23" s="67">
        <v>319.027</v>
      </c>
      <c r="D23" s="26">
        <v>9.66</v>
      </c>
      <c r="E23" s="26">
        <v>122.947</v>
      </c>
      <c r="F23" s="25">
        <v>380</v>
      </c>
      <c r="G23" s="26">
        <v>334</v>
      </c>
      <c r="H23" s="25">
        <v>1304</v>
      </c>
      <c r="I23" s="25">
        <v>300.535</v>
      </c>
      <c r="J23" s="25">
        <v>112.191</v>
      </c>
      <c r="K23" s="25">
        <v>-153.541</v>
      </c>
      <c r="L23" s="25">
        <v>0.39</v>
      </c>
      <c r="M23" s="25">
        <v>0</v>
      </c>
      <c r="N23" s="26">
        <f>SUM(C20:C23)/4</f>
        <v>233.775</v>
      </c>
      <c r="O23" s="26">
        <v>251.8271525</v>
      </c>
      <c r="P23" s="16">
        <f>C23/C22-1</f>
        <v>0.32336263289543</v>
      </c>
      <c r="Q23" s="16">
        <f>(E23+D23)/C23</f>
        <v>0.415660743448047</v>
      </c>
      <c r="R23" s="16">
        <f>AVERAGE(Q20:Q23)</f>
        <v>0.314821983959251</v>
      </c>
      <c r="S23" s="17"/>
      <c r="T23" s="25">
        <f>SUM(J20:K23)/4</f>
        <v>10.25</v>
      </c>
      <c r="U23" s="25"/>
      <c r="V23" s="25">
        <f>-(L23+M23)+V22</f>
        <v>199.5</v>
      </c>
      <c r="W23" s="17"/>
      <c r="X23" s="25">
        <f>F23-G23</f>
        <v>46</v>
      </c>
      <c r="Y23" s="26"/>
      <c r="Z23" s="26">
        <v>3290</v>
      </c>
      <c r="AA23" s="23">
        <v>5343.713236463840</v>
      </c>
      <c r="AB23" s="15">
        <v>14.275</v>
      </c>
    </row>
    <row r="24" ht="20.05" customHeight="1">
      <c r="B24" s="21">
        <v>2022</v>
      </c>
      <c r="C24" s="67">
        <v>294.2</v>
      </c>
      <c r="D24" s="26">
        <v>9.699999999999999</v>
      </c>
      <c r="E24" s="26">
        <v>75.59999999999999</v>
      </c>
      <c r="F24" s="25">
        <v>437</v>
      </c>
      <c r="G24" s="26">
        <v>335</v>
      </c>
      <c r="H24" s="25">
        <v>1381</v>
      </c>
      <c r="I24" s="25">
        <v>276.4</v>
      </c>
      <c r="J24" s="25">
        <v>78.2</v>
      </c>
      <c r="K24" s="25">
        <v>-21.9</v>
      </c>
      <c r="L24" s="25">
        <v>0</v>
      </c>
      <c r="M24" s="25">
        <v>0</v>
      </c>
      <c r="N24" s="26">
        <f>SUM(C21:C24)/4</f>
        <v>261.075</v>
      </c>
      <c r="O24" s="26">
        <v>268.641555</v>
      </c>
      <c r="P24" s="16">
        <f>C24/C23-1</f>
        <v>-0.0778209994765333</v>
      </c>
      <c r="Q24" s="16">
        <f>(E24+D24)/C24</f>
        <v>0.289938817131203</v>
      </c>
      <c r="R24" s="16">
        <f>AVERAGE(Q21:Q24)</f>
        <v>0.307171553106916</v>
      </c>
      <c r="S24" s="35"/>
      <c r="T24" s="25">
        <f>SUM(J21:K24)/4</f>
        <v>10.075</v>
      </c>
      <c r="U24" s="26">
        <v>66.277272583301</v>
      </c>
      <c r="V24" s="25">
        <f>-(L24+M24)+V23</f>
        <v>199.5</v>
      </c>
      <c r="W24" s="26"/>
      <c r="X24" s="25">
        <f>F24-G24</f>
        <v>102</v>
      </c>
      <c r="Y24" s="25">
        <v>178.440792502721</v>
      </c>
      <c r="Z24" s="26">
        <v>3680</v>
      </c>
      <c r="AA24" s="23">
        <v>6529.239020712430</v>
      </c>
      <c r="AB24" s="15">
        <v>14.327</v>
      </c>
    </row>
    <row r="25" ht="20.05" customHeight="1">
      <c r="B25" s="13"/>
      <c r="C25" s="67">
        <v>308.8</v>
      </c>
      <c r="D25" s="26">
        <v>10.3</v>
      </c>
      <c r="E25" s="26">
        <v>81.40000000000001</v>
      </c>
      <c r="F25" s="25">
        <v>482</v>
      </c>
      <c r="G25" s="25">
        <v>343</v>
      </c>
      <c r="H25" s="25">
        <v>1470</v>
      </c>
      <c r="I25" s="25">
        <v>294.6</v>
      </c>
      <c r="J25" s="25">
        <v>54.2</v>
      </c>
      <c r="K25" s="25">
        <v>-9.1</v>
      </c>
      <c r="L25" s="25">
        <v>0</v>
      </c>
      <c r="M25" s="25">
        <v>0</v>
      </c>
      <c r="N25" s="26">
        <f>SUM(C22:C25)/4</f>
        <v>290.775</v>
      </c>
      <c r="O25" s="26">
        <v>295.267055</v>
      </c>
      <c r="P25" s="16">
        <f>C25/C24-1</f>
        <v>0.0496261046906866</v>
      </c>
      <c r="Q25" s="16">
        <f>(E25+D25)/C25</f>
        <v>0.296955958549223</v>
      </c>
      <c r="R25" s="16">
        <f>AVERAGE(Q22:Q25)</f>
        <v>0.314305279586327</v>
      </c>
      <c r="S25" s="35"/>
      <c r="T25" s="25">
        <f>SUM(J22:K25)/4</f>
        <v>30.275</v>
      </c>
      <c r="U25" s="26">
        <v>85.120637983151</v>
      </c>
      <c r="V25" s="25">
        <f>-(L25+M25)+V24</f>
        <v>199.5</v>
      </c>
      <c r="W25" s="26"/>
      <c r="X25" s="25">
        <f>F25-G25</f>
        <v>139</v>
      </c>
      <c r="Y25" s="25">
        <v>203.413680189376</v>
      </c>
      <c r="Z25" s="26">
        <v>6675</v>
      </c>
      <c r="AA25" s="23">
        <v>6529.239020712430</v>
      </c>
      <c r="AB25" s="15">
        <v>14.66</v>
      </c>
    </row>
    <row r="26" ht="20.05" customHeight="1">
      <c r="B26" s="13"/>
      <c r="C26" s="67">
        <v>321.2</v>
      </c>
      <c r="D26" s="26">
        <v>9</v>
      </c>
      <c r="E26" s="26">
        <v>83.7</v>
      </c>
      <c r="F26" s="25">
        <v>497</v>
      </c>
      <c r="G26" s="25">
        <v>332</v>
      </c>
      <c r="H26" s="25">
        <v>1542</v>
      </c>
      <c r="I26" s="25">
        <v>323.6</v>
      </c>
      <c r="J26" s="25">
        <v>63.6</v>
      </c>
      <c r="K26" s="25">
        <v>-49.4</v>
      </c>
      <c r="L26" s="25">
        <v>0</v>
      </c>
      <c r="M26" s="25">
        <v>0</v>
      </c>
      <c r="N26" s="26">
        <f>SUM(C23:C26)/4</f>
        <v>310.80675</v>
      </c>
      <c r="O26" s="26">
        <v>291.857055</v>
      </c>
      <c r="P26" s="16">
        <f>C26/C25-1</f>
        <v>0.0401554404145078</v>
      </c>
      <c r="Q26" s="16">
        <f>(E26+D26)/C26</f>
        <v>0.288605230386052</v>
      </c>
      <c r="R26" s="16">
        <f>AVERAGE(Q23:Q26)</f>
        <v>0.322790187378631</v>
      </c>
      <c r="S26" s="35">
        <f>S27</f>
        <v>0.296955958549223</v>
      </c>
      <c r="T26" s="25">
        <f>SUM(J23:K26)/4</f>
        <v>18.5625</v>
      </c>
      <c r="U26" s="26">
        <v>87.750591416174</v>
      </c>
      <c r="V26" s="25">
        <f>-(L26+M26)+V25</f>
        <v>199.5</v>
      </c>
      <c r="W26" s="26">
        <f>W27</f>
        <v>479.528606618237</v>
      </c>
      <c r="X26" s="25">
        <f>F26-G26</f>
        <v>165</v>
      </c>
      <c r="Y26" s="25">
        <v>202.454953947703</v>
      </c>
      <c r="Z26" s="26">
        <v>7175</v>
      </c>
      <c r="AA26" s="23">
        <v>9504.450011158560</v>
      </c>
      <c r="AB26" s="15">
        <v>15.705</v>
      </c>
    </row>
    <row r="27" ht="20.05" customHeight="1">
      <c r="B27" s="13"/>
      <c r="C27" s="6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339.057968392</v>
      </c>
      <c r="P27" s="17"/>
      <c r="Q27" s="17"/>
      <c r="R27" s="17"/>
      <c r="S27" s="35">
        <f>AE53</f>
        <v>0.296955958549223</v>
      </c>
      <c r="T27" s="25"/>
      <c r="U27" s="26">
        <f>SUM(AE55:AH55)/4</f>
        <v>73.8852840075985</v>
      </c>
      <c r="V27" s="17"/>
      <c r="W27" s="26">
        <f>-SUM(AE76:AH76)+V26</f>
        <v>479.528606618237</v>
      </c>
      <c r="X27" s="17"/>
      <c r="Y27" s="26">
        <f>AH75</f>
        <v>242.096454412158</v>
      </c>
      <c r="Z27" s="26">
        <v>7150</v>
      </c>
      <c r="AA27" s="23">
        <v>9381.436391258199</v>
      </c>
      <c r="AB27" s="17"/>
    </row>
    <row r="28" ht="20.05" customHeight="1">
      <c r="B28" s="21">
        <v>2023</v>
      </c>
      <c r="C28" s="6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SUM(N19:N26)</f>
        <v>1812.875</v>
      </c>
      <c r="O28" s="26">
        <f>SUM(O19:O26)</f>
        <v>1843.725734166670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8016.0739656254</v>
      </c>
      <c r="AB28" s="15"/>
    </row>
    <row r="29" ht="20.05" customHeight="1">
      <c r="B29" s="13"/>
      <c r="C29" s="6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6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67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67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67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67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67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67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67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67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67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67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6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6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6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267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0.0838307946310228</v>
      </c>
      <c r="AF49" s="35"/>
      <c r="AG49" s="35"/>
      <c r="AH49" s="35">
        <f>AVERAGE(AE51:AH51)</f>
        <v>0.0225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v>0.04</v>
      </c>
      <c r="AF50" s="35">
        <v>-0.01</v>
      </c>
      <c r="AG50" s="35">
        <v>0.03</v>
      </c>
      <c r="AH50" s="35">
        <v>0.03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0.04</v>
      </c>
      <c r="AF51" s="35">
        <v>-0.01</v>
      </c>
      <c r="AG51" s="35">
        <v>0.03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321.2</v>
      </c>
      <c r="AE52" s="23">
        <f>C26*(1+AE51)</f>
        <v>334.048</v>
      </c>
      <c r="AF52" s="23">
        <f>AE52*(1+AF51)</f>
        <v>330.70752</v>
      </c>
      <c r="AG52" s="23">
        <f>AF52*(1+AG51)</f>
        <v>340.6287456</v>
      </c>
      <c r="AH52" s="23">
        <f>AG52*(1+AH51)</f>
        <v>350.847607968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AVERAGE(Q25)</f>
        <v>0.296955958549223</v>
      </c>
      <c r="AF53" s="35">
        <f>AE53</f>
        <v>0.296955958549223</v>
      </c>
      <c r="AG53" s="35">
        <f>AF53</f>
        <v>0.296955958549223</v>
      </c>
      <c r="AH53" s="35">
        <f>AG53</f>
        <v>0.296955958549223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-26.8</v>
      </c>
      <c r="AF54" s="15">
        <f>AE54</f>
        <v>-26.8</v>
      </c>
      <c r="AG54" s="15">
        <f>AF54</f>
        <v>-26.8</v>
      </c>
      <c r="AH54" s="15">
        <f>AG54</f>
        <v>-26.8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72.3975440414508</v>
      </c>
      <c r="AF55" s="15">
        <f>(AF52*AF53)+AF54</f>
        <v>71.40556860103629</v>
      </c>
      <c r="AG55" s="15">
        <f>(AG52*AG53)+AG54</f>
        <v>74.3517356590674</v>
      </c>
      <c r="AH55" s="15">
        <f>(AH52*AH53)+AH54</f>
        <v>77.38628772883941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-16.6</v>
      </c>
      <c r="AF56" s="15">
        <f>-AE71/20</f>
        <v>-15.77</v>
      </c>
      <c r="AG56" s="15">
        <f>-AF71/20</f>
        <v>-14.9815</v>
      </c>
      <c r="AH56" s="15">
        <f>-AG71/20</f>
        <v>-14.232425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-0.6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-53.7185264248705</v>
      </c>
      <c r="AF58" s="15">
        <f>IF(AF66&gt;0,AF66*$AE$57,0)</f>
        <v>-53.1233411606218</v>
      </c>
      <c r="AG58" s="15">
        <f>IF(AG66&gt;0,AG66*$AE$57,0)</f>
        <v>-54.8910413954405</v>
      </c>
      <c r="AH58" s="15">
        <f>IF(AH66&gt;0,AH66*$AE$57,0)</f>
        <v>-56.7117726373037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2.0790176165803</v>
      </c>
      <c r="AF59" s="15">
        <f>AF55+AF56+AF58</f>
        <v>2.5122274404145</v>
      </c>
      <c r="AG59" s="15">
        <f>AG55+AG56+AG58</f>
        <v>4.4791942636269</v>
      </c>
      <c r="AH59" s="15">
        <f>AH55+AH56+AH58</f>
        <v>6.4420900915357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497</v>
      </c>
      <c r="AF61" s="15">
        <f>AE63</f>
        <v>499.079017616580</v>
      </c>
      <c r="AG61" s="15">
        <f>AF63</f>
        <v>501.591245056995</v>
      </c>
      <c r="AH61" s="15">
        <f>AG63</f>
        <v>506.070439320622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2.0790176165803</v>
      </c>
      <c r="AF62" s="15">
        <f>AF55+AF56+AF58+AF60</f>
        <v>2.5122274404145</v>
      </c>
      <c r="AG62" s="15">
        <f>AG55+AG56+AG58+AG60</f>
        <v>4.4791942636269</v>
      </c>
      <c r="AH62" s="15">
        <f>AH55+AH56+AH58+AH60</f>
        <v>6.4420900915357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499.079017616580</v>
      </c>
      <c r="AF63" s="15">
        <f>AF61+AF62</f>
        <v>501.591245056995</v>
      </c>
      <c r="AG63" s="15">
        <f>AG61+AG62</f>
        <v>506.070439320622</v>
      </c>
      <c r="AH63" s="15">
        <f>AH61+AH62</f>
        <v>512.512529412158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-9.66666666666667</v>
      </c>
      <c r="AF65" s="15">
        <f>AE65</f>
        <v>-9.66666666666667</v>
      </c>
      <c r="AG65" s="15">
        <f>AF65</f>
        <v>-9.66666666666667</v>
      </c>
      <c r="AH65" s="15">
        <f>AG65</f>
        <v>-9.66666666666667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89.5308773747842</v>
      </c>
      <c r="AF66" s="15">
        <f>(AF52*AF53)+AF65</f>
        <v>88.5389019343697</v>
      </c>
      <c r="AG66" s="15">
        <f>(AG52*AG53)+AG65</f>
        <v>91.4850689924008</v>
      </c>
      <c r="AH66" s="15">
        <f>(AH52*AH53)+AH65</f>
        <v>94.5196210621728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1071.8</v>
      </c>
      <c r="AF68" s="15">
        <f>AE68-AF54</f>
        <v>1098.6</v>
      </c>
      <c r="AG68" s="15">
        <f>AF68-AG54</f>
        <v>1125.4</v>
      </c>
      <c r="AH68" s="15">
        <f>AG68-AH54</f>
        <v>1152.2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9.66666666666667</v>
      </c>
      <c r="AF69" s="15">
        <f>AE69-AF65</f>
        <v>19.3333333333333</v>
      </c>
      <c r="AG69" s="15">
        <f>AF69-AG65</f>
        <v>29</v>
      </c>
      <c r="AH69" s="15">
        <f>AG69-AH65</f>
        <v>38.6666666666667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1062.133333333330</v>
      </c>
      <c r="AF70" s="15">
        <f>AF68-AF69</f>
        <v>1079.266666666670</v>
      </c>
      <c r="AG70" s="15">
        <f>AG68-AG69</f>
        <v>1096.4</v>
      </c>
      <c r="AH70" s="15">
        <f>AH68-AH69</f>
        <v>1113.533333333330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315.4</v>
      </c>
      <c r="AF71" s="15">
        <f>AE71+AF56</f>
        <v>299.63</v>
      </c>
      <c r="AG71" s="15">
        <f>AF71+AG56</f>
        <v>284.6485</v>
      </c>
      <c r="AH71" s="15">
        <f>AG71+AH56</f>
        <v>270.416075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1245.812350949910</v>
      </c>
      <c r="AF73" s="15">
        <f>AE73+AF66+AF58</f>
        <v>1281.227911723660</v>
      </c>
      <c r="AG73" s="15">
        <f>AF73+AG66+AG58</f>
        <v>1317.821939320620</v>
      </c>
      <c r="AH73" s="15">
        <f>AG73+AH66+AH58</f>
        <v>1355.629787745490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-5e-12</v>
      </c>
      <c r="AG74" s="15">
        <f>AG71+AG72+AG73-AG63-AG70</f>
        <v>-2e-12</v>
      </c>
      <c r="AH74" s="15">
        <f>AH71+AH72+AH73-AH63-AH70</f>
        <v>2e-12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183.679017616580</v>
      </c>
      <c r="AF75" s="15">
        <f>AF63-AF71-AF72</f>
        <v>201.961245056995</v>
      </c>
      <c r="AG75" s="15">
        <f>AG63-AG71-AG72</f>
        <v>221.421939320622</v>
      </c>
      <c r="AH75" s="15">
        <f>AH63-AH71-AH72</f>
        <v>242.096454412158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-70.3185264248705</v>
      </c>
      <c r="AF76" s="15">
        <f>AF56+AF58+AF60</f>
        <v>-68.8933411606218</v>
      </c>
      <c r="AG76" s="15">
        <f>AG56+AG58+AG60</f>
        <v>-69.87254139544051</v>
      </c>
      <c r="AH76" s="15">
        <f>AH56+AH58+AH60</f>
        <v>-70.9441976373037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377</v>
      </c>
      <c r="AD78" s="14"/>
      <c r="AE78" s="15"/>
      <c r="AF78" s="15"/>
      <c r="AG78" s="15"/>
      <c r="AH78" s="15">
        <v>7150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377</v>
      </c>
      <c r="AD79" s="14"/>
      <c r="AE79" s="15"/>
      <c r="AF79" s="15"/>
      <c r="AG79" s="15"/>
      <c r="AH79" s="15">
        <v>4217763721600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4217.7637216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0.589897024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2.5938774657183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0.0517915881583262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295.541136030394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3.76777780680525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14.2713254007599</v>
      </c>
      <c r="AH86" s="15">
        <v>16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4728.6581764863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8016.0739656254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0.121129225961594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0.332376500064296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0.0170175738353003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377</v>
      </c>
      <c r="AF94" t="s" s="44">
        <v>60</v>
      </c>
      <c r="AG94" s="15">
        <f>AH78</f>
        <v>7150</v>
      </c>
      <c r="AH94" t="s" s="44">
        <v>61</v>
      </c>
      <c r="AI94" s="15">
        <f>AH88</f>
        <v>8016.0739656254</v>
      </c>
      <c r="AJ94" t="s" s="44">
        <f>IF(AK94&gt;0,"+","")</f>
        <v>361</v>
      </c>
      <c r="AK94" s="16">
        <f>AI94/AG94-1</f>
        <v>0.121129225961594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0.332376500064296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0.0176041155695259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-9.24660615773077e-05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0.0391202568211686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0.0401554404145078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0.268805263157895</v>
      </c>
      <c r="AF103" s="16">
        <f>P23</f>
        <v>0.32336263289543</v>
      </c>
      <c r="AG103" s="16">
        <f>P24</f>
        <v>-0.0778209994765333</v>
      </c>
      <c r="AH103" s="16">
        <f>P25</f>
        <v>0.0496261046906866</v>
      </c>
      <c r="AI103" s="16">
        <f>P26</f>
        <v>0.0401554404145078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241.073</v>
      </c>
      <c r="AF104" s="15">
        <f>C23</f>
        <v>319.027</v>
      </c>
      <c r="AG104" s="15">
        <f>C24</f>
        <v>294.2</v>
      </c>
      <c r="AH104" s="15">
        <f>C25</f>
        <v>308.8</v>
      </c>
      <c r="AI104" s="15">
        <f>C26</f>
        <v>321.2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0.0401554404145078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321.2</v>
      </c>
      <c r="AM105" t="s" s="44">
        <v>372</v>
      </c>
      <c r="AN105" t="s" s="44">
        <v>378</v>
      </c>
      <c r="AO105" s="16">
        <f>AH91</f>
        <v>0.0170175738353003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0.0838307946310228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0.0225</v>
      </c>
      <c r="AG107" t="s" s="44">
        <v>82</v>
      </c>
      <c r="AH107" t="s" s="44">
        <v>83</v>
      </c>
      <c r="AI107" s="23">
        <f>AH52</f>
        <v>350.847607968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0.254665599216835</v>
      </c>
      <c r="AF110" s="16">
        <f>(D23+E23)/C23</f>
        <v>0.415660743448047</v>
      </c>
      <c r="AG110" s="16">
        <f>((E24+D24)/C24)</f>
        <v>0.289938817131203</v>
      </c>
      <c r="AH110" s="16">
        <f>(D25+E25)/C25</f>
        <v>0.296955958549223</v>
      </c>
      <c r="AI110" s="16">
        <f>(D26+E26)/C26</f>
        <v>0.288605230386052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52.953</v>
      </c>
      <c r="AF111" s="15">
        <f>E23</f>
        <v>122.947</v>
      </c>
      <c r="AG111" s="15">
        <f>E24</f>
        <v>75.59999999999999</v>
      </c>
      <c r="AH111" s="15">
        <f>E25</f>
        <v>81.40000000000001</v>
      </c>
      <c r="AI111" s="15">
        <f>E26</f>
        <v>83.7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0.296955958549223</v>
      </c>
      <c r="AG112" t="s" s="44">
        <v>76</v>
      </c>
      <c r="AH112" s="16">
        <f>AI110</f>
        <v>0.288605230386052</v>
      </c>
      <c r="AI112" t="s" s="44">
        <v>90</v>
      </c>
      <c r="AJ112" s="15">
        <f>AH111</f>
        <v>81.40000000000001</v>
      </c>
      <c r="AK112" t="s" s="44">
        <v>76</v>
      </c>
      <c r="AL112" s="15">
        <f>AI111</f>
        <v>83.7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0.322790187378631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0.296955958549223</v>
      </c>
      <c r="AG114" t="s" s="44">
        <v>94</v>
      </c>
      <c r="AH114" s="15">
        <f>AH66</f>
        <v>94.5196210621728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26">
        <f>J22</f>
        <v>84.509</v>
      </c>
      <c r="AF117" s="26">
        <f>J23</f>
        <v>112.191</v>
      </c>
      <c r="AG117" s="26">
        <f>J24</f>
        <v>78.2</v>
      </c>
      <c r="AH117" s="26">
        <f>J25</f>
        <v>54.2</v>
      </c>
      <c r="AI117" s="26">
        <f>J26</f>
        <v>63.6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26">
        <f>K22</f>
        <v>-23.459</v>
      </c>
      <c r="AF118" s="26">
        <f>K23</f>
        <v>-153.541</v>
      </c>
      <c r="AG118" s="26">
        <f>K24</f>
        <v>-21.9</v>
      </c>
      <c r="AH118" s="26">
        <f>K25</f>
        <v>-9.1</v>
      </c>
      <c r="AI118" s="26">
        <f>K26</f>
        <v>-49.4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26">
        <f>AH117+AH118</f>
        <v>45.1</v>
      </c>
      <c r="AG119" t="s" s="44">
        <v>76</v>
      </c>
      <c r="AH119" s="26">
        <f>AI117+AI118</f>
        <v>14.2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26">
        <f>AI118</f>
        <v>-49.4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26">
        <f>SUM(AF117:AI118)/4</f>
        <v>18.5625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-26.8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73.8852840075985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26">
        <f>F22</f>
        <v>421.169</v>
      </c>
      <c r="AF124" s="26">
        <f>F23</f>
        <v>380</v>
      </c>
      <c r="AG124" s="26">
        <f>F24</f>
        <v>437</v>
      </c>
      <c r="AH124" s="26">
        <f>F25</f>
        <v>482</v>
      </c>
      <c r="AI124" s="26">
        <f>F26</f>
        <v>497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305.728</v>
      </c>
      <c r="AF125" s="15">
        <f>G23</f>
        <v>334</v>
      </c>
      <c r="AG125" s="15">
        <f>G24</f>
        <v>335</v>
      </c>
      <c r="AH125" s="26">
        <f>G25</f>
        <v>343</v>
      </c>
      <c r="AI125" s="26">
        <f>G26</f>
        <v>332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26">
        <f>AH124</f>
        <v>482</v>
      </c>
      <c r="AH126" t="s" s="44">
        <v>76</v>
      </c>
      <c r="AI126" s="26">
        <f>AI124</f>
        <v>497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26">
        <f>AH125</f>
        <v>343</v>
      </c>
      <c r="AH127" t="s" s="44">
        <v>76</v>
      </c>
      <c r="AI127" s="26">
        <f>AI125</f>
        <v>332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139</v>
      </c>
      <c r="AO127" t="s" s="44">
        <v>76</v>
      </c>
      <c r="AP127" s="15">
        <f>AI126-AI127</f>
        <v>165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-218.444681618237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-61.583925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242.096454412158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26">
        <f>-L22</f>
        <v>-0.11</v>
      </c>
      <c r="AF131" s="26">
        <f>-L23</f>
        <v>-0.39</v>
      </c>
      <c r="AG131" s="26">
        <f>-L24</f>
        <v>0</v>
      </c>
      <c r="AH131" s="26">
        <f>-L25</f>
        <v>0</v>
      </c>
      <c r="AI131" s="26">
        <f>-L26</f>
        <v>0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26">
        <f>-M22</f>
        <v>0</v>
      </c>
      <c r="AF132" s="26">
        <f>-M23</f>
        <v>0</v>
      </c>
      <c r="AG132" s="26">
        <f>-M24</f>
        <v>0</v>
      </c>
      <c r="AH132" s="26">
        <f>-M25</f>
        <v>0</v>
      </c>
      <c r="AI132" s="26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377</v>
      </c>
      <c r="AF133" t="s" s="44">
        <f>IF(AG133&gt;0,"paid","(raised)")</f>
        <v>121</v>
      </c>
      <c r="AG133" s="26">
        <f>SUM(AI131:AI132)</f>
        <v>0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26">
        <f>AI131</f>
        <v>0</v>
      </c>
      <c r="AM133" t="s" s="44">
        <f>AM105</f>
        <v>372</v>
      </c>
      <c r="AN133" t="s" s="44">
        <v>123</v>
      </c>
      <c r="AO133" s="26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280.028606618237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4217.7637216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2.5938774657183</v>
      </c>
      <c r="AK134" t="s" s="44">
        <v>130</v>
      </c>
      <c r="AL134" t="s" s="44">
        <v>131</v>
      </c>
      <c r="AM134" t="s" s="44">
        <v>132</v>
      </c>
      <c r="AN134" s="15">
        <f>AH85</f>
        <v>3.76777780680525</v>
      </c>
      <c r="AO134" t="s" s="44">
        <v>133</v>
      </c>
      <c r="AP134" s="16">
        <f>-AF128/AF134</f>
        <v>0.0517915881583263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295.541136030394</v>
      </c>
      <c r="AG135" t="s" s="44">
        <f>AG134</f>
        <v>372</v>
      </c>
      <c r="AH135" t="s" s="44">
        <v>136</v>
      </c>
      <c r="AI135" s="15">
        <f>AF134/AF135</f>
        <v>14.2713254007599</v>
      </c>
      <c r="AJ135" t="s" s="44">
        <v>130</v>
      </c>
      <c r="AK135" t="s" s="44">
        <v>137</v>
      </c>
      <c r="AL135" t="s" s="44">
        <v>138</v>
      </c>
      <c r="AM135" s="15">
        <f>AH86</f>
        <v>16</v>
      </c>
      <c r="AN135" t="s" s="44">
        <v>139</v>
      </c>
      <c r="AO135" t="s" s="44">
        <v>140</v>
      </c>
      <c r="AP135" t="s" s="44">
        <v>141</v>
      </c>
      <c r="AQ135" s="16">
        <f>AK94</f>
        <v>0.121129225961594</v>
      </c>
      <c r="AR135" t="s" s="44">
        <f>IF(AQ135&gt;0,"higher","lower")</f>
        <v>363</v>
      </c>
      <c r="AS135" t="s" s="44">
        <v>142</v>
      </c>
      <c r="AT135" s="15">
        <f>AI94</f>
        <v>8016.0739656254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241.073</v>
      </c>
      <c r="AE137" s="15">
        <f>AF104</f>
        <v>319.027</v>
      </c>
      <c r="AF137" s="15">
        <f>AG104</f>
        <v>294.2</v>
      </c>
      <c r="AG137" s="15">
        <f>AH104</f>
        <v>308.8</v>
      </c>
      <c r="AH137" s="15">
        <f>AI104</f>
        <v>321.2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67">
        <f>SUM(AE117:AE118)</f>
        <v>61.05</v>
      </c>
      <c r="AE138" s="26">
        <f>SUM(AF117:AF118)</f>
        <v>-41.35</v>
      </c>
      <c r="AF138" s="26">
        <f>SUM(AG117:AG118)</f>
        <v>56.3</v>
      </c>
      <c r="AG138" s="26">
        <f>SUM(AH117:AH118)</f>
        <v>45.1</v>
      </c>
      <c r="AH138" s="26">
        <f>SUM(AI117:AI118)</f>
        <v>14.2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67">
        <f>SUM(AE131:AE132)</f>
        <v>-0.11</v>
      </c>
      <c r="AE139" s="26">
        <f>SUM(AF131:AF132)</f>
        <v>-0.39</v>
      </c>
      <c r="AF139" s="26">
        <f>SUM(AG131:AG132)</f>
        <v>0</v>
      </c>
      <c r="AG139" s="26">
        <f>SUM(AH131:AH132)</f>
        <v>0</v>
      </c>
      <c r="AH139" s="26">
        <f>SUM(AI131:AI132)</f>
        <v>0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67">
        <f>(AE124-AE125)</f>
        <v>115.441</v>
      </c>
      <c r="AE140" s="26">
        <f>(AF124-AF125)</f>
        <v>46</v>
      </c>
      <c r="AF140" s="26">
        <f>(AG124-AG125)</f>
        <v>102</v>
      </c>
      <c r="AG140" s="26">
        <f>(AH124-AH125)</f>
        <v>139</v>
      </c>
      <c r="AH140" s="26">
        <f>(AI124-AI125)</f>
        <v>165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8016.0739656254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0.976562" style="220" customWidth="1"/>
    <col min="2" max="13" width="10.4844" style="220" customWidth="1"/>
    <col min="14" max="16384" width="16.3516" style="220" customWidth="1"/>
  </cols>
  <sheetData>
    <row r="1" ht="29.3" customHeight="1"/>
    <row r="2" ht="27.65" customHeight="1">
      <c r="B2" t="s" s="2">
        <v>578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87">
        <v>5165.9</v>
      </c>
      <c r="D4" s="88">
        <v>18.26</v>
      </c>
      <c r="E4" s="88">
        <v>69.40000000000001</v>
      </c>
      <c r="F4" s="8">
        <v>92.5</v>
      </c>
      <c r="G4" s="8">
        <v>4077</v>
      </c>
      <c r="H4" s="8">
        <v>7554.3</v>
      </c>
      <c r="I4" s="8">
        <v>5347.8</v>
      </c>
      <c r="J4" s="8">
        <v>-963.6</v>
      </c>
      <c r="K4" s="8">
        <v>-71.09999999999999</v>
      </c>
      <c r="L4" s="8">
        <v>143</v>
      </c>
      <c r="M4" s="8">
        <v>-13</v>
      </c>
    </row>
    <row r="5" ht="20.05" customHeight="1">
      <c r="B5" s="13"/>
      <c r="C5" s="38">
        <v>5890.5</v>
      </c>
      <c r="D5" s="23">
        <v>18.44</v>
      </c>
      <c r="E5" s="23">
        <v>77.40000000000001</v>
      </c>
      <c r="F5" s="15">
        <v>312.9</v>
      </c>
      <c r="G5" s="15">
        <v>3860</v>
      </c>
      <c r="H5" s="15">
        <v>7413.5</v>
      </c>
      <c r="I5" s="15">
        <v>5706.2</v>
      </c>
      <c r="J5" s="15">
        <v>187.5</v>
      </c>
      <c r="K5" s="15">
        <v>-66.09999999999999</v>
      </c>
      <c r="L5" s="15">
        <v>143</v>
      </c>
      <c r="M5" s="15">
        <v>-13</v>
      </c>
    </row>
    <row r="6" ht="20.05" customHeight="1">
      <c r="B6" s="13"/>
      <c r="C6" s="38">
        <v>5597.5</v>
      </c>
      <c r="D6" s="23">
        <v>17.7</v>
      </c>
      <c r="E6" s="23">
        <v>84.09999999999999</v>
      </c>
      <c r="F6" s="15">
        <v>144.8</v>
      </c>
      <c r="G6" s="15">
        <v>3669</v>
      </c>
      <c r="H6" s="15">
        <v>7248.2</v>
      </c>
      <c r="I6" s="15">
        <v>5770</v>
      </c>
      <c r="J6" s="15">
        <v>-24.1</v>
      </c>
      <c r="K6" s="15">
        <v>-96.59999999999999</v>
      </c>
      <c r="L6" s="15">
        <v>143</v>
      </c>
      <c r="M6" s="15">
        <v>-13</v>
      </c>
    </row>
    <row r="7" ht="20.05" customHeight="1">
      <c r="B7" s="13"/>
      <c r="C7" s="38">
        <v>7576</v>
      </c>
      <c r="D7" s="23">
        <v>22</v>
      </c>
      <c r="E7" s="23">
        <v>116.3</v>
      </c>
      <c r="F7" s="15">
        <v>366.4</v>
      </c>
      <c r="G7" s="15">
        <v>5168</v>
      </c>
      <c r="H7" s="15">
        <v>8873.9</v>
      </c>
      <c r="I7" s="15">
        <v>7343</v>
      </c>
      <c r="J7" s="15">
        <v>35.2</v>
      </c>
      <c r="K7" s="15">
        <v>-38.3</v>
      </c>
      <c r="L7" s="15">
        <v>143</v>
      </c>
      <c r="M7" s="15">
        <v>-13</v>
      </c>
    </row>
    <row r="8" ht="20.05" customHeight="1">
      <c r="B8" s="21">
        <v>2018</v>
      </c>
      <c r="C8" s="38">
        <v>8280</v>
      </c>
      <c r="D8" s="23">
        <v>19.4</v>
      </c>
      <c r="E8" s="23">
        <v>216.5</v>
      </c>
      <c r="F8" s="15">
        <v>299.5</v>
      </c>
      <c r="G8" s="15">
        <v>6805</v>
      </c>
      <c r="H8" s="15">
        <v>10731.8</v>
      </c>
      <c r="I8" s="15">
        <v>8397.5</v>
      </c>
      <c r="J8" s="15">
        <v>-1665.1</v>
      </c>
      <c r="K8" s="15">
        <v>-72.8</v>
      </c>
      <c r="L8" s="15">
        <v>603.25</v>
      </c>
      <c r="M8" s="15">
        <v>45</v>
      </c>
    </row>
    <row r="9" ht="20.05" customHeight="1">
      <c r="B9" s="13"/>
      <c r="C9" s="38">
        <v>8812.4</v>
      </c>
      <c r="D9" s="23">
        <v>20.8</v>
      </c>
      <c r="E9" s="23">
        <v>237.3</v>
      </c>
      <c r="F9" s="15">
        <v>288.2</v>
      </c>
      <c r="G9" s="15">
        <v>7587</v>
      </c>
      <c r="H9" s="15">
        <v>11928</v>
      </c>
      <c r="I9" s="15">
        <v>8775.6</v>
      </c>
      <c r="J9" s="15">
        <v>-107</v>
      </c>
      <c r="K9" s="15">
        <v>-151</v>
      </c>
      <c r="L9" s="15">
        <v>603.25</v>
      </c>
      <c r="M9" s="15">
        <v>45</v>
      </c>
    </row>
    <row r="10" ht="20.05" customHeight="1">
      <c r="B10" s="13"/>
      <c r="C10" s="38">
        <v>8240.9</v>
      </c>
      <c r="D10" s="23">
        <v>19.9</v>
      </c>
      <c r="E10" s="23">
        <v>202.2</v>
      </c>
      <c r="F10" s="15">
        <v>321.1</v>
      </c>
      <c r="G10" s="15">
        <v>7784</v>
      </c>
      <c r="H10" s="15">
        <v>12325</v>
      </c>
      <c r="I10" s="15">
        <v>8608.9</v>
      </c>
      <c r="J10" s="15">
        <v>-1314</v>
      </c>
      <c r="K10" s="15">
        <v>-76.3</v>
      </c>
      <c r="L10" s="15">
        <v>603.25</v>
      </c>
      <c r="M10" s="15">
        <v>45</v>
      </c>
    </row>
    <row r="11" ht="20.05" customHeight="1">
      <c r="B11" s="13"/>
      <c r="C11" s="38">
        <v>9410.700000000001</v>
      </c>
      <c r="D11" s="23">
        <v>31.3</v>
      </c>
      <c r="E11" s="23">
        <v>233</v>
      </c>
      <c r="F11" s="15">
        <v>272</v>
      </c>
      <c r="G11" s="15">
        <v>7858</v>
      </c>
      <c r="H11" s="15">
        <v>12683</v>
      </c>
      <c r="I11" s="15">
        <v>9104</v>
      </c>
      <c r="J11" s="15">
        <v>659.1</v>
      </c>
      <c r="K11" s="15">
        <v>-98.5</v>
      </c>
      <c r="L11" s="15">
        <v>603.25</v>
      </c>
      <c r="M11" s="15">
        <v>45</v>
      </c>
    </row>
    <row r="12" ht="20.05" customHeight="1">
      <c r="B12" s="21">
        <v>2019</v>
      </c>
      <c r="C12" s="38">
        <v>7124</v>
      </c>
      <c r="D12" s="23">
        <v>25.8</v>
      </c>
      <c r="E12" s="23">
        <v>56.5</v>
      </c>
      <c r="F12" s="15">
        <v>331.3</v>
      </c>
      <c r="G12" s="15">
        <v>7396.4</v>
      </c>
      <c r="H12" s="15">
        <v>12288.8</v>
      </c>
      <c r="I12" s="15">
        <v>7214</v>
      </c>
      <c r="J12" s="15">
        <v>296.6</v>
      </c>
      <c r="K12" s="15">
        <v>-118.7</v>
      </c>
      <c r="L12" s="15">
        <v>-424</v>
      </c>
      <c r="M12" s="15">
        <v>-45.5</v>
      </c>
    </row>
    <row r="13" ht="20.05" customHeight="1">
      <c r="B13" s="13"/>
      <c r="C13" s="38">
        <v>8305</v>
      </c>
      <c r="D13" s="23">
        <v>27.2</v>
      </c>
      <c r="E13" s="23">
        <v>67.5</v>
      </c>
      <c r="F13" s="15">
        <v>386</v>
      </c>
      <c r="G13" s="15">
        <v>6338</v>
      </c>
      <c r="H13" s="15">
        <v>11140</v>
      </c>
      <c r="I13" s="15">
        <v>8435</v>
      </c>
      <c r="J13" s="15">
        <v>1483.4</v>
      </c>
      <c r="K13" s="15">
        <v>-168.3</v>
      </c>
      <c r="L13" s="15">
        <v>-424</v>
      </c>
      <c r="M13" s="15">
        <v>-45.5</v>
      </c>
    </row>
    <row r="14" ht="20.05" customHeight="1">
      <c r="B14" s="13"/>
      <c r="C14" s="38">
        <v>8184</v>
      </c>
      <c r="D14" s="23">
        <v>28.8</v>
      </c>
      <c r="E14" s="23">
        <v>52</v>
      </c>
      <c r="F14" s="15">
        <v>550</v>
      </c>
      <c r="G14" s="15">
        <v>4973</v>
      </c>
      <c r="H14" s="15">
        <v>9828</v>
      </c>
      <c r="I14" s="15">
        <v>8275</v>
      </c>
      <c r="J14" s="15">
        <v>692</v>
      </c>
      <c r="K14" s="15">
        <v>-138</v>
      </c>
      <c r="L14" s="15">
        <v>-424</v>
      </c>
      <c r="M14" s="15">
        <v>-45.5</v>
      </c>
    </row>
    <row r="15" ht="20.05" customHeight="1">
      <c r="B15" s="13"/>
      <c r="C15" s="38">
        <v>9331.9</v>
      </c>
      <c r="D15" s="23">
        <v>45</v>
      </c>
      <c r="E15" s="23">
        <v>149.583</v>
      </c>
      <c r="F15" s="15">
        <v>571.288</v>
      </c>
      <c r="G15" s="15">
        <v>4768.986</v>
      </c>
      <c r="H15" s="15">
        <v>9747.701999999999</v>
      </c>
      <c r="I15" s="15">
        <v>9475</v>
      </c>
      <c r="J15" s="15">
        <v>-41.21</v>
      </c>
      <c r="K15" s="15">
        <v>47.993</v>
      </c>
      <c r="L15" s="15">
        <v>-424</v>
      </c>
      <c r="M15" s="15">
        <v>-45.5</v>
      </c>
    </row>
    <row r="16" ht="20.05" customHeight="1">
      <c r="B16" s="21">
        <v>2020</v>
      </c>
      <c r="C16" s="38">
        <v>7806</v>
      </c>
      <c r="D16" s="23">
        <v>37</v>
      </c>
      <c r="E16" s="23">
        <v>110</v>
      </c>
      <c r="F16" s="15">
        <v>217</v>
      </c>
      <c r="G16" s="15">
        <v>4760</v>
      </c>
      <c r="H16" s="15">
        <v>9944</v>
      </c>
      <c r="I16" s="15">
        <v>8035</v>
      </c>
      <c r="J16" s="15">
        <v>284</v>
      </c>
      <c r="K16" s="15">
        <v>-243</v>
      </c>
      <c r="L16" s="15">
        <v>-271.5</v>
      </c>
      <c r="M16" s="15">
        <v>-6</v>
      </c>
    </row>
    <row r="17" ht="20.05" customHeight="1">
      <c r="B17" s="13"/>
      <c r="C17" s="38">
        <v>6656.73</v>
      </c>
      <c r="D17" s="23">
        <v>21</v>
      </c>
      <c r="E17" s="23">
        <v>14.228</v>
      </c>
      <c r="F17" s="15">
        <v>721</v>
      </c>
      <c r="G17" s="15">
        <v>3908</v>
      </c>
      <c r="H17" s="15">
        <v>9064</v>
      </c>
      <c r="I17" s="15">
        <v>6689</v>
      </c>
      <c r="J17" s="15">
        <v>1918.84</v>
      </c>
      <c r="K17" s="15">
        <v>-79.3</v>
      </c>
      <c r="L17" s="15">
        <v>-271.5</v>
      </c>
      <c r="M17" s="15">
        <v>-6</v>
      </c>
    </row>
    <row r="18" ht="20.05" customHeight="1">
      <c r="B18" s="13"/>
      <c r="C18" s="38">
        <v>8707.27</v>
      </c>
      <c r="D18" s="23">
        <v>34</v>
      </c>
      <c r="E18" s="23">
        <v>204.772</v>
      </c>
      <c r="F18" s="15">
        <v>251</v>
      </c>
      <c r="G18" s="15">
        <v>4411</v>
      </c>
      <c r="H18" s="15">
        <v>9789</v>
      </c>
      <c r="I18" s="15">
        <v>8723</v>
      </c>
      <c r="J18" s="15">
        <v>-1176.84</v>
      </c>
      <c r="K18" s="15">
        <v>-146.7</v>
      </c>
      <c r="L18" s="15">
        <v>-271.5</v>
      </c>
      <c r="M18" s="15">
        <v>-6</v>
      </c>
    </row>
    <row r="19" ht="20.05" customHeight="1">
      <c r="B19" s="13"/>
      <c r="C19" s="38">
        <v>10943.5</v>
      </c>
      <c r="D19" s="23">
        <v>313.3</v>
      </c>
      <c r="E19" s="23">
        <v>342.2</v>
      </c>
      <c r="F19" s="15">
        <v>2002</v>
      </c>
      <c r="G19" s="15">
        <v>5523</v>
      </c>
      <c r="H19" s="15">
        <v>11211</v>
      </c>
      <c r="I19" s="15">
        <v>10573.1</v>
      </c>
      <c r="J19" s="15">
        <v>1562.7</v>
      </c>
      <c r="K19" s="15">
        <v>93.90000000000001</v>
      </c>
      <c r="L19" s="15">
        <v>-271.5</v>
      </c>
      <c r="M19" s="15">
        <v>-6</v>
      </c>
    </row>
    <row r="20" ht="20.05" customHeight="1">
      <c r="B20" s="21">
        <v>2021</v>
      </c>
      <c r="C20" s="38">
        <v>10847.8</v>
      </c>
      <c r="D20" s="23">
        <v>142.5</v>
      </c>
      <c r="E20" s="15">
        <v>315.8</v>
      </c>
      <c r="F20" s="15">
        <v>150</v>
      </c>
      <c r="G20" s="15">
        <v>6062</v>
      </c>
      <c r="H20" s="15">
        <v>11985</v>
      </c>
      <c r="I20" s="15">
        <v>11041.7</v>
      </c>
      <c r="J20" s="15">
        <v>-2310.05</v>
      </c>
      <c r="K20" s="15">
        <v>-202.2</v>
      </c>
      <c r="L20" s="15">
        <v>1602.566</v>
      </c>
      <c r="M20" s="15">
        <v>0</v>
      </c>
    </row>
    <row r="21" ht="20.05" customHeight="1">
      <c r="B21" s="13"/>
      <c r="C21" s="38">
        <v>10511.1</v>
      </c>
      <c r="D21" s="23">
        <v>65.2</v>
      </c>
      <c r="E21" s="23">
        <v>298.3</v>
      </c>
      <c r="F21" s="15">
        <v>158</v>
      </c>
      <c r="G21" s="15">
        <v>5479</v>
      </c>
      <c r="H21" s="15">
        <v>11476</v>
      </c>
      <c r="I21" s="15">
        <v>10590.8</v>
      </c>
      <c r="J21" s="15">
        <v>291.25</v>
      </c>
      <c r="K21" s="15">
        <v>-226.7</v>
      </c>
      <c r="L21" s="15">
        <v>-518.997</v>
      </c>
      <c r="M21" s="15">
        <v>-226.611</v>
      </c>
    </row>
    <row r="22" ht="20.05" customHeight="1">
      <c r="B22" s="13"/>
      <c r="C22" s="38">
        <v>9821.700000000001</v>
      </c>
      <c r="D22" s="23">
        <v>102.9</v>
      </c>
      <c r="E22" s="15">
        <v>185.2</v>
      </c>
      <c r="F22" s="15">
        <v>541</v>
      </c>
      <c r="G22" s="15">
        <v>4946</v>
      </c>
      <c r="H22" s="15">
        <v>11129</v>
      </c>
      <c r="I22" s="15">
        <v>9648.9</v>
      </c>
      <c r="J22" s="15">
        <v>1506.25</v>
      </c>
      <c r="K22" s="15">
        <v>-351.7</v>
      </c>
      <c r="L22" s="15">
        <v>-421.864</v>
      </c>
      <c r="M22" s="15">
        <v>28.537</v>
      </c>
    </row>
    <row r="23" ht="20.05" customHeight="1">
      <c r="B23" s="13"/>
      <c r="C23" s="38">
        <v>12286.4</v>
      </c>
      <c r="D23" s="23">
        <v>226.6</v>
      </c>
      <c r="E23" s="15">
        <v>318.6</v>
      </c>
      <c r="F23" s="15">
        <v>521</v>
      </c>
      <c r="G23" s="15">
        <v>4910</v>
      </c>
      <c r="H23" s="15">
        <v>11372</v>
      </c>
      <c r="I23" s="15">
        <v>12584.6</v>
      </c>
      <c r="J23" s="15">
        <v>133.25</v>
      </c>
      <c r="K23" s="15">
        <v>264.8</v>
      </c>
      <c r="L23" s="15">
        <v>16.176</v>
      </c>
      <c r="M23" s="15">
        <v>-143.826</v>
      </c>
    </row>
    <row r="24" ht="20.05" customHeight="1">
      <c r="B24" s="21">
        <v>2022</v>
      </c>
      <c r="C24" s="38">
        <v>11480</v>
      </c>
      <c r="D24" s="23">
        <v>145</v>
      </c>
      <c r="E24" s="15">
        <v>300</v>
      </c>
      <c r="F24" s="15">
        <v>425</v>
      </c>
      <c r="G24" s="15">
        <v>7437</v>
      </c>
      <c r="H24" s="15">
        <v>14212</v>
      </c>
      <c r="I24" s="15">
        <v>11262</v>
      </c>
      <c r="J24" s="15">
        <v>-651</v>
      </c>
      <c r="K24" s="15">
        <v>-218</v>
      </c>
      <c r="L24" s="15">
        <v>438</v>
      </c>
      <c r="M24" s="15">
        <v>0</v>
      </c>
    </row>
    <row r="25" ht="20.05" customHeight="1">
      <c r="B25" s="13"/>
      <c r="C25" s="38">
        <v>11920</v>
      </c>
      <c r="D25" s="23">
        <v>145</v>
      </c>
      <c r="E25" s="15">
        <v>198</v>
      </c>
      <c r="F25" s="15">
        <v>852</v>
      </c>
      <c r="G25" s="15">
        <v>8674</v>
      </c>
      <c r="H25" s="15">
        <v>15487</v>
      </c>
      <c r="I25" s="15">
        <v>11765</v>
      </c>
      <c r="J25" s="15">
        <v>10</v>
      </c>
      <c r="K25" s="15">
        <v>-335</v>
      </c>
      <c r="L25" s="15">
        <v>246</v>
      </c>
      <c r="M25" s="15">
        <v>152</v>
      </c>
    </row>
    <row r="26" ht="20.05" customHeight="1">
      <c r="B26" s="13"/>
      <c r="C26" s="38">
        <v>11541</v>
      </c>
      <c r="D26" s="23">
        <v>145</v>
      </c>
      <c r="E26" s="15">
        <v>179</v>
      </c>
      <c r="F26" s="15">
        <v>498</v>
      </c>
      <c r="G26" s="15">
        <v>9271</v>
      </c>
      <c r="H26" s="15">
        <v>16024</v>
      </c>
      <c r="I26" s="15">
        <v>11504</v>
      </c>
      <c r="J26" s="15">
        <v>118</v>
      </c>
      <c r="K26" s="15">
        <v>-651</v>
      </c>
      <c r="L26" s="15">
        <v>743</v>
      </c>
      <c r="M26" s="15">
        <v>-516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21" customWidth="1"/>
    <col min="2" max="27" width="10.4844" style="221" customWidth="1"/>
    <col min="28" max="28" width="18.9766" style="223" customWidth="1"/>
    <col min="29" max="47" width="9" style="223" customWidth="1"/>
    <col min="48" max="16384" width="16.3516" style="223" customWidth="1"/>
  </cols>
  <sheetData>
    <row r="1" ht="11.65" customHeight="1"/>
    <row r="2" ht="27.65" customHeight="1">
      <c r="B2" t="s" s="2">
        <v>579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580</v>
      </c>
      <c r="AA3" t="s" s="3">
        <v>19</v>
      </c>
    </row>
    <row r="4" ht="20.25" customHeight="1">
      <c r="B4" s="6">
        <v>2017</v>
      </c>
      <c r="C4" s="7">
        <v>376.8575</v>
      </c>
      <c r="D4" s="8">
        <v>0</v>
      </c>
      <c r="E4" s="8">
        <v>-27.8975</v>
      </c>
      <c r="F4" s="8"/>
      <c r="G4" s="8"/>
      <c r="H4" s="8"/>
      <c r="I4" s="8">
        <v>380.1255</v>
      </c>
      <c r="J4" s="8">
        <v>61.14575</v>
      </c>
      <c r="K4" s="8">
        <v>-80.43725000000001</v>
      </c>
      <c r="L4" s="8">
        <v>-18.11575</v>
      </c>
      <c r="M4" s="8">
        <v>-8.8405</v>
      </c>
      <c r="N4" s="59"/>
      <c r="O4" s="9"/>
      <c r="P4" s="9"/>
      <c r="Q4" s="9"/>
      <c r="R4" s="9"/>
      <c r="S4" s="9"/>
      <c r="T4" s="9"/>
      <c r="U4" s="9"/>
      <c r="V4" s="8">
        <f>-(L4+M4)</f>
        <v>26.95625</v>
      </c>
      <c r="W4" s="9"/>
      <c r="X4" s="9"/>
      <c r="Y4" s="9"/>
      <c r="Z4" s="79"/>
      <c r="AA4" s="9"/>
    </row>
    <row r="5" ht="20.05" customHeight="1">
      <c r="B5" s="13"/>
      <c r="C5" s="14">
        <f>C4</f>
        <v>376.8575</v>
      </c>
      <c r="D5" s="15">
        <f>D4</f>
        <v>0</v>
      </c>
      <c r="E5" s="15">
        <f>E4</f>
        <v>-27.8975</v>
      </c>
      <c r="F5" s="15"/>
      <c r="G5" s="15"/>
      <c r="H5" s="15"/>
      <c r="I5" s="15">
        <f>I4</f>
        <v>380.1255</v>
      </c>
      <c r="J5" s="15">
        <f>J4</f>
        <v>61.14575</v>
      </c>
      <c r="K5" s="15">
        <f>K4</f>
        <v>-80.43725000000001</v>
      </c>
      <c r="L5" s="15">
        <f>L4</f>
        <v>-18.11575</v>
      </c>
      <c r="M5" s="15">
        <f>M4</f>
        <v>-8.8405</v>
      </c>
      <c r="N5" s="26"/>
      <c r="O5" s="17"/>
      <c r="P5" s="17"/>
      <c r="Q5" s="17"/>
      <c r="R5" s="17"/>
      <c r="S5" s="17"/>
      <c r="T5" s="17"/>
      <c r="U5" s="17"/>
      <c r="V5" s="15">
        <f>-(L5+M5)+V4</f>
        <v>53.9125</v>
      </c>
      <c r="W5" s="17"/>
      <c r="X5" s="17"/>
      <c r="Y5" s="17"/>
      <c r="Z5" s="80"/>
      <c r="AA5" s="17"/>
    </row>
    <row r="6" ht="20.05" customHeight="1">
      <c r="B6" s="13"/>
      <c r="C6" s="14">
        <f>C5</f>
        <v>376.8575</v>
      </c>
      <c r="D6" s="15">
        <f>D5</f>
        <v>0</v>
      </c>
      <c r="E6" s="15">
        <f>E5</f>
        <v>-27.8975</v>
      </c>
      <c r="F6" s="15"/>
      <c r="G6" s="15"/>
      <c r="H6" s="15"/>
      <c r="I6" s="15">
        <f>I5</f>
        <v>380.1255</v>
      </c>
      <c r="J6" s="15">
        <f>J5</f>
        <v>61.14575</v>
      </c>
      <c r="K6" s="15">
        <f>K5</f>
        <v>-80.43725000000001</v>
      </c>
      <c r="L6" s="15">
        <f>L5</f>
        <v>-18.11575</v>
      </c>
      <c r="M6" s="15">
        <f>M5</f>
        <v>-8.8405</v>
      </c>
      <c r="N6" s="26"/>
      <c r="O6" s="17"/>
      <c r="P6" s="17"/>
      <c r="Q6" s="17"/>
      <c r="R6" s="17"/>
      <c r="S6" s="17"/>
      <c r="T6" s="17"/>
      <c r="U6" s="17"/>
      <c r="V6" s="15">
        <f>-(L6+M6)+V5</f>
        <v>80.86875000000001</v>
      </c>
      <c r="W6" s="17"/>
      <c r="X6" s="17"/>
      <c r="Y6" s="17"/>
      <c r="Z6" s="80"/>
      <c r="AA6" s="17"/>
    </row>
    <row r="7" ht="20.05" customHeight="1">
      <c r="B7" s="13"/>
      <c r="C7" s="14">
        <f>C6</f>
        <v>376.8575</v>
      </c>
      <c r="D7" s="15">
        <f>D6</f>
        <v>0</v>
      </c>
      <c r="E7" s="15">
        <f>E6</f>
        <v>-27.8975</v>
      </c>
      <c r="F7" s="15"/>
      <c r="G7" s="15"/>
      <c r="H7" s="15"/>
      <c r="I7" s="15">
        <f>I6</f>
        <v>380.1255</v>
      </c>
      <c r="J7" s="15">
        <f>J6</f>
        <v>61.14575</v>
      </c>
      <c r="K7" s="15">
        <f>K6</f>
        <v>-80.43725000000001</v>
      </c>
      <c r="L7" s="15">
        <f>L6</f>
        <v>-18.11575</v>
      </c>
      <c r="M7" s="15">
        <f>M6</f>
        <v>-8.8405</v>
      </c>
      <c r="N7" s="26"/>
      <c r="O7" s="17"/>
      <c r="P7" s="17"/>
      <c r="Q7" s="17"/>
      <c r="R7" s="17"/>
      <c r="S7" s="17"/>
      <c r="T7" s="17"/>
      <c r="U7" s="17"/>
      <c r="V7" s="15">
        <f>-(L7+M7)+V6</f>
        <v>107.825</v>
      </c>
      <c r="W7" s="17"/>
      <c r="X7" s="17"/>
      <c r="Y7" s="17"/>
      <c r="Z7" s="80"/>
      <c r="AA7" s="17"/>
    </row>
    <row r="8" ht="20.05" customHeight="1">
      <c r="B8" s="21">
        <v>2018</v>
      </c>
      <c r="C8" s="14">
        <v>410.415</v>
      </c>
      <c r="D8" s="15">
        <v>0</v>
      </c>
      <c r="E8" s="15">
        <v>-84.66825</v>
      </c>
      <c r="F8" s="15"/>
      <c r="G8" s="15"/>
      <c r="H8" s="15"/>
      <c r="I8" s="15">
        <v>411.97375</v>
      </c>
      <c r="J8" s="15">
        <v>-3.32275</v>
      </c>
      <c r="K8" s="15">
        <v>-167.4875</v>
      </c>
      <c r="L8" s="15">
        <v>50.84675</v>
      </c>
      <c r="M8" s="15">
        <v>118.41025</v>
      </c>
      <c r="N8" s="15">
        <f>SUM(C5:C8)/4</f>
        <v>385.246875</v>
      </c>
      <c r="O8" s="17"/>
      <c r="P8" s="16"/>
      <c r="Q8" s="16">
        <f>((D8+E8)/C8)</f>
        <v>-0.206299111874566</v>
      </c>
      <c r="R8" s="16"/>
      <c r="S8" s="17"/>
      <c r="T8" s="15">
        <f>SUM(J5:K8)/4</f>
        <v>-57.1711875</v>
      </c>
      <c r="U8" s="17"/>
      <c r="V8" s="15">
        <f>-(L8+M8)+V7</f>
        <v>-61.432</v>
      </c>
      <c r="W8" s="17"/>
      <c r="X8" s="15">
        <f>F8-G8</f>
        <v>0</v>
      </c>
      <c r="Y8" s="24"/>
      <c r="Z8" s="80"/>
      <c r="AA8" s="24"/>
    </row>
    <row r="9" ht="20.05" customHeight="1">
      <c r="B9" s="13"/>
      <c r="C9" s="14">
        <f>C8</f>
        <v>410.415</v>
      </c>
      <c r="D9" s="15">
        <f>D8</f>
        <v>0</v>
      </c>
      <c r="E9" s="15">
        <f>E8</f>
        <v>-84.66825</v>
      </c>
      <c r="F9" s="15"/>
      <c r="G9" s="15"/>
      <c r="H9" s="15"/>
      <c r="I9" s="15">
        <f>I8</f>
        <v>411.97375</v>
      </c>
      <c r="J9" s="15">
        <f>J8</f>
        <v>-3.32275</v>
      </c>
      <c r="K9" s="15">
        <f>K8</f>
        <v>-167.4875</v>
      </c>
      <c r="L9" s="15">
        <f>L8</f>
        <v>50.84675</v>
      </c>
      <c r="M9" s="15">
        <f>M8</f>
        <v>118.41025</v>
      </c>
      <c r="N9" s="15">
        <f>SUM(C6:C9)/4</f>
        <v>393.63625</v>
      </c>
      <c r="O9" s="17"/>
      <c r="P9" s="16"/>
      <c r="Q9" s="16">
        <f>((D9+E9)/C9)</f>
        <v>-0.206299111874566</v>
      </c>
      <c r="R9" s="16"/>
      <c r="S9" s="17"/>
      <c r="T9" s="15">
        <f>SUM(J6:K9)/4</f>
        <v>-95.050875</v>
      </c>
      <c r="U9" s="17"/>
      <c r="V9" s="15">
        <f>-(L9+M9)+V8</f>
        <v>-230.689</v>
      </c>
      <c r="W9" s="17"/>
      <c r="X9" s="15">
        <f>F9-G9</f>
        <v>0</v>
      </c>
      <c r="Y9" s="24"/>
      <c r="Z9" s="80"/>
      <c r="AA9" s="24"/>
    </row>
    <row r="10" ht="20.05" customHeight="1">
      <c r="B10" s="13"/>
      <c r="C10" s="14">
        <f>C9</f>
        <v>410.415</v>
      </c>
      <c r="D10" s="15">
        <f>D9</f>
        <v>0</v>
      </c>
      <c r="E10" s="15">
        <f>E9</f>
        <v>-84.66825</v>
      </c>
      <c r="F10" s="15"/>
      <c r="G10" s="15"/>
      <c r="H10" s="15"/>
      <c r="I10" s="15">
        <f>I9</f>
        <v>411.97375</v>
      </c>
      <c r="J10" s="15">
        <f>J9</f>
        <v>-3.32275</v>
      </c>
      <c r="K10" s="15">
        <f>K9</f>
        <v>-167.4875</v>
      </c>
      <c r="L10" s="15">
        <f>L9</f>
        <v>50.84675</v>
      </c>
      <c r="M10" s="15">
        <f>M9</f>
        <v>118.41025</v>
      </c>
      <c r="N10" s="15">
        <f>SUM(C7:C10)/4</f>
        <v>402.025625</v>
      </c>
      <c r="O10" s="17"/>
      <c r="P10" s="16"/>
      <c r="Q10" s="16">
        <f>((D10+E10)/C10)</f>
        <v>-0.206299111874566</v>
      </c>
      <c r="R10" s="16"/>
      <c r="S10" s="17"/>
      <c r="T10" s="15">
        <f>SUM(J7:K10)/4</f>
        <v>-132.9305625</v>
      </c>
      <c r="U10" s="17"/>
      <c r="V10" s="15">
        <f>-(L10+M10)+V9</f>
        <v>-399.946</v>
      </c>
      <c r="W10" s="17"/>
      <c r="X10" s="15">
        <f>F10-G10</f>
        <v>0</v>
      </c>
      <c r="Y10" s="24"/>
      <c r="Z10" s="80"/>
      <c r="AA10" s="24"/>
    </row>
    <row r="11" ht="20.05" customHeight="1">
      <c r="B11" s="13"/>
      <c r="C11" s="14">
        <f>C10</f>
        <v>410.415</v>
      </c>
      <c r="D11" s="15">
        <f>D10</f>
        <v>0</v>
      </c>
      <c r="E11" s="15">
        <f>E10</f>
        <v>-84.66825</v>
      </c>
      <c r="F11" s="15"/>
      <c r="G11" s="15"/>
      <c r="H11" s="15"/>
      <c r="I11" s="15">
        <f>I10</f>
        <v>411.97375</v>
      </c>
      <c r="J11" s="15">
        <f>J10</f>
        <v>-3.32275</v>
      </c>
      <c r="K11" s="15">
        <f>K10</f>
        <v>-167.4875</v>
      </c>
      <c r="L11" s="15">
        <f>L10</f>
        <v>50.84675</v>
      </c>
      <c r="M11" s="15">
        <f>M10</f>
        <v>118.41025</v>
      </c>
      <c r="N11" s="15">
        <f>SUM(C8:C11)/4</f>
        <v>410.415</v>
      </c>
      <c r="O11" s="17"/>
      <c r="P11" s="16"/>
      <c r="Q11" s="16">
        <f>((D11+E11)/C11)</f>
        <v>-0.206299111874566</v>
      </c>
      <c r="R11" s="16"/>
      <c r="S11" s="17"/>
      <c r="T11" s="15">
        <f>SUM(J8:K11)/4</f>
        <v>-170.81025</v>
      </c>
      <c r="U11" s="17"/>
      <c r="V11" s="15">
        <f>-(L11+M11)+V10</f>
        <v>-569.203</v>
      </c>
      <c r="W11" s="17"/>
      <c r="X11" s="15">
        <f>F11-G11</f>
        <v>0</v>
      </c>
      <c r="Y11" s="24"/>
      <c r="Z11" s="80"/>
      <c r="AA11" s="24"/>
    </row>
    <row r="12" ht="20.05" customHeight="1">
      <c r="B12" s="21">
        <v>2019</v>
      </c>
      <c r="C12" s="14">
        <v>529.68525</v>
      </c>
      <c r="D12" s="15">
        <v>126.5</v>
      </c>
      <c r="E12" s="15">
        <v>-62.74975</v>
      </c>
      <c r="F12" s="15"/>
      <c r="G12" s="15"/>
      <c r="H12" s="15"/>
      <c r="I12" s="15">
        <v>515.64575</v>
      </c>
      <c r="J12" s="15">
        <v>-13.33825</v>
      </c>
      <c r="K12" s="15">
        <v>-204.335</v>
      </c>
      <c r="L12" s="15">
        <v>28.9105</v>
      </c>
      <c r="M12" s="15">
        <v>189.59925</v>
      </c>
      <c r="N12" s="15">
        <f>SUM(C9:C12)/4</f>
        <v>440.2325625</v>
      </c>
      <c r="O12" s="17"/>
      <c r="P12" s="16"/>
      <c r="Q12" s="16">
        <f>((D12+E12)/C12)</f>
        <v>0.120354965519618</v>
      </c>
      <c r="R12" s="16">
        <f>AVERAGE(Q9:Q12)</f>
        <v>-0.12463559252602</v>
      </c>
      <c r="S12" s="17"/>
      <c r="T12" s="15">
        <f>SUM(J9:K12)/4</f>
        <v>-182.526</v>
      </c>
      <c r="U12" s="17"/>
      <c r="V12" s="15">
        <f>-(L12+M12)+V11</f>
        <v>-787.71275</v>
      </c>
      <c r="W12" s="17"/>
      <c r="X12" s="15">
        <f>F12-G12</f>
        <v>0</v>
      </c>
      <c r="Y12" s="24"/>
      <c r="Z12" s="80"/>
      <c r="AA12" s="24"/>
    </row>
    <row r="13" ht="20.05" customHeight="1">
      <c r="B13" s="13"/>
      <c r="C13" s="14">
        <f>C12</f>
        <v>529.68525</v>
      </c>
      <c r="D13" s="15">
        <f>D12</f>
        <v>126.5</v>
      </c>
      <c r="E13" s="15">
        <f>E12</f>
        <v>-62.74975</v>
      </c>
      <c r="F13" s="15"/>
      <c r="G13" s="15"/>
      <c r="H13" s="15"/>
      <c r="I13" s="15">
        <f>I12</f>
        <v>515.64575</v>
      </c>
      <c r="J13" s="15">
        <f>J12</f>
        <v>-13.33825</v>
      </c>
      <c r="K13" s="15">
        <f>K12</f>
        <v>-204.335</v>
      </c>
      <c r="L13" s="15">
        <f>L12</f>
        <v>28.9105</v>
      </c>
      <c r="M13" s="15">
        <f>M12</f>
        <v>189.59925</v>
      </c>
      <c r="N13" s="15">
        <f>SUM(C10:C13)/4</f>
        <v>470.050125</v>
      </c>
      <c r="O13" s="17"/>
      <c r="P13" s="16"/>
      <c r="Q13" s="16">
        <f>((D13+E13)/C13)</f>
        <v>0.120354965519618</v>
      </c>
      <c r="R13" s="16">
        <f>AVERAGE(Q10:Q13)</f>
        <v>-0.042972073177474</v>
      </c>
      <c r="S13" s="17"/>
      <c r="T13" s="15">
        <f>SUM(J10:K13)/4</f>
        <v>-194.24175</v>
      </c>
      <c r="U13" s="17"/>
      <c r="V13" s="15">
        <f>-(L13+M13)+V12</f>
        <v>-1006.2225</v>
      </c>
      <c r="W13" s="17"/>
      <c r="X13" s="15">
        <f>F13-G13</f>
        <v>0</v>
      </c>
      <c r="Y13" s="24"/>
      <c r="Z13" s="80"/>
      <c r="AA13" s="24"/>
    </row>
    <row r="14" ht="20.05" customHeight="1">
      <c r="B14" s="13"/>
      <c r="C14" s="14">
        <f>C13</f>
        <v>529.68525</v>
      </c>
      <c r="D14" s="15">
        <f>D13</f>
        <v>126.5</v>
      </c>
      <c r="E14" s="15">
        <f>E13</f>
        <v>-62.74975</v>
      </c>
      <c r="F14" s="15"/>
      <c r="G14" s="15"/>
      <c r="H14" s="15"/>
      <c r="I14" s="15">
        <f>I13</f>
        <v>515.64575</v>
      </c>
      <c r="J14" s="15">
        <f>J13</f>
        <v>-13.33825</v>
      </c>
      <c r="K14" s="15">
        <f>K13</f>
        <v>-204.335</v>
      </c>
      <c r="L14" s="15">
        <f>L13</f>
        <v>28.9105</v>
      </c>
      <c r="M14" s="15">
        <f>M13</f>
        <v>189.59925</v>
      </c>
      <c r="N14" s="15">
        <f>SUM(C11:C14)/4</f>
        <v>499.8676875</v>
      </c>
      <c r="O14" s="17"/>
      <c r="P14" s="16"/>
      <c r="Q14" s="16">
        <f>((D14+E14)/C14)</f>
        <v>0.120354965519618</v>
      </c>
      <c r="R14" s="16">
        <f>AVERAGE(Q11:Q14)</f>
        <v>0.038691446171072</v>
      </c>
      <c r="S14" s="17"/>
      <c r="T14" s="15">
        <f>SUM(J11:K14)/4</f>
        <v>-205.9575</v>
      </c>
      <c r="U14" s="17"/>
      <c r="V14" s="15">
        <f>-(L14+M14)+V13</f>
        <v>-1224.73225</v>
      </c>
      <c r="W14" s="17"/>
      <c r="X14" s="15">
        <f>F14-G14</f>
        <v>0</v>
      </c>
      <c r="Y14" s="24"/>
      <c r="Z14" s="80"/>
      <c r="AA14" s="24"/>
    </row>
    <row r="15" ht="20.05" customHeight="1">
      <c r="B15" s="13"/>
      <c r="C15" s="14">
        <f>C14</f>
        <v>529.68525</v>
      </c>
      <c r="D15" s="15">
        <f>D14</f>
        <v>126.5</v>
      </c>
      <c r="E15" s="15">
        <f>E14</f>
        <v>-62.74975</v>
      </c>
      <c r="F15" s="15"/>
      <c r="G15" s="15"/>
      <c r="H15" s="15"/>
      <c r="I15" s="15">
        <f>I14</f>
        <v>515.64575</v>
      </c>
      <c r="J15" s="15">
        <f>J14</f>
        <v>-13.33825</v>
      </c>
      <c r="K15" s="15">
        <f>K14</f>
        <v>-204.335</v>
      </c>
      <c r="L15" s="15">
        <f>L14</f>
        <v>28.9105</v>
      </c>
      <c r="M15" s="15">
        <f>M14</f>
        <v>189.59925</v>
      </c>
      <c r="N15" s="15">
        <f>SUM(C12:C15)/4</f>
        <v>529.68525</v>
      </c>
      <c r="O15" s="17"/>
      <c r="P15" s="16"/>
      <c r="Q15" s="16">
        <f>((D15+E15)/C15)</f>
        <v>0.120354965519618</v>
      </c>
      <c r="R15" s="16">
        <f>AVERAGE(Q12:Q15)</f>
        <v>0.120354965519618</v>
      </c>
      <c r="S15" s="17"/>
      <c r="T15" s="15">
        <f>SUM(J12:K15)/4</f>
        <v>-217.67325</v>
      </c>
      <c r="U15" s="17"/>
      <c r="V15" s="15">
        <f>-(L15+M15)+V14</f>
        <v>-1443.242</v>
      </c>
      <c r="W15" s="17"/>
      <c r="X15" s="15">
        <f>F15-G15</f>
        <v>0</v>
      </c>
      <c r="Y15" s="24"/>
      <c r="Z15" s="80"/>
      <c r="AA15" s="24"/>
    </row>
    <row r="16" ht="20.05" customHeight="1">
      <c r="B16" s="21">
        <v>2020</v>
      </c>
      <c r="C16" s="14">
        <v>546.466</v>
      </c>
      <c r="D16" s="15">
        <v>136.75</v>
      </c>
      <c r="E16" s="15">
        <v>-247.798</v>
      </c>
      <c r="F16" s="15"/>
      <c r="G16" s="15"/>
      <c r="H16" s="15"/>
      <c r="I16" s="15">
        <v>574.953</v>
      </c>
      <c r="J16" s="15">
        <v>35.297</v>
      </c>
      <c r="K16" s="15">
        <v>-80.05500000000001</v>
      </c>
      <c r="L16" s="15">
        <v>-78.203</v>
      </c>
      <c r="M16" s="15">
        <v>125.3</v>
      </c>
      <c r="N16" s="15">
        <f>SUM(C13:C16)/4</f>
        <v>533.8804375</v>
      </c>
      <c r="O16" s="15"/>
      <c r="P16" s="16"/>
      <c r="Q16" s="16">
        <f>((D16+E16)/C16)</f>
        <v>-0.203211178737561</v>
      </c>
      <c r="R16" s="16">
        <f>AVERAGE(Q13:Q16)</f>
        <v>0.0394634294553233</v>
      </c>
      <c r="S16" s="17"/>
      <c r="T16" s="15">
        <f>SUM(J13:K16)/4</f>
        <v>-174.4444375</v>
      </c>
      <c r="U16" s="17"/>
      <c r="V16" s="15">
        <f>-(L16+M16)+V15</f>
        <v>-1490.339</v>
      </c>
      <c r="W16" s="17"/>
      <c r="X16" s="15">
        <f>F16-G16</f>
        <v>0</v>
      </c>
      <c r="Y16" s="24"/>
      <c r="Z16" s="222"/>
      <c r="AA16" s="24"/>
    </row>
    <row r="17" ht="20.05" customHeight="1">
      <c r="B17" s="13"/>
      <c r="C17" s="14">
        <v>659.619</v>
      </c>
      <c r="D17" s="15">
        <v>136.75</v>
      </c>
      <c r="E17" s="15">
        <v>90.587</v>
      </c>
      <c r="F17" s="15"/>
      <c r="G17" s="15"/>
      <c r="H17" s="15"/>
      <c r="I17" s="15">
        <v>666.802</v>
      </c>
      <c r="J17" s="15">
        <v>201.953</v>
      </c>
      <c r="K17" s="15">
        <v>-268.138</v>
      </c>
      <c r="L17" s="15">
        <v>-57.684</v>
      </c>
      <c r="M17" s="15">
        <v>138.607</v>
      </c>
      <c r="N17" s="15">
        <f>SUM(C14:C17)/4</f>
        <v>566.363875</v>
      </c>
      <c r="O17" s="15"/>
      <c r="P17" s="16"/>
      <c r="Q17" s="16">
        <f>((D17+E17)/C17)</f>
        <v>0.344648956443038</v>
      </c>
      <c r="R17" s="16">
        <f>AVERAGE(Q14:Q17)</f>
        <v>0.0955369271861783</v>
      </c>
      <c r="S17" s="17"/>
      <c r="T17" s="15">
        <f>SUM(J14:K17)/4</f>
        <v>-136.572375</v>
      </c>
      <c r="U17" s="17"/>
      <c r="V17" s="15">
        <f>-(L17+M17)+V16</f>
        <v>-1571.262</v>
      </c>
      <c r="W17" s="17"/>
      <c r="X17" s="15">
        <f>F17-G17</f>
        <v>0</v>
      </c>
      <c r="Y17" s="24"/>
      <c r="Z17" s="80"/>
      <c r="AA17" s="24"/>
    </row>
    <row r="18" ht="20.05" customHeight="1">
      <c r="B18" s="13"/>
      <c r="C18" s="14">
        <v>582.121</v>
      </c>
      <c r="D18" s="15">
        <v>136.75</v>
      </c>
      <c r="E18" s="15">
        <v>-82.33499999999999</v>
      </c>
      <c r="F18" s="15"/>
      <c r="G18" s="15"/>
      <c r="H18" s="15"/>
      <c r="I18" s="15">
        <v>606.391</v>
      </c>
      <c r="J18" s="15">
        <v>69.48</v>
      </c>
      <c r="K18" s="15">
        <v>-147.782</v>
      </c>
      <c r="L18" s="15">
        <v>99.887</v>
      </c>
      <c r="M18" s="15">
        <v>-13.742</v>
      </c>
      <c r="N18" s="15">
        <f>SUM(C15:C18)/4</f>
        <v>579.4728125</v>
      </c>
      <c r="O18" s="15"/>
      <c r="P18" s="16"/>
      <c r="Q18" s="16">
        <f>((D18+E18)/C18)</f>
        <v>0.09347712932534639</v>
      </c>
      <c r="R18" s="16">
        <f>AVERAGE(Q15:Q18)</f>
        <v>0.08881746813761041</v>
      </c>
      <c r="S18" s="17"/>
      <c r="T18" s="15">
        <f>SUM(J15:K18)/4</f>
        <v>-101.7295625</v>
      </c>
      <c r="U18" s="17"/>
      <c r="V18" s="15">
        <f>-(L18+M18)+V17</f>
        <v>-1657.407</v>
      </c>
      <c r="W18" s="17"/>
      <c r="X18" s="15">
        <f>F18-G18</f>
        <v>0</v>
      </c>
      <c r="Y18" s="24"/>
      <c r="Z18" s="15"/>
      <c r="AA18" s="24"/>
    </row>
    <row r="19" ht="20.05" customHeight="1">
      <c r="B19" s="13"/>
      <c r="C19" s="14">
        <v>829.13</v>
      </c>
      <c r="D19" s="15">
        <v>136.75</v>
      </c>
      <c r="E19" s="15">
        <v>112.487</v>
      </c>
      <c r="F19" s="15">
        <v>31.101</v>
      </c>
      <c r="G19" s="15">
        <v>5102.786</v>
      </c>
      <c r="H19" s="15">
        <v>7800.327</v>
      </c>
      <c r="I19" s="15">
        <v>795.7910000000001</v>
      </c>
      <c r="J19" s="15">
        <v>-20.043</v>
      </c>
      <c r="K19" s="15">
        <v>-5.252</v>
      </c>
      <c r="L19" s="15">
        <v>33</v>
      </c>
      <c r="M19" s="15">
        <v>-26.311</v>
      </c>
      <c r="N19" s="15">
        <f>SUM(C16:C19)/4</f>
        <v>654.3339999999999</v>
      </c>
      <c r="O19" s="15"/>
      <c r="P19" s="16"/>
      <c r="Q19" s="16">
        <f>((D19+E19)/C19)</f>
        <v>0.300600629575579</v>
      </c>
      <c r="R19" s="16">
        <f>AVERAGE(Q16:Q19)</f>
        <v>0.133878884151601</v>
      </c>
      <c r="S19" s="17"/>
      <c r="T19" s="15">
        <f>SUM(J16:K19)/4</f>
        <v>-53.635</v>
      </c>
      <c r="U19" s="17"/>
      <c r="V19" s="15">
        <f>-(L19+M19)+V18</f>
        <v>-1664.096</v>
      </c>
      <c r="W19" s="17"/>
      <c r="X19" s="15">
        <f>F19-G19</f>
        <v>-5071.685</v>
      </c>
      <c r="Y19" s="24"/>
      <c r="Z19" s="15"/>
      <c r="AA19" s="24"/>
    </row>
    <row r="20" ht="20.05" customHeight="1">
      <c r="B20" s="21">
        <v>2021</v>
      </c>
      <c r="C20" s="14">
        <v>651.439</v>
      </c>
      <c r="D20" s="15">
        <v>143.344333333333</v>
      </c>
      <c r="E20" s="15">
        <v>-81.488</v>
      </c>
      <c r="F20" s="15">
        <v>45.839</v>
      </c>
      <c r="G20" s="15">
        <v>5235.942</v>
      </c>
      <c r="H20" s="15">
        <v>7856.112</v>
      </c>
      <c r="I20" s="15">
        <v>701.674</v>
      </c>
      <c r="J20" s="15">
        <v>26.883</v>
      </c>
      <c r="K20" s="15">
        <v>-82.458</v>
      </c>
      <c r="L20" s="15">
        <v>50.799</v>
      </c>
      <c r="M20" s="15">
        <v>24.101</v>
      </c>
      <c r="N20" s="15">
        <f>SUM(C17:C20)/4</f>
        <v>680.57725</v>
      </c>
      <c r="O20" s="15"/>
      <c r="P20" s="16"/>
      <c r="Q20" s="16">
        <f>((D20+E20)/C20)</f>
        <v>0.09495337757385271</v>
      </c>
      <c r="R20" s="16">
        <f>AVERAGE(Q17:Q20)</f>
        <v>0.208420023229454</v>
      </c>
      <c r="S20" s="17"/>
      <c r="T20" s="15">
        <f>SUM(J17:K20)/4</f>
        <v>-56.33925</v>
      </c>
      <c r="U20" s="17"/>
      <c r="V20" s="15">
        <f>-(L20+M20)+V19</f>
        <v>-1738.996</v>
      </c>
      <c r="W20" s="17"/>
      <c r="X20" s="15">
        <f>F20-G20</f>
        <v>-5190.103</v>
      </c>
      <c r="Y20" s="15"/>
      <c r="Z20" s="15">
        <v>2400</v>
      </c>
      <c r="AA20" s="17"/>
    </row>
    <row r="21" ht="20.05" customHeight="1">
      <c r="B21" s="13"/>
      <c r="C21" s="14">
        <v>752.605</v>
      </c>
      <c r="D21" s="15">
        <v>143.344333333333</v>
      </c>
      <c r="E21" s="15">
        <v>44.728</v>
      </c>
      <c r="F21" s="15">
        <v>53.682</v>
      </c>
      <c r="G21" s="15">
        <v>5159.622</v>
      </c>
      <c r="H21" s="15">
        <v>7826.261</v>
      </c>
      <c r="I21" s="15">
        <v>664.986</v>
      </c>
      <c r="J21" s="15">
        <v>50.797</v>
      </c>
      <c r="K21" s="15">
        <v>-40.103</v>
      </c>
      <c r="L21" s="15">
        <v>-41.138</v>
      </c>
      <c r="M21" s="15">
        <v>-8.702</v>
      </c>
      <c r="N21" s="15">
        <f>SUM(C18:C21)/4</f>
        <v>703.82375</v>
      </c>
      <c r="O21" s="15"/>
      <c r="P21" s="16">
        <f>C21/C20-1</f>
        <v>0.155296198109109</v>
      </c>
      <c r="Q21" s="16">
        <f>((D21+E21)/C21)</f>
        <v>0.249895141984617</v>
      </c>
      <c r="R21" s="16">
        <f>AVERAGE(Q18:Q21)</f>
        <v>0.184731569614849</v>
      </c>
      <c r="S21" s="17"/>
      <c r="T21" s="15">
        <f>SUM(J18:K21)/4</f>
        <v>-37.1195</v>
      </c>
      <c r="U21" s="17"/>
      <c r="V21" s="15">
        <f>-(L21+M21)+V20</f>
        <v>-1689.156</v>
      </c>
      <c r="W21" s="17"/>
      <c r="X21" s="15">
        <f>F21-G21</f>
        <v>-5105.94</v>
      </c>
      <c r="Y21" s="15"/>
      <c r="Z21" s="15">
        <v>2770</v>
      </c>
      <c r="AA21" s="17"/>
    </row>
    <row r="22" ht="20.05" customHeight="1">
      <c r="B22" s="13"/>
      <c r="C22" s="14">
        <v>779.453</v>
      </c>
      <c r="D22" s="15">
        <v>143.344333333333</v>
      </c>
      <c r="E22" s="15">
        <v>188.817</v>
      </c>
      <c r="F22" s="15">
        <v>35.076</v>
      </c>
      <c r="G22" s="15">
        <v>4984.667</v>
      </c>
      <c r="H22" s="15">
        <v>7887.73</v>
      </c>
      <c r="I22" s="15">
        <v>869.126</v>
      </c>
      <c r="J22" s="15">
        <v>212.001</v>
      </c>
      <c r="K22" s="15">
        <v>-49.586</v>
      </c>
      <c r="L22" s="15">
        <v>-60.661</v>
      </c>
      <c r="M22" s="15">
        <v>-6.484</v>
      </c>
      <c r="N22" s="15">
        <f>SUM(C19:C22)/4</f>
        <v>753.15675</v>
      </c>
      <c r="O22" s="23"/>
      <c r="P22" s="16">
        <f>C22/C21-1</f>
        <v>0.0356734276280386</v>
      </c>
      <c r="Q22" s="16">
        <f>((D22+E22)/C22)</f>
        <v>0.426146712288404</v>
      </c>
      <c r="R22" s="16">
        <f>AVERAGE(Q19:Q22)</f>
        <v>0.267898965355613</v>
      </c>
      <c r="S22" s="17"/>
      <c r="T22" s="15">
        <f>SUM(J19:K22)/4</f>
        <v>23.05975</v>
      </c>
      <c r="U22" s="17"/>
      <c r="V22" s="15">
        <f>-(L22+M22)+V21</f>
        <v>-1622.011</v>
      </c>
      <c r="W22" s="17"/>
      <c r="X22" s="15">
        <f>F22-G22</f>
        <v>-4949.591</v>
      </c>
      <c r="Y22" s="15"/>
      <c r="Z22" s="15">
        <v>2960</v>
      </c>
      <c r="AA22" s="17"/>
    </row>
    <row r="23" ht="20.05" customHeight="1">
      <c r="B23" s="13"/>
      <c r="C23" s="14">
        <v>1207.003</v>
      </c>
      <c r="D23" s="15">
        <v>145.067000000001</v>
      </c>
      <c r="E23" s="15">
        <v>255.443</v>
      </c>
      <c r="F23" s="15">
        <v>166</v>
      </c>
      <c r="G23" s="15">
        <v>4748</v>
      </c>
      <c r="H23" s="15">
        <v>7934</v>
      </c>
      <c r="I23" s="15">
        <v>1172.314</v>
      </c>
      <c r="J23" s="15">
        <v>464.419</v>
      </c>
      <c r="K23" s="15">
        <v>-123.353</v>
      </c>
      <c r="L23" s="15">
        <v>-33.8</v>
      </c>
      <c r="M23" s="15">
        <v>-14.715</v>
      </c>
      <c r="N23" s="15">
        <f>SUM(C20:C23)/4</f>
        <v>847.625</v>
      </c>
      <c r="O23" s="23"/>
      <c r="P23" s="16">
        <f>C23/C22-1</f>
        <v>0.548525696866905</v>
      </c>
      <c r="Q23" s="16">
        <f>((D23+E23)/C23)</f>
        <v>0.331821876167666</v>
      </c>
      <c r="R23" s="16">
        <f>AVERAGE(Q20:Q23)</f>
        <v>0.275704277003635</v>
      </c>
      <c r="S23" s="17"/>
      <c r="T23" s="15">
        <f>SUM(J20:K23)/4</f>
        <v>114.65</v>
      </c>
      <c r="U23" s="17"/>
      <c r="V23" s="15">
        <f>-(L23+M23)+V22</f>
        <v>-1573.496</v>
      </c>
      <c r="W23" s="17"/>
      <c r="X23" s="15">
        <f>F23-G23</f>
        <v>-4582</v>
      </c>
      <c r="Y23" s="15"/>
      <c r="Z23" s="15">
        <v>3210</v>
      </c>
      <c r="AA23" s="17"/>
    </row>
    <row r="24" ht="20.05" customHeight="1">
      <c r="B24" s="21">
        <v>2022</v>
      </c>
      <c r="C24" s="14">
        <v>1112.4</v>
      </c>
      <c r="D24" s="15">
        <v>143</v>
      </c>
      <c r="E24" s="15">
        <v>304</v>
      </c>
      <c r="F24" s="15">
        <v>287</v>
      </c>
      <c r="G24" s="15">
        <v>4666</v>
      </c>
      <c r="H24" s="15">
        <v>8155</v>
      </c>
      <c r="I24" s="15">
        <v>1115.9</v>
      </c>
      <c r="J24" s="15">
        <v>428.86</v>
      </c>
      <c r="K24" s="15">
        <v>88.40000000000001</v>
      </c>
      <c r="L24" s="15">
        <v>-166.36</v>
      </c>
      <c r="M24" s="15">
        <v>-115.4</v>
      </c>
      <c r="N24" s="15">
        <f>SUM(C21:C24)/4</f>
        <v>962.8652499999999</v>
      </c>
      <c r="O24" s="23">
        <v>857.3982999999999</v>
      </c>
      <c r="P24" s="16">
        <f>C24/C23-1</f>
        <v>-0.0783784298796275</v>
      </c>
      <c r="Q24" s="16">
        <f>((D24+E24)/C24)</f>
        <v>0.401833872707659</v>
      </c>
      <c r="R24" s="16">
        <f>AVERAGE(Q21:Q24)</f>
        <v>0.352424400787087</v>
      </c>
      <c r="S24" s="35"/>
      <c r="T24" s="15">
        <f>SUM(J21:K24)/4</f>
        <v>257.85875</v>
      </c>
      <c r="U24" s="15">
        <v>203.509260954092</v>
      </c>
      <c r="V24" s="15">
        <f>-(L24+M24)+V23</f>
        <v>-1291.736</v>
      </c>
      <c r="W24" s="15"/>
      <c r="X24" s="15">
        <f>F24-G24</f>
        <v>-4379</v>
      </c>
      <c r="Y24" s="15">
        <v>-4311.650045824340</v>
      </c>
      <c r="Z24" s="15">
        <v>3540</v>
      </c>
      <c r="AA24" s="15">
        <v>3929.617890272670</v>
      </c>
    </row>
    <row r="25" ht="20.05" customHeight="1">
      <c r="B25" s="13"/>
      <c r="C25" s="14">
        <v>1422.6</v>
      </c>
      <c r="D25" s="15">
        <v>143</v>
      </c>
      <c r="E25" s="15">
        <v>155</v>
      </c>
      <c r="F25" s="15">
        <v>130</v>
      </c>
      <c r="G25" s="15">
        <v>4517</v>
      </c>
      <c r="H25" s="15">
        <v>8161</v>
      </c>
      <c r="I25" s="15">
        <v>1434.1</v>
      </c>
      <c r="J25" s="15">
        <v>186.74</v>
      </c>
      <c r="K25" s="15">
        <v>-288.4</v>
      </c>
      <c r="L25" s="15">
        <v>-196.64</v>
      </c>
      <c r="M25" s="15">
        <v>-120.2</v>
      </c>
      <c r="N25" s="15">
        <f>SUM(C22:C25)/4</f>
        <v>1130.364</v>
      </c>
      <c r="O25" s="23">
        <v>960.938866666667</v>
      </c>
      <c r="P25" s="16">
        <f>C25/C24-1</f>
        <v>0.278856526429342</v>
      </c>
      <c r="Q25" s="16">
        <f>((D25+E25)/C25)</f>
        <v>0.209475608041614</v>
      </c>
      <c r="R25" s="16">
        <f>AVERAGE(Q22:Q25)</f>
        <v>0.342319517301336</v>
      </c>
      <c r="S25" s="35"/>
      <c r="T25" s="15">
        <f>SUM(J22:K25)/4</f>
        <v>229.77025</v>
      </c>
      <c r="U25" s="15">
        <v>531.625787937420</v>
      </c>
      <c r="V25" s="15">
        <f>-(L25+M25)+V24</f>
        <v>-974.896</v>
      </c>
      <c r="W25" s="15"/>
      <c r="X25" s="15">
        <f>F25-G25</f>
        <v>-4387</v>
      </c>
      <c r="Y25" s="15">
        <v>-2823.559160726740</v>
      </c>
      <c r="Z25" s="15">
        <v>3580</v>
      </c>
      <c r="AA25" s="15">
        <v>5165.9997814544</v>
      </c>
    </row>
    <row r="26" ht="20.05" customHeight="1">
      <c r="B26" s="13"/>
      <c r="C26" s="14">
        <v>903</v>
      </c>
      <c r="D26" s="15">
        <v>201.8</v>
      </c>
      <c r="E26" s="15">
        <v>118.2</v>
      </c>
      <c r="F26" s="15">
        <v>306</v>
      </c>
      <c r="G26" s="15">
        <v>4759</v>
      </c>
      <c r="H26" s="15">
        <v>8496</v>
      </c>
      <c r="I26" s="15">
        <v>939</v>
      </c>
      <c r="J26" s="15">
        <v>369.6</v>
      </c>
      <c r="K26" s="15">
        <v>-177.3</v>
      </c>
      <c r="L26" s="15">
        <v>-39.6</v>
      </c>
      <c r="M26" s="15">
        <v>-261.5</v>
      </c>
      <c r="N26" s="15">
        <f>AVERAGE(C26)</f>
        <v>903</v>
      </c>
      <c r="O26" s="23">
        <v>1065.68465</v>
      </c>
      <c r="P26" s="16">
        <f>C26/C25-1</f>
        <v>-0.365246731336989</v>
      </c>
      <c r="Q26" s="16">
        <f>((D26+E26)/C26)</f>
        <v>0.35437430786268</v>
      </c>
      <c r="R26" s="16">
        <f>AVERAGE(Q23:Q26)</f>
        <v>0.324376416194905</v>
      </c>
      <c r="S26" s="35">
        <f>S27</f>
        <v>0.342319517301336</v>
      </c>
      <c r="T26" s="15">
        <f>SUM(J23:K26)/4</f>
        <v>237.2415</v>
      </c>
      <c r="U26" s="15">
        <v>390.615239891176</v>
      </c>
      <c r="V26" s="15">
        <f>-(L26+M26)+V25</f>
        <v>-673.796</v>
      </c>
      <c r="W26" s="15">
        <f>W27</f>
        <v>196.806235782904</v>
      </c>
      <c r="X26" s="15">
        <f>F26-G26</f>
        <v>-4453</v>
      </c>
      <c r="Y26" s="15">
        <v>-3251.018528304710</v>
      </c>
      <c r="Z26" s="15">
        <v>4080</v>
      </c>
      <c r="AA26" s="15">
        <v>5165.9997814544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AVERAGE(AD50:AG50)</f>
        <v>1003.20667755</v>
      </c>
      <c r="P27" s="17"/>
      <c r="Q27" s="17"/>
      <c r="R27" s="17"/>
      <c r="S27" s="35">
        <f>AD51</f>
        <v>0.342319517301336</v>
      </c>
      <c r="T27" s="17"/>
      <c r="U27" s="15">
        <f>SUM(AD53:AG53)/4</f>
        <v>217.650558945726</v>
      </c>
      <c r="V27" s="17"/>
      <c r="W27" s="15">
        <f>-SUM(AD74:AG74)+V26</f>
        <v>196.806235782904</v>
      </c>
      <c r="X27" s="17"/>
      <c r="Y27" s="15">
        <f>AG73</f>
        <v>-3582.3977642171</v>
      </c>
      <c r="Z27" s="15">
        <v>4300</v>
      </c>
      <c r="AA27" s="15">
        <v>4382.564500677930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SUM(N24:N26)</f>
        <v>2996.22925</v>
      </c>
      <c r="O28" s="15">
        <f>SUM(O24:O26)</f>
        <v>2884.021816666670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AG86</f>
        <v>4437.674759527120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4" ht="27.65" customHeight="1">
      <c r="AB44" t="s" s="2">
        <v>580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ht="20.25" customHeight="1">
      <c r="AB45" t="s" s="28">
        <v>366</v>
      </c>
      <c r="AC45" t="s" s="29">
        <v>23</v>
      </c>
      <c r="AD45" t="s" s="29">
        <v>24</v>
      </c>
      <c r="AE45" t="s" s="29">
        <v>25</v>
      </c>
      <c r="AF45" t="s" s="29">
        <v>26</v>
      </c>
      <c r="AG45" t="s" s="29">
        <v>23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ht="20.25" customHeight="1">
      <c r="AB46" t="s" s="31">
        <v>15</v>
      </c>
      <c r="AC46" s="32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ht="20.05" customHeight="1">
      <c r="AB47" t="s" s="33">
        <v>27</v>
      </c>
      <c r="AC47" s="34"/>
      <c r="AD47" s="16">
        <f>AVERAGE(P23:P26)</f>
        <v>0.0959392655199076</v>
      </c>
      <c r="AE47" s="35"/>
      <c r="AF47" s="35"/>
      <c r="AG47" s="35">
        <f>AVERAGE(AD49:AG49)</f>
        <v>0.035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20.05" customHeight="1">
      <c r="AB48" s="36"/>
      <c r="AC48" s="37"/>
      <c r="AD48" s="35">
        <f>P23</f>
        <v>0.548525696866905</v>
      </c>
      <c r="AE48" s="35">
        <f>P24</f>
        <v>-0.0783784298796275</v>
      </c>
      <c r="AF48" s="35">
        <f>P25</f>
        <v>0.278856526429342</v>
      </c>
      <c r="AG48" s="35">
        <f>P26</f>
        <v>-0.365246731336989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20.05" customHeight="1">
      <c r="AB49" t="s" s="33">
        <v>13</v>
      </c>
      <c r="AC49" s="37"/>
      <c r="AD49" s="35">
        <v>0.1</v>
      </c>
      <c r="AE49" s="35">
        <v>-0.01</v>
      </c>
      <c r="AF49" s="35">
        <v>0.02</v>
      </c>
      <c r="AG49" s="35">
        <v>0.03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28</v>
      </c>
      <c r="AC50" s="38">
        <f>C26</f>
        <v>903</v>
      </c>
      <c r="AD50" s="23">
        <f>C26*(1+AD49)</f>
        <v>993.3</v>
      </c>
      <c r="AE50" s="23">
        <f>AD50*(1+AE49)</f>
        <v>983.367</v>
      </c>
      <c r="AF50" s="23">
        <f>AE50*(1+AF49)</f>
        <v>1003.03434</v>
      </c>
      <c r="AG50" s="23">
        <f>AF50*(1+AG49)</f>
        <v>1033.1253702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ht="20.05" customHeight="1">
      <c r="AB51" t="s" s="33">
        <v>14</v>
      </c>
      <c r="AC51" s="37"/>
      <c r="AD51" s="35">
        <f>AVERAGE(R25)</f>
        <v>0.342319517301336</v>
      </c>
      <c r="AE51" s="35">
        <f>AD51</f>
        <v>0.342319517301336</v>
      </c>
      <c r="AF51" s="35">
        <f>AE51</f>
        <v>0.342319517301336</v>
      </c>
      <c r="AG51" s="35">
        <f>AF51</f>
        <v>0.342319517301336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29</v>
      </c>
      <c r="AC52" s="14"/>
      <c r="AD52" s="15">
        <f>AVERAGE(K24:K26)</f>
        <v>-125.766666666667</v>
      </c>
      <c r="AE52" s="15">
        <f>AD52</f>
        <v>-125.766666666667</v>
      </c>
      <c r="AF52" s="15">
        <f>AE52</f>
        <v>-125.766666666667</v>
      </c>
      <c r="AG52" s="15">
        <f>AF52</f>
        <v>-125.766666666667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30</v>
      </c>
      <c r="AC53" s="14"/>
      <c r="AD53" s="15">
        <f>(AD50*AD51)+AD52</f>
        <v>214.259309868750</v>
      </c>
      <c r="AE53" s="15">
        <f>(AE50*AE51)+AE52</f>
        <v>210.859050103396</v>
      </c>
      <c r="AF53" s="15">
        <f>(AF50*AF51)+AF52</f>
        <v>217.591564438797</v>
      </c>
      <c r="AG53" s="15">
        <f>(AG50*AG51)+AG52</f>
        <v>227.892311371961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31</v>
      </c>
      <c r="AC54" s="14"/>
      <c r="AD54" s="15">
        <f>-G26/20</f>
        <v>-237.95</v>
      </c>
      <c r="AE54" s="15">
        <f>-AD69/20</f>
        <v>-226.0525</v>
      </c>
      <c r="AF54" s="15">
        <f>-AE69/20</f>
        <v>-214.749875</v>
      </c>
      <c r="AG54" s="15">
        <f>-AF69/20</f>
        <v>-204.01238125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32</v>
      </c>
      <c r="AC55" s="39"/>
      <c r="AD55" s="40">
        <v>0</v>
      </c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33</v>
      </c>
      <c r="AC56" s="14"/>
      <c r="AD56" s="15">
        <f>IF(AD64&gt;0,AD64*$AD$55,0)</f>
        <v>0</v>
      </c>
      <c r="AE56" s="15">
        <f>IF(AE64&gt;0,AE64*$AD$55,0)</f>
        <v>0</v>
      </c>
      <c r="AF56" s="15">
        <f>IF(AF64&gt;0,AF64*$AD$55,0)</f>
        <v>0</v>
      </c>
      <c r="AG56" s="15">
        <f>IF(AG64&gt;0,AG64*$AD$55,0)</f>
        <v>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34</v>
      </c>
      <c r="AC57" s="14"/>
      <c r="AD57" s="15">
        <f>AD53+AD54+AD56</f>
        <v>-23.690690131250</v>
      </c>
      <c r="AE57" s="15">
        <f>AE53+AE54+AE56</f>
        <v>-15.193449896604</v>
      </c>
      <c r="AF57" s="15">
        <f>AF53+AF54+AF56</f>
        <v>2.841689438797</v>
      </c>
      <c r="AG57" s="15">
        <f>AG53+AG54+AG56</f>
        <v>23.879930121961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35</v>
      </c>
      <c r="AC58" s="14"/>
      <c r="AD58" s="15">
        <f>-MIN(0,AD57)</f>
        <v>23.690690131250</v>
      </c>
      <c r="AE58" s="15">
        <f>-MIN(AD70,AE57)</f>
        <v>15.193449896604</v>
      </c>
      <c r="AF58" s="15">
        <f>-MIN(AE70,AF57)</f>
        <v>-2.841689438797</v>
      </c>
      <c r="AG58" s="15">
        <f>-MIN(AF70,AG57)</f>
        <v>-23.879930121961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36</v>
      </c>
      <c r="AC59" s="14"/>
      <c r="AD59" s="15">
        <f>F26</f>
        <v>306</v>
      </c>
      <c r="AE59" s="15">
        <f>AD61</f>
        <v>306</v>
      </c>
      <c r="AF59" s="15">
        <f>AE61</f>
        <v>306</v>
      </c>
      <c r="AG59" s="15">
        <f>AF61</f>
        <v>306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37</v>
      </c>
      <c r="AC60" s="14"/>
      <c r="AD60" s="15">
        <f>AD53+AD54+AD56+AD58</f>
        <v>0</v>
      </c>
      <c r="AE60" s="15">
        <f>AE53+AE54+AE56+AE58</f>
        <v>0</v>
      </c>
      <c r="AF60" s="15">
        <f>AF53+AF54+AF56+AF58</f>
        <v>0</v>
      </c>
      <c r="AG60" s="15">
        <f>AG53+AG54+AG56+AG58</f>
        <v>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38</v>
      </c>
      <c r="AC61" s="14"/>
      <c r="AD61" s="15">
        <f>AD59+AD60</f>
        <v>306</v>
      </c>
      <c r="AE61" s="15">
        <f>AE59+AE60</f>
        <v>306</v>
      </c>
      <c r="AF61" s="15">
        <f>AF59+AF60</f>
        <v>306</v>
      </c>
      <c r="AG61" s="15">
        <f>AG59+AG60</f>
        <v>306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41">
        <v>4</v>
      </c>
      <c r="AC62" s="14"/>
      <c r="AD62" s="15"/>
      <c r="AE62" s="15"/>
      <c r="AF62" s="1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ht="20.05" customHeight="1">
      <c r="AB63" t="s" s="33">
        <v>3</v>
      </c>
      <c r="AC63" s="14"/>
      <c r="AD63" s="15">
        <f>-AVERAGE(D24:D26)</f>
        <v>-162.6</v>
      </c>
      <c r="AE63" s="15">
        <f>AD63</f>
        <v>-162.6</v>
      </c>
      <c r="AF63" s="15">
        <f>AE63</f>
        <v>-162.6</v>
      </c>
      <c r="AG63" s="15">
        <f>AF63</f>
        <v>-162.6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4</v>
      </c>
      <c r="AC64" s="14"/>
      <c r="AD64" s="15">
        <f>(AD50*AD51)+AD63</f>
        <v>177.425976535417</v>
      </c>
      <c r="AE64" s="15">
        <f>(AE50*AE51)+AE63</f>
        <v>174.025716770063</v>
      </c>
      <c r="AF64" s="15">
        <f>(AF50*AF51)+AF63</f>
        <v>180.758231105464</v>
      </c>
      <c r="AG64" s="15">
        <f>(AG50*AG51)+AG63</f>
        <v>191.058978038628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39</v>
      </c>
      <c r="AC65" s="14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40</v>
      </c>
      <c r="AC66" s="14"/>
      <c r="AD66" s="15">
        <f>H26-F26-AD52</f>
        <v>8315.766666666670</v>
      </c>
      <c r="AE66" s="15">
        <f>AD66-AE52</f>
        <v>8441.533333333340</v>
      </c>
      <c r="AF66" s="15">
        <f>AE66-AF52</f>
        <v>8567.300000000010</v>
      </c>
      <c r="AG66" s="15">
        <f>AF66-AG52</f>
        <v>8693.066666666680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41</v>
      </c>
      <c r="AC67" s="14"/>
      <c r="AD67" s="15">
        <f>0-AD63</f>
        <v>162.6</v>
      </c>
      <c r="AE67" s="15">
        <f>AD67-AE63</f>
        <v>325.2</v>
      </c>
      <c r="AF67" s="15">
        <f>AE67-AF63</f>
        <v>487.8</v>
      </c>
      <c r="AG67" s="15">
        <f>AF67-AG63</f>
        <v>650.4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42</v>
      </c>
      <c r="AC68" s="14"/>
      <c r="AD68" s="15">
        <f>AD66-AD67</f>
        <v>8153.166666666670</v>
      </c>
      <c r="AE68" s="15">
        <f>AE66-AE67</f>
        <v>8116.333333333340</v>
      </c>
      <c r="AF68" s="15">
        <f>AF66-AF67</f>
        <v>8079.500000000010</v>
      </c>
      <c r="AG68" s="15">
        <f>AG66-AG67</f>
        <v>8042.666666666680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6</v>
      </c>
      <c r="AC69" s="14"/>
      <c r="AD69" s="15">
        <f>G26+AD54</f>
        <v>4521.05</v>
      </c>
      <c r="AE69" s="15">
        <f>AD69+AE54</f>
        <v>4294.9975</v>
      </c>
      <c r="AF69" s="15">
        <f>AE69+AF54</f>
        <v>4080.247625</v>
      </c>
      <c r="AG69" s="15">
        <f>AF69+AG54</f>
        <v>3876.23524375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35</v>
      </c>
      <c r="AC70" s="14"/>
      <c r="AD70" s="15">
        <f>AD58</f>
        <v>23.690690131250</v>
      </c>
      <c r="AE70" s="15">
        <f>AD70+AE58</f>
        <v>38.884140027854</v>
      </c>
      <c r="AF70" s="15">
        <f>AE70+AF58</f>
        <v>36.042450589057</v>
      </c>
      <c r="AG70" s="15">
        <f>AF70+AG58</f>
        <v>12.162520467096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11</v>
      </c>
      <c r="AC71" s="14"/>
      <c r="AD71" s="15">
        <f>(H26-G26)+AD64+AD56</f>
        <v>3914.425976535420</v>
      </c>
      <c r="AE71" s="15">
        <f>AD71+AE64+AE56</f>
        <v>4088.451693305480</v>
      </c>
      <c r="AF71" s="15">
        <f>AE71+AF64+AF56</f>
        <v>4269.209924410940</v>
      </c>
      <c r="AG71" s="15">
        <f>AF71+AG64+AG56</f>
        <v>4460.268902449570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43</v>
      </c>
      <c r="AC72" s="14"/>
      <c r="AD72" s="15">
        <f>AD69+AD70+AD71-AD61-AD68</f>
        <v>0</v>
      </c>
      <c r="AE72" s="15">
        <f>AE69+AE70+AE71-AE61-AE68</f>
        <v>-6e-12</v>
      </c>
      <c r="AF72" s="15">
        <f>AF69+AF70+AF71-AF61-AF68</f>
        <v>-1.3e-11</v>
      </c>
      <c r="AG72" s="15">
        <f>AG69+AG70+AG71-AG61-AG68</f>
        <v>-1.4e-11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18</v>
      </c>
      <c r="AC73" s="14"/>
      <c r="AD73" s="15">
        <f>AD61-AD69-AD70</f>
        <v>-4238.740690131250</v>
      </c>
      <c r="AE73" s="15">
        <f>AE61-AE69-AE70</f>
        <v>-4027.881640027850</v>
      </c>
      <c r="AF73" s="15">
        <f>AF61-AF69-AF70</f>
        <v>-3810.290075589060</v>
      </c>
      <c r="AG73" s="15">
        <f>AG61-AG69-AG70</f>
        <v>-3582.3977642171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44</v>
      </c>
      <c r="AC74" s="14"/>
      <c r="AD74" s="15">
        <f>AD54+AD56+AD58</f>
        <v>-214.259309868750</v>
      </c>
      <c r="AE74" s="15">
        <f>AE54+AE56+AE58</f>
        <v>-210.859050103396</v>
      </c>
      <c r="AF74" s="15">
        <f>AF54+AF56+AF58</f>
        <v>-217.591564438797</v>
      </c>
      <c r="AG74" s="15">
        <f>AG54+AG56+AG58</f>
        <v>-227.892311371961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45</v>
      </c>
      <c r="AC75" s="14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f>Z$3</f>
        <v>581</v>
      </c>
      <c r="AC76" s="14"/>
      <c r="AD76" s="15"/>
      <c r="AE76" s="15"/>
      <c r="AF76" s="15"/>
      <c r="AG76" s="15">
        <v>4300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f>$AB76</f>
        <v>581</v>
      </c>
      <c r="AC77" s="14"/>
      <c r="AD77" s="15"/>
      <c r="AE77" s="15"/>
      <c r="AF77" s="15"/>
      <c r="AG77" s="15">
        <v>15606463206400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46</v>
      </c>
      <c r="AC78" s="14"/>
      <c r="AD78" s="15"/>
      <c r="AE78" s="15"/>
      <c r="AF78" s="15"/>
      <c r="AG78" s="15">
        <f>AG77/1000000000</f>
        <v>15606.4632064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47</v>
      </c>
      <c r="AC79" s="14"/>
      <c r="AD79" s="15"/>
      <c r="AE79" s="15"/>
      <c r="AF79" s="15"/>
      <c r="AG79" s="15">
        <f>AG78/AG76</f>
        <v>3.629410048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48</v>
      </c>
      <c r="AC80" s="14"/>
      <c r="AD80" s="15"/>
      <c r="AE80" s="15"/>
      <c r="AF80" s="15"/>
      <c r="AG80" s="43">
        <f>AG78/(AG61+AG68)</f>
        <v>1.86933600651601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ht="20.05" customHeight="1">
      <c r="AB81" t="s" s="33">
        <v>49</v>
      </c>
      <c r="AC81" s="14"/>
      <c r="AD81" s="15"/>
      <c r="AE81" s="15"/>
      <c r="AF81" s="15"/>
      <c r="AG81" s="16">
        <f>-(AD56+AE56+AF56+AG56)/AG78</f>
        <v>0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ht="20.05" customHeight="1">
      <c r="AB82" t="s" s="33">
        <v>50</v>
      </c>
      <c r="AC82" s="14"/>
      <c r="AD82" s="15"/>
      <c r="AE82" s="15"/>
      <c r="AF82" s="15"/>
      <c r="AG82" s="15">
        <f>SUM(AD53:AG53)</f>
        <v>870.602235782904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51</v>
      </c>
      <c r="AC83" s="14"/>
      <c r="AD83" s="15"/>
      <c r="AE83" s="15"/>
      <c r="AF83" s="15"/>
      <c r="AG83" s="15">
        <f>(H26+F26)/AG82</f>
        <v>10.1102428160946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52</v>
      </c>
      <c r="AC84" s="14"/>
      <c r="AD84" s="15"/>
      <c r="AE84" s="15"/>
      <c r="AF84" s="15">
        <f>AG78/AG82</f>
        <v>17.9260545918144</v>
      </c>
      <c r="AG84" s="15">
        <v>18.5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53</v>
      </c>
      <c r="AC85" s="14"/>
      <c r="AD85" s="15"/>
      <c r="AE85" s="15"/>
      <c r="AF85" s="15"/>
      <c r="AG85" s="15">
        <f>AG82*AG84</f>
        <v>16106.1413619837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54</v>
      </c>
      <c r="AC86" s="14"/>
      <c r="AD86" s="15"/>
      <c r="AE86" s="15"/>
      <c r="AF86" s="15"/>
      <c r="AG86" s="15">
        <f>(AG85/AG79)</f>
        <v>4437.674759527120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55</v>
      </c>
      <c r="AC87" s="38"/>
      <c r="AD87" s="23"/>
      <c r="AE87" s="23"/>
      <c r="AF87" s="23"/>
      <c r="AG87" s="16">
        <f>AG86/AG76-1</f>
        <v>0.0320173859365395</v>
      </c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</row>
    <row r="88" ht="20.05" customHeight="1">
      <c r="AB88" t="s" s="33">
        <v>56</v>
      </c>
      <c r="AC88" s="38"/>
      <c r="AD88" s="23"/>
      <c r="AE88" s="23"/>
      <c r="AF88" s="23"/>
      <c r="AG88" s="16">
        <f>C26/C22-1</f>
        <v>0.158504746277197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57</v>
      </c>
      <c r="AC89" s="38"/>
      <c r="AD89" s="23"/>
      <c r="AE89" s="23"/>
      <c r="AF89" s="23"/>
      <c r="AG89" s="16">
        <f>O28/N28-1</f>
        <v>-0.0374495487397468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s="36"/>
      <c r="AC90" s="38"/>
      <c r="AD90" s="23"/>
      <c r="AE90" s="23"/>
      <c r="AF90" s="23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s="36"/>
      <c r="AC91" s="38"/>
      <c r="AD91" s="23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45"/>
      <c r="AD92" t="s" s="44">
        <f>$AB76</f>
        <v>581</v>
      </c>
      <c r="AE92" t="s" s="44">
        <v>60</v>
      </c>
      <c r="AF92" s="15">
        <f>AG76</f>
        <v>4300</v>
      </c>
      <c r="AG92" t="s" s="44">
        <v>61</v>
      </c>
      <c r="AH92" s="15">
        <f>AG86</f>
        <v>4437.674759527120</v>
      </c>
      <c r="AI92" t="s" s="44">
        <f>IF(AJ92&gt;0,"+","")</f>
        <v>361</v>
      </c>
      <c r="AJ92" s="16">
        <f>AH92/AF92-1</f>
        <v>0.0320173859365395</v>
      </c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ht="20.05" customHeight="1">
      <c r="AB93" s="36"/>
      <c r="AC93" s="46"/>
      <c r="AD93" s="47">
        <f>TODAY()</f>
        <v>44942</v>
      </c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32.05" customHeight="1">
      <c r="AB94" s="36"/>
      <c r="AC94" s="34"/>
      <c r="AD94" t="s" s="44">
        <v>62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32.05" customHeight="1">
      <c r="AB95" s="36"/>
      <c r="AC95" s="34"/>
      <c r="AD95" t="s" s="44">
        <v>63</v>
      </c>
      <c r="AE95" t="s" s="44">
        <v>64</v>
      </c>
      <c r="AF95" t="s" s="44">
        <f>IF(AG95&gt;0,"+","")</f>
        <v>361</v>
      </c>
      <c r="AG95" s="16">
        <f>AH102/AD102-1</f>
        <v>0.158504746277197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63</v>
      </c>
      <c r="AE96" t="s" s="44">
        <v>65</v>
      </c>
      <c r="AF96" t="s" s="44">
        <f>IF(AG96&gt;0,"+","")</f>
        <v>361</v>
      </c>
      <c r="AG96" s="16">
        <f>SUM(AE115:AH116)/AE132</f>
        <v>0.0608059614436435</v>
      </c>
      <c r="AH96" t="s" s="44">
        <v>66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17</v>
      </c>
      <c r="AF97" t="s" s="44">
        <f>IF(AG97&gt;0,"+","")</f>
        <v>361</v>
      </c>
      <c r="AG97" s="16">
        <f>SUM(AE129:AH130)/AE132</f>
        <v>0.0607578403549595</v>
      </c>
      <c r="AH97" t="s" s="44">
        <f>AH96</f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68</v>
      </c>
      <c r="AE98" t="s" s="44">
        <v>369</v>
      </c>
      <c r="AF98" s="16">
        <f>AO125/AE132</f>
        <v>-0.28533050320933</v>
      </c>
      <c r="AG98" t="s" s="44">
        <f>AH97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20.05" customHeight="1">
      <c r="AB99" s="36"/>
      <c r="AC99" s="34"/>
      <c r="AD99" t="s" s="44">
        <v>28</v>
      </c>
      <c r="AE99" t="s" s="44">
        <f>AE103</f>
        <v>370</v>
      </c>
      <c r="AF99" s="16">
        <f>AF103</f>
        <v>-0.365246731336989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70</v>
      </c>
      <c r="AE100" t="s" s="44">
        <v>371</v>
      </c>
      <c r="AF100" t="s" s="44">
        <f>AL103</f>
        <v>372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20.05" customHeight="1">
      <c r="AB101" s="36"/>
      <c r="AC101" s="71"/>
      <c r="AD101" s="16">
        <f>P22</f>
        <v>0.0356734276280386</v>
      </c>
      <c r="AE101" s="16">
        <f>P23</f>
        <v>0.548525696866905</v>
      </c>
      <c r="AF101" s="16">
        <f>P24</f>
        <v>-0.0783784298796275</v>
      </c>
      <c r="AG101" s="16">
        <f>P25</f>
        <v>0.278856526429342</v>
      </c>
      <c r="AH101" s="16">
        <f>P26</f>
        <v>-0.365246731336989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s="15">
        <f>C22</f>
        <v>779.453</v>
      </c>
      <c r="AE102" s="15">
        <f>C23</f>
        <v>1207.003</v>
      </c>
      <c r="AF102" s="15">
        <f>C24</f>
        <v>1112.4</v>
      </c>
      <c r="AG102" s="15">
        <f>C25</f>
        <v>1422.6</v>
      </c>
      <c r="AH102" s="15">
        <f>C26</f>
        <v>903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44.05" customHeight="1">
      <c r="AB103" s="36"/>
      <c r="AC103" s="34"/>
      <c r="AD103" t="s" s="44">
        <v>2</v>
      </c>
      <c r="AE103" t="s" s="44">
        <f>IF(AF103&lt;0,"declined","grew")</f>
        <v>370</v>
      </c>
      <c r="AF103" s="16">
        <f>AH102/AG102-1</f>
        <v>-0.365246731336989</v>
      </c>
      <c r="AG103" t="s" s="44">
        <v>73</v>
      </c>
      <c r="AH103" t="s" s="44">
        <v>74</v>
      </c>
      <c r="AI103" t="s" s="44">
        <v>75</v>
      </c>
      <c r="AJ103" t="s" s="44">
        <v>76</v>
      </c>
      <c r="AK103" s="15">
        <f>AH102</f>
        <v>903</v>
      </c>
      <c r="AL103" t="s" s="44">
        <v>372</v>
      </c>
      <c r="AM103" t="s" s="44">
        <v>378</v>
      </c>
      <c r="AN103" s="16">
        <v>0.0297063450445726</v>
      </c>
      <c r="AO103" t="s" s="44">
        <v>78</v>
      </c>
      <c r="AP103" s="17"/>
      <c r="AQ103" s="17"/>
      <c r="AR103" s="17"/>
      <c r="AS103" s="17"/>
      <c r="AT103" s="17"/>
      <c r="AU103" s="17"/>
    </row>
    <row r="104" ht="56.05" customHeight="1">
      <c r="AB104" s="36"/>
      <c r="AC104" s="34"/>
      <c r="AD104" t="s" s="44">
        <v>79</v>
      </c>
      <c r="AE104" s="16">
        <f>AVERAGE(AE101:AH101)</f>
        <v>0.0959392655199076</v>
      </c>
      <c r="AF104" t="s" s="44">
        <v>80</v>
      </c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56.05" customHeight="1">
      <c r="AB105" s="36"/>
      <c r="AC105" s="34"/>
      <c r="AD105" t="s" s="44">
        <v>81</v>
      </c>
      <c r="AE105" s="35">
        <f>AG47</f>
        <v>0.035</v>
      </c>
      <c r="AF105" t="s" s="44">
        <v>82</v>
      </c>
      <c r="AG105" t="s" s="44">
        <v>83</v>
      </c>
      <c r="AH105" s="23">
        <f>AG50</f>
        <v>1033.1253702</v>
      </c>
      <c r="AI105" t="s" s="44">
        <f>AL103</f>
        <v>372</v>
      </c>
      <c r="AJ105" t="s" s="44">
        <v>84</v>
      </c>
      <c r="AK105" t="s" s="44">
        <f>AH103</f>
        <v>74</v>
      </c>
      <c r="AL105" t="s" s="44">
        <f>AI103</f>
        <v>75</v>
      </c>
      <c r="AM105" t="s" s="44">
        <v>85</v>
      </c>
      <c r="AN105" s="17"/>
      <c r="AO105" s="17"/>
      <c r="AP105" s="17"/>
      <c r="AQ105" s="17"/>
      <c r="AR105" s="17"/>
      <c r="AS105" s="17"/>
      <c r="AT105" s="17"/>
      <c r="AU105" s="17"/>
    </row>
    <row r="106" ht="20.05" customHeight="1">
      <c r="AB106" s="36"/>
      <c r="AC106" s="34"/>
      <c r="AD106" t="s" s="44">
        <v>14</v>
      </c>
      <c r="AE106" t="s" s="44">
        <f>IF(AG110&lt;AE110,"down","up")</f>
        <v>108</v>
      </c>
      <c r="AF106" t="s" s="44">
        <v>86</v>
      </c>
      <c r="AG106" t="s" s="44">
        <f>IF(AK110&gt;AI110,"up","down")</f>
        <v>87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44.05" customHeight="1">
      <c r="AB107" s="36"/>
      <c r="AC107" s="34"/>
      <c r="AD107" t="s" s="44">
        <f>AD100</f>
        <v>70</v>
      </c>
      <c r="AE107" t="s" s="44">
        <v>88</v>
      </c>
      <c r="AF107" t="s" s="44">
        <f>AL103</f>
        <v>372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20.05" customHeight="1">
      <c r="AB108" s="36"/>
      <c r="AC108" s="71"/>
      <c r="AD108" s="16">
        <f>(D22+E22)/C22</f>
        <v>0.426146712288404</v>
      </c>
      <c r="AE108" s="16">
        <f>(D23+E23)/C23</f>
        <v>0.331821876167666</v>
      </c>
      <c r="AF108" s="16">
        <f>((E24+D24)/C24)</f>
        <v>0.401833872707659</v>
      </c>
      <c r="AG108" s="16">
        <f>(D25+E25)/C25</f>
        <v>0.209475608041614</v>
      </c>
      <c r="AH108" s="16">
        <f>(D26+E26)/C26</f>
        <v>0.35437430786268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s="15">
        <f>E22</f>
        <v>188.817</v>
      </c>
      <c r="AE109" s="15">
        <f>E23</f>
        <v>255.443</v>
      </c>
      <c r="AF109" s="15">
        <f>E24</f>
        <v>304</v>
      </c>
      <c r="AG109" s="15">
        <f>E25</f>
        <v>155</v>
      </c>
      <c r="AH109" s="15">
        <f>E26</f>
        <v>118.2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44.05" customHeight="1">
      <c r="AB110" s="36"/>
      <c r="AC110" s="34"/>
      <c r="AD110" t="s" s="44">
        <v>89</v>
      </c>
      <c r="AE110" s="16">
        <f>AG108</f>
        <v>0.209475608041614</v>
      </c>
      <c r="AF110" t="s" s="44">
        <v>76</v>
      </c>
      <c r="AG110" s="16">
        <f>AH108</f>
        <v>0.35437430786268</v>
      </c>
      <c r="AH110" t="s" s="44">
        <v>90</v>
      </c>
      <c r="AI110" s="15">
        <f>AG109</f>
        <v>155</v>
      </c>
      <c r="AJ110" t="s" s="44">
        <v>76</v>
      </c>
      <c r="AK110" s="15">
        <f>AH109</f>
        <v>118.2</v>
      </c>
      <c r="AL110" t="s" s="44">
        <f>AI105</f>
        <v>372</v>
      </c>
      <c r="AM110" t="s" s="44">
        <v>73</v>
      </c>
      <c r="AN110" t="s" s="44">
        <f>AK105</f>
        <v>74</v>
      </c>
      <c r="AO110" t="s" s="44">
        <v>91</v>
      </c>
      <c r="AP110" s="17"/>
      <c r="AQ110" s="17"/>
      <c r="AR110" s="17"/>
      <c r="AS110" s="17"/>
      <c r="AT110" s="17"/>
      <c r="AU110" s="17"/>
    </row>
    <row r="111" ht="68.05" customHeight="1">
      <c r="AB111" s="36"/>
      <c r="AC111" s="34"/>
      <c r="AD111" t="s" s="44">
        <v>92</v>
      </c>
      <c r="AE111" s="16">
        <f>AVERAGE(AE108:AH108)</f>
        <v>0.324376416194905</v>
      </c>
      <c r="AF111" t="s" s="44">
        <v>78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44.05" customHeight="1">
      <c r="AB112" s="36"/>
      <c r="AC112" s="34"/>
      <c r="AD112" t="s" s="44">
        <v>93</v>
      </c>
      <c r="AE112" s="35">
        <f>AD51</f>
        <v>0.342319517301336</v>
      </c>
      <c r="AF112" t="s" s="44">
        <v>94</v>
      </c>
      <c r="AG112" s="15">
        <f>AG64</f>
        <v>191.058978038628</v>
      </c>
      <c r="AH112" t="s" s="44">
        <f>AL110</f>
        <v>372</v>
      </c>
      <c r="AI112" t="s" s="44">
        <v>95</v>
      </c>
      <c r="AJ112" t="s" s="44">
        <f>AN110</f>
        <v>74</v>
      </c>
      <c r="AK112" t="s" s="44">
        <f>AI103</f>
        <v>75</v>
      </c>
      <c r="AL112" t="s" s="44">
        <f>AM105</f>
        <v>85</v>
      </c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20.05" customHeight="1">
      <c r="AB113" s="36"/>
      <c r="AC113" s="34"/>
      <c r="AD113" t="s" s="44">
        <v>15</v>
      </c>
      <c r="AE113" t="s" s="44">
        <f>IF(AG117&lt;AE117,"lower","higher")</f>
        <v>363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56.05" customHeight="1">
      <c r="AB114" s="36"/>
      <c r="AC114" s="34"/>
      <c r="AD114" t="s" s="44">
        <f>AD107</f>
        <v>70</v>
      </c>
      <c r="AE114" t="s" s="44">
        <v>96</v>
      </c>
      <c r="AF114" t="s" s="44">
        <f>AL103</f>
        <v>372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20.05" customHeight="1">
      <c r="AB115" s="36"/>
      <c r="AC115" s="34"/>
      <c r="AD115" s="15">
        <f>J22</f>
        <v>212.001</v>
      </c>
      <c r="AE115" s="15">
        <f>J23</f>
        <v>464.419</v>
      </c>
      <c r="AF115" s="15">
        <f>J24</f>
        <v>428.86</v>
      </c>
      <c r="AG115" s="15">
        <f>J25</f>
        <v>186.74</v>
      </c>
      <c r="AH115" s="15">
        <f>J26</f>
        <v>369.6</v>
      </c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s="15">
        <f>K22</f>
        <v>-49.586</v>
      </c>
      <c r="AE116" s="15">
        <f>K23</f>
        <v>-123.353</v>
      </c>
      <c r="AF116" s="15">
        <f>K24</f>
        <v>88.40000000000001</v>
      </c>
      <c r="AG116" s="15">
        <f>K25</f>
        <v>-288.4</v>
      </c>
      <c r="AH116" s="15">
        <f>K26</f>
        <v>-177.3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44.05" customHeight="1">
      <c r="AB117" s="36"/>
      <c r="AC117" s="34"/>
      <c r="AD117" t="s" s="44">
        <v>97</v>
      </c>
      <c r="AE117" s="15">
        <f>AG115+AG116</f>
        <v>-101.66</v>
      </c>
      <c r="AF117" t="s" s="44">
        <v>76</v>
      </c>
      <c r="AG117" s="15">
        <f>AH115+AH116</f>
        <v>192.3</v>
      </c>
      <c r="AH117" t="s" s="44">
        <f>AH112</f>
        <v>372</v>
      </c>
      <c r="AI117" t="s" s="44">
        <v>84</v>
      </c>
      <c r="AJ117" t="s" s="44">
        <f>AJ112</f>
        <v>74</v>
      </c>
      <c r="AK117" t="s" s="44">
        <v>98</v>
      </c>
      <c r="AL117" s="15">
        <f>AH116</f>
        <v>-177.3</v>
      </c>
      <c r="AM117" t="s" s="44">
        <f>AL103</f>
        <v>372</v>
      </c>
      <c r="AN117" t="s" s="44">
        <v>99</v>
      </c>
      <c r="AO117" s="17"/>
      <c r="AP117" s="17"/>
      <c r="AQ117" s="17"/>
      <c r="AR117" s="17"/>
      <c r="AS117" s="17"/>
      <c r="AT117" s="17"/>
      <c r="AU117" s="17"/>
    </row>
    <row r="118" ht="56.05" customHeight="1">
      <c r="AB118" s="36"/>
      <c r="AC118" s="34"/>
      <c r="AD118" t="s" s="44">
        <v>100</v>
      </c>
      <c r="AE118" s="15">
        <f>SUM(AE115:AH116)/4</f>
        <v>237.2415</v>
      </c>
      <c r="AF118" t="s" s="44">
        <f>AL103</f>
        <v>372</v>
      </c>
      <c r="AG118" t="s" s="44">
        <v>78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44.05" customHeight="1">
      <c r="AB119" s="36"/>
      <c r="AC119" s="34"/>
      <c r="AD119" t="s" s="44">
        <v>101</v>
      </c>
      <c r="AE119" s="15">
        <f>AD52</f>
        <v>-125.766666666667</v>
      </c>
      <c r="AF119" t="s" s="44">
        <f>AF118</f>
        <v>372</v>
      </c>
      <c r="AG119" t="s" s="44">
        <v>102</v>
      </c>
      <c r="AH119" t="s" s="44">
        <v>103</v>
      </c>
      <c r="AI119" t="s" s="44">
        <f>IF(AH105&gt;AK103,"higher","lower")</f>
        <v>363</v>
      </c>
      <c r="AJ119" t="s" s="44">
        <v>105</v>
      </c>
      <c r="AK119" s="15">
        <f>SUM(AD53:AG53)/4</f>
        <v>217.650558945726</v>
      </c>
      <c r="AL119" t="s" s="44">
        <f>AF119</f>
        <v>372</v>
      </c>
      <c r="AM119" t="s" s="44">
        <v>106</v>
      </c>
      <c r="AN119" t="s" s="44">
        <v>107</v>
      </c>
      <c r="AO119" s="17"/>
      <c r="AP119" s="17"/>
      <c r="AQ119" s="17"/>
      <c r="AR119" s="17"/>
      <c r="AS119" s="17"/>
      <c r="AT119" s="17"/>
      <c r="AU119" s="17"/>
    </row>
    <row r="120" ht="20.05" customHeight="1">
      <c r="AB120" s="36"/>
      <c r="AC120" s="34"/>
      <c r="AD120" t="s" s="44">
        <v>18</v>
      </c>
      <c r="AE120" t="s" s="44">
        <f>AL125</f>
        <v>87</v>
      </c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32.05" customHeight="1">
      <c r="AB121" s="36"/>
      <c r="AC121" s="34"/>
      <c r="AD121" t="s" s="44">
        <f>AD100</f>
        <v>70</v>
      </c>
      <c r="AE121" t="s" s="44">
        <v>109</v>
      </c>
      <c r="AF121" t="s" s="44">
        <f>AL103</f>
        <v>372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20.05" customHeight="1">
      <c r="AB122" s="36"/>
      <c r="AC122" s="34"/>
      <c r="AD122" s="15">
        <f>F22</f>
        <v>35.076</v>
      </c>
      <c r="AE122" s="15">
        <f>F23</f>
        <v>166</v>
      </c>
      <c r="AF122" s="15">
        <f>F24</f>
        <v>287</v>
      </c>
      <c r="AG122" s="15">
        <f>F25</f>
        <v>130</v>
      </c>
      <c r="AH122" s="15">
        <f>F26</f>
        <v>306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s="15">
        <f>G22</f>
        <v>4984.667</v>
      </c>
      <c r="AE123" s="15">
        <f>G23</f>
        <v>4748</v>
      </c>
      <c r="AF123" s="15">
        <f>G24</f>
        <v>4666</v>
      </c>
      <c r="AG123" s="15">
        <f>G25</f>
        <v>4517</v>
      </c>
      <c r="AH123" s="15">
        <f>G26</f>
        <v>4759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32.05" customHeight="1">
      <c r="AB124" s="36"/>
      <c r="AC124" s="34"/>
      <c r="AD124" t="s" s="44">
        <v>110</v>
      </c>
      <c r="AE124" t="s" s="44">
        <f>IF(AH124&lt;AF124,"declined","increased")</f>
        <v>111</v>
      </c>
      <c r="AF124" s="15">
        <f>AG122</f>
        <v>130</v>
      </c>
      <c r="AG124" t="s" s="44">
        <v>76</v>
      </c>
      <c r="AH124" s="15">
        <f>AH122</f>
        <v>306</v>
      </c>
      <c r="AI124" t="s" s="44">
        <f>AL119</f>
        <v>372</v>
      </c>
      <c r="AJ124" t="s" s="44">
        <v>84</v>
      </c>
      <c r="AK124" t="s" s="44">
        <f>AH103</f>
        <v>74</v>
      </c>
      <c r="AL124" t="s" s="44">
        <f>AO110</f>
        <v>91</v>
      </c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32.05" customHeight="1">
      <c r="AB125" s="36"/>
      <c r="AC125" s="34"/>
      <c r="AD125" t="s" s="44">
        <v>112</v>
      </c>
      <c r="AE125" t="s" s="44">
        <f>IF(AH125&lt;AF125,"declined","increased")</f>
        <v>111</v>
      </c>
      <c r="AF125" s="15">
        <f>AG123</f>
        <v>4517</v>
      </c>
      <c r="AG125" t="s" s="44">
        <v>76</v>
      </c>
      <c r="AH125" s="15">
        <f>AH123</f>
        <v>4759</v>
      </c>
      <c r="AI125" t="s" s="44">
        <f>AI124</f>
        <v>372</v>
      </c>
      <c r="AJ125" t="s" s="44">
        <v>113</v>
      </c>
      <c r="AK125" t="s" s="44">
        <v>114</v>
      </c>
      <c r="AL125" t="s" s="44">
        <f>IF(AO125&lt;AM125,"down","up")</f>
        <v>87</v>
      </c>
      <c r="AM125" s="15">
        <f>AF124-AF125</f>
        <v>-4387</v>
      </c>
      <c r="AN125" t="s" s="44">
        <v>76</v>
      </c>
      <c r="AO125" s="15">
        <f>AH124-AH125</f>
        <v>-4453</v>
      </c>
      <c r="AP125" t="s" s="44">
        <f>AI125</f>
        <v>372</v>
      </c>
      <c r="AQ125" t="s" s="44">
        <v>115</v>
      </c>
      <c r="AR125" s="17"/>
      <c r="AS125" s="17"/>
      <c r="AT125" s="17"/>
      <c r="AU125" s="17"/>
    </row>
    <row r="126" ht="56.05" customHeight="1">
      <c r="AB126" s="36"/>
      <c r="AC126" s="34"/>
      <c r="AD126" t="s" s="44">
        <v>116</v>
      </c>
      <c r="AE126" s="15">
        <f>SUM(AD56:AG56)</f>
        <v>0</v>
      </c>
      <c r="AF126" t="s" s="44">
        <f>AI125</f>
        <v>372</v>
      </c>
      <c r="AG126" t="s" s="44">
        <v>117</v>
      </c>
      <c r="AH126" t="s" s="44">
        <f>IF(AI126&gt;0,"+","")</f>
      </c>
      <c r="AI126" s="15">
        <f>AD54+AE54+AF54+AG54+AD58+AE58+AF58+AG58</f>
        <v>-870.602235782904</v>
      </c>
      <c r="AJ126" t="s" s="44">
        <f>AP125</f>
        <v>372</v>
      </c>
      <c r="AK126" t="s" s="44">
        <v>118</v>
      </c>
      <c r="AL126" t="s" s="44">
        <v>119</v>
      </c>
      <c r="AM126" s="15">
        <f>AG73</f>
        <v>-3582.3977642171</v>
      </c>
      <c r="AN126" t="s" s="44">
        <f>AI125</f>
        <v>372</v>
      </c>
      <c r="AO126" t="s" s="44">
        <v>120</v>
      </c>
      <c r="AP126" s="17"/>
      <c r="AQ126" s="17"/>
      <c r="AR126" s="17"/>
      <c r="AS126" s="17"/>
      <c r="AT126" s="17"/>
      <c r="AU126" s="17"/>
    </row>
    <row r="127" ht="20.05" customHeight="1">
      <c r="AB127" s="36"/>
      <c r="AC127" s="34"/>
      <c r="AD127" t="s" s="44">
        <v>17</v>
      </c>
      <c r="AE127" t="s" s="44">
        <f>AE131</f>
        <v>374</v>
      </c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56.05" customHeight="1">
      <c r="AB128" s="36"/>
      <c r="AC128" s="34"/>
      <c r="AD128" t="s" s="44">
        <f>AD100</f>
        <v>70</v>
      </c>
      <c r="AE128" t="s" s="44">
        <v>379</v>
      </c>
      <c r="AF128" t="s" s="44">
        <f>AL103</f>
        <v>372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s="15">
        <f>-L22</f>
        <v>60.661</v>
      </c>
      <c r="AE129" s="15">
        <f>-L23</f>
        <v>33.8</v>
      </c>
      <c r="AF129" s="15">
        <f>-L24</f>
        <v>166.36</v>
      </c>
      <c r="AG129" s="15">
        <f>-L25</f>
        <v>196.64</v>
      </c>
      <c r="AH129" s="15">
        <f>-L26</f>
        <v>39.6</v>
      </c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s="15">
        <f>-M22</f>
        <v>6.484</v>
      </c>
      <c r="AE130" s="15">
        <f>-M23</f>
        <v>14.715</v>
      </c>
      <c r="AF130" s="15">
        <f>-M24</f>
        <v>115.4</v>
      </c>
      <c r="AG130" s="15">
        <f>-M25</f>
        <v>120.2</v>
      </c>
      <c r="AH130" s="15">
        <f>-M26</f>
        <v>261.5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44.05" customHeight="1">
      <c r="AB131" s="36"/>
      <c r="AC131" s="34"/>
      <c r="AD131" t="s" s="44">
        <f>AD92</f>
        <v>581</v>
      </c>
      <c r="AE131" t="s" s="44">
        <f>IF(AF131&gt;0,"paid","(raised)")</f>
        <v>374</v>
      </c>
      <c r="AF131" s="15">
        <f>SUM(AH129:AH130)</f>
        <v>301.1</v>
      </c>
      <c r="AG131" t="s" s="44">
        <f>AL103</f>
        <v>372</v>
      </c>
      <c r="AH131" t="s" s="44">
        <f>AG103</f>
        <v>73</v>
      </c>
      <c r="AI131" t="s" s="44">
        <f>AH103</f>
        <v>74</v>
      </c>
      <c r="AJ131" t="s" s="44">
        <f>AI103</f>
        <v>75</v>
      </c>
      <c r="AK131" s="15">
        <f>AH129</f>
        <v>39.6</v>
      </c>
      <c r="AL131" t="s" s="44">
        <f>AL103</f>
        <v>372</v>
      </c>
      <c r="AM131" t="s" s="44">
        <v>123</v>
      </c>
      <c r="AN131" s="15">
        <f>AH130</f>
        <v>261.5</v>
      </c>
      <c r="AO131" t="s" s="44">
        <f>AL103</f>
        <v>372</v>
      </c>
      <c r="AP131" t="s" s="44">
        <v>389</v>
      </c>
      <c r="AQ131" t="s" s="44">
        <v>390</v>
      </c>
      <c r="AR131" t="s" s="44">
        <f>IF(AS131&gt;0,"pay","raise")</f>
        <v>364</v>
      </c>
      <c r="AS131" s="15">
        <f>-SUM(AD74:AG74)</f>
        <v>870.602235782904</v>
      </c>
      <c r="AT131" t="s" s="44">
        <f>AL103</f>
        <v>372</v>
      </c>
      <c r="AU131" t="s" s="44">
        <v>126</v>
      </c>
    </row>
    <row r="132" ht="56.05" customHeight="1">
      <c r="AB132" s="36"/>
      <c r="AC132" s="34"/>
      <c r="AD132" t="s" s="44">
        <v>375</v>
      </c>
      <c r="AE132" s="15">
        <f>AG78</f>
        <v>15606.4632064</v>
      </c>
      <c r="AF132" t="s" s="44">
        <f>AL103</f>
        <v>372</v>
      </c>
      <c r="AG132" t="s" s="44">
        <v>128</v>
      </c>
      <c r="AH132" t="s" s="44">
        <v>129</v>
      </c>
      <c r="AI132" s="43">
        <f>AG80</f>
        <v>1.86933600651601</v>
      </c>
      <c r="AJ132" t="s" s="44">
        <v>130</v>
      </c>
      <c r="AK132" t="s" s="44">
        <v>131</v>
      </c>
      <c r="AL132" t="s" s="44">
        <v>132</v>
      </c>
      <c r="AM132" s="15">
        <f>AG83</f>
        <v>10.1102428160946</v>
      </c>
      <c r="AN132" t="s" s="44">
        <v>133</v>
      </c>
      <c r="AO132" s="16">
        <f>-AE126/AE132</f>
        <v>0</v>
      </c>
      <c r="AP132" t="s" s="44">
        <v>134</v>
      </c>
      <c r="AQ132" s="17"/>
      <c r="AR132" s="17"/>
      <c r="AS132" s="17"/>
      <c r="AT132" s="17"/>
      <c r="AU132" s="17"/>
    </row>
    <row r="133" ht="56.05" customHeight="1">
      <c r="AB133" s="36"/>
      <c r="AC133" s="34"/>
      <c r="AD133" t="s" s="44">
        <v>135</v>
      </c>
      <c r="AE133" s="15">
        <f>AG82</f>
        <v>870.602235782904</v>
      </c>
      <c r="AF133" t="s" s="44">
        <f>AF132</f>
        <v>372</v>
      </c>
      <c r="AG133" t="s" s="44">
        <v>136</v>
      </c>
      <c r="AH133" s="15">
        <f>AE132/AE133</f>
        <v>17.9260545918144</v>
      </c>
      <c r="AI133" t="s" s="44">
        <v>130</v>
      </c>
      <c r="AJ133" t="s" s="44">
        <v>137</v>
      </c>
      <c r="AK133" t="s" s="44">
        <v>138</v>
      </c>
      <c r="AL133" s="15">
        <f>AG84</f>
        <v>18.5</v>
      </c>
      <c r="AM133" t="s" s="44">
        <v>139</v>
      </c>
      <c r="AN133" t="s" s="44">
        <v>140</v>
      </c>
      <c r="AO133" t="s" s="44">
        <v>141</v>
      </c>
      <c r="AP133" s="16">
        <f>AJ92</f>
        <v>0.0320173859365395</v>
      </c>
      <c r="AQ133" t="s" s="44">
        <f>IF(AP133&gt;0,"higher","lower")</f>
        <v>363</v>
      </c>
      <c r="AR133" t="s" s="44">
        <v>142</v>
      </c>
      <c r="AS133" s="15">
        <f>AH92</f>
        <v>4437.674759527120</v>
      </c>
      <c r="AT133" t="s" s="44">
        <v>143</v>
      </c>
      <c r="AU133" s="17"/>
    </row>
    <row r="134" ht="20.05" customHeight="1">
      <c r="AB134" s="36"/>
      <c r="AC134" s="34"/>
      <c r="AD134" s="17"/>
      <c r="AE134" s="17"/>
      <c r="AF134" s="17"/>
      <c r="AG134" s="17"/>
      <c r="AH134" s="15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ht="20.05" customHeight="1">
      <c r="AB135" t="s" s="33">
        <v>28</v>
      </c>
      <c r="AC135" s="14">
        <f>AD102</f>
        <v>779.453</v>
      </c>
      <c r="AD135" s="15">
        <f>AE102</f>
        <v>1207.003</v>
      </c>
      <c r="AE135" s="15">
        <f>AF102</f>
        <v>1112.4</v>
      </c>
      <c r="AF135" s="15">
        <f>AG102</f>
        <v>1422.6</v>
      </c>
      <c r="AG135" s="15">
        <f>AH102</f>
        <v>903</v>
      </c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20.05" customHeight="1">
      <c r="AB136" t="s" s="33">
        <v>144</v>
      </c>
      <c r="AC136" s="14">
        <f>SUM(AD115:AD116)</f>
        <v>162.415</v>
      </c>
      <c r="AD136" s="15">
        <f>SUM(AE115:AE116)</f>
        <v>341.066</v>
      </c>
      <c r="AE136" s="15">
        <f>SUM(AF115:AF116)</f>
        <v>517.26</v>
      </c>
      <c r="AF136" s="15">
        <f>SUM(AG115:AG116)</f>
        <v>-101.66</v>
      </c>
      <c r="AG136" s="15">
        <f>SUM(AH115:AH116)</f>
        <v>192.3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145</v>
      </c>
      <c r="AC137" s="14">
        <f>SUM(AD129:AD130)</f>
        <v>67.145</v>
      </c>
      <c r="AD137" s="15">
        <f>SUM(AE129:AE130)</f>
        <v>48.515</v>
      </c>
      <c r="AE137" s="15">
        <f>SUM(AF129:AF130)</f>
        <v>281.76</v>
      </c>
      <c r="AF137" s="15">
        <f>SUM(AG129:AG130)</f>
        <v>316.84</v>
      </c>
      <c r="AG137" s="15">
        <f>SUM(AH129:AH130)</f>
        <v>301.1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146</v>
      </c>
      <c r="AC138" s="14">
        <f>(AD122-AD123)</f>
        <v>-4949.591</v>
      </c>
      <c r="AD138" s="15">
        <f>(AE122-AE123)</f>
        <v>-4582</v>
      </c>
      <c r="AE138" s="15">
        <f>(AF122-AF123)</f>
        <v>-4379</v>
      </c>
      <c r="AF138" s="15">
        <f>(AG122-AG123)</f>
        <v>-4387</v>
      </c>
      <c r="AG138" s="15">
        <f>(AH122-AH123)</f>
        <v>-4453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s="36"/>
      <c r="AC139" s="34"/>
      <c r="AD139" s="17"/>
      <c r="AE139" s="17"/>
      <c r="AF139" s="17"/>
      <c r="AG139" s="15">
        <f>AS133</f>
        <v>4437.674759527120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s="36"/>
      <c r="AC140" s="34"/>
      <c r="AD140" s="17"/>
      <c r="AE140" s="17"/>
      <c r="AF140" s="17"/>
      <c r="AG140" s="17"/>
      <c r="AH140" s="15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7"/>
      <c r="AH141" s="15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</sheetData>
  <mergeCells count="2">
    <mergeCell ref="B2:AA2"/>
    <mergeCell ref="AB44:AU4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24" customWidth="1"/>
    <col min="2" max="26" width="10.4844" style="224" customWidth="1"/>
    <col min="27" max="27" width="18.9766" style="225" customWidth="1"/>
    <col min="28" max="46" width="9" style="225" customWidth="1"/>
    <col min="47" max="16384" width="16.3516" style="225" customWidth="1"/>
  </cols>
  <sheetData>
    <row r="1" ht="11.65" customHeight="1"/>
    <row r="2" ht="27.65" customHeight="1">
      <c r="B2" t="s" s="2">
        <v>582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583</v>
      </c>
      <c r="W3" t="s" s="3">
        <v>18</v>
      </c>
      <c r="X3" t="s" s="3">
        <v>303</v>
      </c>
      <c r="Y3" t="s" s="3">
        <v>19</v>
      </c>
      <c r="Z3" t="s" s="3">
        <v>20</v>
      </c>
    </row>
    <row r="4" ht="20.25" customHeight="1">
      <c r="B4" s="6">
        <v>2017</v>
      </c>
      <c r="C4" s="7">
        <v>1204.63</v>
      </c>
      <c r="D4" s="8">
        <v>51.3</v>
      </c>
      <c r="E4" s="8">
        <v>37.23</v>
      </c>
      <c r="F4" s="8">
        <v>736</v>
      </c>
      <c r="G4" s="8">
        <v>1329</v>
      </c>
      <c r="H4" s="8">
        <v>2560</v>
      </c>
      <c r="I4" s="8">
        <v>1238.6</v>
      </c>
      <c r="J4" s="8">
        <v>2.9</v>
      </c>
      <c r="K4" s="8">
        <v>-54.98</v>
      </c>
      <c r="L4" s="8">
        <v>0</v>
      </c>
      <c r="M4" s="8">
        <v>-15</v>
      </c>
      <c r="N4" s="8"/>
      <c r="O4" s="8"/>
      <c r="P4" s="9"/>
      <c r="Q4" s="9"/>
      <c r="R4" s="9"/>
      <c r="S4" s="9"/>
      <c r="T4" s="8">
        <f>J4+K4</f>
        <v>-52.08</v>
      </c>
      <c r="U4" s="8">
        <f>-(L4+M4)</f>
        <v>15</v>
      </c>
      <c r="V4" s="8">
        <v>3229.52666112</v>
      </c>
      <c r="W4" s="8">
        <f>F4-G4</f>
        <v>-593</v>
      </c>
      <c r="X4" s="10"/>
      <c r="Y4" s="11"/>
      <c r="Z4" s="12">
        <v>13.3</v>
      </c>
    </row>
    <row r="5" ht="20.05" customHeight="1">
      <c r="B5" s="13"/>
      <c r="C5" s="14">
        <v>1400.71</v>
      </c>
      <c r="D5" s="15">
        <v>52.5</v>
      </c>
      <c r="E5" s="15">
        <v>38.52</v>
      </c>
      <c r="F5" s="15">
        <v>833</v>
      </c>
      <c r="G5" s="15">
        <v>1468</v>
      </c>
      <c r="H5" s="15">
        <v>2675</v>
      </c>
      <c r="I5" s="15">
        <v>1442.09</v>
      </c>
      <c r="J5" s="15">
        <v>149.58</v>
      </c>
      <c r="K5" s="15">
        <v>-49.72</v>
      </c>
      <c r="L5" s="15">
        <v>0</v>
      </c>
      <c r="M5" s="15">
        <v>-15</v>
      </c>
      <c r="N5" s="15"/>
      <c r="O5" s="15"/>
      <c r="P5" s="16"/>
      <c r="Q5" s="17"/>
      <c r="R5" s="17"/>
      <c r="S5" s="17"/>
      <c r="T5" s="15">
        <f>J5+K5+T4</f>
        <v>47.78</v>
      </c>
      <c r="U5" s="15">
        <f>-(L5+M5)+U4</f>
        <v>30</v>
      </c>
      <c r="V5" s="15">
        <f>V4</f>
        <v>3229.52666112</v>
      </c>
      <c r="W5" s="15">
        <f>F5-G5</f>
        <v>-635</v>
      </c>
      <c r="X5" s="18"/>
      <c r="Y5" s="19"/>
      <c r="Z5" s="20">
        <v>13.327</v>
      </c>
    </row>
    <row r="6" ht="20.05" customHeight="1">
      <c r="B6" s="13"/>
      <c r="C6" s="14">
        <v>1291.16</v>
      </c>
      <c r="D6" s="15">
        <v>52.8</v>
      </c>
      <c r="E6" s="15">
        <v>28.84</v>
      </c>
      <c r="F6" s="15">
        <v>657</v>
      </c>
      <c r="G6" s="15">
        <v>1348</v>
      </c>
      <c r="H6" s="15">
        <v>2582</v>
      </c>
      <c r="I6" s="15">
        <v>1325.95</v>
      </c>
      <c r="J6" s="15">
        <v>-69.39</v>
      </c>
      <c r="K6" s="15">
        <v>-53.3</v>
      </c>
      <c r="L6" s="15">
        <v>0</v>
      </c>
      <c r="M6" s="15">
        <v>-15</v>
      </c>
      <c r="N6" s="15"/>
      <c r="O6" s="15"/>
      <c r="P6" s="16"/>
      <c r="Q6" s="17"/>
      <c r="R6" s="17"/>
      <c r="S6" s="17"/>
      <c r="T6" s="15">
        <f>J6+K6+T5</f>
        <v>-74.91</v>
      </c>
      <c r="U6" s="15">
        <f>-(L6+M6)+U5</f>
        <v>45</v>
      </c>
      <c r="V6" s="15">
        <f>V5</f>
        <v>3229.52666112</v>
      </c>
      <c r="W6" s="15">
        <f>F6-G6</f>
        <v>-691</v>
      </c>
      <c r="X6" s="18"/>
      <c r="Y6" s="19"/>
      <c r="Z6" s="20">
        <v>13.305</v>
      </c>
    </row>
    <row r="7" ht="20.05" customHeight="1">
      <c r="B7" s="13"/>
      <c r="C7" s="14">
        <v>1406.16</v>
      </c>
      <c r="D7" s="15">
        <v>55</v>
      </c>
      <c r="E7" s="15">
        <v>62.4</v>
      </c>
      <c r="F7" s="15">
        <v>795</v>
      </c>
      <c r="G7" s="15">
        <v>1456</v>
      </c>
      <c r="H7" s="15">
        <v>2749</v>
      </c>
      <c r="I7" s="15">
        <v>1452.05</v>
      </c>
      <c r="J7" s="15">
        <v>234.71</v>
      </c>
      <c r="K7" s="15">
        <v>-84.47</v>
      </c>
      <c r="L7" s="15">
        <v>0</v>
      </c>
      <c r="M7" s="15">
        <v>-15</v>
      </c>
      <c r="N7" s="15"/>
      <c r="O7" s="15"/>
      <c r="P7" s="16"/>
      <c r="Q7" s="17"/>
      <c r="R7" s="17"/>
      <c r="S7" s="17"/>
      <c r="T7" s="15">
        <f>J7+K7+T6</f>
        <v>75.33</v>
      </c>
      <c r="U7" s="15">
        <f>-(L7+M7)+U6</f>
        <v>60</v>
      </c>
      <c r="V7" s="15">
        <f>V6</f>
        <v>3229.52666112</v>
      </c>
      <c r="W7" s="15">
        <f>F7-G7</f>
        <v>-661</v>
      </c>
      <c r="X7" s="18"/>
      <c r="Y7" s="19"/>
      <c r="Z7" s="20">
        <v>13.557</v>
      </c>
    </row>
    <row r="8" ht="20.05" customHeight="1">
      <c r="B8" s="21">
        <v>2018</v>
      </c>
      <c r="C8" s="14">
        <v>1333.7</v>
      </c>
      <c r="D8" s="15">
        <v>57.1</v>
      </c>
      <c r="E8" s="15">
        <v>15</v>
      </c>
      <c r="F8" s="15">
        <v>718</v>
      </c>
      <c r="G8" s="15">
        <v>1509</v>
      </c>
      <c r="H8" s="15">
        <v>2796</v>
      </c>
      <c r="I8" s="15">
        <v>1370.86</v>
      </c>
      <c r="J8" s="15">
        <v>44.62</v>
      </c>
      <c r="K8" s="15">
        <v>-119.83</v>
      </c>
      <c r="L8" s="15">
        <v>0</v>
      </c>
      <c r="M8" s="15">
        <v>-12.5</v>
      </c>
      <c r="N8" s="15">
        <f>SUM(C5:C8)/4</f>
        <v>1357.9325</v>
      </c>
      <c r="O8" s="15"/>
      <c r="P8" s="16"/>
      <c r="Q8" s="16"/>
      <c r="R8" s="16"/>
      <c r="S8" s="15">
        <f>SUM(J5:K8)/4</f>
        <v>13.05</v>
      </c>
      <c r="T8" s="15">
        <f>J8+K8+T7</f>
        <v>0.12</v>
      </c>
      <c r="U8" s="15">
        <f>-(L8+M8)+U7</f>
        <v>72.5</v>
      </c>
      <c r="V8" s="15">
        <f>V7</f>
        <v>3229.52666112</v>
      </c>
      <c r="W8" s="15">
        <f>F8-G8</f>
        <v>-791</v>
      </c>
      <c r="X8" s="24">
        <v>715</v>
      </c>
      <c r="Y8" s="22"/>
      <c r="Z8" s="20">
        <v>13.761</v>
      </c>
    </row>
    <row r="9" ht="20.05" customHeight="1">
      <c r="B9" s="13"/>
      <c r="C9" s="14">
        <v>1633.28</v>
      </c>
      <c r="D9" s="15">
        <v>18.9</v>
      </c>
      <c r="E9" s="15">
        <v>87</v>
      </c>
      <c r="F9" s="15">
        <v>916</v>
      </c>
      <c r="G9" s="15">
        <v>1580</v>
      </c>
      <c r="H9" s="15">
        <v>2960</v>
      </c>
      <c r="I9" s="15">
        <v>1673.54</v>
      </c>
      <c r="J9" s="15">
        <v>259.33</v>
      </c>
      <c r="K9" s="15">
        <v>-60.87</v>
      </c>
      <c r="L9" s="15">
        <v>0</v>
      </c>
      <c r="M9" s="15">
        <v>-12.5</v>
      </c>
      <c r="N9" s="15">
        <f>SUM(C6:C9)/4</f>
        <v>1416.075</v>
      </c>
      <c r="O9" s="15"/>
      <c r="P9" s="16"/>
      <c r="Q9" s="16"/>
      <c r="R9" s="16"/>
      <c r="S9" s="15">
        <f>SUM(J6:K9)/4</f>
        <v>37.7</v>
      </c>
      <c r="T9" s="15">
        <f>J9+K9+T8</f>
        <v>198.58</v>
      </c>
      <c r="U9" s="15">
        <f>-(L9+M9)+U8</f>
        <v>85</v>
      </c>
      <c r="V9" s="15">
        <f>V8</f>
        <v>3229.52666112</v>
      </c>
      <c r="W9" s="15">
        <f>F13-G9</f>
        <v>-593</v>
      </c>
      <c r="X9" s="24">
        <v>748</v>
      </c>
      <c r="Y9" s="22"/>
      <c r="Z9" s="20">
        <v>14</v>
      </c>
    </row>
    <row r="10" ht="20.05" customHeight="1">
      <c r="B10" s="13"/>
      <c r="C10" s="14">
        <v>1472.62</v>
      </c>
      <c r="D10" s="15">
        <v>100.2</v>
      </c>
      <c r="E10" s="15">
        <v>-5.23</v>
      </c>
      <c r="F10" s="15">
        <v>826</v>
      </c>
      <c r="G10" s="15">
        <v>1467</v>
      </c>
      <c r="H10" s="15">
        <v>2850</v>
      </c>
      <c r="I10" s="15">
        <v>1506.95</v>
      </c>
      <c r="J10" s="15">
        <v>20.05</v>
      </c>
      <c r="K10" s="15">
        <v>-56.7</v>
      </c>
      <c r="L10" s="15">
        <v>0</v>
      </c>
      <c r="M10" s="15">
        <v>-12.5</v>
      </c>
      <c r="N10" s="15">
        <f>SUM(C7:C10)/4</f>
        <v>1461.44</v>
      </c>
      <c r="O10" s="15"/>
      <c r="P10" s="16"/>
      <c r="Q10" s="16"/>
      <c r="R10" s="16"/>
      <c r="S10" s="15">
        <f>SUM(J7:K10)/4</f>
        <v>59.21</v>
      </c>
      <c r="T10" s="15">
        <f>J10+K10+T9</f>
        <v>161.93</v>
      </c>
      <c r="U10" s="15">
        <f>-(L10+M10)+U9</f>
        <v>97.5</v>
      </c>
      <c r="V10" s="15">
        <f>V9</f>
        <v>3229.52666112</v>
      </c>
      <c r="W10" s="15">
        <f>F10-G10</f>
        <v>-641</v>
      </c>
      <c r="X10" s="24">
        <v>895</v>
      </c>
      <c r="Y10" s="22"/>
      <c r="Z10" s="20">
        <v>14.902</v>
      </c>
    </row>
    <row r="11" ht="20.05" customHeight="1">
      <c r="B11" s="13"/>
      <c r="C11" s="14">
        <v>1577.8</v>
      </c>
      <c r="D11" s="15">
        <v>62.9</v>
      </c>
      <c r="E11" s="15">
        <v>115.23</v>
      </c>
      <c r="F11" s="15">
        <v>988</v>
      </c>
      <c r="G11" s="15">
        <v>1450</v>
      </c>
      <c r="H11" s="15">
        <v>2990</v>
      </c>
      <c r="I11" s="15">
        <v>1618.65</v>
      </c>
      <c r="J11" s="15">
        <v>247.4</v>
      </c>
      <c r="K11" s="15">
        <v>-80.40000000000001</v>
      </c>
      <c r="L11" s="15">
        <v>0</v>
      </c>
      <c r="M11" s="15">
        <v>-12.5</v>
      </c>
      <c r="N11" s="15">
        <f>SUM(C8:C11)/4</f>
        <v>1504.35</v>
      </c>
      <c r="O11" s="15"/>
      <c r="P11" s="16"/>
      <c r="Q11" s="16"/>
      <c r="R11" s="16"/>
      <c r="S11" s="15">
        <f>SUM(J8:K11)/4</f>
        <v>63.4</v>
      </c>
      <c r="T11" s="15">
        <f>J11+K11+T10</f>
        <v>328.93</v>
      </c>
      <c r="U11" s="15">
        <f>-(L11+M11)+U10</f>
        <v>110</v>
      </c>
      <c r="V11" s="15">
        <f>V10</f>
        <v>3229.52666112</v>
      </c>
      <c r="W11" s="15">
        <f>F11-G11</f>
        <v>-462</v>
      </c>
      <c r="X11" s="24">
        <v>835</v>
      </c>
      <c r="Y11" s="22"/>
      <c r="Z11" s="20">
        <v>14.38</v>
      </c>
    </row>
    <row r="12" ht="20.05" customHeight="1">
      <c r="B12" s="21">
        <v>2019</v>
      </c>
      <c r="C12" s="14">
        <v>1530.85</v>
      </c>
      <c r="D12" s="15">
        <v>63.4</v>
      </c>
      <c r="E12" s="15">
        <v>50.3</v>
      </c>
      <c r="F12" s="15">
        <v>884</v>
      </c>
      <c r="G12" s="15">
        <v>1596</v>
      </c>
      <c r="H12" s="15">
        <v>3141</v>
      </c>
      <c r="I12" s="15">
        <v>1575.55</v>
      </c>
      <c r="J12" s="15">
        <v>9.699999999999999</v>
      </c>
      <c r="K12" s="15">
        <v>-110.4</v>
      </c>
      <c r="L12" s="15">
        <v>0</v>
      </c>
      <c r="M12" s="15">
        <v>-16</v>
      </c>
      <c r="N12" s="15">
        <f>SUM(C9:C12)/4</f>
        <v>1553.6375</v>
      </c>
      <c r="O12" s="23"/>
      <c r="P12" s="16"/>
      <c r="Q12" s="16">
        <f>(E12+D12)/C12</f>
        <v>0.07427246301074571</v>
      </c>
      <c r="R12" s="16">
        <f>AVERAGE(Q9:Q12)</f>
        <v>0.07427246301074571</v>
      </c>
      <c r="S12" s="15">
        <f>SUM(J9:K12)/4</f>
        <v>57.0275</v>
      </c>
      <c r="T12" s="15">
        <f>J12+K12+T11</f>
        <v>228.23</v>
      </c>
      <c r="U12" s="15">
        <f>-(L12+M12)+U11</f>
        <v>126</v>
      </c>
      <c r="V12" s="15">
        <f>V11</f>
        <v>3229.52666112</v>
      </c>
      <c r="W12" s="15">
        <f>F12-G12</f>
        <v>-712</v>
      </c>
      <c r="X12" s="24">
        <v>940</v>
      </c>
      <c r="Y12" s="22"/>
      <c r="Z12" s="20">
        <v>14.24</v>
      </c>
    </row>
    <row r="13" ht="20.05" customHeight="1">
      <c r="B13" s="13"/>
      <c r="C13" s="14">
        <v>1840.38</v>
      </c>
      <c r="D13" s="15">
        <v>65.90000000000001</v>
      </c>
      <c r="E13" s="15">
        <v>107.2</v>
      </c>
      <c r="F13" s="15">
        <v>987</v>
      </c>
      <c r="G13" s="15">
        <v>1659</v>
      </c>
      <c r="H13" s="15">
        <v>3253</v>
      </c>
      <c r="I13" s="15">
        <v>1913.2</v>
      </c>
      <c r="J13" s="15">
        <v>179.6</v>
      </c>
      <c r="K13" s="15">
        <v>-74.09</v>
      </c>
      <c r="L13" s="15">
        <v>0</v>
      </c>
      <c r="M13" s="15">
        <v>-16</v>
      </c>
      <c r="N13" s="15">
        <f>SUM(C10:C13)/4</f>
        <v>1605.4125</v>
      </c>
      <c r="O13" s="23"/>
      <c r="P13" s="16">
        <f>C13/C12-1</f>
        <v>0.202194859065225</v>
      </c>
      <c r="Q13" s="16">
        <f>(E13+D13)/C13</f>
        <v>0.0940566622110651</v>
      </c>
      <c r="R13" s="16">
        <f>AVERAGE(Q10:Q13)</f>
        <v>0.08416456261090539</v>
      </c>
      <c r="S13" s="15">
        <f>SUM(J10:K13)/4</f>
        <v>33.79</v>
      </c>
      <c r="T13" s="15">
        <f>J13+K13+T12</f>
        <v>333.74</v>
      </c>
      <c r="U13" s="15">
        <f>-(L13+M13)+U12</f>
        <v>142</v>
      </c>
      <c r="V13" s="15">
        <f>V12</f>
        <v>3229.52666112</v>
      </c>
      <c r="W13" s="15">
        <f>F13-G13</f>
        <v>-672</v>
      </c>
      <c r="X13" s="18">
        <v>1225</v>
      </c>
      <c r="Y13" s="24"/>
      <c r="Z13" s="15">
        <v>14.127</v>
      </c>
    </row>
    <row r="14" ht="20.05" customHeight="1">
      <c r="B14" s="13"/>
      <c r="C14" s="14">
        <v>1641.87</v>
      </c>
      <c r="D14" s="15">
        <v>67.7</v>
      </c>
      <c r="E14" s="15">
        <v>18.19</v>
      </c>
      <c r="F14" s="15">
        <v>752</v>
      </c>
      <c r="G14" s="15">
        <v>1575</v>
      </c>
      <c r="H14" s="15">
        <v>3176</v>
      </c>
      <c r="I14" s="15">
        <v>1701.25</v>
      </c>
      <c r="J14" s="15">
        <v>-58.47</v>
      </c>
      <c r="K14" s="15">
        <v>-111.51</v>
      </c>
      <c r="L14" s="15">
        <v>0</v>
      </c>
      <c r="M14" s="15">
        <v>-16</v>
      </c>
      <c r="N14" s="15">
        <f>SUM(C11:C14)/4</f>
        <v>1647.725</v>
      </c>
      <c r="O14" s="23"/>
      <c r="P14" s="16">
        <f>C14/C13-1</f>
        <v>-0.107863593388322</v>
      </c>
      <c r="Q14" s="16">
        <f>(E14+D14)/C14</f>
        <v>0.0523123024356374</v>
      </c>
      <c r="R14" s="16">
        <f>AVERAGE(Q11:Q14)</f>
        <v>0.07354714255248269</v>
      </c>
      <c r="S14" s="15">
        <f>SUM(J11:K14)/4</f>
        <v>0.4575</v>
      </c>
      <c r="T14" s="15">
        <f>J14+K14+T13</f>
        <v>163.76</v>
      </c>
      <c r="U14" s="15">
        <f>-(L14+M14)+U13</f>
        <v>158</v>
      </c>
      <c r="V14" s="15">
        <f>V13</f>
        <v>3229.52666112</v>
      </c>
      <c r="W14" s="15">
        <f>F14-G14</f>
        <v>-823</v>
      </c>
      <c r="X14" s="18">
        <v>1400</v>
      </c>
      <c r="Y14" s="24"/>
      <c r="Z14" s="15">
        <v>14.195</v>
      </c>
    </row>
    <row r="15" ht="20.05" customHeight="1">
      <c r="B15" s="13"/>
      <c r="C15" s="14">
        <v>1693.19</v>
      </c>
      <c r="D15" s="15">
        <v>71.3</v>
      </c>
      <c r="E15" s="15">
        <v>65.84999999999999</v>
      </c>
      <c r="F15" s="15">
        <v>862</v>
      </c>
      <c r="G15" s="15">
        <v>1745</v>
      </c>
      <c r="H15" s="15">
        <v>3405</v>
      </c>
      <c r="I15" s="15">
        <v>1760.5</v>
      </c>
      <c r="J15" s="15">
        <v>352.25</v>
      </c>
      <c r="K15" s="15">
        <v>-240.25</v>
      </c>
      <c r="L15" s="15">
        <v>0</v>
      </c>
      <c r="M15" s="15">
        <v>-16</v>
      </c>
      <c r="N15" s="15">
        <f>SUM(C12:C15)/4</f>
        <v>1676.5725</v>
      </c>
      <c r="O15" s="15"/>
      <c r="P15" s="16">
        <f>C15/C14-1</f>
        <v>0.031257042274967</v>
      </c>
      <c r="Q15" s="16">
        <f>(E15+D15)/C15</f>
        <v>0.0810009508678884</v>
      </c>
      <c r="R15" s="16">
        <f>AVERAGE(Q12:Q15)</f>
        <v>0.0754105946313342</v>
      </c>
      <c r="S15" s="15">
        <f>SUM(J12:K15)/4</f>
        <v>-13.2925</v>
      </c>
      <c r="T15" s="15">
        <f>J15+K15+T14</f>
        <v>275.76</v>
      </c>
      <c r="U15" s="15">
        <f>-(L15+M15)+U14</f>
        <v>174</v>
      </c>
      <c r="V15" s="15">
        <f>V14</f>
        <v>3229.52666112</v>
      </c>
      <c r="W15" s="15">
        <f>F15-G15</f>
        <v>-883</v>
      </c>
      <c r="X15" s="18">
        <v>1275</v>
      </c>
      <c r="Y15" s="24"/>
      <c r="Z15" s="15">
        <v>13.882</v>
      </c>
    </row>
    <row r="16" ht="20.05" customHeight="1">
      <c r="B16" s="21">
        <v>2020</v>
      </c>
      <c r="C16" s="14">
        <v>1518.1</v>
      </c>
      <c r="D16" s="15">
        <v>72.3</v>
      </c>
      <c r="E16" s="15">
        <v>5.4</v>
      </c>
      <c r="F16" s="15">
        <v>671</v>
      </c>
      <c r="G16" s="15">
        <v>1937</v>
      </c>
      <c r="H16" s="15">
        <v>3620</v>
      </c>
      <c r="I16" s="15">
        <v>1571.58</v>
      </c>
      <c r="J16" s="15">
        <v>-39.8</v>
      </c>
      <c r="K16" s="15">
        <v>-155</v>
      </c>
      <c r="L16" s="15">
        <v>45.5</v>
      </c>
      <c r="M16" s="15">
        <v>-0.75</v>
      </c>
      <c r="N16" s="15">
        <f>SUM(C13:C16)/4</f>
        <v>1673.385</v>
      </c>
      <c r="O16" s="15"/>
      <c r="P16" s="16">
        <f>C16/C15-1</f>
        <v>-0.103408359369002</v>
      </c>
      <c r="Q16" s="16">
        <f>(E16+D16)/C16</f>
        <v>0.0511823990514459</v>
      </c>
      <c r="R16" s="16">
        <f>AVERAGE(Q13:Q16)</f>
        <v>0.0696380786415092</v>
      </c>
      <c r="S16" s="15">
        <f>SUM(J13:K16)/4</f>
        <v>-36.8175</v>
      </c>
      <c r="T16" s="15">
        <f>J16+K16+T15</f>
        <v>80.95999999999999</v>
      </c>
      <c r="U16" s="15">
        <f>-(L16+M16)+U15</f>
        <v>129.25</v>
      </c>
      <c r="V16" s="15">
        <f>V15</f>
        <v>3229.52666112</v>
      </c>
      <c r="W16" s="15">
        <f>F16-G16</f>
        <v>-1266</v>
      </c>
      <c r="X16" s="24">
        <v>930</v>
      </c>
      <c r="Y16" s="24"/>
      <c r="Z16" s="15">
        <v>16.31</v>
      </c>
    </row>
    <row r="17" ht="20.05" customHeight="1">
      <c r="B17" s="13"/>
      <c r="C17" s="14">
        <v>996.7</v>
      </c>
      <c r="D17" s="15">
        <v>72.59999999999999</v>
      </c>
      <c r="E17" s="15">
        <v>-147.63</v>
      </c>
      <c r="F17" s="15">
        <v>679</v>
      </c>
      <c r="G17" s="15">
        <v>2125</v>
      </c>
      <c r="H17" s="15">
        <v>3627</v>
      </c>
      <c r="I17" s="15">
        <v>1012.42</v>
      </c>
      <c r="J17" s="15">
        <v>70.97</v>
      </c>
      <c r="K17" s="15">
        <v>-53.15</v>
      </c>
      <c r="L17" s="15">
        <v>45.5</v>
      </c>
      <c r="M17" s="15">
        <v>-0.75</v>
      </c>
      <c r="N17" s="15">
        <f>SUM(C14:C17)/4</f>
        <v>1462.465</v>
      </c>
      <c r="O17" s="15"/>
      <c r="P17" s="16">
        <f>C17/C16-1</f>
        <v>-0.343455635333641</v>
      </c>
      <c r="Q17" s="16">
        <f>(E17+D17)/C17</f>
        <v>-0.07527841878198049</v>
      </c>
      <c r="R17" s="16">
        <f>AVERAGE(Q14:Q17)</f>
        <v>0.0273043083932478</v>
      </c>
      <c r="S17" s="25">
        <f>SUM(J14:K17)/4</f>
        <v>-58.74</v>
      </c>
      <c r="T17" s="15">
        <f>J17+K17+T16</f>
        <v>98.78</v>
      </c>
      <c r="U17" s="15">
        <f>-(L17+M17)+U16</f>
        <v>84.5</v>
      </c>
      <c r="V17" s="15">
        <f>V16</f>
        <v>3229.52666112</v>
      </c>
      <c r="W17" s="15">
        <f>F17-G17</f>
        <v>-1446</v>
      </c>
      <c r="X17" s="24">
        <v>935</v>
      </c>
      <c r="Y17" s="24"/>
      <c r="Z17" s="15">
        <v>14.255</v>
      </c>
    </row>
    <row r="18" ht="20.05" customHeight="1">
      <c r="B18" s="13"/>
      <c r="C18" s="14">
        <v>1071.2</v>
      </c>
      <c r="D18" s="15">
        <v>72.40000000000001</v>
      </c>
      <c r="E18" s="15">
        <v>-155.77</v>
      </c>
      <c r="F18" s="15">
        <v>547</v>
      </c>
      <c r="G18" s="15">
        <v>2140</v>
      </c>
      <c r="H18" s="15">
        <v>3513</v>
      </c>
      <c r="I18" s="15">
        <v>1118</v>
      </c>
      <c r="J18" s="15">
        <v>-158.77</v>
      </c>
      <c r="K18" s="15">
        <v>-17.85</v>
      </c>
      <c r="L18" s="15">
        <v>45.5</v>
      </c>
      <c r="M18" s="15">
        <v>-0.75</v>
      </c>
      <c r="N18" s="15">
        <f>SUM(C15:C18)/4</f>
        <v>1319.7975</v>
      </c>
      <c r="O18" s="15"/>
      <c r="P18" s="16">
        <f>C18/C17-1</f>
        <v>0.0747466639911709</v>
      </c>
      <c r="Q18" s="16">
        <f>(E18+D18)/C18</f>
        <v>-0.0778286034353996</v>
      </c>
      <c r="R18" s="16">
        <f>AVERAGE(Q15:Q18)</f>
        <v>-0.00523091807451145</v>
      </c>
      <c r="S18" s="25">
        <f>SUM(J15:K18)/4</f>
        <v>-60.4</v>
      </c>
      <c r="T18" s="15">
        <f>J18+K18+T17</f>
        <v>-77.84</v>
      </c>
      <c r="U18" s="15">
        <f>-(L18+M18)+U17</f>
        <v>39.75</v>
      </c>
      <c r="V18" s="15">
        <f>V17</f>
        <v>3229.52666112</v>
      </c>
      <c r="W18" s="15">
        <f>F18-G18</f>
        <v>-1593</v>
      </c>
      <c r="X18" s="24">
        <v>910</v>
      </c>
      <c r="Y18" s="24"/>
      <c r="Z18" s="15">
        <v>14.79</v>
      </c>
    </row>
    <row r="19" ht="20.05" customHeight="1">
      <c r="B19" s="13"/>
      <c r="C19" s="14">
        <v>1254.4</v>
      </c>
      <c r="D19" s="15">
        <v>190.8</v>
      </c>
      <c r="E19" s="15">
        <v>-79.2</v>
      </c>
      <c r="F19" s="15">
        <v>883</v>
      </c>
      <c r="G19" s="15">
        <v>2480</v>
      </c>
      <c r="H19" s="15">
        <v>3727</v>
      </c>
      <c r="I19" s="15">
        <v>1323.4</v>
      </c>
      <c r="J19" s="15">
        <v>289.2</v>
      </c>
      <c r="K19" s="15">
        <v>-77.09999999999999</v>
      </c>
      <c r="L19" s="15">
        <v>45.5</v>
      </c>
      <c r="M19" s="15">
        <v>-0.75</v>
      </c>
      <c r="N19" s="15">
        <f>SUM(C16:C19)/4</f>
        <v>1210.1</v>
      </c>
      <c r="O19" s="15">
        <v>1214.2915</v>
      </c>
      <c r="P19" s="16">
        <f>C19/C18-1</f>
        <v>0.171023151605676</v>
      </c>
      <c r="Q19" s="16">
        <f>(E19+D19)/C19</f>
        <v>0.0889668367346939</v>
      </c>
      <c r="R19" s="16">
        <f>AVERAGE(Q16:Q19)</f>
        <v>-0.00323944660781008</v>
      </c>
      <c r="S19" s="25">
        <f>SUM(J16:K19)/4</f>
        <v>-35.375</v>
      </c>
      <c r="T19" s="15">
        <f>J19+K19+T18</f>
        <v>134.26</v>
      </c>
      <c r="U19" s="15">
        <f>-(L19+M19)+U18</f>
        <v>-5</v>
      </c>
      <c r="V19" s="15">
        <f>V18</f>
        <v>3229.52666112</v>
      </c>
      <c r="W19" s="15">
        <f>F19-G19</f>
        <v>-1597</v>
      </c>
      <c r="X19" s="24">
        <v>1020</v>
      </c>
      <c r="Y19" s="24"/>
      <c r="Z19" s="15">
        <v>14.1</v>
      </c>
    </row>
    <row r="20" ht="20.05" customHeight="1">
      <c r="B20" s="21">
        <v>2021</v>
      </c>
      <c r="C20" s="14">
        <v>1083.1</v>
      </c>
      <c r="D20" s="15">
        <v>73.90000000000001</v>
      </c>
      <c r="E20" s="15">
        <v>-61.5</v>
      </c>
      <c r="F20" s="15">
        <v>578</v>
      </c>
      <c r="G20" s="15">
        <v>2308</v>
      </c>
      <c r="H20" s="15">
        <v>3497</v>
      </c>
      <c r="I20" s="15">
        <v>1117.5</v>
      </c>
      <c r="J20" s="15">
        <v>-184.6</v>
      </c>
      <c r="K20" s="15">
        <v>-111.6</v>
      </c>
      <c r="L20" s="15">
        <v>-10</v>
      </c>
      <c r="M20" s="15">
        <v>0</v>
      </c>
      <c r="N20" s="15">
        <f>SUM(C17:C20)/4</f>
        <v>1101.35</v>
      </c>
      <c r="O20" s="15">
        <v>1249.157956666670</v>
      </c>
      <c r="P20" s="16">
        <f>C20/C19-1</f>
        <v>-0.13655931122449</v>
      </c>
      <c r="Q20" s="16">
        <f>(E20+D20)/C20</f>
        <v>0.0114486197027052</v>
      </c>
      <c r="R20" s="16">
        <f>AVERAGE(Q17:Q20)</f>
        <v>-0.0131728914449953</v>
      </c>
      <c r="S20" s="25">
        <f>SUM(J17:K20)/4</f>
        <v>-60.725</v>
      </c>
      <c r="T20" s="15">
        <f>J20+K20+T19</f>
        <v>-161.94</v>
      </c>
      <c r="U20" s="15">
        <f>-(L20+M20)+U19</f>
        <v>5</v>
      </c>
      <c r="V20" s="15">
        <f>V19</f>
        <v>3229.52666112</v>
      </c>
      <c r="W20" s="15">
        <f>F20-G20</f>
        <v>-1730</v>
      </c>
      <c r="X20" s="15">
        <v>1025</v>
      </c>
      <c r="Y20" s="15"/>
      <c r="Z20" s="15">
        <v>14.606</v>
      </c>
    </row>
    <row r="21" ht="20.05" customHeight="1">
      <c r="B21" s="13"/>
      <c r="C21" s="14">
        <v>1346.1</v>
      </c>
      <c r="D21" s="15">
        <v>72.40000000000001</v>
      </c>
      <c r="E21" s="15">
        <v>-15.4</v>
      </c>
      <c r="F21" s="15">
        <v>533</v>
      </c>
      <c r="G21" s="15">
        <v>2242</v>
      </c>
      <c r="H21" s="15">
        <v>3416</v>
      </c>
      <c r="I21" s="15">
        <v>1396.4</v>
      </c>
      <c r="J21" s="15">
        <v>-181.5</v>
      </c>
      <c r="K21" s="15">
        <v>56.4</v>
      </c>
      <c r="L21" s="15">
        <v>80</v>
      </c>
      <c r="M21" s="15">
        <v>0</v>
      </c>
      <c r="N21" s="15">
        <f>SUM(C18:C21)/4</f>
        <v>1188.7</v>
      </c>
      <c r="O21" s="15">
        <v>1269.9217175</v>
      </c>
      <c r="P21" s="16">
        <f>C21/C20-1</f>
        <v>0.242821530791247</v>
      </c>
      <c r="Q21" s="16">
        <f>(E21+D21)/C21</f>
        <v>0.0423445509248941</v>
      </c>
      <c r="R21" s="16">
        <f>AVERAGE(Q18:Q21)</f>
        <v>0.0162328509817234</v>
      </c>
      <c r="S21" s="25">
        <f>SUM(J18:K21)/4</f>
        <v>-96.455</v>
      </c>
      <c r="T21" s="15">
        <f>J21+K21+T20</f>
        <v>-287.04</v>
      </c>
      <c r="U21" s="15">
        <f>-(L21+M21)+U20</f>
        <v>-75</v>
      </c>
      <c r="V21" s="15">
        <f>V20</f>
        <v>3229.52666112</v>
      </c>
      <c r="W21" s="15">
        <f>F21-G21</f>
        <v>-1709</v>
      </c>
      <c r="X21" s="15">
        <v>1000</v>
      </c>
      <c r="Y21" s="15"/>
      <c r="Z21" s="15">
        <v>14.45</v>
      </c>
    </row>
    <row r="22" ht="20.05" customHeight="1">
      <c r="B22" s="13"/>
      <c r="C22" s="14">
        <v>1027.7</v>
      </c>
      <c r="D22" s="15">
        <v>72.59999999999999</v>
      </c>
      <c r="E22" s="15">
        <v>-124.5</v>
      </c>
      <c r="F22" s="15">
        <v>531</v>
      </c>
      <c r="G22" s="15">
        <v>2497</v>
      </c>
      <c r="H22" s="15">
        <v>3546</v>
      </c>
      <c r="I22" s="15">
        <v>1047.6</v>
      </c>
      <c r="J22" s="15">
        <v>-132.8</v>
      </c>
      <c r="K22" s="15">
        <v>20.7</v>
      </c>
      <c r="L22" s="15">
        <v>111</v>
      </c>
      <c r="M22" s="15">
        <v>0</v>
      </c>
      <c r="N22" s="15">
        <f>SUM(C19:C22)/4</f>
        <v>1177.825</v>
      </c>
      <c r="O22" s="15">
        <v>1308.7974675</v>
      </c>
      <c r="P22" s="16">
        <f>C22/C21-1</f>
        <v>-0.236535175692742</v>
      </c>
      <c r="Q22" s="16">
        <f>(E22+D22)/C22</f>
        <v>-0.0505011190036003</v>
      </c>
      <c r="R22" s="16">
        <f>AVERAGE(Q19:Q22)</f>
        <v>0.0230647220896732</v>
      </c>
      <c r="S22" s="25">
        <f>SUM(J19:K22)/4</f>
        <v>-80.325</v>
      </c>
      <c r="T22" s="15">
        <f>J22+K22+T21</f>
        <v>-399.14</v>
      </c>
      <c r="U22" s="15">
        <f>-(L22+M22)+U21</f>
        <v>-186</v>
      </c>
      <c r="V22" s="15">
        <f>V21</f>
        <v>3229.52666112</v>
      </c>
      <c r="W22" s="15">
        <f>F22-G22</f>
        <v>-1966</v>
      </c>
      <c r="X22" s="15">
        <v>980</v>
      </c>
      <c r="Y22" s="15"/>
      <c r="Z22" s="15">
        <v>14.328</v>
      </c>
    </row>
    <row r="23" ht="20.05" customHeight="1">
      <c r="B23" s="13"/>
      <c r="C23" s="14">
        <v>1383.7</v>
      </c>
      <c r="D23" s="15">
        <v>73.59999999999999</v>
      </c>
      <c r="E23" s="15">
        <v>-94.3</v>
      </c>
      <c r="F23" s="15">
        <v>601</v>
      </c>
      <c r="G23" s="15">
        <v>2638</v>
      </c>
      <c r="H23" s="15">
        <v>3557</v>
      </c>
      <c r="I23" s="15">
        <v>1436.5</v>
      </c>
      <c r="J23" s="15">
        <v>388.7</v>
      </c>
      <c r="K23" s="15">
        <v>-239.4</v>
      </c>
      <c r="L23" s="15">
        <v>-80</v>
      </c>
      <c r="M23" s="15">
        <v>0</v>
      </c>
      <c r="N23" s="15">
        <f>SUM(C20:C23)/4</f>
        <v>1210.15</v>
      </c>
      <c r="O23" s="15">
        <v>1296.9004675</v>
      </c>
      <c r="P23" s="16">
        <f>C23/C22-1</f>
        <v>0.346404592779994</v>
      </c>
      <c r="Q23" s="16">
        <f>(E23+D23)/C23</f>
        <v>-0.0149598901495989</v>
      </c>
      <c r="R23" s="16">
        <f>AVERAGE(Q20:Q23)</f>
        <v>-0.00291695963139998</v>
      </c>
      <c r="S23" s="25">
        <f>SUM(J20:K23)/4</f>
        <v>-96.02500000000001</v>
      </c>
      <c r="T23" s="15">
        <f>J23+K23+T22</f>
        <v>-249.84</v>
      </c>
      <c r="U23" s="15">
        <f>-(L23+M23)+U22</f>
        <v>-106</v>
      </c>
      <c r="V23" s="15">
        <f>V22</f>
        <v>3229.52666112</v>
      </c>
      <c r="W23" s="15">
        <f>F23-G23</f>
        <v>-2037</v>
      </c>
      <c r="X23" s="15">
        <v>975</v>
      </c>
      <c r="Y23" s="15"/>
      <c r="Z23" s="15">
        <v>14.275</v>
      </c>
    </row>
    <row r="24" ht="20.05" customHeight="1">
      <c r="B24" s="21">
        <v>2022</v>
      </c>
      <c r="C24" s="14">
        <v>1281.4</v>
      </c>
      <c r="D24" s="15">
        <v>72.8</v>
      </c>
      <c r="E24" s="15">
        <v>-19.7</v>
      </c>
      <c r="F24" s="15">
        <v>397</v>
      </c>
      <c r="G24" s="15">
        <v>2580</v>
      </c>
      <c r="H24" s="15">
        <v>3494</v>
      </c>
      <c r="I24" s="15">
        <v>1321.9</v>
      </c>
      <c r="J24" s="15">
        <v>-104.3</v>
      </c>
      <c r="K24" s="15">
        <v>-90.09999999999999</v>
      </c>
      <c r="L24" s="15">
        <v>-9.9</v>
      </c>
      <c r="M24" s="15">
        <v>0</v>
      </c>
      <c r="N24" s="15">
        <f>SUM(C21:C24)/4</f>
        <v>1259.725</v>
      </c>
      <c r="O24" s="15">
        <v>1288.334</v>
      </c>
      <c r="P24" s="16">
        <f>C24/C23-1</f>
        <v>-0.0739322107393221</v>
      </c>
      <c r="Q24" s="16">
        <f>(E24+D24)/C24</f>
        <v>0.0414390510379273</v>
      </c>
      <c r="R24" s="16">
        <f>AVERAGE(Q21:Q24)</f>
        <v>0.00458064820240555</v>
      </c>
      <c r="S24" s="25">
        <f>SUM(J21:K24)/4</f>
        <v>-70.575</v>
      </c>
      <c r="T24" s="15">
        <f>J24+K24+T23</f>
        <v>-444.24</v>
      </c>
      <c r="U24" s="15">
        <f>-(L24+M24)+U23</f>
        <v>-96.09999999999999</v>
      </c>
      <c r="V24" s="15">
        <f>V23</f>
        <v>3229.52666112</v>
      </c>
      <c r="W24" s="15">
        <f>F24-G24</f>
        <v>-2183</v>
      </c>
      <c r="X24" s="15">
        <v>960</v>
      </c>
      <c r="Y24" s="15"/>
      <c r="Z24" s="15">
        <v>14.327</v>
      </c>
    </row>
    <row r="25" ht="20.05" customHeight="1">
      <c r="B25" s="13"/>
      <c r="C25" s="14">
        <v>1587.6</v>
      </c>
      <c r="D25" s="15">
        <v>73.3</v>
      </c>
      <c r="E25" s="15">
        <v>52.4</v>
      </c>
      <c r="F25" s="15">
        <v>417</v>
      </c>
      <c r="G25" s="15">
        <v>2578</v>
      </c>
      <c r="H25" s="15">
        <v>3557</v>
      </c>
      <c r="I25" s="15">
        <v>1627.9</v>
      </c>
      <c r="J25" s="15">
        <v>27.5</v>
      </c>
      <c r="K25" s="15">
        <v>-48.8</v>
      </c>
      <c r="L25" s="15">
        <v>39.8</v>
      </c>
      <c r="M25" s="15">
        <v>0</v>
      </c>
      <c r="N25" s="15">
        <f>SUM(C22:C25)/4</f>
        <v>1320.1</v>
      </c>
      <c r="O25" s="15">
        <v>1339.70075</v>
      </c>
      <c r="P25" s="16">
        <f>C25/C24-1</f>
        <v>0.2389573903543</v>
      </c>
      <c r="Q25" s="16">
        <f>(E25+D25)/C25</f>
        <v>0.07917611489040061</v>
      </c>
      <c r="R25" s="16">
        <f>AVERAGE(Q22:Q25)</f>
        <v>0.0137885391937822</v>
      </c>
      <c r="S25" s="25">
        <f>SUM(J22:K25)/4</f>
        <v>-44.625</v>
      </c>
      <c r="T25" s="15">
        <f>J25+K25+T24</f>
        <v>-465.54</v>
      </c>
      <c r="U25" s="15">
        <f>-(L25+M25)+U24</f>
        <v>-135.9</v>
      </c>
      <c r="V25" s="15">
        <f>V24</f>
        <v>3229.52666112</v>
      </c>
      <c r="W25" s="15">
        <f>F25-G25</f>
        <v>-2161</v>
      </c>
      <c r="X25" s="15">
        <v>935</v>
      </c>
      <c r="Y25" s="15"/>
      <c r="Z25" s="15">
        <v>14.66</v>
      </c>
    </row>
    <row r="26" ht="20.05" customHeight="1">
      <c r="B26" s="13"/>
      <c r="C26" s="14">
        <v>1446.9</v>
      </c>
      <c r="D26" s="15">
        <v>73.90000000000001</v>
      </c>
      <c r="E26" s="15">
        <v>-49.9</v>
      </c>
      <c r="F26" s="15">
        <v>340</v>
      </c>
      <c r="G26" s="15">
        <v>2394</v>
      </c>
      <c r="H26" s="15">
        <v>3507</v>
      </c>
      <c r="I26" s="15">
        <v>1492.2</v>
      </c>
      <c r="J26" s="15">
        <v>43.1</v>
      </c>
      <c r="K26" s="15">
        <v>-100.6</v>
      </c>
      <c r="L26" s="15">
        <v>-19.9</v>
      </c>
      <c r="M26" s="15">
        <v>0</v>
      </c>
      <c r="N26" s="15">
        <f>SUM(C23:C26)/4</f>
        <v>1424.9</v>
      </c>
      <c r="O26" s="15">
        <v>1411.1525</v>
      </c>
      <c r="P26" s="16">
        <f>C26/C25-1</f>
        <v>-0.08862433862433861</v>
      </c>
      <c r="Q26" s="16">
        <f>(E26+D26)/C26</f>
        <v>0.0165871863985072</v>
      </c>
      <c r="R26" s="16">
        <f>AVERAGE(Q23:Q26)</f>
        <v>0.0305606155443091</v>
      </c>
      <c r="S26" s="25">
        <f>SUM(J23:K26)/4</f>
        <v>-30.975</v>
      </c>
      <c r="T26" s="15">
        <f>J26+K26+T25</f>
        <v>-523.04</v>
      </c>
      <c r="U26" s="15">
        <f>-(L26+M26)+U25</f>
        <v>-116</v>
      </c>
      <c r="V26" s="15">
        <f>V25</f>
        <v>3229.52666112</v>
      </c>
      <c r="W26" s="15">
        <f>F26-G26</f>
        <v>-2054</v>
      </c>
      <c r="X26" s="15">
        <v>950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1724.44942215</v>
      </c>
      <c r="P27" s="17"/>
      <c r="Q27" s="17"/>
      <c r="R27" s="17"/>
      <c r="S27" s="25"/>
      <c r="T27" s="17"/>
      <c r="U27" s="17"/>
      <c r="V27" s="17"/>
      <c r="W27" s="26"/>
      <c r="X27" s="15">
        <v>820</v>
      </c>
      <c r="Y27" s="15">
        <v>689.478913399525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9892.85</v>
      </c>
      <c r="O28" s="15">
        <f>SUM(O19:O26)</f>
        <v>10378.2563591667</v>
      </c>
      <c r="P28" s="17"/>
      <c r="Q28" s="17"/>
      <c r="R28" s="17"/>
      <c r="S28" s="17"/>
      <c r="T28" s="17"/>
      <c r="U28" s="17"/>
      <c r="V28" s="17"/>
      <c r="W28" s="26"/>
      <c r="X28" s="15">
        <v>810</v>
      </c>
      <c r="Y28" s="15">
        <v>661.336916934239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AF88</f>
        <v>782.576852252253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303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0.105701358442658</v>
      </c>
      <c r="AD49" s="35"/>
      <c r="AE49" s="35"/>
      <c r="AF49" s="35">
        <f>AVERAGE(AC51:AF51)</f>
        <v>0.0475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0.346404592779994</v>
      </c>
      <c r="AD50" s="35">
        <f>P24</f>
        <v>-0.0739322107393221</v>
      </c>
      <c r="AE50" s="35">
        <f>P25</f>
        <v>0.2389573903543</v>
      </c>
      <c r="AF50" s="35">
        <f>P26</f>
        <v>-0.08862433862433861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0.2</v>
      </c>
      <c r="AD51" s="35">
        <v>-0.07000000000000001</v>
      </c>
      <c r="AE51" s="35">
        <v>0.15</v>
      </c>
      <c r="AF51" s="35">
        <v>-0.09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1446.9</v>
      </c>
      <c r="AC52" s="23">
        <f>C26*(1+AC51)</f>
        <v>1736.28</v>
      </c>
      <c r="AD52" s="23">
        <f>AC52*(1+AD51)</f>
        <v>1614.7404</v>
      </c>
      <c r="AE52" s="23">
        <f>AD52*(1+AE51)</f>
        <v>1856.95146</v>
      </c>
      <c r="AF52" s="23">
        <f>AE52*(1+AF51)</f>
        <v>1689.8258286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0.0305606155443091</v>
      </c>
      <c r="AD53" s="35">
        <f>AC53</f>
        <v>0.0305606155443091</v>
      </c>
      <c r="AE53" s="35">
        <f>AD53</f>
        <v>0.0305606155443091</v>
      </c>
      <c r="AF53" s="35">
        <f>AE53</f>
        <v>0.0305606155443091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AVERAGE(K25)</f>
        <v>-48.8</v>
      </c>
      <c r="AD54" s="15">
        <f>AC54</f>
        <v>-48.8</v>
      </c>
      <c r="AE54" s="15">
        <f>AD54</f>
        <v>-48.8</v>
      </c>
      <c r="AF54" s="15">
        <f>AE54</f>
        <v>-48.8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4.261785557273</v>
      </c>
      <c r="AD55" s="15">
        <f>(AD52*AD53)+AD54</f>
        <v>0.547460568263894</v>
      </c>
      <c r="AE55" s="15">
        <f>(AE52*AE53)+AE54</f>
        <v>7.94957965350348</v>
      </c>
      <c r="AF55" s="15">
        <f>(AF52*AF53)+AF54</f>
        <v>2.84211748468816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-119.7</v>
      </c>
      <c r="AD56" s="15">
        <f>-AC71/20</f>
        <v>-113.715</v>
      </c>
      <c r="AE56" s="15">
        <f>-AD71/20</f>
        <v>-108.02925</v>
      </c>
      <c r="AF56" s="15">
        <f>-AE71/20</f>
        <v>-102.6277875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-115.438214442727</v>
      </c>
      <c r="AD59" s="15">
        <f>AD55+AD56+AD58</f>
        <v>-113.167539431736</v>
      </c>
      <c r="AE59" s="15">
        <f>AE55+AE56+AE58</f>
        <v>-100.079670346497</v>
      </c>
      <c r="AF59" s="15">
        <f>AF55+AF56+AF58</f>
        <v>-99.78567001531179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115.438214442727</v>
      </c>
      <c r="AD60" s="15">
        <f>-MIN(AC72,AD59)</f>
        <v>113.167539431736</v>
      </c>
      <c r="AE60" s="15">
        <f>-MIN(AD72,AE59)</f>
        <v>100.079670346497</v>
      </c>
      <c r="AF60" s="15">
        <f>-MIN(AE72,AF59)</f>
        <v>99.78567001531179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340</v>
      </c>
      <c r="AD61" s="15">
        <f>AC63</f>
        <v>340</v>
      </c>
      <c r="AE61" s="15">
        <f>AD63</f>
        <v>340</v>
      </c>
      <c r="AF61" s="15">
        <f>AE63</f>
        <v>340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-1.06e-13</v>
      </c>
      <c r="AE62" s="15">
        <f>AE55+AE56+AE58+AE60</f>
        <v>4.8e-13</v>
      </c>
      <c r="AF62" s="15">
        <f>AF55+AF56+AF58+AF60</f>
        <v>-4e-14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340</v>
      </c>
      <c r="AD63" s="15">
        <f>AD61+AD62</f>
        <v>340</v>
      </c>
      <c r="AE63" s="15">
        <f>AE61+AE62</f>
        <v>340</v>
      </c>
      <c r="AF63" s="15">
        <f>AF61+AF62</f>
        <v>340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-73.3333333333333</v>
      </c>
      <c r="AD65" s="15">
        <f>AC65</f>
        <v>-73.3333333333333</v>
      </c>
      <c r="AE65" s="15">
        <f>AD65</f>
        <v>-73.3333333333333</v>
      </c>
      <c r="AF65" s="15">
        <f>AE65</f>
        <v>-73.3333333333333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-20.2715477760603</v>
      </c>
      <c r="AD66" s="15">
        <f>(AD52*AD53)+AD65</f>
        <v>-23.9858727650694</v>
      </c>
      <c r="AE66" s="15">
        <f>(AE52*AE53)+AE65</f>
        <v>-16.5837536798298</v>
      </c>
      <c r="AF66" s="15">
        <f>(AF52*AF53)+AF65</f>
        <v>-21.6912158486451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3215.8</v>
      </c>
      <c r="AD68" s="15">
        <f>AC68-AD54</f>
        <v>3264.6</v>
      </c>
      <c r="AE68" s="15">
        <f>AD68-AE54</f>
        <v>3313.4</v>
      </c>
      <c r="AF68" s="15">
        <f>AE68-AF54</f>
        <v>3362.2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73.3333333333333</v>
      </c>
      <c r="AD69" s="15">
        <f>AC69-AD65</f>
        <v>146.666666666667</v>
      </c>
      <c r="AE69" s="15">
        <f>AD69-AE65</f>
        <v>220</v>
      </c>
      <c r="AF69" s="15">
        <f>AE69-AF65</f>
        <v>293.333333333333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3142.466666666670</v>
      </c>
      <c r="AD70" s="15">
        <f>AD68-AD69</f>
        <v>3117.933333333330</v>
      </c>
      <c r="AE70" s="15">
        <f>AE68-AE69</f>
        <v>3093.4</v>
      </c>
      <c r="AF70" s="15">
        <f>AF68-AF69</f>
        <v>3068.866666666670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2274.3</v>
      </c>
      <c r="AD71" s="15">
        <f>AC71+AD56</f>
        <v>2160.585</v>
      </c>
      <c r="AE71" s="15">
        <f>AD71+AE56</f>
        <v>2052.55575</v>
      </c>
      <c r="AF71" s="15">
        <f>AE71+AF56</f>
        <v>1949.9279625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115.438214442727</v>
      </c>
      <c r="AD72" s="15">
        <f>AC72+AD60</f>
        <v>228.605753874463</v>
      </c>
      <c r="AE72" s="15">
        <f>AD72+AE60</f>
        <v>328.685424220960</v>
      </c>
      <c r="AF72" s="15">
        <f>AE72+AF60</f>
        <v>428.471094236272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1092.728452223940</v>
      </c>
      <c r="AD73" s="15">
        <f>AC73+AD66+AD58</f>
        <v>1068.742579458870</v>
      </c>
      <c r="AE73" s="15">
        <f>AD73+AE66+AE58</f>
        <v>1052.158825779040</v>
      </c>
      <c r="AF73" s="15">
        <f>AE73+AF66+AF58</f>
        <v>1030.467609930390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-3e-12</v>
      </c>
      <c r="AD74" s="15">
        <f>AD71+AD72+AD73-AD63-AD70</f>
        <v>3e-12</v>
      </c>
      <c r="AE74" s="15">
        <f>AE71+AE72+AE73-AE63-AE70</f>
        <v>0</v>
      </c>
      <c r="AF74" s="15">
        <f>AF71+AF72+AF73-AF63-AF70</f>
        <v>-8e-12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-2049.738214442730</v>
      </c>
      <c r="AD75" s="15">
        <f>AD63-AD71-AD72</f>
        <v>-2049.190753874460</v>
      </c>
      <c r="AE75" s="15">
        <f>AE63-AE71-AE72</f>
        <v>-2041.241174220960</v>
      </c>
      <c r="AF75" s="15">
        <f>AF63-AF71-AF72</f>
        <v>-2038.399056736270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-4.261785557273</v>
      </c>
      <c r="AD76" s="15">
        <f>AD56+AD58+AD60</f>
        <v>-0.547460568264</v>
      </c>
      <c r="AE76" s="15">
        <f>AE56+AE58+AE60</f>
        <v>-7.949579653503</v>
      </c>
      <c r="AF76" s="15">
        <f>AF56+AF58+AF60</f>
        <v>-2.8421174846882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584</v>
      </c>
      <c r="AB78" s="14"/>
      <c r="AC78" s="15"/>
      <c r="AD78" s="15"/>
      <c r="AE78" s="15"/>
      <c r="AF78" s="15">
        <v>810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584</v>
      </c>
      <c r="AB79" s="14"/>
      <c r="AC79" s="15"/>
      <c r="AD79" s="15"/>
      <c r="AE79" s="15"/>
      <c r="AF79" s="15">
        <v>3229526661120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3229.52666112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3.987069952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0.947390137813153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-123.9</v>
      </c>
      <c r="AF84" s="15">
        <f>SUM(AC55:AF55)</f>
        <v>15.6009432637285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196.710328009566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207.008422921998</v>
      </c>
      <c r="AF86" s="15">
        <v>200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3120.1886527457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782.576852252253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-0.0338557379601815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0.407901138464532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0.049066382201964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584</v>
      </c>
      <c r="AD93" t="s" s="44">
        <f>AC115</f>
        <v>15</v>
      </c>
      <c r="AE93" t="s" s="44">
        <f>AD115</f>
        <v>360</v>
      </c>
      <c r="AF93" t="s" s="44">
        <f>AE115</f>
        <v>485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810</v>
      </c>
      <c r="AE94" t="s" s="44">
        <v>61</v>
      </c>
      <c r="AF94" s="15">
        <f>AF88</f>
        <v>782.576852252253</v>
      </c>
      <c r="AG94" t="s" s="44">
        <f>IF(AH94&gt;0,"+","")</f>
      </c>
      <c r="AH94" s="16">
        <f>AF94/AD94-1</f>
        <v>-0.0338557379601815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  <v>361</v>
      </c>
      <c r="AF97" s="16">
        <f>AK104/AC104-1</f>
        <v>0.407901138464532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</c>
      <c r="AF98" s="16">
        <f>(AE119+AE120+AG119+AG120+AI119+AI120+AK119+AK120)/AD136</f>
        <v>-0.0383647552725363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  <v>361</v>
      </c>
      <c r="AF99" s="16">
        <f>(AE133+AE134+AG133+AG134+AI133+AI134+AK133+AK134)/AD136</f>
        <v>0.0216750029788341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-0.636006515978931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370</v>
      </c>
      <c r="AE101" s="16">
        <f>AE105</f>
        <v>-0.08862433862433861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71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-0.236535175692742</v>
      </c>
      <c r="AD103" s="16">
        <f>P23</f>
        <v>0.346404592779994</v>
      </c>
      <c r="AE103" s="16">
        <f>P24</f>
        <v>-0.0739322107393221</v>
      </c>
      <c r="AF103" s="16">
        <f>P25</f>
        <v>0.2389573903543</v>
      </c>
      <c r="AG103" s="16">
        <f>P26</f>
        <v>-0.08862433862433861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1027.7</v>
      </c>
      <c r="AD104" t="s" s="44">
        <v>72</v>
      </c>
      <c r="AE104" s="15">
        <f>C23</f>
        <v>1383.7</v>
      </c>
      <c r="AF104" t="s" s="44">
        <v>72</v>
      </c>
      <c r="AG104" s="15">
        <f>C24</f>
        <v>1281.4</v>
      </c>
      <c r="AH104" t="s" s="44">
        <v>72</v>
      </c>
      <c r="AI104" s="15">
        <f>C25</f>
        <v>1587.6</v>
      </c>
      <c r="AJ104" t="s" s="44">
        <v>72</v>
      </c>
      <c r="AK104" s="15">
        <f>C26</f>
        <v>1446.9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370</v>
      </c>
      <c r="AE105" s="16">
        <f>AK104/AI104-1</f>
        <v>-0.08862433862433861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1446.9</v>
      </c>
      <c r="AK105" t="s" s="48">
        <f>AL104</f>
        <v>22</v>
      </c>
      <c r="AL105" t="s" s="44">
        <v>77</v>
      </c>
      <c r="AM105" t="s" s="44">
        <f>IF(AN105&gt;0,"+","")</f>
        <v>361</v>
      </c>
      <c r="AN105" s="16">
        <f>AF91</f>
        <v>0.049066382201964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0.105701358442658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0.0475</v>
      </c>
      <c r="AE107" t="s" s="44">
        <v>82</v>
      </c>
      <c r="AF107" t="s" s="44">
        <v>83</v>
      </c>
      <c r="AG107" s="23">
        <f>AF52</f>
        <v>1689.8258286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87</v>
      </c>
      <c r="AE108" t="s" s="44">
        <v>86</v>
      </c>
      <c r="AF108" t="s" s="44">
        <f>IF(AJ112&gt;AH112,"up","down")</f>
        <v>87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-0.0505011190036003</v>
      </c>
      <c r="AD110" s="16">
        <f>(D23+E23)/C23</f>
        <v>-0.0149598901495989</v>
      </c>
      <c r="AE110" s="16">
        <f>((E24+D24)/C24)</f>
        <v>0.0414390510379273</v>
      </c>
      <c r="AF110" s="16">
        <f>(D25+E25)/C25</f>
        <v>0.07917611489040061</v>
      </c>
      <c r="AG110" s="16">
        <f>(D26+E26)/C26</f>
        <v>0.0165871863985072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-124.5</v>
      </c>
      <c r="AD111" t="s" s="44">
        <v>72</v>
      </c>
      <c r="AE111" s="15">
        <f>E23</f>
        <v>-94.3</v>
      </c>
      <c r="AF111" t="s" s="44">
        <v>72</v>
      </c>
      <c r="AG111" s="15">
        <f>E24</f>
        <v>-19.7</v>
      </c>
      <c r="AH111" t="s" s="44">
        <v>72</v>
      </c>
      <c r="AI111" s="15">
        <f>E25</f>
        <v>52.4</v>
      </c>
      <c r="AJ111" t="s" s="44">
        <v>72</v>
      </c>
      <c r="AK111" s="15">
        <f>E26</f>
        <v>-49.9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0.07917611489040061</v>
      </c>
      <c r="AE112" t="s" s="44">
        <v>76</v>
      </c>
      <c r="AF112" s="16">
        <f>AG110</f>
        <v>0.0165871863985072</v>
      </c>
      <c r="AG112" t="s" s="44">
        <v>90</v>
      </c>
      <c r="AH112" s="15">
        <f>AI111</f>
        <v>52.4</v>
      </c>
      <c r="AI112" t="s" s="44">
        <v>76</v>
      </c>
      <c r="AJ112" s="15">
        <f>AK111</f>
        <v>-49.9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0.0305606155443091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0.0305606155443091</v>
      </c>
      <c r="AE114" t="s" s="44">
        <v>94</v>
      </c>
      <c r="AF114" s="15">
        <f>AF66</f>
        <v>-21.6912158486451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360</v>
      </c>
      <c r="AE115" t="s" s="44">
        <f>IF(AF121&lt;0,"negative","positive")</f>
        <v>485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21.3</v>
      </c>
      <c r="AE116" s="15">
        <f>ABS(AF121)</f>
        <v>57.5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21.3</v>
      </c>
      <c r="AD117" s="15">
        <f>ABS(AF121)</f>
        <v>57.5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-132.8</v>
      </c>
      <c r="AD119" t="s" s="44">
        <v>72</v>
      </c>
      <c r="AE119" s="15">
        <f>J23</f>
        <v>388.7</v>
      </c>
      <c r="AF119" t="s" s="44">
        <v>72</v>
      </c>
      <c r="AG119" s="15">
        <f>J24</f>
        <v>-104.3</v>
      </c>
      <c r="AH119" t="s" s="44">
        <v>72</v>
      </c>
      <c r="AI119" s="15">
        <f>J25</f>
        <v>27.5</v>
      </c>
      <c r="AJ119" t="s" s="44">
        <v>72</v>
      </c>
      <c r="AK119" s="15">
        <f>J26</f>
        <v>43.1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20.7</v>
      </c>
      <c r="AD120" t="s" s="44">
        <v>72</v>
      </c>
      <c r="AE120" s="15">
        <f>K23</f>
        <v>-239.4</v>
      </c>
      <c r="AF120" t="s" s="44">
        <v>72</v>
      </c>
      <c r="AG120" s="15">
        <f>K24</f>
        <v>-90.09999999999999</v>
      </c>
      <c r="AH120" t="s" s="44">
        <v>72</v>
      </c>
      <c r="AI120" s="15">
        <f>K25</f>
        <v>-48.8</v>
      </c>
      <c r="AJ120" t="s" s="44">
        <v>72</v>
      </c>
      <c r="AK120" s="15">
        <f>K26</f>
        <v>-100.6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-21.3</v>
      </c>
      <c r="AE121" t="s" s="44">
        <v>76</v>
      </c>
      <c r="AF121" s="15">
        <f>AK119+AK120</f>
        <v>-57.5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-100.6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-30.975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-48.8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3.90023581593213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108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531</v>
      </c>
      <c r="AD126" t="s" s="44">
        <v>72</v>
      </c>
      <c r="AE126" s="15">
        <f>F23</f>
        <v>601</v>
      </c>
      <c r="AF126" t="s" s="44">
        <v>72</v>
      </c>
      <c r="AG126" s="15">
        <f>F24</f>
        <v>397</v>
      </c>
      <c r="AH126" t="s" s="44">
        <v>72</v>
      </c>
      <c r="AI126" s="15">
        <f>F25</f>
        <v>417</v>
      </c>
      <c r="AJ126" t="s" s="44">
        <v>72</v>
      </c>
      <c r="AK126" s="15">
        <f>F26</f>
        <v>340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2497</v>
      </c>
      <c r="AD127" t="s" s="44">
        <v>72</v>
      </c>
      <c r="AE127" s="15">
        <f>G23</f>
        <v>2638</v>
      </c>
      <c r="AF127" t="s" s="44">
        <v>72</v>
      </c>
      <c r="AG127" s="15">
        <f>G24</f>
        <v>2580</v>
      </c>
      <c r="AH127" t="s" s="44">
        <v>72</v>
      </c>
      <c r="AI127" s="15">
        <f>G25</f>
        <v>2578</v>
      </c>
      <c r="AJ127" t="s" s="44">
        <v>72</v>
      </c>
      <c r="AK127" s="15">
        <f>G26</f>
        <v>2394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370</v>
      </c>
      <c r="AE128" s="15">
        <f>AI126</f>
        <v>417</v>
      </c>
      <c r="AF128" t="s" s="44">
        <v>76</v>
      </c>
      <c r="AG128" s="15">
        <f>AK126</f>
        <v>340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370</v>
      </c>
      <c r="AE129" s="15">
        <f>AI127</f>
        <v>2578</v>
      </c>
      <c r="AF129" t="s" s="44">
        <v>76</v>
      </c>
      <c r="AG129" s="15">
        <f>AK127</f>
        <v>2394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108</v>
      </c>
      <c r="AL129" s="15">
        <f>AE128-AE129</f>
        <v>-2161</v>
      </c>
      <c r="AM129" t="s" s="44">
        <v>76</v>
      </c>
      <c r="AN129" s="15">
        <f>AG128-AG129</f>
        <v>-2054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0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-15.6009432637282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-2038.399056736270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374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-111</v>
      </c>
      <c r="AD133" t="s" s="44">
        <v>72</v>
      </c>
      <c r="AE133" s="15">
        <f>-L23</f>
        <v>80</v>
      </c>
      <c r="AF133" t="s" s="44">
        <v>72</v>
      </c>
      <c r="AG133" s="15">
        <f>-L24</f>
        <v>9.9</v>
      </c>
      <c r="AH133" t="s" s="44">
        <v>72</v>
      </c>
      <c r="AI133" s="15">
        <f>-L25</f>
        <v>-39.8</v>
      </c>
      <c r="AJ133" t="s" s="44">
        <v>72</v>
      </c>
      <c r="AK133" s="15">
        <f>-L26</f>
        <v>19.9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0</v>
      </c>
      <c r="AD134" t="s" s="44">
        <v>72</v>
      </c>
      <c r="AE134" s="15">
        <f>-M23</f>
        <v>0</v>
      </c>
      <c r="AF134" t="s" s="44">
        <v>72</v>
      </c>
      <c r="AG134" s="15">
        <f>-M24</f>
        <v>0</v>
      </c>
      <c r="AH134" t="s" s="44">
        <v>72</v>
      </c>
      <c r="AI134" s="15">
        <f>-M25</f>
        <v>0</v>
      </c>
      <c r="AJ134" t="s" s="44">
        <v>72</v>
      </c>
      <c r="AK134" s="15">
        <f>-M26</f>
        <v>0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584</v>
      </c>
      <c r="AD135" t="s" s="44">
        <f>IF(AE135&gt;0,"paid","(raised)")</f>
        <v>374</v>
      </c>
      <c r="AE135" s="15">
        <f>SUM(AK133:AK134)</f>
        <v>19.9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19.9</v>
      </c>
      <c r="AK135" t="s" s="48">
        <f>AL104</f>
        <v>22</v>
      </c>
      <c r="AL135" t="s" s="44">
        <v>123</v>
      </c>
      <c r="AM135" s="15">
        <f>AK134</f>
        <v>0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15.6009432637282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3229.52666112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0.947390137813153</v>
      </c>
      <c r="AI136" t="s" s="44">
        <v>130</v>
      </c>
      <c r="AJ136" t="s" s="44">
        <v>131</v>
      </c>
      <c r="AK136" t="s" s="44">
        <v>132</v>
      </c>
      <c r="AL136" s="15">
        <f>AF85</f>
        <v>196.710328009566</v>
      </c>
      <c r="AM136" t="s" s="44">
        <v>133</v>
      </c>
      <c r="AN136" s="16">
        <f>-AD130/AD136</f>
        <v>0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15.6009432637285</v>
      </c>
      <c r="AE137" t="s" s="48">
        <f>AE136</f>
        <v>22</v>
      </c>
      <c r="AF137" t="s" s="44">
        <v>136</v>
      </c>
      <c r="AG137" s="15">
        <f>AD136/AD137</f>
        <v>207.008422921998</v>
      </c>
      <c r="AH137" t="s" s="44">
        <v>130</v>
      </c>
      <c r="AI137" t="s" s="44">
        <v>137</v>
      </c>
      <c r="AJ137" t="s" s="44">
        <v>138</v>
      </c>
      <c r="AK137" s="15">
        <f>AF86</f>
        <v>200</v>
      </c>
      <c r="AL137" t="s" s="44">
        <v>139</v>
      </c>
      <c r="AM137" t="s" s="44">
        <v>140</v>
      </c>
      <c r="AN137" t="s" s="44">
        <v>141</v>
      </c>
      <c r="AO137" s="16">
        <f>AH94</f>
        <v>-0.0338557379601815</v>
      </c>
      <c r="AP137" t="s" s="44">
        <f>IF(AO137&gt;0,"higher","lower")</f>
        <v>104</v>
      </c>
      <c r="AQ137" t="s" s="44">
        <v>142</v>
      </c>
      <c r="AR137" s="15">
        <f>AF94</f>
        <v>782.576852252253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1027.7</v>
      </c>
      <c r="AC139" s="15">
        <f>AE104</f>
        <v>1383.7</v>
      </c>
      <c r="AD139" s="15">
        <f>AG104</f>
        <v>1281.4</v>
      </c>
      <c r="AE139" s="15">
        <f>AI104</f>
        <v>1587.6</v>
      </c>
      <c r="AF139" s="15">
        <f>AK104</f>
        <v>1446.9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-112.1</v>
      </c>
      <c r="AC140" s="15">
        <f>SUM(AE119:AE120)</f>
        <v>149.3</v>
      </c>
      <c r="AD140" s="15">
        <f>SUM(AG119:AG120)</f>
        <v>-194.4</v>
      </c>
      <c r="AE140" s="15">
        <f>SUM(AI119:AI120)</f>
        <v>-21.3</v>
      </c>
      <c r="AF140" s="15">
        <f>SUM(AK119:AK120)</f>
        <v>-57.5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-111</v>
      </c>
      <c r="AC141" s="15">
        <f>SUM(AE133:AE134)</f>
        <v>80</v>
      </c>
      <c r="AD141" s="15">
        <f>SUM(AG133:AG134)</f>
        <v>9.9</v>
      </c>
      <c r="AE141" s="15">
        <f>SUM(AI133:AI134)</f>
        <v>-39.8</v>
      </c>
      <c r="AF141" s="15">
        <f>SUM(AK133:AK134)</f>
        <v>19.9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-1966</v>
      </c>
      <c r="AC142" s="15">
        <f>(AE126-AE127)</f>
        <v>-2037</v>
      </c>
      <c r="AD142" s="15">
        <f>(AG126-AG127)</f>
        <v>-2183</v>
      </c>
      <c r="AE142" s="15">
        <f>(AI126-AI127)</f>
        <v>-2161</v>
      </c>
      <c r="AF142" s="15">
        <f>(AK126-AK127)</f>
        <v>-2054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782.576852252253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26" customWidth="1"/>
    <col min="2" max="26" width="10.4844" style="226" customWidth="1"/>
    <col min="27" max="27" width="18.9766" style="227" customWidth="1"/>
    <col min="28" max="46" width="9" style="227" customWidth="1"/>
    <col min="47" max="16384" width="16.3516" style="227" customWidth="1"/>
  </cols>
  <sheetData>
    <row r="1" ht="11.65" customHeight="1"/>
    <row r="2" ht="27.65" customHeight="1">
      <c r="B2" t="s" s="2">
        <v>585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586</v>
      </c>
      <c r="W3" t="s" s="3">
        <v>18</v>
      </c>
      <c r="X3" t="s" s="3">
        <v>252</v>
      </c>
      <c r="Y3" t="s" s="3">
        <v>19</v>
      </c>
      <c r="Z3" t="s" s="3">
        <v>20</v>
      </c>
    </row>
    <row r="4" ht="20.25" customHeight="1">
      <c r="B4" s="6">
        <v>2017</v>
      </c>
      <c r="C4" s="7">
        <v>1609.6</v>
      </c>
      <c r="D4" s="8">
        <v>20.8</v>
      </c>
      <c r="E4" s="8">
        <v>147.4</v>
      </c>
      <c r="F4" s="8">
        <v>208</v>
      </c>
      <c r="G4" s="8">
        <v>5431</v>
      </c>
      <c r="H4" s="8">
        <v>8734</v>
      </c>
      <c r="I4" s="8">
        <v>1605.3</v>
      </c>
      <c r="J4" s="8">
        <v>247.8</v>
      </c>
      <c r="K4" s="8">
        <v>-37.9</v>
      </c>
      <c r="L4" s="8">
        <v>-225.8</v>
      </c>
      <c r="M4" s="8">
        <v>0</v>
      </c>
      <c r="N4" s="8"/>
      <c r="O4" s="8"/>
      <c r="P4" s="9"/>
      <c r="Q4" s="9"/>
      <c r="R4" s="9"/>
      <c r="S4" s="9"/>
      <c r="T4" s="8">
        <f>J4+K4</f>
        <v>209.9</v>
      </c>
      <c r="U4" s="8">
        <f>-(L4+M4)</f>
        <v>225.8</v>
      </c>
      <c r="V4" s="8">
        <v>15486.8128</v>
      </c>
      <c r="W4" s="8">
        <f>E4-G4</f>
        <v>-5283.6</v>
      </c>
      <c r="X4" s="10"/>
      <c r="Y4" s="11"/>
      <c r="Z4" s="12">
        <v>13.3</v>
      </c>
    </row>
    <row r="5" ht="20.05" customHeight="1">
      <c r="B5" s="13"/>
      <c r="C5" s="14">
        <v>1275.7</v>
      </c>
      <c r="D5" s="15">
        <v>56.6</v>
      </c>
      <c r="E5" s="15">
        <v>34.2</v>
      </c>
      <c r="F5" s="15">
        <v>195</v>
      </c>
      <c r="G5" s="15">
        <v>5572</v>
      </c>
      <c r="H5" s="15">
        <v>8594</v>
      </c>
      <c r="I5" s="15">
        <v>1695.7</v>
      </c>
      <c r="J5" s="15">
        <v>220.8</v>
      </c>
      <c r="K5" s="15">
        <v>-89.09999999999999</v>
      </c>
      <c r="L5" s="15">
        <v>170.3</v>
      </c>
      <c r="M5" s="15">
        <v>-314.7</v>
      </c>
      <c r="N5" s="15"/>
      <c r="O5" s="15"/>
      <c r="P5" s="16"/>
      <c r="Q5" s="17"/>
      <c r="R5" s="17"/>
      <c r="S5" s="17"/>
      <c r="T5" s="15">
        <f>J5+K5+T4</f>
        <v>341.6</v>
      </c>
      <c r="U5" s="15">
        <f>-(L5+M5)+U4</f>
        <v>370.2</v>
      </c>
      <c r="V5" s="15">
        <f>V4</f>
        <v>15486.8128</v>
      </c>
      <c r="W5" s="15">
        <f>E5-G5</f>
        <v>-5537.8</v>
      </c>
      <c r="X5" s="18"/>
      <c r="Y5" s="19"/>
      <c r="Z5" s="20">
        <v>13.327</v>
      </c>
    </row>
    <row r="6" ht="20.05" customHeight="1">
      <c r="B6" s="13"/>
      <c r="C6" s="14">
        <v>2027.7</v>
      </c>
      <c r="D6" s="15">
        <v>115.1</v>
      </c>
      <c r="E6" s="15">
        <v>103.3</v>
      </c>
      <c r="F6" s="15">
        <v>222</v>
      </c>
      <c r="G6" s="15">
        <v>5928</v>
      </c>
      <c r="H6" s="15">
        <v>9051</v>
      </c>
      <c r="I6" s="15">
        <v>1614.8</v>
      </c>
      <c r="J6" s="15">
        <v>-76.3</v>
      </c>
      <c r="K6" s="15">
        <v>-98.7</v>
      </c>
      <c r="L6" s="15">
        <v>202.2</v>
      </c>
      <c r="M6" s="15">
        <v>0</v>
      </c>
      <c r="N6" s="15"/>
      <c r="O6" s="15"/>
      <c r="P6" s="16"/>
      <c r="Q6" s="17"/>
      <c r="R6" s="17"/>
      <c r="S6" s="17"/>
      <c r="T6" s="15">
        <f>J6+K6+T5</f>
        <v>166.6</v>
      </c>
      <c r="U6" s="15">
        <f>-(L6+M6)+U5</f>
        <v>168</v>
      </c>
      <c r="V6" s="15">
        <f>V5</f>
        <v>15486.8128</v>
      </c>
      <c r="W6" s="15">
        <f>E6-G6</f>
        <v>-5824.7</v>
      </c>
      <c r="X6" s="18"/>
      <c r="Y6" s="19"/>
      <c r="Z6" s="20">
        <v>13.305</v>
      </c>
    </row>
    <row r="7" ht="20.05" customHeight="1">
      <c r="B7" s="13"/>
      <c r="C7" s="14">
        <v>2424.2</v>
      </c>
      <c r="D7" s="15">
        <v>68.59999999999999</v>
      </c>
      <c r="E7" s="15">
        <v>311</v>
      </c>
      <c r="F7" s="15">
        <v>288</v>
      </c>
      <c r="G7" s="15">
        <v>6082</v>
      </c>
      <c r="H7" s="15">
        <v>9370</v>
      </c>
      <c r="I7" s="15">
        <v>2190.3</v>
      </c>
      <c r="J7" s="15">
        <v>596.4</v>
      </c>
      <c r="K7" s="15">
        <v>-115.1</v>
      </c>
      <c r="L7" s="15">
        <v>-279.5</v>
      </c>
      <c r="M7" s="15">
        <v>-136.3</v>
      </c>
      <c r="N7" s="15"/>
      <c r="O7" s="15"/>
      <c r="P7" s="16"/>
      <c r="Q7" s="17"/>
      <c r="R7" s="17"/>
      <c r="S7" s="17"/>
      <c r="T7" s="15">
        <f>J7+K7+T6</f>
        <v>647.9</v>
      </c>
      <c r="U7" s="15">
        <f>-(L7+M7)+U6</f>
        <v>583.8</v>
      </c>
      <c r="V7" s="15">
        <f>V6</f>
        <v>15486.8128</v>
      </c>
      <c r="W7" s="15">
        <f>E7-G7</f>
        <v>-5771</v>
      </c>
      <c r="X7" s="18"/>
      <c r="Y7" s="19"/>
      <c r="Z7" s="20">
        <v>13.557</v>
      </c>
    </row>
    <row r="8" ht="20.05" customHeight="1">
      <c r="B8" s="21">
        <v>2018</v>
      </c>
      <c r="C8" s="14">
        <v>2424.6</v>
      </c>
      <c r="D8" s="15">
        <v>124.3</v>
      </c>
      <c r="E8" s="15">
        <v>326</v>
      </c>
      <c r="F8" s="15">
        <v>318</v>
      </c>
      <c r="G8" s="15">
        <v>6538</v>
      </c>
      <c r="H8" s="15">
        <v>10148</v>
      </c>
      <c r="I8" s="15">
        <v>2313.3</v>
      </c>
      <c r="J8" s="15">
        <v>270.1</v>
      </c>
      <c r="K8" s="15">
        <v>-38.1</v>
      </c>
      <c r="L8" s="15">
        <v>-202.2</v>
      </c>
      <c r="M8" s="15">
        <v>0</v>
      </c>
      <c r="N8" s="15">
        <f>SUM(C5:C8)/4</f>
        <v>2038.05</v>
      </c>
      <c r="O8" s="15"/>
      <c r="P8" s="16"/>
      <c r="Q8" s="16"/>
      <c r="R8" s="16"/>
      <c r="S8" s="15">
        <f>SUM(J5:K8)/4</f>
        <v>167.5</v>
      </c>
      <c r="T8" s="15">
        <f>J8+K8+T7</f>
        <v>879.9</v>
      </c>
      <c r="U8" s="15">
        <f>-(L8+M8)+U7</f>
        <v>786</v>
      </c>
      <c r="V8" s="15">
        <f>V7</f>
        <v>15486.8128</v>
      </c>
      <c r="W8" s="15">
        <f>E8-G8</f>
        <v>-6212</v>
      </c>
      <c r="X8" s="68">
        <v>5300</v>
      </c>
      <c r="Y8" s="22"/>
      <c r="Z8" s="20">
        <v>13.761</v>
      </c>
    </row>
    <row r="9" ht="20.05" customHeight="1">
      <c r="B9" s="13"/>
      <c r="C9" s="14">
        <v>2247.4</v>
      </c>
      <c r="D9" s="15">
        <v>235.8</v>
      </c>
      <c r="E9" s="15">
        <v>113.4</v>
      </c>
      <c r="F9" s="15">
        <v>272</v>
      </c>
      <c r="G9" s="15">
        <v>6576</v>
      </c>
      <c r="H9" s="15">
        <v>10118</v>
      </c>
      <c r="I9" s="15">
        <v>2224.5</v>
      </c>
      <c r="J9" s="15">
        <v>-354.5</v>
      </c>
      <c r="K9" s="15">
        <v>-332.8</v>
      </c>
      <c r="L9" s="15">
        <v>795.4</v>
      </c>
      <c r="M9" s="15">
        <v>-153.6</v>
      </c>
      <c r="N9" s="15">
        <f>SUM(C6:C9)/4</f>
        <v>2280.975</v>
      </c>
      <c r="O9" s="15"/>
      <c r="P9" s="16"/>
      <c r="Q9" s="16"/>
      <c r="R9" s="16"/>
      <c r="S9" s="15">
        <f>SUM(J6:K9)/4</f>
        <v>-37.25</v>
      </c>
      <c r="T9" s="15">
        <f>J9+K9+T8</f>
        <v>192.6</v>
      </c>
      <c r="U9" s="15">
        <f>-(L9+M9)+U8</f>
        <v>144.2</v>
      </c>
      <c r="V9" s="15">
        <f>V8</f>
        <v>15486.8128</v>
      </c>
      <c r="W9" s="15">
        <f>E13-G9</f>
        <v>-6352.6</v>
      </c>
      <c r="X9" s="68">
        <v>6850</v>
      </c>
      <c r="Y9" s="22"/>
      <c r="Z9" s="20">
        <v>14</v>
      </c>
    </row>
    <row r="10" ht="20.05" customHeight="1">
      <c r="B10" s="13"/>
      <c r="C10" s="14">
        <v>2778.9</v>
      </c>
      <c r="D10" s="15">
        <v>179</v>
      </c>
      <c r="E10" s="15">
        <v>428</v>
      </c>
      <c r="F10" s="15">
        <v>304</v>
      </c>
      <c r="G10" s="15">
        <v>6320</v>
      </c>
      <c r="H10" s="15">
        <v>10303</v>
      </c>
      <c r="I10" s="15">
        <v>2490.7</v>
      </c>
      <c r="J10" s="15">
        <v>595.9</v>
      </c>
      <c r="K10" s="15">
        <v>-104.4</v>
      </c>
      <c r="L10" s="15">
        <v>-459.7</v>
      </c>
      <c r="M10" s="15">
        <v>0</v>
      </c>
      <c r="N10" s="15">
        <f>SUM(C7:C10)/4</f>
        <v>2468.775</v>
      </c>
      <c r="O10" s="15"/>
      <c r="P10" s="16"/>
      <c r="Q10" s="16"/>
      <c r="R10" s="16"/>
      <c r="S10" s="15">
        <f>SUM(J7:K10)/4</f>
        <v>129.375</v>
      </c>
      <c r="T10" s="15">
        <f>J10+K10+T9</f>
        <v>684.1</v>
      </c>
      <c r="U10" s="15">
        <f>-(L10+M10)+U9</f>
        <v>603.9</v>
      </c>
      <c r="V10" s="15">
        <f>V9</f>
        <v>15486.8128</v>
      </c>
      <c r="W10" s="15">
        <f>E10-G10</f>
        <v>-5892</v>
      </c>
      <c r="X10" s="68">
        <v>7800</v>
      </c>
      <c r="Y10" s="22"/>
      <c r="Z10" s="20">
        <v>14.902</v>
      </c>
    </row>
    <row r="11" ht="20.05" customHeight="1">
      <c r="B11" s="13"/>
      <c r="C11" s="14">
        <v>2487.4</v>
      </c>
      <c r="D11" s="15">
        <v>-58.4</v>
      </c>
      <c r="E11" s="15">
        <v>538</v>
      </c>
      <c r="F11" s="15">
        <v>355</v>
      </c>
      <c r="G11" s="15">
        <v>6677</v>
      </c>
      <c r="H11" s="15">
        <v>10965</v>
      </c>
      <c r="I11" s="15">
        <v>2382</v>
      </c>
      <c r="J11" s="15">
        <v>618.4</v>
      </c>
      <c r="K11" s="15">
        <v>-554.6</v>
      </c>
      <c r="L11" s="15">
        <v>235.2</v>
      </c>
      <c r="M11" s="15">
        <v>-247.8</v>
      </c>
      <c r="N11" s="15">
        <f>SUM(C8:C11)/4</f>
        <v>2484.575</v>
      </c>
      <c r="O11" s="15"/>
      <c r="P11" s="16"/>
      <c r="Q11" s="16"/>
      <c r="R11" s="16"/>
      <c r="S11" s="15">
        <f>SUM(J8:K11)/4</f>
        <v>25</v>
      </c>
      <c r="T11" s="15">
        <f>J11+K11+T10</f>
        <v>747.9</v>
      </c>
      <c r="U11" s="15">
        <f>-(L11+M11)+U10</f>
        <v>616.5</v>
      </c>
      <c r="V11" s="15">
        <f>V10</f>
        <v>15486.8128</v>
      </c>
      <c r="W11" s="15">
        <f>E11-G11</f>
        <v>-6139</v>
      </c>
      <c r="X11" s="68">
        <v>7775</v>
      </c>
      <c r="Y11" s="22"/>
      <c r="Z11" s="20">
        <v>14.38</v>
      </c>
    </row>
    <row r="12" ht="20.05" customHeight="1">
      <c r="B12" s="21">
        <v>2019</v>
      </c>
      <c r="C12" s="14">
        <v>2396.1</v>
      </c>
      <c r="D12" s="15">
        <v>-5</v>
      </c>
      <c r="E12" s="15">
        <v>419.7</v>
      </c>
      <c r="F12" s="15">
        <v>130</v>
      </c>
      <c r="G12" s="15">
        <v>6395</v>
      </c>
      <c r="H12" s="15">
        <v>11098</v>
      </c>
      <c r="I12" s="15">
        <v>2266.7</v>
      </c>
      <c r="J12" s="15">
        <v>168.2</v>
      </c>
      <c r="K12" s="15">
        <v>-107</v>
      </c>
      <c r="L12" s="15">
        <v>-286.7</v>
      </c>
      <c r="M12" s="15">
        <v>0</v>
      </c>
      <c r="N12" s="15">
        <f>SUM(C9:C12)/4</f>
        <v>2477.45</v>
      </c>
      <c r="O12" s="23"/>
      <c r="P12" s="16"/>
      <c r="Q12" s="16">
        <f>(E12+D12)/C12</f>
        <v>0.173072910145653</v>
      </c>
      <c r="R12" s="16">
        <f>AVERAGE(Q9:Q12)</f>
        <v>0.173072910145653</v>
      </c>
      <c r="S12" s="15">
        <f>SUM(J9:K12)/4</f>
        <v>-17.7</v>
      </c>
      <c r="T12" s="15">
        <f>J12+K12+T11</f>
        <v>809.1</v>
      </c>
      <c r="U12" s="15">
        <f>-(L12+M12)+U11</f>
        <v>903.2</v>
      </c>
      <c r="V12" s="15">
        <f>V11</f>
        <v>15486.8128</v>
      </c>
      <c r="W12" s="15">
        <f>E12-G12</f>
        <v>-5975.3</v>
      </c>
      <c r="X12" s="68">
        <v>8250</v>
      </c>
      <c r="Y12" s="22"/>
      <c r="Z12" s="20">
        <v>14.24</v>
      </c>
    </row>
    <row r="13" ht="20.05" customHeight="1">
      <c r="B13" s="13"/>
      <c r="C13" s="14">
        <v>1935.7</v>
      </c>
      <c r="D13" s="15">
        <v>27.8</v>
      </c>
      <c r="E13" s="15">
        <v>223.4</v>
      </c>
      <c r="F13" s="15">
        <v>135</v>
      </c>
      <c r="G13" s="15">
        <v>6514</v>
      </c>
      <c r="H13" s="15">
        <v>10865</v>
      </c>
      <c r="I13" s="15">
        <v>2330.2</v>
      </c>
      <c r="J13" s="15">
        <v>2286.9</v>
      </c>
      <c r="K13" s="15">
        <v>-289.5</v>
      </c>
      <c r="L13" s="15">
        <v>-1422.7</v>
      </c>
      <c r="M13" s="15">
        <v>-569.9</v>
      </c>
      <c r="N13" s="15">
        <f>SUM(C10:C13)/4</f>
        <v>2399.525</v>
      </c>
      <c r="O13" s="23"/>
      <c r="P13" s="16">
        <f>C13/C12-1</f>
        <v>-0.192145569884395</v>
      </c>
      <c r="Q13" s="16">
        <f>(E13+D13)/C13</f>
        <v>0.129772175440409</v>
      </c>
      <c r="R13" s="16">
        <f>AVERAGE(Q10:Q13)</f>
        <v>0.151422542793031</v>
      </c>
      <c r="S13" s="15">
        <f>SUM(J10:K13)/4</f>
        <v>653.475</v>
      </c>
      <c r="T13" s="15">
        <f>J13+K13+T12</f>
        <v>2806.5</v>
      </c>
      <c r="U13" s="15">
        <f>-(L13+M13)+U12</f>
        <v>2895.8</v>
      </c>
      <c r="V13" s="15">
        <f>V12</f>
        <v>15486.8128</v>
      </c>
      <c r="W13" s="15">
        <f>E13-G13</f>
        <v>-6290.6</v>
      </c>
      <c r="X13" s="68">
        <v>8400</v>
      </c>
      <c r="Y13" s="24"/>
      <c r="Z13" s="15">
        <v>14.127</v>
      </c>
    </row>
    <row r="14" ht="20.05" customHeight="1">
      <c r="B14" s="13"/>
      <c r="C14" s="14">
        <v>2035</v>
      </c>
      <c r="D14" s="15">
        <v>70.09999999999999</v>
      </c>
      <c r="E14" s="15">
        <v>163.2</v>
      </c>
      <c r="F14" s="15">
        <v>114</v>
      </c>
      <c r="G14" s="15">
        <v>6484</v>
      </c>
      <c r="H14" s="15">
        <v>10989</v>
      </c>
      <c r="I14" s="15">
        <v>2039.9</v>
      </c>
      <c r="J14" s="15">
        <v>-1660.2</v>
      </c>
      <c r="K14" s="15">
        <v>-239.7</v>
      </c>
      <c r="L14" s="15">
        <v>1879.1</v>
      </c>
      <c r="M14" s="15">
        <v>0</v>
      </c>
      <c r="N14" s="15">
        <f>SUM(C11:C14)/4</f>
        <v>2213.55</v>
      </c>
      <c r="O14" s="23"/>
      <c r="P14" s="16">
        <f>C14/C13-1</f>
        <v>0.0512992715813401</v>
      </c>
      <c r="Q14" s="16">
        <f>(E14+D14)/C14</f>
        <v>0.114643734643735</v>
      </c>
      <c r="R14" s="16">
        <f>AVERAGE(Q11:Q14)</f>
        <v>0.139162940076599</v>
      </c>
      <c r="S14" s="15">
        <f>SUM(J11:K14)/4</f>
        <v>55.625</v>
      </c>
      <c r="T14" s="15">
        <f>J14+K14+T13</f>
        <v>906.6</v>
      </c>
      <c r="U14" s="15">
        <f>-(L14+M14)+U13</f>
        <v>1016.7</v>
      </c>
      <c r="V14" s="15">
        <f>V13</f>
        <v>15486.8128</v>
      </c>
      <c r="W14" s="15">
        <f>E14-G14</f>
        <v>-6320.8</v>
      </c>
      <c r="X14" s="68">
        <v>7825</v>
      </c>
      <c r="Y14" s="24"/>
      <c r="Z14" s="15">
        <v>14.195</v>
      </c>
    </row>
    <row r="15" ht="20.05" customHeight="1">
      <c r="B15" s="13"/>
      <c r="C15" s="14">
        <v>1901.7</v>
      </c>
      <c r="D15" s="15">
        <v>-17.5</v>
      </c>
      <c r="E15" s="15">
        <v>162.5</v>
      </c>
      <c r="F15" s="15">
        <v>101</v>
      </c>
      <c r="G15" s="15">
        <v>6059</v>
      </c>
      <c r="H15" s="15">
        <v>10752</v>
      </c>
      <c r="I15" s="15">
        <v>2219.4</v>
      </c>
      <c r="J15" s="15">
        <v>278.5</v>
      </c>
      <c r="K15" s="15">
        <v>-176.1</v>
      </c>
      <c r="L15" s="15">
        <v>-114.9</v>
      </c>
      <c r="M15" s="15">
        <v>0</v>
      </c>
      <c r="N15" s="15">
        <f>SUM(C12:C15)/4</f>
        <v>2067.125</v>
      </c>
      <c r="O15" s="15"/>
      <c r="P15" s="16">
        <f>C15/C14-1</f>
        <v>-0.0655036855036855</v>
      </c>
      <c r="Q15" s="16">
        <f>(E15+D15)/C15</f>
        <v>0.0762475679655045</v>
      </c>
      <c r="R15" s="16">
        <f>AVERAGE(Q12:Q15)</f>
        <v>0.123434097048825</v>
      </c>
      <c r="S15" s="15">
        <f>SUM(J12:K15)/4</f>
        <v>65.27500000000001</v>
      </c>
      <c r="T15" s="15">
        <f>J15+K15+T14</f>
        <v>1009</v>
      </c>
      <c r="U15" s="15">
        <f>-(L15+M15)+U14</f>
        <v>1131.6</v>
      </c>
      <c r="V15" s="15">
        <f>V14</f>
        <v>15486.8128</v>
      </c>
      <c r="W15" s="15">
        <f>E15-G15</f>
        <v>-5896.5</v>
      </c>
      <c r="X15" s="68">
        <v>7700</v>
      </c>
      <c r="Y15" s="24"/>
      <c r="Z15" s="15">
        <v>13.882</v>
      </c>
    </row>
    <row r="16" ht="20.05" customHeight="1">
      <c r="B16" s="21">
        <v>2020</v>
      </c>
      <c r="C16" s="14">
        <v>1997.5</v>
      </c>
      <c r="D16" s="15">
        <v>739.6</v>
      </c>
      <c r="E16" s="15">
        <v>-324.6</v>
      </c>
      <c r="F16" s="15">
        <v>818</v>
      </c>
      <c r="G16" s="15">
        <v>7779</v>
      </c>
      <c r="H16" s="15">
        <v>11687</v>
      </c>
      <c r="I16" s="15">
        <v>1925.2</v>
      </c>
      <c r="J16" s="15">
        <v>207.6</v>
      </c>
      <c r="K16" s="15">
        <v>-188.4</v>
      </c>
      <c r="L16" s="15">
        <v>697.2</v>
      </c>
      <c r="M16" s="15">
        <v>0</v>
      </c>
      <c r="N16" s="15">
        <f>SUM(C13:C16)/4</f>
        <v>1967.475</v>
      </c>
      <c r="O16" s="15"/>
      <c r="P16" s="16">
        <f>C16/C15-1</f>
        <v>0.0503759793868644</v>
      </c>
      <c r="Q16" s="16">
        <f>(E16+D16)/C16</f>
        <v>0.207759699624531</v>
      </c>
      <c r="R16" s="16">
        <f>AVERAGE(Q13:Q16)</f>
        <v>0.132105794418545</v>
      </c>
      <c r="S16" s="15">
        <f>SUM(J13:K16)/4</f>
        <v>54.775</v>
      </c>
      <c r="T16" s="15">
        <f>J16+K16+T15</f>
        <v>1028.2</v>
      </c>
      <c r="U16" s="15">
        <f>-(L16+M16)+U15</f>
        <v>434.4</v>
      </c>
      <c r="V16" s="15">
        <f>V15</f>
        <v>15486.8128</v>
      </c>
      <c r="W16" s="15">
        <f>E16-G16</f>
        <v>-8103.6</v>
      </c>
      <c r="X16" s="68">
        <v>7025</v>
      </c>
      <c r="Y16" s="24"/>
      <c r="Z16" s="15">
        <v>16.31</v>
      </c>
    </row>
    <row r="17" ht="20.05" customHeight="1">
      <c r="B17" s="13"/>
      <c r="C17" s="14">
        <v>1749.8</v>
      </c>
      <c r="D17" s="15">
        <v>-485.5</v>
      </c>
      <c r="E17" s="15">
        <v>542.6</v>
      </c>
      <c r="F17" s="15">
        <v>142</v>
      </c>
      <c r="G17" s="15">
        <v>6641</v>
      </c>
      <c r="H17" s="15">
        <v>11091</v>
      </c>
      <c r="I17" s="15">
        <v>2011.7</v>
      </c>
      <c r="J17" s="15">
        <v>-22.5</v>
      </c>
      <c r="K17" s="15">
        <v>-150.2</v>
      </c>
      <c r="L17" s="15">
        <v>-47.2</v>
      </c>
      <c r="M17" s="15">
        <v>-455.9</v>
      </c>
      <c r="N17" s="15">
        <f>SUM(C14:C17)/4</f>
        <v>1921</v>
      </c>
      <c r="O17" s="15"/>
      <c r="P17" s="16">
        <f>C17/C16-1</f>
        <v>-0.124005006257822</v>
      </c>
      <c r="Q17" s="16">
        <f>(E17+D17)/C17</f>
        <v>0.0326323008343811</v>
      </c>
      <c r="R17" s="16">
        <f>AVERAGE(Q14:Q17)</f>
        <v>0.107820825767038</v>
      </c>
      <c r="S17" s="25">
        <f>SUM(J14:K17)/4</f>
        <v>-487.75</v>
      </c>
      <c r="T17" s="15">
        <f>J17+K17+T16</f>
        <v>855.5</v>
      </c>
      <c r="U17" s="15">
        <f>-(L17+M17)+U16</f>
        <v>937.5</v>
      </c>
      <c r="V17" s="15">
        <f>V16</f>
        <v>15486.8128</v>
      </c>
      <c r="W17" s="15">
        <f>E17-G17</f>
        <v>-6098.4</v>
      </c>
      <c r="X17" s="68">
        <v>7150</v>
      </c>
      <c r="Y17" s="24"/>
      <c r="Z17" s="15">
        <v>14.255</v>
      </c>
    </row>
    <row r="18" ht="20.05" customHeight="1">
      <c r="B18" s="13"/>
      <c r="C18" s="14">
        <v>2015.7</v>
      </c>
      <c r="D18" s="15">
        <v>203.8</v>
      </c>
      <c r="E18" s="15">
        <v>10.7</v>
      </c>
      <c r="F18" s="15">
        <v>177</v>
      </c>
      <c r="G18" s="15">
        <v>6784</v>
      </c>
      <c r="H18" s="15">
        <v>11242</v>
      </c>
      <c r="I18" s="15">
        <v>1992.3</v>
      </c>
      <c r="J18" s="15">
        <v>218</v>
      </c>
      <c r="K18" s="15">
        <v>-206.3</v>
      </c>
      <c r="L18" s="15">
        <v>23.2</v>
      </c>
      <c r="M18" s="15">
        <v>0</v>
      </c>
      <c r="N18" s="15">
        <f>SUM(C15:C18)/4</f>
        <v>1916.175</v>
      </c>
      <c r="O18" s="15"/>
      <c r="P18" s="16">
        <f>C18/C17-1</f>
        <v>0.151960224025603</v>
      </c>
      <c r="Q18" s="16">
        <f>(E18+D18)/C18</f>
        <v>0.106414645036464</v>
      </c>
      <c r="R18" s="16">
        <f>AVERAGE(Q15:Q18)</f>
        <v>0.10576355336522</v>
      </c>
      <c r="S18" s="25">
        <f>SUM(J15:K18)/4</f>
        <v>-9.85</v>
      </c>
      <c r="T18" s="15">
        <f>J18+K18+T17</f>
        <v>867.2</v>
      </c>
      <c r="U18" s="15">
        <f>-(L18+M18)+U17</f>
        <v>914.3</v>
      </c>
      <c r="V18" s="15">
        <f>V17</f>
        <v>15486.8128</v>
      </c>
      <c r="W18" s="15">
        <f>E18-G18</f>
        <v>-6773.3</v>
      </c>
      <c r="X18" s="15">
        <v>6700</v>
      </c>
      <c r="Y18" s="24"/>
      <c r="Z18" s="15">
        <v>14.79</v>
      </c>
    </row>
    <row r="19" ht="20.05" customHeight="1">
      <c r="B19" s="13"/>
      <c r="C19" s="14">
        <v>2146.8</v>
      </c>
      <c r="D19" s="15">
        <v>-86.40000000000001</v>
      </c>
      <c r="E19" s="15">
        <v>124.6</v>
      </c>
      <c r="F19" s="15">
        <v>102</v>
      </c>
      <c r="G19" s="15">
        <v>6930</v>
      </c>
      <c r="H19" s="15">
        <v>11513</v>
      </c>
      <c r="I19" s="15">
        <v>1920.9</v>
      </c>
      <c r="J19" s="15">
        <v>7.6</v>
      </c>
      <c r="K19" s="15">
        <v>-223.2</v>
      </c>
      <c r="L19" s="15">
        <v>141.2</v>
      </c>
      <c r="M19" s="15">
        <v>0</v>
      </c>
      <c r="N19" s="15">
        <f>SUM(C16:C19)/4</f>
        <v>1977.45</v>
      </c>
      <c r="O19" s="15"/>
      <c r="P19" s="16">
        <f>C19/C18-1</f>
        <v>0.06503944039291561</v>
      </c>
      <c r="Q19" s="16">
        <f>(E19+D19)/C19</f>
        <v>0.0177939258431153</v>
      </c>
      <c r="R19" s="16">
        <f>AVERAGE(Q16:Q19)</f>
        <v>0.0911501428346229</v>
      </c>
      <c r="S19" s="25">
        <f>SUM(J16:K19)/4</f>
        <v>-89.34999999999999</v>
      </c>
      <c r="T19" s="15">
        <f>J19+K19+T18</f>
        <v>651.6</v>
      </c>
      <c r="U19" s="15">
        <f>-(L19+M19)+U18</f>
        <v>773.1</v>
      </c>
      <c r="V19" s="15">
        <f>V18</f>
        <v>15486.8128</v>
      </c>
      <c r="W19" s="15">
        <f>E19-G19</f>
        <v>-6805.4</v>
      </c>
      <c r="X19" s="15">
        <v>7475</v>
      </c>
      <c r="Y19" s="24"/>
      <c r="Z19" s="15">
        <v>14.1</v>
      </c>
    </row>
    <row r="20" ht="20.05" customHeight="1">
      <c r="B20" s="21">
        <v>2021</v>
      </c>
      <c r="C20" s="14">
        <v>2638.1</v>
      </c>
      <c r="D20" s="15">
        <v>167.9</v>
      </c>
      <c r="E20" s="15">
        <v>194.5</v>
      </c>
      <c r="F20" s="15">
        <v>142</v>
      </c>
      <c r="G20" s="15">
        <v>7749</v>
      </c>
      <c r="H20" s="15">
        <v>12354</v>
      </c>
      <c r="I20" s="15">
        <v>2137</v>
      </c>
      <c r="J20" s="15">
        <v>46.8</v>
      </c>
      <c r="K20" s="15">
        <v>-150.4</v>
      </c>
      <c r="L20" s="15">
        <v>143.7</v>
      </c>
      <c r="M20" s="15">
        <v>0</v>
      </c>
      <c r="N20" s="15">
        <f>SUM(C17:C20)/4</f>
        <v>2137.6</v>
      </c>
      <c r="O20" s="15"/>
      <c r="P20" s="16">
        <f>C20/C19-1</f>
        <v>0.228852245202161</v>
      </c>
      <c r="Q20" s="16">
        <f>(E20+D20)/C20</f>
        <v>0.13737159319207</v>
      </c>
      <c r="R20" s="16">
        <f>AVERAGE(Q17:Q20)</f>
        <v>0.07355311622650761</v>
      </c>
      <c r="S20" s="25">
        <f>SUM(J17:K20)/4</f>
        <v>-120.05</v>
      </c>
      <c r="T20" s="15">
        <f>J20+K20+T19</f>
        <v>548</v>
      </c>
      <c r="U20" s="15">
        <f>-(L20+M20)+U19</f>
        <v>629.4</v>
      </c>
      <c r="V20" s="15">
        <f>V19</f>
        <v>15486.8128</v>
      </c>
      <c r="W20" s="15">
        <f>E20-G20</f>
        <v>-7554.5</v>
      </c>
      <c r="X20" s="15">
        <v>7600</v>
      </c>
      <c r="Y20" s="15"/>
      <c r="Z20" s="15">
        <v>14.606</v>
      </c>
    </row>
    <row r="21" ht="20.05" customHeight="1">
      <c r="B21" s="13"/>
      <c r="C21" s="14">
        <v>2773.4</v>
      </c>
      <c r="D21" s="15">
        <v>69.3</v>
      </c>
      <c r="E21" s="15">
        <v>141.8</v>
      </c>
      <c r="F21" s="15">
        <v>127</v>
      </c>
      <c r="G21" s="15">
        <v>8315</v>
      </c>
      <c r="H21" s="15">
        <v>13068</v>
      </c>
      <c r="I21" s="15">
        <v>2659</v>
      </c>
      <c r="J21" s="15">
        <v>-217.6</v>
      </c>
      <c r="K21" s="15">
        <v>-102.9</v>
      </c>
      <c r="L21" s="15">
        <v>478.2</v>
      </c>
      <c r="M21" s="15">
        <v>-173.4</v>
      </c>
      <c r="N21" s="15">
        <f>SUM(C18:C21)/4</f>
        <v>2393.5</v>
      </c>
      <c r="O21" s="15"/>
      <c r="P21" s="16">
        <f>C21/C20-1</f>
        <v>0.0512869110344566</v>
      </c>
      <c r="Q21" s="16">
        <f>(E21+D21)/C21</f>
        <v>0.0761159587509916</v>
      </c>
      <c r="R21" s="16">
        <f>AVERAGE(Q18:Q21)</f>
        <v>0.08442403070566019</v>
      </c>
      <c r="S21" s="25">
        <f>SUM(J18:K21)/4</f>
        <v>-157</v>
      </c>
      <c r="T21" s="15">
        <f>J21+K21+T20</f>
        <v>227.5</v>
      </c>
      <c r="U21" s="15">
        <f>-(L21+M21)+U20</f>
        <v>324.6</v>
      </c>
      <c r="V21" s="15">
        <f>V20</f>
        <v>15486.8128</v>
      </c>
      <c r="W21" s="15">
        <f>E21-G21</f>
        <v>-8173.2</v>
      </c>
      <c r="X21" s="15">
        <v>7600</v>
      </c>
      <c r="Y21" s="15"/>
      <c r="Z21" s="15">
        <v>14.45</v>
      </c>
    </row>
    <row r="22" ht="20.05" customHeight="1">
      <c r="B22" s="13"/>
      <c r="C22" s="14">
        <v>3247.1</v>
      </c>
      <c r="D22" s="15">
        <v>47.2</v>
      </c>
      <c r="E22" s="15">
        <v>170.9</v>
      </c>
      <c r="F22" s="15">
        <v>114</v>
      </c>
      <c r="G22" s="15">
        <v>8245</v>
      </c>
      <c r="H22" s="15">
        <v>13171</v>
      </c>
      <c r="I22" s="15">
        <v>3059.4</v>
      </c>
      <c r="J22" s="15">
        <v>76.90000000000001</v>
      </c>
      <c r="K22" s="15">
        <v>-102.4</v>
      </c>
      <c r="L22" s="15">
        <v>12.6</v>
      </c>
      <c r="M22" s="15">
        <v>0</v>
      </c>
      <c r="N22" s="15">
        <f>SUM(C19:C22)/4</f>
        <v>2701.35</v>
      </c>
      <c r="O22" s="15"/>
      <c r="P22" s="16">
        <f>C22/C21-1</f>
        <v>0.170801182663878</v>
      </c>
      <c r="Q22" s="16">
        <f>(E22+D22)/C22</f>
        <v>0.0671676264974901</v>
      </c>
      <c r="R22" s="16">
        <f>AVERAGE(Q19:Q22)</f>
        <v>0.07461227607091681</v>
      </c>
      <c r="S22" s="25">
        <f>SUM(J19:K22)/4</f>
        <v>-166.3</v>
      </c>
      <c r="T22" s="15">
        <f>J22+K22+T21</f>
        <v>202</v>
      </c>
      <c r="U22" s="15">
        <f>-(L22+M22)+U21</f>
        <v>312</v>
      </c>
      <c r="V22" s="15">
        <f>V21</f>
        <v>15486.8128</v>
      </c>
      <c r="W22" s="15">
        <f>E22-G22</f>
        <v>-8074.1</v>
      </c>
      <c r="X22" s="15">
        <v>7600</v>
      </c>
      <c r="Y22" s="15"/>
      <c r="Z22" s="15">
        <v>14.328</v>
      </c>
    </row>
    <row r="23" ht="20.05" customHeight="1">
      <c r="B23" s="13"/>
      <c r="C23" s="14">
        <v>3274.2</v>
      </c>
      <c r="D23" s="15">
        <v>82.90000000000001</v>
      </c>
      <c r="E23" s="15">
        <v>107.7</v>
      </c>
      <c r="F23" s="15">
        <v>145</v>
      </c>
      <c r="G23" s="15">
        <v>8209</v>
      </c>
      <c r="H23" s="15">
        <v>13302</v>
      </c>
      <c r="I23" s="15">
        <v>3230.6</v>
      </c>
      <c r="J23" s="15">
        <v>219.4</v>
      </c>
      <c r="K23" s="15">
        <v>-136.8</v>
      </c>
      <c r="L23" s="15">
        <v>-51.3</v>
      </c>
      <c r="M23" s="15">
        <v>0</v>
      </c>
      <c r="N23" s="15">
        <f>SUM(C20:C23)/4</f>
        <v>2983.2</v>
      </c>
      <c r="O23" s="23">
        <v>3474.397</v>
      </c>
      <c r="P23" s="16">
        <f>C23/C22-1</f>
        <v>0.008345908656955441</v>
      </c>
      <c r="Q23" s="16">
        <f>(E23+D23)/C23</f>
        <v>0.0582126931769593</v>
      </c>
      <c r="R23" s="16">
        <f>AVERAGE(Q20:Q23)</f>
        <v>0.0847169679043778</v>
      </c>
      <c r="S23" s="25">
        <f>SUM(J20:K23)/4</f>
        <v>-91.75</v>
      </c>
      <c r="T23" s="15">
        <f>J23+K23+T22</f>
        <v>284.6</v>
      </c>
      <c r="U23" s="15">
        <f>-(L23+M23)+U22</f>
        <v>363.3</v>
      </c>
      <c r="V23" s="15">
        <f>V22</f>
        <v>15486.8128</v>
      </c>
      <c r="W23" s="15">
        <f>E23-G23</f>
        <v>-8101.3</v>
      </c>
      <c r="X23" s="15">
        <v>7600</v>
      </c>
      <c r="Y23" s="15"/>
      <c r="Z23" s="15">
        <v>14.275</v>
      </c>
    </row>
    <row r="24" ht="20.05" customHeight="1">
      <c r="B24" s="21">
        <v>2022</v>
      </c>
      <c r="C24" s="14">
        <v>3202.6</v>
      </c>
      <c r="D24" s="15">
        <v>102.7</v>
      </c>
      <c r="E24" s="15">
        <v>202.2</v>
      </c>
      <c r="F24" s="15">
        <v>171</v>
      </c>
      <c r="G24" s="15">
        <v>8793</v>
      </c>
      <c r="H24" s="15">
        <v>13791</v>
      </c>
      <c r="I24" s="15">
        <v>3049.3</v>
      </c>
      <c r="J24" s="15">
        <v>148.5</v>
      </c>
      <c r="K24" s="15">
        <v>-106</v>
      </c>
      <c r="L24" s="15">
        <v>-16.5</v>
      </c>
      <c r="M24" s="15">
        <v>0</v>
      </c>
      <c r="N24" s="15">
        <f>SUM(C21:C24)/4</f>
        <v>3124.325</v>
      </c>
      <c r="O24" s="23">
        <v>3474.397</v>
      </c>
      <c r="P24" s="16">
        <f>C24/C23-1</f>
        <v>-0.0218679372060351</v>
      </c>
      <c r="Q24" s="16">
        <f>(E24+D24)/C24</f>
        <v>0.09520389683382249</v>
      </c>
      <c r="R24" s="16">
        <f>AVERAGE(Q21:Q24)</f>
        <v>0.07417504381481591</v>
      </c>
      <c r="S24" s="25">
        <f>SUM(J21:K24)/4</f>
        <v>-55.225</v>
      </c>
      <c r="T24" s="15">
        <f>J24+K24+T23</f>
        <v>327.1</v>
      </c>
      <c r="U24" s="15">
        <f>-(L24+M24)+U23</f>
        <v>379.8</v>
      </c>
      <c r="V24" s="15">
        <f>V23</f>
        <v>15486.8128</v>
      </c>
      <c r="W24" s="15">
        <f>E24-G24</f>
        <v>-8590.799999999999</v>
      </c>
      <c r="X24" s="15">
        <v>7356</v>
      </c>
      <c r="Y24" s="15"/>
      <c r="Z24" s="15">
        <v>14.327</v>
      </c>
    </row>
    <row r="25" ht="20.05" customHeight="1">
      <c r="B25" s="13"/>
      <c r="C25" s="14">
        <v>3125.1</v>
      </c>
      <c r="D25" s="15">
        <v>179.7</v>
      </c>
      <c r="E25" s="15">
        <v>99.90000000000001</v>
      </c>
      <c r="F25" s="15">
        <v>132</v>
      </c>
      <c r="G25" s="15">
        <v>8746</v>
      </c>
      <c r="H25" s="15">
        <v>13850</v>
      </c>
      <c r="I25" s="15">
        <v>3336.3</v>
      </c>
      <c r="J25" s="15">
        <v>239.2</v>
      </c>
      <c r="K25" s="15">
        <v>-119.3</v>
      </c>
      <c r="L25" s="15">
        <v>135.6</v>
      </c>
      <c r="M25" s="15">
        <v>-294.9</v>
      </c>
      <c r="N25" s="15">
        <f>SUM(C22:C25)/4</f>
        <v>3212.25</v>
      </c>
      <c r="O25" s="23">
        <v>3474.397</v>
      </c>
      <c r="P25" s="16">
        <f>C25/C24-1</f>
        <v>-0.0241990882408043</v>
      </c>
      <c r="Q25" s="16">
        <f>(E25+D25)/C25</f>
        <v>0.0894691369876164</v>
      </c>
      <c r="R25" s="16">
        <f>AVERAGE(Q22:Q25)</f>
        <v>0.0775133383739721</v>
      </c>
      <c r="S25" s="25">
        <f>SUM(J22:K25)/4</f>
        <v>54.875</v>
      </c>
      <c r="T25" s="15">
        <f>J25+K25+T24</f>
        <v>447</v>
      </c>
      <c r="U25" s="15">
        <f>-(L25+M25)+U24</f>
        <v>539.1</v>
      </c>
      <c r="V25" s="15">
        <f>V24</f>
        <v>15486.8128</v>
      </c>
      <c r="W25" s="15">
        <f>E25-G25</f>
        <v>-8646.1</v>
      </c>
      <c r="X25" s="15">
        <v>6700</v>
      </c>
      <c r="Y25" s="15"/>
      <c r="Z25" s="15">
        <v>14.66</v>
      </c>
    </row>
    <row r="26" ht="20.05" customHeight="1">
      <c r="B26" s="13"/>
      <c r="C26" s="14">
        <v>2498.7</v>
      </c>
      <c r="D26" s="15">
        <v>140.1</v>
      </c>
      <c r="E26" s="15">
        <v>49.7</v>
      </c>
      <c r="F26" s="15">
        <v>113</v>
      </c>
      <c r="G26" s="15">
        <v>8124</v>
      </c>
      <c r="H26" s="15">
        <v>13281</v>
      </c>
      <c r="I26" s="15">
        <v>2920.1</v>
      </c>
      <c r="J26" s="15">
        <v>563.5</v>
      </c>
      <c r="K26" s="15">
        <v>-172.5</v>
      </c>
      <c r="L26" s="15">
        <v>-409.5</v>
      </c>
      <c r="M26" s="15">
        <v>0</v>
      </c>
      <c r="N26" s="15">
        <f>SUM(C23:C26)/4</f>
        <v>3025.15</v>
      </c>
      <c r="O26" s="23">
        <v>3474.397</v>
      </c>
      <c r="P26" s="16">
        <f>C26/C25-1</f>
        <v>-0.200441585869252</v>
      </c>
      <c r="Q26" s="16">
        <f>(E26+D26)/C26</f>
        <v>0.07595949893944851</v>
      </c>
      <c r="R26" s="16">
        <f>AVERAGE(Q23:Q26)</f>
        <v>0.0797113064844617</v>
      </c>
      <c r="S26" s="25">
        <f>SUM(J23:K26)/4</f>
        <v>159</v>
      </c>
      <c r="T26" s="15">
        <f>J26+K26+T25</f>
        <v>838</v>
      </c>
      <c r="U26" s="15">
        <f>-(L26+M26)+U25</f>
        <v>948.6</v>
      </c>
      <c r="V26" s="15">
        <f>V25</f>
        <v>15486.8128</v>
      </c>
      <c r="W26" s="15">
        <f>E26-G26</f>
        <v>-8074.3</v>
      </c>
      <c r="X26" s="15">
        <v>6250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AVERAGE(AC54:AF54)</f>
        <v>2548.8569922945</v>
      </c>
      <c r="P27" s="17"/>
      <c r="Q27" s="17"/>
      <c r="R27" s="17"/>
      <c r="S27" s="25"/>
      <c r="T27" s="17"/>
      <c r="U27" s="17"/>
      <c r="V27" s="17"/>
      <c r="W27" s="26"/>
      <c r="X27" s="15">
        <v>5850</v>
      </c>
      <c r="Y27" s="15"/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>
        <f>SUM(J23:K26)</f>
        <v>636</v>
      </c>
      <c r="L28" s="15"/>
      <c r="M28" s="15"/>
      <c r="N28" s="15">
        <f>SUM(N23:N26)</f>
        <v>12344.925</v>
      </c>
      <c r="O28" s="15">
        <f>SUM(O23:O26)</f>
        <v>13897.588</v>
      </c>
      <c r="P28" s="17"/>
      <c r="Q28" s="17"/>
      <c r="R28" s="17"/>
      <c r="S28" s="17"/>
      <c r="T28" s="17"/>
      <c r="U28" s="17"/>
      <c r="V28" s="17"/>
      <c r="W28" s="26"/>
      <c r="X28" s="15">
        <v>6250</v>
      </c>
      <c r="Y28" s="15">
        <f>Y29</f>
        <v>5173.699309955180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AF89</f>
        <v>5173.699309955180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5" ht="20.05" customHeight="1">
      <c r="B45" s="13"/>
      <c r="C45" s="14"/>
      <c r="D45" s="25"/>
      <c r="E45" s="25"/>
      <c r="F45" s="2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5"/>
      <c r="Y45" s="15"/>
      <c r="Z45" s="15"/>
    </row>
    <row r="46" ht="20.05" customHeight="1">
      <c r="B46" s="13"/>
      <c r="C46" s="14"/>
      <c r="D46" s="25"/>
      <c r="E46" s="25"/>
      <c r="F46" s="25"/>
      <c r="G46" s="15"/>
      <c r="H46" s="15"/>
      <c r="I46" s="15"/>
      <c r="J46" s="15"/>
      <c r="K46" s="15"/>
      <c r="L46" s="15"/>
      <c r="M46" s="15"/>
      <c r="N46" s="26"/>
      <c r="O46" s="17"/>
      <c r="P46" s="17"/>
      <c r="Q46" s="17"/>
      <c r="R46" s="17"/>
      <c r="S46" s="17"/>
      <c r="T46" s="17"/>
      <c r="U46" s="17"/>
      <c r="V46" s="17"/>
      <c r="W46" s="17"/>
      <c r="X46" s="15"/>
      <c r="Y46" s="15"/>
      <c r="Z46" s="15"/>
    </row>
    <row r="48" ht="27.65" customHeight="1">
      <c r="AA48" t="s" s="2">
        <v>252</v>
      </c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ht="20.25" customHeight="1">
      <c r="AA49" t="s" s="28">
        <f>B$3</f>
        <v>22</v>
      </c>
      <c r="AB49" t="s" s="29">
        <v>23</v>
      </c>
      <c r="AC49" t="s" s="29">
        <v>24</v>
      </c>
      <c r="AD49" t="s" s="29">
        <v>25</v>
      </c>
      <c r="AE49" t="s" s="29">
        <v>26</v>
      </c>
      <c r="AF49" t="s" s="29">
        <v>23</v>
      </c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</row>
    <row r="50" ht="20.25" customHeight="1">
      <c r="AA50" t="s" s="31">
        <v>15</v>
      </c>
      <c r="AB50" s="32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</row>
    <row r="51" ht="20.05" customHeight="1">
      <c r="AA51" t="s" s="33">
        <v>27</v>
      </c>
      <c r="AB51" s="34"/>
      <c r="AC51" s="16">
        <f>AVERAGE(P23:P26)</f>
        <v>-0.059540675664784</v>
      </c>
      <c r="AD51" s="35"/>
      <c r="AE51" s="35"/>
      <c r="AF51" s="35">
        <f>AVERAGE(AC53:AF53)</f>
        <v>0.0125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s="36"/>
      <c r="AB52" s="37"/>
      <c r="AC52" s="35">
        <f>P23</f>
        <v>0.008345908656955441</v>
      </c>
      <c r="AD52" s="35">
        <f>P24</f>
        <v>-0.0218679372060351</v>
      </c>
      <c r="AE52" s="35">
        <f>P25</f>
        <v>-0.0241990882408043</v>
      </c>
      <c r="AF52" s="35">
        <f>P26</f>
        <v>-0.200441585869252</v>
      </c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</row>
    <row r="53" ht="20.05" customHeight="1">
      <c r="AA53" t="s" s="33">
        <v>13</v>
      </c>
      <c r="AB53" s="37"/>
      <c r="AC53" s="35">
        <v>0.01</v>
      </c>
      <c r="AD53" s="35">
        <v>-0.01</v>
      </c>
      <c r="AE53" s="35">
        <v>0.02</v>
      </c>
      <c r="AF53" s="35">
        <v>0.03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28</v>
      </c>
      <c r="AB54" s="38">
        <f>C26</f>
        <v>2498.7</v>
      </c>
      <c r="AC54" s="23">
        <f>C26*(1+AC53)</f>
        <v>2523.687</v>
      </c>
      <c r="AD54" s="23">
        <f>AC54*(1+AD53)</f>
        <v>2498.45013</v>
      </c>
      <c r="AE54" s="23">
        <f>AD54*(1+AE53)</f>
        <v>2548.4191326</v>
      </c>
      <c r="AF54" s="23">
        <f>AE54*(1+AF53)</f>
        <v>2624.871706578</v>
      </c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</row>
    <row r="55" ht="20.05" customHeight="1">
      <c r="AA55" t="s" s="33">
        <v>14</v>
      </c>
      <c r="AB55" s="37"/>
      <c r="AC55" s="35">
        <f>AVERAGE(R25)</f>
        <v>0.0775133383739721</v>
      </c>
      <c r="AD55" s="35">
        <f>AC55</f>
        <v>0.0775133383739721</v>
      </c>
      <c r="AE55" s="35">
        <f>AD55</f>
        <v>0.0775133383739721</v>
      </c>
      <c r="AF55" s="35">
        <f>AE55</f>
        <v>0.0775133383739721</v>
      </c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</row>
    <row r="56" ht="20.05" customHeight="1">
      <c r="AA56" t="s" s="33">
        <v>29</v>
      </c>
      <c r="AB56" s="14"/>
      <c r="AC56" s="15">
        <f>AVERAGE(K24)</f>
        <v>-106</v>
      </c>
      <c r="AD56" s="15">
        <f>AC56</f>
        <v>-106</v>
      </c>
      <c r="AE56" s="15">
        <f>AD56</f>
        <v>-106</v>
      </c>
      <c r="AF56" s="15">
        <f>AE56</f>
        <v>-106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30</v>
      </c>
      <c r="AB57" s="14"/>
      <c r="AC57" s="15">
        <f>(AC54*AC55)+AC56</f>
        <v>89.6194043809945</v>
      </c>
      <c r="AD57" s="15">
        <f>(AD54*AD55)+AD56</f>
        <v>87.66321033718459</v>
      </c>
      <c r="AE57" s="15">
        <f>(AE54*AE55)+AE56</f>
        <v>91.53647454392831</v>
      </c>
      <c r="AF57" s="15">
        <f>(AF54*AF55)+AF56</f>
        <v>97.4625687802461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31</v>
      </c>
      <c r="AB58" s="14"/>
      <c r="AC58" s="15">
        <f>-G26/20</f>
        <v>-406.2</v>
      </c>
      <c r="AD58" s="15">
        <f>-AC73/20</f>
        <v>-385.89</v>
      </c>
      <c r="AE58" s="15">
        <f>-AD73/20</f>
        <v>-366.5955</v>
      </c>
      <c r="AF58" s="15">
        <f>-AE73/20</f>
        <v>-348.265725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32</v>
      </c>
      <c r="AB59" s="39"/>
      <c r="AC59" s="40">
        <v>0</v>
      </c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33</v>
      </c>
      <c r="AB60" s="14"/>
      <c r="AC60" s="15">
        <f>IF(AC68&gt;0,AC68*$AC$59,0)</f>
        <v>0</v>
      </c>
      <c r="AD60" s="15">
        <f>IF(AD68&gt;0,AD68*$AC$59,0)</f>
        <v>0</v>
      </c>
      <c r="AE60" s="15">
        <f>IF(AE68&gt;0,AE68*$AC$59,0)</f>
        <v>0</v>
      </c>
      <c r="AF60" s="15">
        <f>IF(AF68&gt;0,AF68*$AC$59,0)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34</v>
      </c>
      <c r="AB61" s="14"/>
      <c r="AC61" s="15">
        <f>AC57+AC58+AC60</f>
        <v>-316.580595619006</v>
      </c>
      <c r="AD61" s="15">
        <f>AD57+AD58+AD60</f>
        <v>-298.226789662815</v>
      </c>
      <c r="AE61" s="15">
        <f>AE57+AE58+AE60</f>
        <v>-275.059025456072</v>
      </c>
      <c r="AF61" s="15">
        <f>AF57+AF58+AF60</f>
        <v>-250.803156219754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35</v>
      </c>
      <c r="AB62" s="14"/>
      <c r="AC62" s="15">
        <f>-MIN(0,AC61)</f>
        <v>316.580595619006</v>
      </c>
      <c r="AD62" s="15">
        <f>-MIN(AC74,AD61)</f>
        <v>298.226789662815</v>
      </c>
      <c r="AE62" s="15">
        <f>-MIN(AD74,AE61)</f>
        <v>275.059025456072</v>
      </c>
      <c r="AF62" s="15">
        <f>-MIN(AE74,AF61)</f>
        <v>250.803156219754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36</v>
      </c>
      <c r="AB63" s="14"/>
      <c r="AC63" s="15">
        <f>E26</f>
        <v>49.7</v>
      </c>
      <c r="AD63" s="15">
        <f>AC65</f>
        <v>49.7000000000005</v>
      </c>
      <c r="AE63" s="15">
        <f>AD65</f>
        <v>49.7000000000001</v>
      </c>
      <c r="AF63" s="15">
        <f>AE65</f>
        <v>49.7000000000004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37</v>
      </c>
      <c r="AB64" s="14"/>
      <c r="AC64" s="15">
        <f>AC57+AC58+AC60+AC62</f>
        <v>5e-13</v>
      </c>
      <c r="AD64" s="15">
        <f>AD57+AD58+AD60+AD62</f>
        <v>-4e-13</v>
      </c>
      <c r="AE64" s="15">
        <f>AE57+AE58+AE60+AE62</f>
        <v>3e-13</v>
      </c>
      <c r="AF64" s="15">
        <f>AF57+AF58+AF60+AF62</f>
        <v>1e-13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38</v>
      </c>
      <c r="AB65" s="14"/>
      <c r="AC65" s="15">
        <f>AC63+AC64</f>
        <v>49.7000000000005</v>
      </c>
      <c r="AD65" s="15">
        <f>AD63+AD64</f>
        <v>49.7000000000001</v>
      </c>
      <c r="AE65" s="15">
        <f>AE63+AE64</f>
        <v>49.7000000000004</v>
      </c>
      <c r="AF65" s="15">
        <f>AF63+AF64</f>
        <v>49.7000000000005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41">
        <v>4</v>
      </c>
      <c r="AB66" s="14"/>
      <c r="AC66" s="15"/>
      <c r="AD66" s="15"/>
      <c r="AE66" s="15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ht="20.05" customHeight="1">
      <c r="AA67" t="s" s="33">
        <v>3</v>
      </c>
      <c r="AB67" s="14"/>
      <c r="AC67" s="15">
        <f>-AVERAGE(D24:D26)</f>
        <v>-140.833333333333</v>
      </c>
      <c r="AD67" s="15">
        <f>AC67</f>
        <v>-140.833333333333</v>
      </c>
      <c r="AE67" s="15">
        <f>AD67</f>
        <v>-140.833333333333</v>
      </c>
      <c r="AF67" s="15">
        <f>AE67</f>
        <v>-140.833333333333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</v>
      </c>
      <c r="AB68" s="14"/>
      <c r="AC68" s="15">
        <f>(AC54*AC55)+AC67</f>
        <v>54.7860710476615</v>
      </c>
      <c r="AD68" s="15">
        <f>(AD54*AD55)+AD67</f>
        <v>52.8298770038516</v>
      </c>
      <c r="AE68" s="15">
        <f>(AE54*AE55)+AE67</f>
        <v>56.7031412105953</v>
      </c>
      <c r="AF68" s="15">
        <f>(AF54*AF55)+AF67</f>
        <v>62.6292354469131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41">
        <v>39</v>
      </c>
      <c r="AB69" s="14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40</v>
      </c>
      <c r="AB70" s="14"/>
      <c r="AC70" s="15">
        <f>H26-E26-AC56</f>
        <v>13337.3</v>
      </c>
      <c r="AD70" s="15">
        <f>AC70-AD56</f>
        <v>13443.3</v>
      </c>
      <c r="AE70" s="15">
        <f>AD70-AE56</f>
        <v>13549.3</v>
      </c>
      <c r="AF70" s="15">
        <f>AE70-AF56</f>
        <v>13655.3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41</v>
      </c>
      <c r="AB71" s="14"/>
      <c r="AC71" s="15">
        <f>0-AC67</f>
        <v>140.833333333333</v>
      </c>
      <c r="AD71" s="15">
        <f>AC71-AD67</f>
        <v>281.666666666666</v>
      </c>
      <c r="AE71" s="15">
        <f>AD71-AE67</f>
        <v>422.499999999999</v>
      </c>
      <c r="AF71" s="15">
        <f>AE71-AF67</f>
        <v>563.333333333332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42</v>
      </c>
      <c r="AB72" s="14"/>
      <c r="AC72" s="15">
        <f>AC70-AC71</f>
        <v>13196.4666666667</v>
      </c>
      <c r="AD72" s="15">
        <f>AD70-AD71</f>
        <v>13161.6333333333</v>
      </c>
      <c r="AE72" s="15">
        <f>AE70-AE71</f>
        <v>13126.8</v>
      </c>
      <c r="AF72" s="15">
        <f>AF70-AF71</f>
        <v>13091.9666666667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6</v>
      </c>
      <c r="AB73" s="14"/>
      <c r="AC73" s="15">
        <f>G26+AC58</f>
        <v>7717.8</v>
      </c>
      <c r="AD73" s="15">
        <f>AC73+AD58</f>
        <v>7331.91</v>
      </c>
      <c r="AE73" s="15">
        <f>AD73+AE58</f>
        <v>6965.3145</v>
      </c>
      <c r="AF73" s="15">
        <f>AE73+AF58</f>
        <v>6617.048775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35</v>
      </c>
      <c r="AB74" s="14"/>
      <c r="AC74" s="15">
        <f>AC62</f>
        <v>316.580595619006</v>
      </c>
      <c r="AD74" s="15">
        <f>AC74+AD62</f>
        <v>614.807385281821</v>
      </c>
      <c r="AE74" s="15">
        <f>AD74+AE62</f>
        <v>889.866410737893</v>
      </c>
      <c r="AF74" s="15">
        <f>AE74+AF62</f>
        <v>1140.669566957650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11</v>
      </c>
      <c r="AB75" s="14"/>
      <c r="AC75" s="15">
        <f>(H26-G26)+AC68+AC60</f>
        <v>5211.786071047660</v>
      </c>
      <c r="AD75" s="15">
        <f>AC75+AD68+AD60</f>
        <v>5264.615948051510</v>
      </c>
      <c r="AE75" s="15">
        <f>AD75+AE68+AE60</f>
        <v>5321.319089262110</v>
      </c>
      <c r="AF75" s="15">
        <f>AE75+AF68+AF60</f>
        <v>5383.948324709020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43</v>
      </c>
      <c r="AB76" s="14"/>
      <c r="AC76" s="15">
        <f>AC73+AC74+AC75-AC65-AC72</f>
        <v>-3.45e-11</v>
      </c>
      <c r="AD76" s="15">
        <f>AD73+AD74+AD75-AD65-AD72</f>
        <v>3.09e-11</v>
      </c>
      <c r="AE76" s="15">
        <f>AE73+AE74+AE75-AE65-AE72</f>
        <v>2.6e-12</v>
      </c>
      <c r="AF76" s="15">
        <f>AF73+AF74+AF75-AF65-AF72</f>
        <v>-3.05e-11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18</v>
      </c>
      <c r="AB77" s="14"/>
      <c r="AC77" s="15">
        <f>AC65-AC73-AC74</f>
        <v>-7984.680595619010</v>
      </c>
      <c r="AD77" s="15">
        <f>AD65-AD73-AD74</f>
        <v>-7897.017385281820</v>
      </c>
      <c r="AE77" s="15">
        <f>AE65-AE73-AE74</f>
        <v>-7805.480910737890</v>
      </c>
      <c r="AF77" s="15">
        <f>AF65-AF73-AF74</f>
        <v>-7708.018341957650</v>
      </c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v>44</v>
      </c>
      <c r="AB78" s="14"/>
      <c r="AC78" s="15">
        <f>AC58+AC60+AC62</f>
        <v>-89.619404380994</v>
      </c>
      <c r="AD78" s="15">
        <f>AD58+AD60+AD62</f>
        <v>-87.66321033718501</v>
      </c>
      <c r="AE78" s="15">
        <f>AE58+AE60+AE62</f>
        <v>-91.53647454392799</v>
      </c>
      <c r="AF78" s="15">
        <f>AF58+AF60+AF62</f>
        <v>-97.462568780246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45</v>
      </c>
      <c r="AB79" s="14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f>X$3</f>
        <v>587</v>
      </c>
      <c r="AB80" s="14"/>
      <c r="AC80" s="15"/>
      <c r="AD80" s="15"/>
      <c r="AE80" s="15"/>
      <c r="AF80" s="15">
        <v>6250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46</v>
      </c>
      <c r="AB81" s="14"/>
      <c r="AC81" s="15"/>
      <c r="AD81" s="15"/>
      <c r="AE81" s="15"/>
      <c r="AF81" s="15">
        <v>15486.8128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47</v>
      </c>
      <c r="AB82" s="14"/>
      <c r="AC82" s="15"/>
      <c r="AD82" s="15"/>
      <c r="AE82" s="15"/>
      <c r="AF82" s="15">
        <f>AF81/AF80</f>
        <v>2.477890048</v>
      </c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ht="20.05" customHeight="1">
      <c r="AA83" t="s" s="33">
        <v>48</v>
      </c>
      <c r="AB83" s="14"/>
      <c r="AC83" s="15"/>
      <c r="AD83" s="15"/>
      <c r="AE83" s="15"/>
      <c r="AF83" s="43">
        <f>AF81/(AF65+AF72)</f>
        <v>1.17845119594166</v>
      </c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</row>
    <row r="84" ht="20.05" customHeight="1">
      <c r="AA84" t="s" s="33">
        <v>49</v>
      </c>
      <c r="AB84" s="14"/>
      <c r="AC84" s="15"/>
      <c r="AD84" s="15"/>
      <c r="AE84" s="15"/>
      <c r="AF84" s="16">
        <f>-(AC60+AD60+AE60+AF60)/AF81</f>
        <v>0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ht="20.05" customHeight="1">
      <c r="AA85" t="s" s="33">
        <v>50</v>
      </c>
      <c r="AB85" s="14"/>
      <c r="AC85" s="15"/>
      <c r="AD85" s="15"/>
      <c r="AE85" s="15">
        <f>SUM(J23:K26)</f>
        <v>636</v>
      </c>
      <c r="AF85" s="15">
        <f>SUM(AC57:AF57)</f>
        <v>366.281658042354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51</v>
      </c>
      <c r="AB86" s="14"/>
      <c r="AC86" s="15"/>
      <c r="AD86" s="15"/>
      <c r="AE86" s="15"/>
      <c r="AF86" s="15">
        <f>AF72/AF85</f>
        <v>35.7428945163092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52</v>
      </c>
      <c r="AB87" s="14"/>
      <c r="AC87" s="15"/>
      <c r="AD87" s="15"/>
      <c r="AE87" s="15">
        <f>AF81/AF85</f>
        <v>42.2811583926193</v>
      </c>
      <c r="AF87" s="15">
        <v>35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53</v>
      </c>
      <c r="AB88" s="14"/>
      <c r="AC88" s="15"/>
      <c r="AD88" s="15"/>
      <c r="AE88" s="15"/>
      <c r="AF88" s="15">
        <f>AF85*AF87</f>
        <v>12819.8580314824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54</v>
      </c>
      <c r="AB89" s="14"/>
      <c r="AC89" s="15"/>
      <c r="AD89" s="15"/>
      <c r="AE89" s="15"/>
      <c r="AF89" s="15">
        <f>(AF88/AF82)</f>
        <v>5173.699309955180</v>
      </c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ht="20.05" customHeight="1">
      <c r="AA90" t="s" s="33">
        <v>55</v>
      </c>
      <c r="AB90" s="38"/>
      <c r="AC90" s="23"/>
      <c r="AD90" s="23"/>
      <c r="AE90" s="23"/>
      <c r="AF90" s="16">
        <f>AF89/AF80-1</f>
        <v>-0.172208110407171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56</v>
      </c>
      <c r="AB91" s="38"/>
      <c r="AC91" s="23"/>
      <c r="AD91" s="23"/>
      <c r="AE91" s="23"/>
      <c r="AF91" s="16">
        <f>C26/C22-1</f>
        <v>-0.23048258445998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t="s" s="33">
        <v>57</v>
      </c>
      <c r="AB92" s="38"/>
      <c r="AC92" s="23"/>
      <c r="AD92" s="23"/>
      <c r="AE92" s="23"/>
      <c r="AF92" s="16">
        <f>O28/N28-1</f>
        <v>0.125773384609465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s="23"/>
      <c r="AD93" s="23"/>
      <c r="AE93" s="23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38"/>
      <c r="AC94" t="s" s="44">
        <f>$AA80</f>
        <v>587</v>
      </c>
      <c r="AD94" t="s" s="44">
        <f>AC116</f>
        <v>15</v>
      </c>
      <c r="AE94" t="s" s="44">
        <f>AD116</f>
        <v>360</v>
      </c>
      <c r="AF94" t="s" s="44">
        <f>AE116</f>
        <v>59</v>
      </c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</row>
    <row r="95" ht="20.05" customHeight="1">
      <c r="AA95" s="36"/>
      <c r="AB95" s="45"/>
      <c r="AC95" t="s" s="44">
        <v>60</v>
      </c>
      <c r="AD95" s="15">
        <f>AF80</f>
        <v>6250</v>
      </c>
      <c r="AE95" t="s" s="44">
        <v>61</v>
      </c>
      <c r="AF95" s="15">
        <f>AF89</f>
        <v>5173.699309955180</v>
      </c>
      <c r="AG95" t="s" s="44">
        <f>IF(AH95&gt;0,"+","")</f>
      </c>
      <c r="AH95" s="16">
        <f>AF95/AD95-1</f>
        <v>-0.172208110407171</v>
      </c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A96" s="36"/>
      <c r="AB96" s="46"/>
      <c r="AC96" s="47">
        <f>TODAY()</f>
        <v>44942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62</v>
      </c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64</v>
      </c>
      <c r="AE98" t="s" s="44">
        <f>IF(AF98&gt;0,"+","")</f>
      </c>
      <c r="AF98" s="16">
        <f>AK105/AC105-1</f>
        <v>-0.23048258445998</v>
      </c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t="s" s="44">
        <v>63</v>
      </c>
      <c r="AD99" t="s" s="44">
        <v>65</v>
      </c>
      <c r="AE99" t="s" s="44">
        <f>IF(AF99&gt;0,"+","")</f>
        <v>361</v>
      </c>
      <c r="AF99" s="16">
        <f>(AE120+AE121+AG120+AG121+AI120+AI121+AK120+AK121)/AD137</f>
        <v>0.0410671975062551</v>
      </c>
      <c r="AG99" t="s" s="44"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68.05" customHeight="1">
      <c r="AA100" s="36"/>
      <c r="AB100" s="34"/>
      <c r="AC100" t="s" s="44">
        <v>63</v>
      </c>
      <c r="AD100" t="s" s="44">
        <v>67</v>
      </c>
      <c r="AE100" t="s" s="44">
        <f>IF(AF100&gt;0,"+","")</f>
        <v>361</v>
      </c>
      <c r="AF100" s="16">
        <f>(AE134+AE135+AG134+AG135+AI134+AI135+AK134+AK135)/AD137</f>
        <v>0.041105940145412</v>
      </c>
      <c r="AG100" t="s" s="44">
        <f>AG99</f>
        <v>66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44.05" customHeight="1">
      <c r="AA101" s="36"/>
      <c r="AB101" s="34"/>
      <c r="AC101" t="s" s="44">
        <v>68</v>
      </c>
      <c r="AD101" t="s" s="44">
        <v>69</v>
      </c>
      <c r="AE101" s="16">
        <f>AN130/AD137</f>
        <v>-0.521366152240182</v>
      </c>
      <c r="AF101" t="s" s="44">
        <f>AG100</f>
        <v>66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t="s" s="44">
        <v>28</v>
      </c>
      <c r="AD102" t="s" s="44">
        <f>AD106</f>
        <v>370</v>
      </c>
      <c r="AE102" s="16">
        <f>AE106</f>
        <v>-0.200441585869252</v>
      </c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68.05" customHeight="1">
      <c r="AA103" s="36"/>
      <c r="AB103" s="34"/>
      <c r="AC103" t="s" s="44">
        <v>70</v>
      </c>
      <c r="AD103" t="s" s="44">
        <v>71</v>
      </c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20.05" customHeight="1">
      <c r="AA104" s="36"/>
      <c r="AB104" s="34"/>
      <c r="AC104" s="16">
        <f>P22</f>
        <v>0.170801182663878</v>
      </c>
      <c r="AD104" s="16">
        <f>P23</f>
        <v>0.008345908656955441</v>
      </c>
      <c r="AE104" s="16">
        <f>P24</f>
        <v>-0.0218679372060351</v>
      </c>
      <c r="AF104" s="16">
        <f>P25</f>
        <v>-0.0241990882408043</v>
      </c>
      <c r="AG104" s="16">
        <f>P26</f>
        <v>-0.200441585869252</v>
      </c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32.05" customHeight="1">
      <c r="AA105" s="36"/>
      <c r="AB105" s="34"/>
      <c r="AC105" s="15">
        <f>C22</f>
        <v>3247.1</v>
      </c>
      <c r="AD105" t="s" s="44">
        <v>72</v>
      </c>
      <c r="AE105" s="15">
        <f>C23</f>
        <v>3274.2</v>
      </c>
      <c r="AF105" t="s" s="44">
        <v>72</v>
      </c>
      <c r="AG105" s="15">
        <f>C24</f>
        <v>3202.6</v>
      </c>
      <c r="AH105" t="s" s="44">
        <v>72</v>
      </c>
      <c r="AI105" s="15">
        <f>C25</f>
        <v>3125.1</v>
      </c>
      <c r="AJ105" t="s" s="44">
        <v>72</v>
      </c>
      <c r="AK105" s="15">
        <f>C26</f>
        <v>2498.7</v>
      </c>
      <c r="AL105" t="s" s="48">
        <f>AA$49</f>
        <v>22</v>
      </c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2</v>
      </c>
      <c r="AD106" t="s" s="44">
        <f>IF(AE106&lt;0,"declined","grew")</f>
        <v>370</v>
      </c>
      <c r="AE106" s="16">
        <f>AK105/AI105-1</f>
        <v>-0.200441585869252</v>
      </c>
      <c r="AF106" t="s" s="44">
        <v>73</v>
      </c>
      <c r="AG106" t="s" s="44">
        <v>74</v>
      </c>
      <c r="AH106" t="s" s="44">
        <v>75</v>
      </c>
      <c r="AI106" t="s" s="44">
        <v>76</v>
      </c>
      <c r="AJ106" s="15">
        <f>AK105</f>
        <v>2498.7</v>
      </c>
      <c r="AK106" t="s" s="48">
        <f>AL105</f>
        <v>22</v>
      </c>
      <c r="AL106" t="s" s="44">
        <v>77</v>
      </c>
      <c r="AM106" t="s" s="44">
        <f>IF(AN106&gt;0,"+","")</f>
        <v>361</v>
      </c>
      <c r="AN106" s="16">
        <f>AF92</f>
        <v>0.125773384609465</v>
      </c>
      <c r="AO106" t="s" s="44">
        <v>78</v>
      </c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79</v>
      </c>
      <c r="AD107" s="16">
        <f>AVERAGE(AD104:AG104)</f>
        <v>-0.059540675664784</v>
      </c>
      <c r="AE107" t="s" s="44">
        <v>80</v>
      </c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56.05" customHeight="1">
      <c r="AA108" s="36"/>
      <c r="AB108" s="34"/>
      <c r="AC108" t="s" s="44">
        <v>81</v>
      </c>
      <c r="AD108" s="35">
        <f>AF51</f>
        <v>0.0125</v>
      </c>
      <c r="AE108" t="s" s="44">
        <v>82</v>
      </c>
      <c r="AF108" t="s" s="44">
        <v>83</v>
      </c>
      <c r="AG108" s="23">
        <f>AF54</f>
        <v>2624.871706578</v>
      </c>
      <c r="AH108" t="s" s="48">
        <f>AL105</f>
        <v>22</v>
      </c>
      <c r="AI108" t="s" s="44">
        <v>84</v>
      </c>
      <c r="AJ108" t="s" s="44">
        <f>AG106</f>
        <v>74</v>
      </c>
      <c r="AK108" t="s" s="44">
        <f>AH106</f>
        <v>75</v>
      </c>
      <c r="AL108" t="s" s="44">
        <v>85</v>
      </c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t="s" s="44">
        <v>14</v>
      </c>
      <c r="AD109" t="s" s="44">
        <f>IF(AF113&lt;AD113,"down","up")</f>
        <v>87</v>
      </c>
      <c r="AE109" t="s" s="44">
        <v>86</v>
      </c>
      <c r="AF109" t="s" s="44">
        <f>IF(AJ113&gt;AH113,"up","down")</f>
        <v>87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44.05" customHeight="1">
      <c r="AA110" s="36"/>
      <c r="AB110" s="34"/>
      <c r="AC110" t="s" s="44">
        <f>AC103</f>
        <v>70</v>
      </c>
      <c r="AD110" t="s" s="44">
        <v>88</v>
      </c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20.05" customHeight="1">
      <c r="AA111" s="36"/>
      <c r="AB111" s="34"/>
      <c r="AC111" s="16">
        <f>(D22+E22)/C22</f>
        <v>0.0671676264974901</v>
      </c>
      <c r="AD111" s="16">
        <f>(D23+E23)/C23</f>
        <v>0.0582126931769593</v>
      </c>
      <c r="AE111" s="16">
        <f>((E24+D24)/C24)</f>
        <v>0.09520389683382249</v>
      </c>
      <c r="AF111" s="16">
        <f>(D25+E25)/C25</f>
        <v>0.0894691369876164</v>
      </c>
      <c r="AG111" s="16">
        <f>(D26+E26)/C26</f>
        <v>0.07595949893944851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32.05" customHeight="1">
      <c r="AA112" s="36"/>
      <c r="AB112" s="34"/>
      <c r="AC112" s="15">
        <f>E22</f>
        <v>170.9</v>
      </c>
      <c r="AD112" t="s" s="44">
        <v>72</v>
      </c>
      <c r="AE112" s="15">
        <f>E23</f>
        <v>107.7</v>
      </c>
      <c r="AF112" t="s" s="44">
        <v>72</v>
      </c>
      <c r="AG112" s="15">
        <f>E24</f>
        <v>202.2</v>
      </c>
      <c r="AH112" t="s" s="44">
        <v>72</v>
      </c>
      <c r="AI112" s="15">
        <f>E25</f>
        <v>99.90000000000001</v>
      </c>
      <c r="AJ112" t="s" s="44">
        <v>72</v>
      </c>
      <c r="AK112" s="15">
        <f>E26</f>
        <v>49.7</v>
      </c>
      <c r="AL112" t="s" s="48">
        <f>AL105</f>
        <v>22</v>
      </c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89</v>
      </c>
      <c r="AD113" s="16">
        <f>AF111</f>
        <v>0.0894691369876164</v>
      </c>
      <c r="AE113" t="s" s="44">
        <v>76</v>
      </c>
      <c r="AF113" s="16">
        <f>AG111</f>
        <v>0.07595949893944851</v>
      </c>
      <c r="AG113" t="s" s="44">
        <v>90</v>
      </c>
      <c r="AH113" s="15">
        <f>AI112</f>
        <v>99.90000000000001</v>
      </c>
      <c r="AI113" t="s" s="44">
        <v>76</v>
      </c>
      <c r="AJ113" s="15">
        <f>AK112</f>
        <v>49.7</v>
      </c>
      <c r="AK113" t="s" s="48">
        <f>AH108</f>
        <v>22</v>
      </c>
      <c r="AL113" t="s" s="44">
        <v>73</v>
      </c>
      <c r="AM113" t="s" s="44">
        <f>AJ108</f>
        <v>74</v>
      </c>
      <c r="AN113" t="s" s="44">
        <v>91</v>
      </c>
      <c r="AO113" s="17"/>
      <c r="AP113" s="17"/>
      <c r="AQ113" s="17"/>
      <c r="AR113" s="17"/>
      <c r="AS113" s="17"/>
      <c r="AT113" s="17"/>
    </row>
    <row r="114" ht="68.05" customHeight="1">
      <c r="AA114" s="36"/>
      <c r="AB114" s="34"/>
      <c r="AC114" t="s" s="44">
        <v>92</v>
      </c>
      <c r="AD114" s="16">
        <f>AVERAGE(AD111:AG111)</f>
        <v>0.0797113064844617</v>
      </c>
      <c r="AE114" t="s" s="44">
        <v>78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44.05" customHeight="1">
      <c r="AA115" s="36"/>
      <c r="AB115" s="34"/>
      <c r="AC115" t="s" s="44">
        <v>93</v>
      </c>
      <c r="AD115" s="35">
        <f>AC55</f>
        <v>0.0775133383739721</v>
      </c>
      <c r="AE115" t="s" s="44">
        <v>94</v>
      </c>
      <c r="AF115" s="15">
        <f>AF68</f>
        <v>62.6292354469131</v>
      </c>
      <c r="AG115" t="s" s="48">
        <f>AK113</f>
        <v>22</v>
      </c>
      <c r="AH115" t="s" s="44">
        <v>95</v>
      </c>
      <c r="AI115" t="s" s="44">
        <f>AM113</f>
        <v>74</v>
      </c>
      <c r="AJ115" t="s" s="44">
        <f>AH106</f>
        <v>75</v>
      </c>
      <c r="AK115" t="s" s="44">
        <f>AL108</f>
        <v>85</v>
      </c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20.05" customHeight="1">
      <c r="AA116" s="36"/>
      <c r="AB116" s="34"/>
      <c r="AC116" t="s" s="44">
        <v>15</v>
      </c>
      <c r="AD116" t="s" s="44">
        <f>IF(AD118&gt;AC118,"more","less")</f>
        <v>360</v>
      </c>
      <c r="AE116" t="s" s="44">
        <f>IF(AF122&lt;0,"negative","positive")</f>
        <v>59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7"/>
      <c r="AD117" s="15">
        <f>ABS(AD122)</f>
        <v>119.9</v>
      </c>
      <c r="AE117" s="15">
        <f>ABS(AF122)</f>
        <v>391</v>
      </c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8.35" customHeight="1" hidden="1">
      <c r="AA118" s="36"/>
      <c r="AB118" s="34"/>
      <c r="AC118" s="15">
        <f>ABS(AD122)</f>
        <v>119.9</v>
      </c>
      <c r="AD118" s="15">
        <f>ABS(AF122)</f>
        <v>391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56.05" customHeight="1">
      <c r="AA119" s="36"/>
      <c r="AB119" s="34"/>
      <c r="AC119" t="s" s="44">
        <f>AC110</f>
        <v>70</v>
      </c>
      <c r="AD119" t="s" s="44">
        <v>96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J22</f>
        <v>76.90000000000001</v>
      </c>
      <c r="AD120" t="s" s="44">
        <v>72</v>
      </c>
      <c r="AE120" s="15">
        <f>J23</f>
        <v>219.4</v>
      </c>
      <c r="AF120" t="s" s="44">
        <v>72</v>
      </c>
      <c r="AG120" s="15">
        <f>J24</f>
        <v>148.5</v>
      </c>
      <c r="AH120" t="s" s="44">
        <v>72</v>
      </c>
      <c r="AI120" s="15">
        <f>J25</f>
        <v>239.2</v>
      </c>
      <c r="AJ120" t="s" s="44">
        <v>72</v>
      </c>
      <c r="AK120" s="15">
        <f>J26</f>
        <v>563.5</v>
      </c>
      <c r="AL120" t="s" s="48">
        <f>AL105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K22</f>
        <v>-102.4</v>
      </c>
      <c r="AD121" t="s" s="44">
        <v>72</v>
      </c>
      <c r="AE121" s="15">
        <f>K23</f>
        <v>-136.8</v>
      </c>
      <c r="AF121" t="s" s="44">
        <v>72</v>
      </c>
      <c r="AG121" s="15">
        <f>K24</f>
        <v>-106</v>
      </c>
      <c r="AH121" t="s" s="44">
        <v>72</v>
      </c>
      <c r="AI121" s="15">
        <f>K25</f>
        <v>-119.3</v>
      </c>
      <c r="AJ121" t="s" s="44">
        <v>72</v>
      </c>
      <c r="AK121" s="15">
        <f>K26</f>
        <v>-172.5</v>
      </c>
      <c r="AL121" t="s" s="48">
        <f>AL120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97</v>
      </c>
      <c r="AD122" s="15">
        <f>AI120+AI121</f>
        <v>119.9</v>
      </c>
      <c r="AE122" t="s" s="44">
        <v>76</v>
      </c>
      <c r="AF122" s="15">
        <f>AK120+AK121</f>
        <v>391</v>
      </c>
      <c r="AG122" t="s" s="48">
        <f>AG115</f>
        <v>22</v>
      </c>
      <c r="AH122" t="s" s="44">
        <v>84</v>
      </c>
      <c r="AI122" t="s" s="44">
        <f>AI115</f>
        <v>74</v>
      </c>
      <c r="AJ122" t="s" s="44">
        <v>98</v>
      </c>
      <c r="AK122" s="15">
        <f>AK121</f>
        <v>-172.5</v>
      </c>
      <c r="AL122" t="s" s="48">
        <f>AL105</f>
        <v>22</v>
      </c>
      <c r="AM122" t="s" s="44">
        <v>99</v>
      </c>
      <c r="AN122" s="17"/>
      <c r="AO122" s="17"/>
      <c r="AP122" s="17"/>
      <c r="AQ122" s="17"/>
      <c r="AR122" s="17"/>
      <c r="AS122" s="17"/>
      <c r="AT122" s="17"/>
    </row>
    <row r="123" ht="56.05" customHeight="1">
      <c r="AA123" s="36"/>
      <c r="AB123" s="34"/>
      <c r="AC123" t="s" s="44">
        <v>100</v>
      </c>
      <c r="AD123" s="15">
        <f>(AE120+AE121+AG120+AG121+AI120+AI121+AK120+AK121)/4</f>
        <v>159</v>
      </c>
      <c r="AE123" t="s" s="48">
        <f>AL105</f>
        <v>22</v>
      </c>
      <c r="AF123" t="s" s="44">
        <v>78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44.05" customHeight="1">
      <c r="AA124" s="36"/>
      <c r="AB124" s="34"/>
      <c r="AC124" t="s" s="44">
        <v>101</v>
      </c>
      <c r="AD124" s="15">
        <f>AC56</f>
        <v>-106</v>
      </c>
      <c r="AE124" t="s" s="48">
        <f>AE123</f>
        <v>22</v>
      </c>
      <c r="AF124" t="s" s="44">
        <v>102</v>
      </c>
      <c r="AG124" t="s" s="44">
        <v>103</v>
      </c>
      <c r="AH124" t="s" s="44">
        <f>IF(AG108&gt;AJ106,"higher","lower")</f>
        <v>363</v>
      </c>
      <c r="AI124" t="s" s="44">
        <v>105</v>
      </c>
      <c r="AJ124" s="15">
        <f>SUM(AC57:AF57)/4</f>
        <v>91.57041451058841</v>
      </c>
      <c r="AK124" t="s" s="48">
        <f>AE124</f>
        <v>22</v>
      </c>
      <c r="AL124" t="s" s="44">
        <v>106</v>
      </c>
      <c r="AM124" t="s" s="44">
        <v>107</v>
      </c>
      <c r="AN124" s="17"/>
      <c r="AO124" s="17"/>
      <c r="AP124" s="17"/>
      <c r="AQ124" s="17"/>
      <c r="AR124" s="17"/>
      <c r="AS124" s="17"/>
      <c r="AT124" s="17"/>
    </row>
    <row r="125" ht="20.05" customHeight="1">
      <c r="AA125" s="36"/>
      <c r="AB125" s="34"/>
      <c r="AC125" t="s" s="44">
        <v>18</v>
      </c>
      <c r="AD125" t="s" s="44">
        <f>AK130</f>
        <v>108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t="s" s="44">
        <f>AC103</f>
        <v>70</v>
      </c>
      <c r="AD126" t="s" s="44">
        <v>109</v>
      </c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E22</f>
        <v>170.9</v>
      </c>
      <c r="AD127" t="s" s="44">
        <v>72</v>
      </c>
      <c r="AE127" s="15">
        <f>E23</f>
        <v>107.7</v>
      </c>
      <c r="AF127" t="s" s="44">
        <v>72</v>
      </c>
      <c r="AG127" s="15">
        <f>E24</f>
        <v>202.2</v>
      </c>
      <c r="AH127" t="s" s="44">
        <v>72</v>
      </c>
      <c r="AI127" s="15">
        <f>E25</f>
        <v>99.90000000000001</v>
      </c>
      <c r="AJ127" t="s" s="44">
        <v>72</v>
      </c>
      <c r="AK127" s="15">
        <f>E26</f>
        <v>49.7</v>
      </c>
      <c r="AL127" t="s" s="48">
        <f>AL105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s="15">
        <f>G22</f>
        <v>8245</v>
      </c>
      <c r="AD128" t="s" s="44">
        <v>72</v>
      </c>
      <c r="AE128" s="15">
        <f>G23</f>
        <v>8209</v>
      </c>
      <c r="AF128" t="s" s="44">
        <v>72</v>
      </c>
      <c r="AG128" s="15">
        <f>G24</f>
        <v>8793</v>
      </c>
      <c r="AH128" t="s" s="44">
        <v>72</v>
      </c>
      <c r="AI128" s="15">
        <f>G25</f>
        <v>8746</v>
      </c>
      <c r="AJ128" t="s" s="44">
        <v>72</v>
      </c>
      <c r="AK128" s="15">
        <f>G26</f>
        <v>8124</v>
      </c>
      <c r="AL128" t="s" s="48">
        <f>AL127</f>
        <v>22</v>
      </c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110</v>
      </c>
      <c r="AD129" t="s" s="44">
        <f>IF(AG129&lt;AE129,"declined","increased")</f>
        <v>370</v>
      </c>
      <c r="AE129" s="15">
        <f>AI127</f>
        <v>99.90000000000001</v>
      </c>
      <c r="AF129" t="s" s="44">
        <v>76</v>
      </c>
      <c r="AG129" s="15">
        <f>AK127</f>
        <v>49.7</v>
      </c>
      <c r="AH129" t="s" s="48">
        <f>AK124</f>
        <v>22</v>
      </c>
      <c r="AI129" t="s" s="44">
        <v>84</v>
      </c>
      <c r="AJ129" t="s" s="44">
        <f>AG106</f>
        <v>74</v>
      </c>
      <c r="AK129" t="s" s="44">
        <f>AN113</f>
        <v>91</v>
      </c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32.05" customHeight="1">
      <c r="AA130" s="36"/>
      <c r="AB130" s="34"/>
      <c r="AC130" t="s" s="44">
        <v>112</v>
      </c>
      <c r="AD130" t="s" s="44">
        <f>IF(AG130&lt;AE130,"declined","increased")</f>
        <v>370</v>
      </c>
      <c r="AE130" s="15">
        <f>AI128</f>
        <v>8746</v>
      </c>
      <c r="AF130" t="s" s="44">
        <v>76</v>
      </c>
      <c r="AG130" s="15">
        <f>AK128</f>
        <v>8124</v>
      </c>
      <c r="AH130" t="s" s="48">
        <f>AH129</f>
        <v>22</v>
      </c>
      <c r="AI130" t="s" s="44">
        <v>113</v>
      </c>
      <c r="AJ130" t="s" s="44">
        <v>114</v>
      </c>
      <c r="AK130" t="s" s="44">
        <f>IF(AN130&lt;AL130,"down","up")</f>
        <v>108</v>
      </c>
      <c r="AL130" s="15">
        <f>AE129-AE130</f>
        <v>-8646.1</v>
      </c>
      <c r="AM130" t="s" s="44">
        <v>76</v>
      </c>
      <c r="AN130" s="15">
        <f>AG129-AG130</f>
        <v>-8074.3</v>
      </c>
      <c r="AO130" t="s" s="48">
        <f>AH130</f>
        <v>22</v>
      </c>
      <c r="AP130" t="s" s="44">
        <v>115</v>
      </c>
      <c r="AQ130" s="17"/>
      <c r="AR130" s="17"/>
      <c r="AS130" s="17"/>
      <c r="AT130" s="17"/>
    </row>
    <row r="131" ht="56.05" customHeight="1">
      <c r="AA131" s="36"/>
      <c r="AB131" s="34"/>
      <c r="AC131" t="s" s="44">
        <v>116</v>
      </c>
      <c r="AD131" s="15">
        <f>SUM(AC60:AF60)</f>
        <v>0</v>
      </c>
      <c r="AE131" t="s" s="48">
        <f>AH130</f>
        <v>22</v>
      </c>
      <c r="AF131" t="s" s="44">
        <v>117</v>
      </c>
      <c r="AG131" t="s" s="44">
        <f>IF(AH131&gt;0,"+","")</f>
      </c>
      <c r="AH131" s="15">
        <f>AC58+AD58+AE58+AF58+AC62+AD62+AE62+AF62</f>
        <v>-366.281658042353</v>
      </c>
      <c r="AI131" t="s" s="48">
        <f>AO130</f>
        <v>22</v>
      </c>
      <c r="AJ131" t="s" s="44">
        <v>118</v>
      </c>
      <c r="AK131" t="s" s="44">
        <v>119</v>
      </c>
      <c r="AL131" s="15">
        <f>AF77</f>
        <v>-7708.018341957650</v>
      </c>
      <c r="AM131" t="s" s="48">
        <f>AH130</f>
        <v>22</v>
      </c>
      <c r="AN131" t="s" s="44">
        <v>120</v>
      </c>
      <c r="AO131" s="17"/>
      <c r="AP131" s="17"/>
      <c r="AQ131" s="17"/>
      <c r="AR131" s="17"/>
      <c r="AS131" s="17"/>
      <c r="AT131" s="17"/>
    </row>
    <row r="132" ht="20.05" customHeight="1">
      <c r="AA132" s="36"/>
      <c r="AB132" s="34"/>
      <c r="AC132" t="s" s="44">
        <v>17</v>
      </c>
      <c r="AD132" t="s" s="44">
        <f>AD136</f>
        <v>374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68.05" customHeight="1">
      <c r="AA133" s="36"/>
      <c r="AB133" s="34"/>
      <c r="AC133" t="s" s="44">
        <f>AC103</f>
        <v>70</v>
      </c>
      <c r="AD133" t="s" s="44">
        <v>122</v>
      </c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-L22</f>
        <v>-12.6</v>
      </c>
      <c r="AD134" t="s" s="44">
        <v>72</v>
      </c>
      <c r="AE134" s="15">
        <f>-L23</f>
        <v>51.3</v>
      </c>
      <c r="AF134" t="s" s="44">
        <v>72</v>
      </c>
      <c r="AG134" s="15">
        <f>-L24</f>
        <v>16.5</v>
      </c>
      <c r="AH134" t="s" s="44">
        <v>72</v>
      </c>
      <c r="AI134" s="15">
        <f>-L25</f>
        <v>-135.6</v>
      </c>
      <c r="AJ134" t="s" s="44">
        <v>72</v>
      </c>
      <c r="AK134" s="15">
        <f>-L26</f>
        <v>409.5</v>
      </c>
      <c r="AL134" t="s" s="48">
        <f>AL105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32.05" customHeight="1">
      <c r="AA135" s="36"/>
      <c r="AB135" s="34"/>
      <c r="AC135" s="15">
        <f>-M22</f>
        <v>0</v>
      </c>
      <c r="AD135" t="s" s="44">
        <v>72</v>
      </c>
      <c r="AE135" s="15">
        <f>-M23</f>
        <v>0</v>
      </c>
      <c r="AF135" t="s" s="44">
        <v>72</v>
      </c>
      <c r="AG135" s="15">
        <f>-M24</f>
        <v>0</v>
      </c>
      <c r="AH135" t="s" s="44">
        <v>72</v>
      </c>
      <c r="AI135" s="15">
        <f>-M25</f>
        <v>294.9</v>
      </c>
      <c r="AJ135" t="s" s="44">
        <v>72</v>
      </c>
      <c r="AK135" s="15">
        <f>-M26</f>
        <v>0</v>
      </c>
      <c r="AL135" t="s" s="48">
        <f>AL134</f>
        <v>22</v>
      </c>
      <c r="AM135" s="17"/>
      <c r="AN135" s="17"/>
      <c r="AO135" s="17"/>
      <c r="AP135" s="17"/>
      <c r="AQ135" s="17"/>
      <c r="AR135" s="17"/>
      <c r="AS135" s="17"/>
      <c r="AT135" s="17"/>
    </row>
    <row r="136" ht="44.05" customHeight="1">
      <c r="AA136" s="36"/>
      <c r="AB136" s="34"/>
      <c r="AC136" t="s" s="44">
        <f>AC94</f>
        <v>587</v>
      </c>
      <c r="AD136" t="s" s="44">
        <f>IF(AE136&gt;0,"paid","(raised)")</f>
        <v>374</v>
      </c>
      <c r="AE136" s="15">
        <f>SUM(AK134:AK135)</f>
        <v>409.5</v>
      </c>
      <c r="AF136" t="s" s="48">
        <f>AL105</f>
        <v>22</v>
      </c>
      <c r="AG136" t="s" s="44">
        <f>AF106</f>
        <v>73</v>
      </c>
      <c r="AH136" t="s" s="44">
        <f>AG106</f>
        <v>74</v>
      </c>
      <c r="AI136" t="s" s="44">
        <f>AH106</f>
        <v>75</v>
      </c>
      <c r="AJ136" s="15">
        <f>AK134</f>
        <v>409.5</v>
      </c>
      <c r="AK136" t="s" s="48">
        <f>AL105</f>
        <v>22</v>
      </c>
      <c r="AL136" t="s" s="44">
        <v>123</v>
      </c>
      <c r="AM136" s="15">
        <f>AK135</f>
        <v>0</v>
      </c>
      <c r="AN136" t="s" s="48">
        <f>AL105</f>
        <v>22</v>
      </c>
      <c r="AO136" t="s" s="44">
        <v>124</v>
      </c>
      <c r="AP136" t="s" s="44">
        <v>125</v>
      </c>
      <c r="AQ136" t="s" s="44">
        <f>IF(AR136&gt;0,"pay","raise")</f>
        <v>364</v>
      </c>
      <c r="AR136" s="15">
        <f>-SUM(AC78:AF78)</f>
        <v>366.281658042353</v>
      </c>
      <c r="AS136" t="s" s="48">
        <f>AL105</f>
        <v>22</v>
      </c>
      <c r="AT136" t="s" s="44">
        <v>126</v>
      </c>
    </row>
    <row r="137" ht="56.05" customHeight="1">
      <c r="AA137" s="36"/>
      <c r="AB137" s="34"/>
      <c r="AC137" t="s" s="44">
        <v>127</v>
      </c>
      <c r="AD137" s="15">
        <f>AF81</f>
        <v>15486.8128</v>
      </c>
      <c r="AE137" t="s" s="48">
        <f>AL105</f>
        <v>22</v>
      </c>
      <c r="AF137" t="s" s="44">
        <v>128</v>
      </c>
      <c r="AG137" t="s" s="44">
        <v>129</v>
      </c>
      <c r="AH137" s="43">
        <f>AF83</f>
        <v>1.17845119594166</v>
      </c>
      <c r="AI137" t="s" s="44">
        <v>130</v>
      </c>
      <c r="AJ137" t="s" s="44">
        <v>131</v>
      </c>
      <c r="AK137" t="s" s="44">
        <v>132</v>
      </c>
      <c r="AL137" s="15">
        <f>AF86</f>
        <v>35.7428945163092</v>
      </c>
      <c r="AM137" t="s" s="44">
        <v>133</v>
      </c>
      <c r="AN137" s="16">
        <f>-AD131/AD137</f>
        <v>0</v>
      </c>
      <c r="AO137" t="s" s="44">
        <v>134</v>
      </c>
      <c r="AP137" s="17"/>
      <c r="AQ137" s="17"/>
      <c r="AR137" s="17"/>
      <c r="AS137" s="17"/>
      <c r="AT137" s="17"/>
    </row>
    <row r="138" ht="56.05" customHeight="1">
      <c r="AA138" s="36"/>
      <c r="AB138" s="34"/>
      <c r="AC138" t="s" s="44">
        <v>135</v>
      </c>
      <c r="AD138" s="15">
        <f>AF85</f>
        <v>366.281658042354</v>
      </c>
      <c r="AE138" t="s" s="48">
        <f>AE137</f>
        <v>22</v>
      </c>
      <c r="AF138" t="s" s="44">
        <v>136</v>
      </c>
      <c r="AG138" s="15">
        <f>AD137/AD138</f>
        <v>42.2811583926193</v>
      </c>
      <c r="AH138" t="s" s="44">
        <v>130</v>
      </c>
      <c r="AI138" t="s" s="44">
        <v>137</v>
      </c>
      <c r="AJ138" t="s" s="44">
        <v>138</v>
      </c>
      <c r="AK138" s="15">
        <f>AF87</f>
        <v>35</v>
      </c>
      <c r="AL138" t="s" s="44">
        <v>139</v>
      </c>
      <c r="AM138" t="s" s="44">
        <v>140</v>
      </c>
      <c r="AN138" t="s" s="44">
        <v>141</v>
      </c>
      <c r="AO138" s="16">
        <f>AH95</f>
        <v>-0.172208110407171</v>
      </c>
      <c r="AP138" t="s" s="44">
        <f>IF(AO138&gt;0,"higher","lower")</f>
        <v>104</v>
      </c>
      <c r="AQ138" t="s" s="44">
        <v>142</v>
      </c>
      <c r="AR138" s="15">
        <f>AF95</f>
        <v>5173.699309955180</v>
      </c>
      <c r="AS138" t="s" s="44">
        <v>143</v>
      </c>
      <c r="AT138" s="17"/>
    </row>
    <row r="139" ht="20.05" customHeight="1">
      <c r="AA139" s="36"/>
      <c r="AB139" s="34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28</v>
      </c>
      <c r="AB140" s="14">
        <f>AC105</f>
        <v>3247.1</v>
      </c>
      <c r="AC140" s="15">
        <f>AE105</f>
        <v>3274.2</v>
      </c>
      <c r="AD140" s="15">
        <f>AG105</f>
        <v>3202.6</v>
      </c>
      <c r="AE140" s="15">
        <f>AI105</f>
        <v>3125.1</v>
      </c>
      <c r="AF140" s="15">
        <f>AK105</f>
        <v>2498.7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144</v>
      </c>
      <c r="AB141" s="14">
        <f>SUM(AC120:AC121)</f>
        <v>-25.5</v>
      </c>
      <c r="AC141" s="15">
        <f>SUM(AE120:AE121)</f>
        <v>82.59999999999999</v>
      </c>
      <c r="AD141" s="15">
        <f>SUM(AG120:AG121)</f>
        <v>42.5</v>
      </c>
      <c r="AE141" s="15">
        <f>SUM(AI120:AI121)</f>
        <v>119.9</v>
      </c>
      <c r="AF141" s="15">
        <f>SUM(AK120:AK121)</f>
        <v>391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145</v>
      </c>
      <c r="AB142" s="14">
        <f>SUM(AC134:AC135)</f>
        <v>-12.6</v>
      </c>
      <c r="AC142" s="15">
        <f>SUM(AE134:AE135)</f>
        <v>51.3</v>
      </c>
      <c r="AD142" s="15">
        <f>SUM(AG134:AG135)</f>
        <v>16.5</v>
      </c>
      <c r="AE142" s="15">
        <f>SUM(AI134:AI135)</f>
        <v>159.3</v>
      </c>
      <c r="AF142" s="15">
        <f>SUM(AK134:AK135)</f>
        <v>409.5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t="s" s="33">
        <v>146</v>
      </c>
      <c r="AB143" s="14">
        <f>(AC127-AC128)</f>
        <v>-8074.1</v>
      </c>
      <c r="AC143" s="15">
        <f>(AE127-AE128)</f>
        <v>-8101.3</v>
      </c>
      <c r="AD143" s="15">
        <f>(AG127-AG128)</f>
        <v>-8590.799999999999</v>
      </c>
      <c r="AE143" s="15">
        <f>(AI127-AI128)</f>
        <v>-8646.1</v>
      </c>
      <c r="AF143" s="15">
        <f>(AK127-AK128)</f>
        <v>-8074.3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5">
        <f>AR138</f>
        <v>5173.699309955180</v>
      </c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ht="20.05" customHeight="1">
      <c r="AA151" s="36"/>
      <c r="AB151" s="34"/>
      <c r="AC151" s="17"/>
      <c r="AD151" s="17"/>
      <c r="AE151" s="17"/>
      <c r="AF151" s="17"/>
      <c r="AG151" s="15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</sheetData>
  <mergeCells count="2">
    <mergeCell ref="B2:Z2"/>
    <mergeCell ref="AA48:AT48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28" customWidth="1"/>
    <col min="2" max="28" width="10.4844" style="228" customWidth="1"/>
    <col min="29" max="29" width="18.9766" style="229" customWidth="1"/>
    <col min="30" max="48" width="9" style="229" customWidth="1"/>
    <col min="49" max="16384" width="16.3516" style="229" customWidth="1"/>
  </cols>
  <sheetData>
    <row r="1" ht="11.65" customHeight="1"/>
    <row r="2" ht="27.65" customHeight="1">
      <c r="B2" t="s" s="2">
        <v>588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329</v>
      </c>
      <c r="AA3" t="s" s="3">
        <v>19</v>
      </c>
      <c r="AB3" t="s" s="3">
        <v>20</v>
      </c>
    </row>
    <row r="4" ht="20.25" customHeight="1">
      <c r="B4" s="6">
        <v>2017</v>
      </c>
      <c r="C4" s="7">
        <v>504.07</v>
      </c>
      <c r="D4" s="8">
        <v>35.91</v>
      </c>
      <c r="E4" s="8">
        <v>-15.96</v>
      </c>
      <c r="F4" s="8">
        <v>212.8</v>
      </c>
      <c r="G4" s="8">
        <v>864.5</v>
      </c>
      <c r="H4" s="8">
        <v>1596</v>
      </c>
      <c r="I4" s="8">
        <v>553.28</v>
      </c>
      <c r="J4" s="8">
        <v>86.45</v>
      </c>
      <c r="K4" s="8">
        <v>-15.96</v>
      </c>
      <c r="L4" s="8">
        <v>-0.665</v>
      </c>
      <c r="M4" s="8">
        <v>-1.33</v>
      </c>
      <c r="N4" s="59"/>
      <c r="O4" s="9"/>
      <c r="P4" s="9"/>
      <c r="Q4" s="9"/>
      <c r="R4" s="9"/>
      <c r="S4" s="9"/>
      <c r="T4" s="9"/>
      <c r="U4" s="9"/>
      <c r="V4" s="8">
        <f>-(L4+M4)</f>
        <v>1.995</v>
      </c>
      <c r="W4" s="9"/>
      <c r="X4" s="8">
        <f>F4-G4</f>
        <v>-651.7</v>
      </c>
      <c r="Y4" s="9"/>
      <c r="Z4" s="8">
        <v>1686.530029</v>
      </c>
      <c r="AA4" s="11"/>
      <c r="AB4" s="12">
        <v>13.3</v>
      </c>
    </row>
    <row r="5" ht="20.05" customHeight="1">
      <c r="B5" s="13"/>
      <c r="C5" s="14">
        <v>503.7606</v>
      </c>
      <c r="D5" s="15">
        <v>31.9848</v>
      </c>
      <c r="E5" s="15">
        <v>-14.6597</v>
      </c>
      <c r="F5" s="15">
        <v>199.905</v>
      </c>
      <c r="G5" s="15">
        <v>906.236</v>
      </c>
      <c r="H5" s="15">
        <v>1625.894</v>
      </c>
      <c r="I5" s="15">
        <v>478.4393</v>
      </c>
      <c r="J5" s="15">
        <v>-18.6578</v>
      </c>
      <c r="K5" s="15">
        <v>-38.6483</v>
      </c>
      <c r="L5" s="15">
        <v>-0.66635</v>
      </c>
      <c r="M5" s="15">
        <v>-1.3327</v>
      </c>
      <c r="N5" s="26"/>
      <c r="O5" s="17"/>
      <c r="P5" s="17"/>
      <c r="Q5" s="17"/>
      <c r="R5" s="17"/>
      <c r="S5" s="17"/>
      <c r="T5" s="17"/>
      <c r="U5" s="17"/>
      <c r="V5" s="15">
        <f>-(L5+M5)+V4</f>
        <v>3.99405</v>
      </c>
      <c r="W5" s="17"/>
      <c r="X5" s="15">
        <f>F5-G5</f>
        <v>-706.331</v>
      </c>
      <c r="Y5" s="17"/>
      <c r="Z5" s="15">
        <v>2200</v>
      </c>
      <c r="AA5" s="19"/>
      <c r="AB5" s="20">
        <v>13.327</v>
      </c>
    </row>
    <row r="6" ht="20.05" customHeight="1">
      <c r="B6" s="13"/>
      <c r="C6" s="14">
        <v>564.1319999999999</v>
      </c>
      <c r="D6" s="15">
        <v>-67.85550000000001</v>
      </c>
      <c r="E6" s="15">
        <v>-6.6525</v>
      </c>
      <c r="F6" s="15">
        <v>0</v>
      </c>
      <c r="G6" s="15">
        <v>0</v>
      </c>
      <c r="H6" s="15">
        <v>0</v>
      </c>
      <c r="I6" s="15">
        <v>601.386</v>
      </c>
      <c r="J6" s="15">
        <v>53.22</v>
      </c>
      <c r="K6" s="15">
        <v>-37.254</v>
      </c>
      <c r="L6" s="15">
        <v>-0.66525</v>
      </c>
      <c r="M6" s="15">
        <v>-1.3305</v>
      </c>
      <c r="N6" s="26"/>
      <c r="O6" s="17"/>
      <c r="P6" s="17"/>
      <c r="Q6" s="17"/>
      <c r="R6" s="17"/>
      <c r="S6" s="17"/>
      <c r="T6" s="17"/>
      <c r="U6" s="17"/>
      <c r="V6" s="15">
        <f>-(L6+M6)+V5</f>
        <v>5.9898</v>
      </c>
      <c r="W6" s="17"/>
      <c r="X6" s="15">
        <f>F6-G6</f>
        <v>0</v>
      </c>
      <c r="Y6" s="17"/>
      <c r="Z6" s="15">
        <v>2100</v>
      </c>
      <c r="AA6" s="19"/>
      <c r="AB6" s="20">
        <v>13.305</v>
      </c>
    </row>
    <row r="7" ht="20.05" customHeight="1">
      <c r="B7" s="13"/>
      <c r="C7" s="14">
        <v>585.6624</v>
      </c>
      <c r="D7" s="15">
        <v>112.5231</v>
      </c>
      <c r="E7" s="15">
        <v>25.7583</v>
      </c>
      <c r="F7" s="15">
        <v>257.583</v>
      </c>
      <c r="G7" s="15">
        <v>948.99</v>
      </c>
      <c r="H7" s="15">
        <v>1681.068</v>
      </c>
      <c r="I7" s="15">
        <v>638.5347</v>
      </c>
      <c r="J7" s="15">
        <v>100.3218</v>
      </c>
      <c r="K7" s="15">
        <v>-25.7583</v>
      </c>
      <c r="L7" s="15">
        <v>-0.67785</v>
      </c>
      <c r="M7" s="15">
        <v>-1.3557</v>
      </c>
      <c r="N7" s="26"/>
      <c r="O7" s="17"/>
      <c r="P7" s="17"/>
      <c r="Q7" s="17"/>
      <c r="R7" s="17"/>
      <c r="S7" s="17"/>
      <c r="T7" s="17"/>
      <c r="U7" s="17"/>
      <c r="V7" s="15">
        <f>-(L7+M7)+V6</f>
        <v>8.023350000000001</v>
      </c>
      <c r="W7" s="17"/>
      <c r="X7" s="15">
        <f>F7-G7</f>
        <v>-691.407</v>
      </c>
      <c r="Y7" s="17"/>
      <c r="Z7" s="15">
        <v>2180</v>
      </c>
      <c r="AA7" s="19"/>
      <c r="AB7" s="20">
        <v>13.557</v>
      </c>
    </row>
    <row r="8" ht="20.05" customHeight="1">
      <c r="B8" s="21">
        <v>2018</v>
      </c>
      <c r="C8" s="14">
        <v>610.9884</v>
      </c>
      <c r="D8" s="15">
        <v>19.2654</v>
      </c>
      <c r="E8" s="15">
        <v>5.5044</v>
      </c>
      <c r="F8" s="15">
        <v>261.459</v>
      </c>
      <c r="G8" s="15">
        <v>963.27</v>
      </c>
      <c r="H8" s="15">
        <v>1706.364</v>
      </c>
      <c r="I8" s="15">
        <v>621.9972</v>
      </c>
      <c r="J8" s="15">
        <v>105.9597</v>
      </c>
      <c r="K8" s="15">
        <v>-30.2742</v>
      </c>
      <c r="L8" s="15">
        <v>25.45785</v>
      </c>
      <c r="M8" s="15">
        <v>0</v>
      </c>
      <c r="N8" s="15">
        <f>SUM(C5:C8)/4</f>
        <v>566.13585</v>
      </c>
      <c r="O8" s="17"/>
      <c r="P8" s="16"/>
      <c r="Q8" s="16">
        <f>((D8+E8)/C8)</f>
        <v>0.0405405405405405</v>
      </c>
      <c r="R8" s="16"/>
      <c r="S8" s="17"/>
      <c r="T8" s="15">
        <f>SUM(J5:K8)/4</f>
        <v>27.227225</v>
      </c>
      <c r="U8" s="17"/>
      <c r="V8" s="15">
        <f>-(L8+M8)+V7</f>
        <v>-17.4345</v>
      </c>
      <c r="W8" s="17"/>
      <c r="X8" s="15">
        <f>F8-G8</f>
        <v>-701.811</v>
      </c>
      <c r="Y8" s="24"/>
      <c r="Z8" s="15">
        <v>2080</v>
      </c>
      <c r="AA8" s="22"/>
      <c r="AB8" s="20">
        <v>13.761</v>
      </c>
    </row>
    <row r="9" ht="20.05" customHeight="1">
      <c r="B9" s="13"/>
      <c r="C9" s="14">
        <v>485.8</v>
      </c>
      <c r="D9" s="15">
        <v>19.6</v>
      </c>
      <c r="E9" s="15">
        <v>8.4</v>
      </c>
      <c r="F9" s="15">
        <v>336</v>
      </c>
      <c r="G9" s="15">
        <v>1162</v>
      </c>
      <c r="H9" s="15">
        <v>1932</v>
      </c>
      <c r="I9" s="15">
        <v>477.4</v>
      </c>
      <c r="J9" s="15">
        <v>-81.2</v>
      </c>
      <c r="K9" s="15">
        <v>-37.8</v>
      </c>
      <c r="L9" s="15">
        <v>25.9</v>
      </c>
      <c r="M9" s="15">
        <v>0</v>
      </c>
      <c r="N9" s="15">
        <f>SUM(C6:C9)/4</f>
        <v>561.6457</v>
      </c>
      <c r="O9" s="17"/>
      <c r="P9" s="16"/>
      <c r="Q9" s="16">
        <f>((D9+E9)/C9)</f>
        <v>0.0576368876080692</v>
      </c>
      <c r="R9" s="16"/>
      <c r="S9" s="17"/>
      <c r="T9" s="15">
        <f>SUM(J6:K9)/4</f>
        <v>11.80375</v>
      </c>
      <c r="U9" s="17"/>
      <c r="V9" s="15">
        <f>-(L9+M9)+V8</f>
        <v>-43.3345</v>
      </c>
      <c r="W9" s="17"/>
      <c r="X9" s="15">
        <f>F9-G9</f>
        <v>-826</v>
      </c>
      <c r="Y9" s="24"/>
      <c r="Z9" s="15">
        <v>2100</v>
      </c>
      <c r="AA9" s="22"/>
      <c r="AB9" s="20">
        <v>14</v>
      </c>
    </row>
    <row r="10" ht="20.05" customHeight="1">
      <c r="B10" s="13"/>
      <c r="C10" s="14">
        <v>648.237</v>
      </c>
      <c r="D10" s="15">
        <v>20.8628</v>
      </c>
      <c r="E10" s="15">
        <v>-22.353</v>
      </c>
      <c r="F10" s="15">
        <v>253.334</v>
      </c>
      <c r="G10" s="15">
        <v>1117.65</v>
      </c>
      <c r="H10" s="15">
        <v>1907.456</v>
      </c>
      <c r="I10" s="15">
        <v>652.7076</v>
      </c>
      <c r="J10" s="15">
        <v>-65.5688</v>
      </c>
      <c r="K10" s="15">
        <v>-25.3334</v>
      </c>
      <c r="L10" s="15">
        <v>27.5687</v>
      </c>
      <c r="M10" s="15">
        <v>0</v>
      </c>
      <c r="N10" s="15">
        <f>SUM(C7:C10)/4</f>
        <v>582.67195</v>
      </c>
      <c r="O10" s="17"/>
      <c r="P10" s="16"/>
      <c r="Q10" s="16">
        <f>((D10+E10)/C10)</f>
        <v>-0.00229885057471264</v>
      </c>
      <c r="R10" s="16"/>
      <c r="S10" s="17"/>
      <c r="T10" s="15">
        <f>SUM(J7:K10)/4</f>
        <v>-14.9133</v>
      </c>
      <c r="U10" s="17"/>
      <c r="V10" s="15">
        <f>-(L10+M10)+V9</f>
        <v>-70.9032</v>
      </c>
      <c r="W10" s="17"/>
      <c r="X10" s="15">
        <f>F10-G10</f>
        <v>-864.316</v>
      </c>
      <c r="Y10" s="24"/>
      <c r="Z10" s="15">
        <v>2190</v>
      </c>
      <c r="AA10" s="22"/>
      <c r="AB10" s="20">
        <v>14.902</v>
      </c>
    </row>
    <row r="11" ht="20.05" customHeight="1">
      <c r="B11" s="13"/>
      <c r="C11" s="14">
        <v>536.374</v>
      </c>
      <c r="D11" s="15">
        <v>17.256</v>
      </c>
      <c r="E11" s="15">
        <v>14.38</v>
      </c>
      <c r="F11" s="15">
        <v>186.94</v>
      </c>
      <c r="G11" s="15">
        <v>1035.36</v>
      </c>
      <c r="H11" s="15">
        <v>1811.88</v>
      </c>
      <c r="I11" s="15">
        <v>517.6799999999999</v>
      </c>
      <c r="J11" s="15">
        <v>-1.438</v>
      </c>
      <c r="K11" s="15">
        <v>-50.33</v>
      </c>
      <c r="L11" s="15">
        <v>26.603</v>
      </c>
      <c r="M11" s="15">
        <v>0</v>
      </c>
      <c r="N11" s="15">
        <f>SUM(C8:C11)/4</f>
        <v>570.3498499999999</v>
      </c>
      <c r="O11" s="17"/>
      <c r="P11" s="16"/>
      <c r="Q11" s="16">
        <f>((D11+E11)/C11)</f>
        <v>0.0589812332439678</v>
      </c>
      <c r="R11" s="16"/>
      <c r="S11" s="17"/>
      <c r="T11" s="15">
        <f>SUM(J8:K11)/4</f>
        <v>-46.496175</v>
      </c>
      <c r="U11" s="17"/>
      <c r="V11" s="15">
        <f>-(L11+M11)+V10</f>
        <v>-97.50620000000001</v>
      </c>
      <c r="W11" s="17"/>
      <c r="X11" s="15">
        <f>F11-G11</f>
        <v>-848.42</v>
      </c>
      <c r="Y11" s="24"/>
      <c r="Z11" s="15">
        <v>2220</v>
      </c>
      <c r="AA11" s="22"/>
      <c r="AB11" s="20">
        <v>14.38</v>
      </c>
    </row>
    <row r="12" ht="20.05" customHeight="1">
      <c r="B12" s="21">
        <v>2019</v>
      </c>
      <c r="C12" s="14">
        <v>471.344</v>
      </c>
      <c r="D12" s="15">
        <v>19.936</v>
      </c>
      <c r="E12" s="15">
        <v>-18.512</v>
      </c>
      <c r="F12" s="15">
        <v>142.4</v>
      </c>
      <c r="G12" s="15">
        <v>1011.04</v>
      </c>
      <c r="H12" s="15">
        <v>1765.76</v>
      </c>
      <c r="I12" s="15">
        <v>472.768</v>
      </c>
      <c r="J12" s="15">
        <v>-7.12</v>
      </c>
      <c r="K12" s="15">
        <v>-34.176</v>
      </c>
      <c r="L12" s="15">
        <v>32.04</v>
      </c>
      <c r="M12" s="15">
        <v>0</v>
      </c>
      <c r="N12" s="15">
        <f>SUM(C9:C12)/4</f>
        <v>535.43875</v>
      </c>
      <c r="O12" s="23"/>
      <c r="P12" s="16"/>
      <c r="Q12" s="16">
        <f>((D12+E12)/C12)</f>
        <v>0.00302114803625378</v>
      </c>
      <c r="R12" s="16">
        <f>AVERAGE(Q9:Q12)</f>
        <v>0.0293351045783945</v>
      </c>
      <c r="S12" s="17"/>
      <c r="T12" s="15">
        <f>SUM(J9:K12)/4</f>
        <v>-75.74155</v>
      </c>
      <c r="U12" s="17"/>
      <c r="V12" s="15">
        <f>-(L12+M12)+V11</f>
        <v>-129.5462</v>
      </c>
      <c r="W12" s="17"/>
      <c r="X12" s="15">
        <f>F12-G12</f>
        <v>-868.64</v>
      </c>
      <c r="Y12" s="24"/>
      <c r="Z12" s="15">
        <v>2010</v>
      </c>
      <c r="AA12" s="22"/>
      <c r="AB12" s="20">
        <v>14.24</v>
      </c>
    </row>
    <row r="13" ht="20.05" customHeight="1">
      <c r="B13" s="13"/>
      <c r="C13" s="14">
        <v>452.064</v>
      </c>
      <c r="D13" s="15">
        <v>19.7778</v>
      </c>
      <c r="E13" s="15">
        <v>-15.5397</v>
      </c>
      <c r="F13" s="15">
        <v>98.889</v>
      </c>
      <c r="G13" s="15">
        <v>1059.525</v>
      </c>
      <c r="H13" s="15">
        <v>1794.129</v>
      </c>
      <c r="I13" s="15">
        <v>367.302</v>
      </c>
      <c r="J13" s="15">
        <v>-69.2223</v>
      </c>
      <c r="K13" s="15">
        <v>-42.381</v>
      </c>
      <c r="L13" s="15">
        <v>31.78575</v>
      </c>
      <c r="M13" s="15">
        <v>0</v>
      </c>
      <c r="N13" s="15">
        <f>SUM(C10:C13)/4</f>
        <v>527.0047499999999</v>
      </c>
      <c r="O13" s="23"/>
      <c r="P13" s="16"/>
      <c r="Q13" s="16">
        <f>((D13+E13)/C13)</f>
        <v>0.009375</v>
      </c>
      <c r="R13" s="16">
        <f>AVERAGE(Q10:Q13)</f>
        <v>0.0172696326763772</v>
      </c>
      <c r="S13" s="17"/>
      <c r="T13" s="15">
        <f>SUM(J10:K13)/4</f>
        <v>-73.892375</v>
      </c>
      <c r="U13" s="17"/>
      <c r="V13" s="15">
        <f>-(L13+M13)+V12</f>
        <v>-161.33195</v>
      </c>
      <c r="W13" s="17"/>
      <c r="X13" s="15">
        <f>F13-G13</f>
        <v>-960.636</v>
      </c>
      <c r="Y13" s="24"/>
      <c r="Z13" s="15">
        <v>1985</v>
      </c>
      <c r="AA13" s="24"/>
      <c r="AB13" s="15">
        <v>14.127</v>
      </c>
    </row>
    <row r="14" ht="20.05" customHeight="1">
      <c r="B14" s="13"/>
      <c r="C14" s="14">
        <v>540.8295000000001</v>
      </c>
      <c r="D14" s="15">
        <v>28.39</v>
      </c>
      <c r="E14" s="15">
        <v>2.839</v>
      </c>
      <c r="F14" s="15">
        <v>127.755</v>
      </c>
      <c r="G14" s="15">
        <v>1050.43</v>
      </c>
      <c r="H14" s="15">
        <v>1788.57</v>
      </c>
      <c r="I14" s="15">
        <v>555.0245</v>
      </c>
      <c r="J14" s="15">
        <v>59.619</v>
      </c>
      <c r="K14" s="15">
        <v>-29.8095</v>
      </c>
      <c r="L14" s="15">
        <v>31.93875</v>
      </c>
      <c r="M14" s="15">
        <v>0</v>
      </c>
      <c r="N14" s="15">
        <f>SUM(C11:C14)/4</f>
        <v>500.152875</v>
      </c>
      <c r="O14" s="23"/>
      <c r="P14" s="16"/>
      <c r="Q14" s="16">
        <f>((D14+E14)/C14)</f>
        <v>0.057742782152231</v>
      </c>
      <c r="R14" s="16">
        <f>AVERAGE(Q11:Q14)</f>
        <v>0.0322800408581131</v>
      </c>
      <c r="S14" s="17"/>
      <c r="T14" s="15">
        <f>SUM(J11:K14)/4</f>
        <v>-43.71445</v>
      </c>
      <c r="U14" s="17"/>
      <c r="V14" s="15">
        <f>-(L14+M14)+V13</f>
        <v>-193.2707</v>
      </c>
      <c r="W14" s="17"/>
      <c r="X14" s="15">
        <f>F14-G14</f>
        <v>-922.675</v>
      </c>
      <c r="Y14" s="24"/>
      <c r="Z14" s="15">
        <v>1985</v>
      </c>
      <c r="AA14" s="24"/>
      <c r="AB14" s="15">
        <v>14.195</v>
      </c>
    </row>
    <row r="15" ht="20.05" customHeight="1">
      <c r="B15" s="13"/>
      <c r="C15" s="14">
        <v>501.1402</v>
      </c>
      <c r="D15" s="15">
        <v>13.882</v>
      </c>
      <c r="E15" s="15">
        <v>13.882</v>
      </c>
      <c r="F15" s="15">
        <v>111.056</v>
      </c>
      <c r="G15" s="15">
        <v>943.976</v>
      </c>
      <c r="H15" s="15">
        <v>1665.84</v>
      </c>
      <c r="I15" s="15">
        <v>555.28</v>
      </c>
      <c r="J15" s="15">
        <v>-15.2702</v>
      </c>
      <c r="K15" s="15">
        <v>-8.3292</v>
      </c>
      <c r="L15" s="15">
        <v>31.2345</v>
      </c>
      <c r="M15" s="15">
        <v>0</v>
      </c>
      <c r="N15" s="15">
        <f>SUM(C12:C15)/4</f>
        <v>491.344425</v>
      </c>
      <c r="O15" s="15"/>
      <c r="P15" s="16"/>
      <c r="Q15" s="16">
        <f>((D15+E15)/C15)</f>
        <v>0.0554016620498615</v>
      </c>
      <c r="R15" s="16">
        <f>AVERAGE(Q12:Q15)</f>
        <v>0.0313851480595866</v>
      </c>
      <c r="S15" s="17"/>
      <c r="T15" s="15">
        <f>SUM(J12:K15)/4</f>
        <v>-36.6723</v>
      </c>
      <c r="U15" s="17"/>
      <c r="V15" s="15">
        <f>-(L15+M15)+V14</f>
        <v>-224.5052</v>
      </c>
      <c r="W15" s="17"/>
      <c r="X15" s="15">
        <f>F15-G15</f>
        <v>-832.92</v>
      </c>
      <c r="Y15" s="24"/>
      <c r="Z15" s="15">
        <v>1990</v>
      </c>
      <c r="AA15" s="24"/>
      <c r="AB15" s="15">
        <v>13.882</v>
      </c>
    </row>
    <row r="16" ht="20.05" customHeight="1">
      <c r="B16" s="21">
        <v>2020</v>
      </c>
      <c r="C16" s="14">
        <v>549.647</v>
      </c>
      <c r="D16" s="15">
        <v>30.989</v>
      </c>
      <c r="E16" s="15">
        <v>55.454</v>
      </c>
      <c r="F16" s="15">
        <v>244.65</v>
      </c>
      <c r="G16" s="15">
        <v>1272.18</v>
      </c>
      <c r="H16" s="15">
        <v>2185.54</v>
      </c>
      <c r="I16" s="15">
        <v>525.182</v>
      </c>
      <c r="J16" s="15">
        <v>4.893</v>
      </c>
      <c r="K16" s="15">
        <v>-34.251</v>
      </c>
      <c r="L16" s="15">
        <v>154.945</v>
      </c>
      <c r="M16" s="15">
        <v>0</v>
      </c>
      <c r="N16" s="15">
        <f>SUM(C13:C16)/4</f>
        <v>510.920175</v>
      </c>
      <c r="O16" s="15"/>
      <c r="P16" s="16"/>
      <c r="Q16" s="16">
        <f>((D16+E16)/C16)</f>
        <v>0.157270029673591</v>
      </c>
      <c r="R16" s="16">
        <f>AVERAGE(Q13:Q16)</f>
        <v>0.0699473684689209</v>
      </c>
      <c r="S16" s="17"/>
      <c r="T16" s="15">
        <f>SUM(J13:K16)/4</f>
        <v>-33.6878</v>
      </c>
      <c r="U16" s="17"/>
      <c r="V16" s="15">
        <f>-(L16+M16)+V15</f>
        <v>-379.4502</v>
      </c>
      <c r="W16" s="17"/>
      <c r="X16" s="15">
        <f>F16-G16</f>
        <v>-1027.53</v>
      </c>
      <c r="Y16" s="24"/>
      <c r="Z16" s="15">
        <v>1590</v>
      </c>
      <c r="AA16" s="24"/>
      <c r="AB16" s="15">
        <v>16.31</v>
      </c>
    </row>
    <row r="17" ht="20.05" customHeight="1">
      <c r="B17" s="13"/>
      <c r="C17" s="14">
        <v>183.8895</v>
      </c>
      <c r="D17" s="15">
        <v>25.659</v>
      </c>
      <c r="E17" s="15">
        <v>-115.4655</v>
      </c>
      <c r="F17" s="15">
        <v>128.295</v>
      </c>
      <c r="G17" s="15">
        <v>997.85</v>
      </c>
      <c r="H17" s="15">
        <v>1682.09</v>
      </c>
      <c r="I17" s="15">
        <v>272.2705</v>
      </c>
      <c r="J17" s="15">
        <v>-81.2535</v>
      </c>
      <c r="K17" s="15">
        <v>-5.702</v>
      </c>
      <c r="L17" s="15">
        <v>-15.6805</v>
      </c>
      <c r="M17" s="15">
        <v>0</v>
      </c>
      <c r="N17" s="15">
        <f>SUM(C14:C17)/4</f>
        <v>443.87655</v>
      </c>
      <c r="O17" s="15"/>
      <c r="P17" s="16"/>
      <c r="Q17" s="16">
        <f>((D17+E17)/C17)</f>
        <v>-0.488372093023256</v>
      </c>
      <c r="R17" s="16">
        <f>AVERAGE(Q14:Q17)</f>
        <v>-0.0544894047868931</v>
      </c>
      <c r="S17" s="17"/>
      <c r="T17" s="15">
        <f>SUM(J14:K17)/4</f>
        <v>-27.52585</v>
      </c>
      <c r="U17" s="17"/>
      <c r="V17" s="15">
        <f>-(L17+M17)+V16</f>
        <v>-363.7697</v>
      </c>
      <c r="W17" s="17"/>
      <c r="X17" s="15">
        <f>F17-G17</f>
        <v>-869.5549999999999</v>
      </c>
      <c r="Y17" s="24"/>
      <c r="Z17" s="15">
        <v>1400</v>
      </c>
      <c r="AA17" s="24"/>
      <c r="AB17" s="15">
        <v>14.255</v>
      </c>
    </row>
    <row r="18" ht="20.05" customHeight="1">
      <c r="B18" s="13"/>
      <c r="C18" s="14">
        <v>418.557</v>
      </c>
      <c r="D18" s="15">
        <v>26.622</v>
      </c>
      <c r="E18" s="15">
        <v>5.916</v>
      </c>
      <c r="F18" s="15">
        <v>221.85</v>
      </c>
      <c r="G18" s="15">
        <v>1124.04</v>
      </c>
      <c r="H18" s="15">
        <v>1833.96</v>
      </c>
      <c r="I18" s="15">
        <v>394.893</v>
      </c>
      <c r="J18" s="15">
        <v>97.614</v>
      </c>
      <c r="K18" s="15">
        <v>-16.269</v>
      </c>
      <c r="L18" s="15">
        <v>11.832</v>
      </c>
      <c r="M18" s="15">
        <v>0</v>
      </c>
      <c r="N18" s="15">
        <f>SUM(C15:C18)/4</f>
        <v>413.308425</v>
      </c>
      <c r="O18" s="15"/>
      <c r="P18" s="16"/>
      <c r="Q18" s="16">
        <f>((D18+E18)/C18)</f>
        <v>0.0777385159010601</v>
      </c>
      <c r="R18" s="16">
        <f>AVERAGE(Q15:Q18)</f>
        <v>-0.0494904713496859</v>
      </c>
      <c r="S18" s="17"/>
      <c r="T18" s="15">
        <f>SUM(J15:K18)/4</f>
        <v>-14.641975</v>
      </c>
      <c r="U18" s="17"/>
      <c r="V18" s="15">
        <f>-(L18+M18)+V17</f>
        <v>-375.6017</v>
      </c>
      <c r="W18" s="17"/>
      <c r="X18" s="15">
        <f>F18-G18</f>
        <v>-902.1900000000001</v>
      </c>
      <c r="Y18" s="24"/>
      <c r="Z18" s="15">
        <v>1450</v>
      </c>
      <c r="AA18" s="24"/>
      <c r="AB18" s="15">
        <v>14.79</v>
      </c>
    </row>
    <row r="19" ht="20.05" customHeight="1">
      <c r="B19" s="13"/>
      <c r="C19" s="14">
        <v>470.94</v>
      </c>
      <c r="D19" s="15">
        <v>18.33</v>
      </c>
      <c r="E19" s="15">
        <v>-39.48</v>
      </c>
      <c r="F19" s="15">
        <v>211.5</v>
      </c>
      <c r="G19" s="15">
        <v>1001.1</v>
      </c>
      <c r="H19" s="15">
        <v>1635.6</v>
      </c>
      <c r="I19" s="15">
        <v>454.02</v>
      </c>
      <c r="J19" s="15">
        <v>90.23999999999999</v>
      </c>
      <c r="K19" s="15">
        <v>-15.51</v>
      </c>
      <c r="L19" s="15">
        <v>-80.37</v>
      </c>
      <c r="M19" s="15">
        <v>0</v>
      </c>
      <c r="N19" s="15">
        <f>SUM(C16:C19)/4</f>
        <v>405.758375</v>
      </c>
      <c r="O19" s="15"/>
      <c r="P19" s="16"/>
      <c r="Q19" s="16">
        <f>((D19+E19)/C19)</f>
        <v>-0.0449101796407186</v>
      </c>
      <c r="R19" s="16">
        <f>AVERAGE(Q16:Q19)</f>
        <v>-0.0745684317723309</v>
      </c>
      <c r="S19" s="17"/>
      <c r="T19" s="15">
        <f>SUM(J16:K19)/4</f>
        <v>9.940375</v>
      </c>
      <c r="U19" s="17"/>
      <c r="V19" s="15">
        <f>-(L19+M19)+V18</f>
        <v>-295.2317</v>
      </c>
      <c r="W19" s="17"/>
      <c r="X19" s="15">
        <f>F19-G19</f>
        <v>-789.6</v>
      </c>
      <c r="Y19" s="24"/>
      <c r="Z19" s="15">
        <v>1420</v>
      </c>
      <c r="AA19" s="24"/>
      <c r="AB19" s="15">
        <v>14.1</v>
      </c>
    </row>
    <row r="20" ht="20.05" customHeight="1">
      <c r="B20" s="21">
        <v>2021</v>
      </c>
      <c r="C20" s="14">
        <v>579.8582</v>
      </c>
      <c r="D20" s="15">
        <v>24.8302</v>
      </c>
      <c r="E20" s="15">
        <v>32.1332</v>
      </c>
      <c r="F20" s="15">
        <v>248.302</v>
      </c>
      <c r="G20" s="15">
        <v>1080.844</v>
      </c>
      <c r="H20" s="15">
        <v>1767.326</v>
      </c>
      <c r="I20" s="15">
        <v>572.5552</v>
      </c>
      <c r="J20" s="15">
        <v>153.363</v>
      </c>
      <c r="K20" s="15">
        <v>-14.606</v>
      </c>
      <c r="L20" s="15">
        <v>-108.201248</v>
      </c>
      <c r="M20" s="15">
        <v>0.116848</v>
      </c>
      <c r="N20" s="15">
        <f>SUM(C17:C20)/4</f>
        <v>413.311175</v>
      </c>
      <c r="O20" s="15"/>
      <c r="P20" s="16"/>
      <c r="Q20" s="16">
        <f>((D20+E20)/C20)</f>
        <v>0.09823677581863979</v>
      </c>
      <c r="R20" s="16">
        <f>AVERAGE(Q17:Q20)</f>
        <v>-0.08932674523606871</v>
      </c>
      <c r="S20" s="17"/>
      <c r="T20" s="15">
        <f>SUM(J17:K20)/4</f>
        <v>51.969125</v>
      </c>
      <c r="U20" s="17"/>
      <c r="V20" s="15">
        <f>-(L20+M20)+V19</f>
        <v>-187.1473</v>
      </c>
      <c r="W20" s="17"/>
      <c r="X20" s="15">
        <f>F20-G20</f>
        <v>-832.542</v>
      </c>
      <c r="Y20" s="15"/>
      <c r="Z20" s="15">
        <v>1480</v>
      </c>
      <c r="AA20" s="17"/>
      <c r="AB20" s="15">
        <v>14.606</v>
      </c>
    </row>
    <row r="21" ht="20.05" customHeight="1">
      <c r="B21" s="13"/>
      <c r="C21" s="14">
        <v>536.095</v>
      </c>
      <c r="D21" s="15">
        <v>31.79</v>
      </c>
      <c r="E21" s="15">
        <v>18.785</v>
      </c>
      <c r="F21" s="15">
        <v>245.65</v>
      </c>
      <c r="G21" s="15">
        <v>1025.95</v>
      </c>
      <c r="H21" s="15">
        <v>1734</v>
      </c>
      <c r="I21" s="15">
        <v>553.4349999999999</v>
      </c>
      <c r="J21" s="15">
        <v>86.7</v>
      </c>
      <c r="K21" s="15">
        <v>-20.23</v>
      </c>
      <c r="L21" s="15">
        <v>-67.91500000000001</v>
      </c>
      <c r="M21" s="15">
        <v>0</v>
      </c>
      <c r="N21" s="15">
        <f>SUM(C18:C21)/4</f>
        <v>501.36255</v>
      </c>
      <c r="O21" s="15">
        <v>521.955675</v>
      </c>
      <c r="P21" s="16">
        <f>C21/C20-1</f>
        <v>-0.075472244766048</v>
      </c>
      <c r="Q21" s="16">
        <f>((D21+E21)/C21)</f>
        <v>0.0943396226415094</v>
      </c>
      <c r="R21" s="16">
        <f>AVERAGE(Q18:Q21)</f>
        <v>0.0563511836801227</v>
      </c>
      <c r="S21" s="17"/>
      <c r="T21" s="15">
        <f>SUM(J18:K21)/4</f>
        <v>90.32550000000001</v>
      </c>
      <c r="U21" s="17"/>
      <c r="V21" s="15">
        <f>-(L21+M21)+V20</f>
        <v>-119.2323</v>
      </c>
      <c r="W21" s="17"/>
      <c r="X21" s="15">
        <f>F21-G21</f>
        <v>-780.3</v>
      </c>
      <c r="Y21" s="15"/>
      <c r="Z21" s="15">
        <v>1525</v>
      </c>
      <c r="AA21" s="17"/>
      <c r="AB21" s="15">
        <v>14.45</v>
      </c>
    </row>
    <row r="22" ht="20.05" customHeight="1">
      <c r="B22" s="13"/>
      <c r="C22" s="14">
        <v>524.4048</v>
      </c>
      <c r="D22" s="15">
        <v>17.1936</v>
      </c>
      <c r="E22" s="15">
        <v>-10.0296</v>
      </c>
      <c r="F22" s="15">
        <v>243.576</v>
      </c>
      <c r="G22" s="15">
        <v>1017.288</v>
      </c>
      <c r="H22" s="15">
        <v>1705.032</v>
      </c>
      <c r="I22" s="15">
        <v>563.0904</v>
      </c>
      <c r="J22" s="15">
        <v>74.5056</v>
      </c>
      <c r="K22" s="15">
        <v>-30.0888</v>
      </c>
      <c r="L22" s="15">
        <v>-45.8496</v>
      </c>
      <c r="M22" s="15">
        <v>0</v>
      </c>
      <c r="N22" s="15">
        <f>SUM(C19:C22)/4</f>
        <v>527.8244999999999</v>
      </c>
      <c r="O22" s="15">
        <v>543.48492</v>
      </c>
      <c r="P22" s="16">
        <f>C22/C21-1</f>
        <v>-0.0218062097202921</v>
      </c>
      <c r="Q22" s="16">
        <f>((D22+E22)/C22)</f>
        <v>0.0136612021857923</v>
      </c>
      <c r="R22" s="16">
        <f>AVERAGE(Q19:Q22)</f>
        <v>0.0403318552513057</v>
      </c>
      <c r="S22" s="17"/>
      <c r="T22" s="15">
        <f>SUM(J19:K22)/4</f>
        <v>81.09345</v>
      </c>
      <c r="U22" s="17"/>
      <c r="V22" s="15">
        <f>-(L22+M22)+V21</f>
        <v>-73.3827</v>
      </c>
      <c r="W22" s="17"/>
      <c r="X22" s="15">
        <f>F22-G22</f>
        <v>-773.712</v>
      </c>
      <c r="Y22" s="15"/>
      <c r="Z22" s="15">
        <v>1405</v>
      </c>
      <c r="AA22" s="17"/>
      <c r="AB22" s="15">
        <v>14.328</v>
      </c>
    </row>
    <row r="23" ht="20.05" customHeight="1">
      <c r="B23" s="13"/>
      <c r="C23" s="14">
        <v>525.3200000000001</v>
      </c>
      <c r="D23" s="15">
        <v>24.2675</v>
      </c>
      <c r="E23" s="15">
        <v>-5.71</v>
      </c>
      <c r="F23" s="15">
        <v>171.3</v>
      </c>
      <c r="G23" s="15">
        <v>1027.8</v>
      </c>
      <c r="H23" s="15">
        <v>1713</v>
      </c>
      <c r="I23" s="15">
        <v>593.84</v>
      </c>
      <c r="J23" s="15">
        <v>-67.0925</v>
      </c>
      <c r="K23" s="15">
        <v>-14.275</v>
      </c>
      <c r="L23" s="15">
        <v>12.8475</v>
      </c>
      <c r="M23" s="15">
        <v>0</v>
      </c>
      <c r="N23" s="15">
        <f>SUM(C20:C23)/4</f>
        <v>541.4195</v>
      </c>
      <c r="O23" s="15">
        <v>545.86529375</v>
      </c>
      <c r="P23" s="16">
        <f>C23/C22-1</f>
        <v>0.00174521667231116</v>
      </c>
      <c r="Q23" s="16">
        <f>((D23+E23)/C23)</f>
        <v>0.0353260869565217</v>
      </c>
      <c r="R23" s="16">
        <f>AVERAGE(Q20:Q23)</f>
        <v>0.0603909219006158</v>
      </c>
      <c r="S23" s="17"/>
      <c r="T23" s="15">
        <f>SUM(J20:K23)/4</f>
        <v>42.069075</v>
      </c>
      <c r="U23" s="17"/>
      <c r="V23" s="15">
        <f>-(L23+M23)+V22</f>
        <v>-86.2302</v>
      </c>
      <c r="W23" s="17"/>
      <c r="X23" s="15">
        <f>F23-G23</f>
        <v>-856.5</v>
      </c>
      <c r="Y23" s="15"/>
      <c r="Z23" s="15">
        <v>1340</v>
      </c>
      <c r="AA23" s="17"/>
      <c r="AB23" s="15">
        <v>14.275</v>
      </c>
    </row>
    <row r="24" ht="20.05" customHeight="1">
      <c r="B24" s="21">
        <v>2022</v>
      </c>
      <c r="C24" s="14">
        <v>600.3013</v>
      </c>
      <c r="D24" s="15">
        <v>25.7886</v>
      </c>
      <c r="E24" s="15">
        <v>-18.6251</v>
      </c>
      <c r="F24" s="15">
        <v>214.905</v>
      </c>
      <c r="G24" s="15">
        <v>1131.833</v>
      </c>
      <c r="H24" s="15">
        <v>1805.202</v>
      </c>
      <c r="I24" s="15">
        <v>623.2245</v>
      </c>
      <c r="J24" s="15">
        <v>48.7118</v>
      </c>
      <c r="K24" s="15">
        <v>-24.3559</v>
      </c>
      <c r="L24" s="15">
        <v>11.4616</v>
      </c>
      <c r="M24" s="15">
        <v>0</v>
      </c>
      <c r="N24" s="15">
        <f>SUM(C21:C24)/4</f>
        <v>546.530275</v>
      </c>
      <c r="O24" s="15">
        <v>561.47154825</v>
      </c>
      <c r="P24" s="16">
        <f>C24/C23-1</f>
        <v>0.142734523718876</v>
      </c>
      <c r="Q24" s="16">
        <f>((D24+E24)/C24)</f>
        <v>0.0119331742243437</v>
      </c>
      <c r="R24" s="16">
        <f>AVERAGE(Q21:Q24)</f>
        <v>0.0388150215020418</v>
      </c>
      <c r="S24" s="35"/>
      <c r="T24" s="15">
        <f>SUM(J21:K24)/4</f>
        <v>13.4688</v>
      </c>
      <c r="U24" s="15">
        <v>22.5529848157013</v>
      </c>
      <c r="V24" s="15">
        <f>-(L24+M24)+V23</f>
        <v>-97.6918</v>
      </c>
      <c r="W24" s="15"/>
      <c r="X24" s="15">
        <f>F24-G24</f>
        <v>-916.928</v>
      </c>
      <c r="Y24" s="15">
        <v>-790.216475007806</v>
      </c>
      <c r="Z24" s="15">
        <v>1325</v>
      </c>
      <c r="AA24" s="17"/>
      <c r="AB24" s="15">
        <v>14.327</v>
      </c>
    </row>
    <row r="25" ht="20.05" customHeight="1">
      <c r="B25" s="13"/>
      <c r="C25" s="14">
        <v>618.652</v>
      </c>
      <c r="D25" s="15">
        <v>23.456</v>
      </c>
      <c r="E25" s="15">
        <v>-10.262</v>
      </c>
      <c r="F25" s="15">
        <v>117.28</v>
      </c>
      <c r="G25" s="15">
        <v>1128.82</v>
      </c>
      <c r="H25" s="15">
        <v>1817.84</v>
      </c>
      <c r="I25" s="15">
        <v>513.1</v>
      </c>
      <c r="J25" s="15">
        <v>-123.144</v>
      </c>
      <c r="K25" s="15">
        <v>-32.252</v>
      </c>
      <c r="L25" s="15">
        <v>64.504</v>
      </c>
      <c r="M25" s="15">
        <v>0</v>
      </c>
      <c r="N25" s="15">
        <f>SUM(C22:C25)/4</f>
        <v>567.169525</v>
      </c>
      <c r="O25" s="15">
        <v>594.627925</v>
      </c>
      <c r="P25" s="16">
        <f>C25/C24-1</f>
        <v>0.0305691491922473</v>
      </c>
      <c r="Q25" s="16">
        <f>((D25+E25)/C25)</f>
        <v>0.0213270142180095</v>
      </c>
      <c r="R25" s="16">
        <f>AVERAGE(Q22:Q25)</f>
        <v>0.0205618693961668</v>
      </c>
      <c r="S25" s="35"/>
      <c r="T25" s="15">
        <f>SUM(J22:K25)/4</f>
        <v>-41.9977</v>
      </c>
      <c r="U25" s="15">
        <v>23.0771799677658</v>
      </c>
      <c r="V25" s="15">
        <f>-(L25+M25)+V24</f>
        <v>-162.1958</v>
      </c>
      <c r="W25" s="15"/>
      <c r="X25" s="15">
        <f>F25-G25</f>
        <v>-1011.54</v>
      </c>
      <c r="Y25" s="15">
        <v>-808.583340798104</v>
      </c>
      <c r="Z25" s="15">
        <v>1305</v>
      </c>
      <c r="AA25" s="15">
        <v>2203.009203902230</v>
      </c>
      <c r="AB25" s="15">
        <v>14.66</v>
      </c>
    </row>
    <row r="26" ht="20.05" customHeight="1">
      <c r="B26" s="13"/>
      <c r="C26" s="14">
        <v>736.5645</v>
      </c>
      <c r="D26" s="15">
        <v>28.269</v>
      </c>
      <c r="E26" s="15">
        <v>-28.269</v>
      </c>
      <c r="F26" s="15">
        <v>204.165</v>
      </c>
      <c r="G26" s="15">
        <v>1350.63</v>
      </c>
      <c r="H26" s="15">
        <v>2057.355</v>
      </c>
      <c r="I26" s="15">
        <v>807.237</v>
      </c>
      <c r="J26" s="15">
        <v>166.473</v>
      </c>
      <c r="K26" s="15">
        <v>-31.41</v>
      </c>
      <c r="L26" s="15">
        <v>-58.1085</v>
      </c>
      <c r="M26" s="15">
        <v>0</v>
      </c>
      <c r="N26" s="15">
        <f>AVERAGE(C26)</f>
        <v>736.5645</v>
      </c>
      <c r="O26" s="15">
        <v>723.756276845438</v>
      </c>
      <c r="P26" s="16">
        <f>C26/C25-1</f>
        <v>0.190595843866988</v>
      </c>
      <c r="Q26" s="16">
        <f>((D26+E26)/C26)</f>
        <v>0</v>
      </c>
      <c r="R26" s="16">
        <f>AVERAGE(Q23:Q26)</f>
        <v>0.0171465688497187</v>
      </c>
      <c r="S26" s="35">
        <f>S27</f>
        <v>0.0388150215020418</v>
      </c>
      <c r="T26" s="15">
        <f>SUM(J23:K26)/4</f>
        <v>-19.33615</v>
      </c>
      <c r="U26" s="15">
        <v>30.6760547825699</v>
      </c>
      <c r="V26" s="15">
        <f>-(L26+M26)+V25</f>
        <v>-104.0873</v>
      </c>
      <c r="W26" s="15">
        <f>W27</f>
        <v>-36.0658690769225</v>
      </c>
      <c r="X26" s="15">
        <f>F26-G26</f>
        <v>-1146.465</v>
      </c>
      <c r="Y26" s="15">
        <v>-965.171151523906</v>
      </c>
      <c r="Z26" s="15">
        <v>1340</v>
      </c>
      <c r="AA26" s="15">
        <v>1934.223731924650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805.882787650238</v>
      </c>
      <c r="P27" s="17"/>
      <c r="Q27" s="17"/>
      <c r="R27" s="17"/>
      <c r="S27" s="35">
        <f>AE53</f>
        <v>0.0388150215020418</v>
      </c>
      <c r="T27" s="17"/>
      <c r="U27" s="15">
        <f>SUM(AE55:AH55)/4</f>
        <v>17.0053577307694</v>
      </c>
      <c r="V27" s="17"/>
      <c r="W27" s="15">
        <f>-SUM(AE76:AH76)+V26</f>
        <v>-36.0658690769225</v>
      </c>
      <c r="X27" s="17"/>
      <c r="Y27" s="15">
        <f>AH75</f>
        <v>-1078.443569076920</v>
      </c>
      <c r="Z27" s="15">
        <v>1350</v>
      </c>
      <c r="AA27" s="15">
        <v>1934.223731924650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SUM(N17:N26)</f>
        <v>5097.125375</v>
      </c>
      <c r="O28" s="15">
        <f>SUM(O17:O26)</f>
        <v>3491.161638845440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1990.871148968120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329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0.09141118336260561</v>
      </c>
      <c r="AF49" s="35"/>
      <c r="AG49" s="35"/>
      <c r="AH49" s="35">
        <f>AVERAGE(AE51:AH51)</f>
        <v>0.0325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0.00174521667231116</v>
      </c>
      <c r="AF50" s="35">
        <f>P24</f>
        <v>0.142734523718876</v>
      </c>
      <c r="AG50" s="35">
        <f>P25</f>
        <v>0.0305691491922473</v>
      </c>
      <c r="AH50" s="35">
        <f>P26</f>
        <v>0.190595843866988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0.1</v>
      </c>
      <c r="AG51" s="35">
        <v>0.01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736.5645</v>
      </c>
      <c r="AE52" s="23">
        <f>C26*(1+AE51)</f>
        <v>743.930145</v>
      </c>
      <c r="AF52" s="23">
        <f>AE52*(1+AF51)</f>
        <v>818.3231595</v>
      </c>
      <c r="AG52" s="23">
        <f>AF52*(1+AG51)</f>
        <v>826.506391095</v>
      </c>
      <c r="AH52" s="23">
        <f>AG52*(1+AH51)</f>
        <v>834.771455005950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AVERAGE(R24)</f>
        <v>0.0388150215020418</v>
      </c>
      <c r="AF53" s="35">
        <f>AE53</f>
        <v>0.0388150215020418</v>
      </c>
      <c r="AG53" s="35">
        <f>AF53</f>
        <v>0.0388150215020418</v>
      </c>
      <c r="AH53" s="35">
        <f>AG53</f>
        <v>0.0388150215020418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AVERAGE(K23)</f>
        <v>-14.275</v>
      </c>
      <c r="AF54" s="15">
        <f>AE54</f>
        <v>-14.275</v>
      </c>
      <c r="AG54" s="15">
        <f>AF54</f>
        <v>-14.275</v>
      </c>
      <c r="AH54" s="15">
        <f>AG54</f>
        <v>-14.275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14.6006645741921</v>
      </c>
      <c r="AF55" s="15">
        <f>(AF52*AF53)+AF54</f>
        <v>17.4882310316113</v>
      </c>
      <c r="AG55" s="15">
        <f>(AG52*AG53)+AG54</f>
        <v>17.8058633419274</v>
      </c>
      <c r="AH55" s="15">
        <f>(AH52*AH53)+AH54</f>
        <v>18.1266719753467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-67.53149999999999</v>
      </c>
      <c r="AF56" s="15">
        <f>-AE71/20</f>
        <v>-64.15492500000001</v>
      </c>
      <c r="AG56" s="15">
        <f>-AF71/20</f>
        <v>-60.94717875</v>
      </c>
      <c r="AH56" s="15">
        <f>-AG71/20</f>
        <v>-57.8998198125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-52.9308354258079</v>
      </c>
      <c r="AF59" s="15">
        <f>AF55+AF56+AF58</f>
        <v>-46.6666939683887</v>
      </c>
      <c r="AG59" s="15">
        <f>AG55+AG56+AG58</f>
        <v>-43.1413154080726</v>
      </c>
      <c r="AH59" s="15">
        <f>AH55+AH56+AH58</f>
        <v>-39.7731478371533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52.9308354258079</v>
      </c>
      <c r="AF60" s="15">
        <f>-MIN(AE72,AF59)</f>
        <v>46.6666939683887</v>
      </c>
      <c r="AG60" s="15">
        <f>-MIN(AF72,AG59)</f>
        <v>43.1413154080726</v>
      </c>
      <c r="AH60" s="15">
        <f>-MIN(AG72,AH59)</f>
        <v>39.7731478371533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204.165</v>
      </c>
      <c r="AF61" s="15">
        <f>AE63</f>
        <v>204.165</v>
      </c>
      <c r="AG61" s="15">
        <f>AF63</f>
        <v>204.165</v>
      </c>
      <c r="AH61" s="15">
        <f>AG63</f>
        <v>204.165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204.165</v>
      </c>
      <c r="AF63" s="15">
        <f>AF61+AF62</f>
        <v>204.165</v>
      </c>
      <c r="AG63" s="15">
        <f>AG61+AG62</f>
        <v>204.165</v>
      </c>
      <c r="AH63" s="15">
        <f>AH61+AH62</f>
        <v>204.165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-25.8378666666667</v>
      </c>
      <c r="AF65" s="15">
        <f>AE65</f>
        <v>-25.8378666666667</v>
      </c>
      <c r="AG65" s="15">
        <f>AF65</f>
        <v>-25.8378666666667</v>
      </c>
      <c r="AH65" s="15">
        <f>AG65</f>
        <v>-25.8378666666667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3.03779790752537</v>
      </c>
      <c r="AF66" s="15">
        <f>(AF52*AF53)+AF65</f>
        <v>5.92536436494458</v>
      </c>
      <c r="AG66" s="15">
        <f>(AG52*AG53)+AG65</f>
        <v>6.24299667526069</v>
      </c>
      <c r="AH66" s="15">
        <f>(AH52*AH53)+AH65</f>
        <v>6.56380530867997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1867.465</v>
      </c>
      <c r="AF68" s="15">
        <f>AE68-AF54</f>
        <v>1881.74</v>
      </c>
      <c r="AG68" s="15">
        <f>AF68-AG54</f>
        <v>1896.015</v>
      </c>
      <c r="AH68" s="15">
        <f>AG68-AH54</f>
        <v>1910.29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25.8378666666667</v>
      </c>
      <c r="AF69" s="15">
        <f>AE69-AF65</f>
        <v>51.6757333333334</v>
      </c>
      <c r="AG69" s="15">
        <f>AF69-AG65</f>
        <v>77.5136000000001</v>
      </c>
      <c r="AH69" s="15">
        <f>AG69-AH65</f>
        <v>103.351466666667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1841.627133333330</v>
      </c>
      <c r="AF70" s="15">
        <f>AF68-AF69</f>
        <v>1830.064266666670</v>
      </c>
      <c r="AG70" s="15">
        <f>AG68-AG69</f>
        <v>1818.5014</v>
      </c>
      <c r="AH70" s="15">
        <f>AH68-AH69</f>
        <v>1806.938533333330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1283.0985</v>
      </c>
      <c r="AF71" s="15">
        <f>AE71+AF56</f>
        <v>1218.943575</v>
      </c>
      <c r="AG71" s="15">
        <f>AF71+AG56</f>
        <v>1157.99639625</v>
      </c>
      <c r="AH71" s="15">
        <f>AG71+AH56</f>
        <v>1100.0965764375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52.9308354258079</v>
      </c>
      <c r="AF72" s="15">
        <f>AE72+AF60</f>
        <v>99.5975293941966</v>
      </c>
      <c r="AG72" s="15">
        <f>AF72+AG60</f>
        <v>142.738844802269</v>
      </c>
      <c r="AH72" s="15">
        <f>AG72+AH60</f>
        <v>182.511992639422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709.7627979075251</v>
      </c>
      <c r="AF73" s="15">
        <f>AE73+AF66+AF58</f>
        <v>715.688162272470</v>
      </c>
      <c r="AG73" s="15">
        <f>AF73+AG66+AG58</f>
        <v>721.931158947731</v>
      </c>
      <c r="AH73" s="15">
        <f>AG73+AH66+AH58</f>
        <v>728.494964256411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2.9e-12</v>
      </c>
      <c r="AF74" s="15">
        <f>AF71+AF72+AF73-AF63-AF70</f>
        <v>-3.4e-12</v>
      </c>
      <c r="AG74" s="15">
        <f>AG71+AG72+AG73-AG63-AG70</f>
        <v>0</v>
      </c>
      <c r="AH74" s="15">
        <f>AH71+AH72+AH73-AH63-AH70</f>
        <v>3e-12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-1131.864335425810</v>
      </c>
      <c r="AF75" s="15">
        <f>AF63-AF71-AF72</f>
        <v>-1114.3761043942</v>
      </c>
      <c r="AG75" s="15">
        <f>AG63-AG71-AG72</f>
        <v>-1096.570241052270</v>
      </c>
      <c r="AH75" s="15">
        <f>AH63-AH71-AH72</f>
        <v>-1078.443569076920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-14.6006645741921</v>
      </c>
      <c r="AF76" s="15">
        <f>AF56+AF58+AF60</f>
        <v>-17.4882310316113</v>
      </c>
      <c r="AG76" s="15">
        <f>AG56+AG58+AG60</f>
        <v>-17.8058633419274</v>
      </c>
      <c r="AH76" s="15">
        <f>AH56+AH58+AH60</f>
        <v>-18.1266719753467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589</v>
      </c>
      <c r="AD78" s="14"/>
      <c r="AE78" s="15"/>
      <c r="AF78" s="15"/>
      <c r="AG78" s="15"/>
      <c r="AH78" s="15">
        <v>1350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589</v>
      </c>
      <c r="AD79" s="14"/>
      <c r="AE79" s="15"/>
      <c r="AF79" s="15"/>
      <c r="AG79" s="15"/>
      <c r="AH79" s="15">
        <v>553500000000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553.5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0.41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0.275222031499589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68.0214309230775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26.564253483240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8.13714137572215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816.257171076930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1990.871148968120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0.474719369606015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0.404572383776808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-0.315072441425783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589</v>
      </c>
      <c r="AF94" t="s" s="44">
        <v>60</v>
      </c>
      <c r="AG94" s="15">
        <f>AH78</f>
        <v>1350</v>
      </c>
      <c r="AH94" t="s" s="44">
        <v>61</v>
      </c>
      <c r="AI94" s="15">
        <f>AH88</f>
        <v>1990.871148968120</v>
      </c>
      <c r="AJ94" t="s" s="44">
        <f>IF(AK94&gt;0,"+","")</f>
        <v>361</v>
      </c>
      <c r="AK94" s="16">
        <f>AI94/AG94-1</f>
        <v>0.474719369606015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0.404572383776808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SUM(AF117:AI118)/AF134</f>
        <v>-0.139737308039747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SUM(AF131:AI132)/AF134</f>
        <v>-0.055473532068654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-2.07130081300813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0.190595843866988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-0.0218062097202921</v>
      </c>
      <c r="AF103" s="16">
        <f>P23</f>
        <v>0.00174521667231116</v>
      </c>
      <c r="AG103" s="16">
        <f>P24</f>
        <v>0.142734523718876</v>
      </c>
      <c r="AH103" s="16">
        <f>P25</f>
        <v>0.0305691491922473</v>
      </c>
      <c r="AI103" s="16">
        <f>P26</f>
        <v>0.190595843866988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524.4048</v>
      </c>
      <c r="AF104" s="15">
        <f>C23</f>
        <v>525.3200000000001</v>
      </c>
      <c r="AG104" s="15">
        <f>C24</f>
        <v>600.3013</v>
      </c>
      <c r="AH104" s="15">
        <f>C25</f>
        <v>618.652</v>
      </c>
      <c r="AI104" s="15">
        <f>C26</f>
        <v>736.5645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0.190595843866988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736.5645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0.09141118336260561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0.0325</v>
      </c>
      <c r="AG107" t="s" s="44">
        <v>82</v>
      </c>
      <c r="AH107" t="s" s="44">
        <v>83</v>
      </c>
      <c r="AI107" s="23">
        <f>AH52</f>
        <v>834.771455005950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0.0136612021857923</v>
      </c>
      <c r="AF110" s="16">
        <f>(D23+E23)/C23</f>
        <v>0.0353260869565217</v>
      </c>
      <c r="AG110" s="16">
        <f>((E24+D24)/C24)</f>
        <v>0.0119331742243437</v>
      </c>
      <c r="AH110" s="16">
        <f>(D25+E25)/C25</f>
        <v>0.0213270142180095</v>
      </c>
      <c r="AI110" s="16">
        <f>(D26+E26)/C26</f>
        <v>0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-10.0296</v>
      </c>
      <c r="AF111" s="15">
        <f>E23</f>
        <v>-5.71</v>
      </c>
      <c r="AG111" s="15">
        <f>E24</f>
        <v>-18.6251</v>
      </c>
      <c r="AH111" s="15">
        <f>E25</f>
        <v>-10.262</v>
      </c>
      <c r="AI111" s="15">
        <f>E26</f>
        <v>-28.269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0.0213270142180095</v>
      </c>
      <c r="AG112" t="s" s="44">
        <v>76</v>
      </c>
      <c r="AH112" s="16">
        <f>AI110</f>
        <v>0</v>
      </c>
      <c r="AI112" t="s" s="44">
        <v>90</v>
      </c>
      <c r="AJ112" s="15">
        <f>AH111</f>
        <v>-10.262</v>
      </c>
      <c r="AK112" t="s" s="44">
        <v>76</v>
      </c>
      <c r="AL112" s="15">
        <f>AI111</f>
        <v>-28.269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0.0171465688497187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0.0388150215020418</v>
      </c>
      <c r="AG114" t="s" s="44">
        <v>94</v>
      </c>
      <c r="AH114" s="15">
        <f>AH66</f>
        <v>6.56380530867997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74.5056</v>
      </c>
      <c r="AF117" s="15">
        <f>J23</f>
        <v>-67.0925</v>
      </c>
      <c r="AG117" s="15">
        <f>J24</f>
        <v>48.7118</v>
      </c>
      <c r="AH117" s="15">
        <f>J25</f>
        <v>-123.144</v>
      </c>
      <c r="AI117" s="15">
        <f>J26</f>
        <v>166.473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-30.0888</v>
      </c>
      <c r="AF118" s="15">
        <f>K23</f>
        <v>-14.275</v>
      </c>
      <c r="AG118" s="15">
        <f>K24</f>
        <v>-24.3559</v>
      </c>
      <c r="AH118" s="15">
        <f>K25</f>
        <v>-32.252</v>
      </c>
      <c r="AI118" s="15">
        <f>K26</f>
        <v>-31.41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-155.396</v>
      </c>
      <c r="AG119" t="s" s="44">
        <v>76</v>
      </c>
      <c r="AH119" s="15">
        <f>AI117+AI118</f>
        <v>135.063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-31.41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-19.33615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-14.275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17.0053577307694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243.576</v>
      </c>
      <c r="AF124" s="15">
        <f>F23</f>
        <v>171.3</v>
      </c>
      <c r="AG124" s="15">
        <f>F24</f>
        <v>214.905</v>
      </c>
      <c r="AH124" s="15">
        <f>F25</f>
        <v>117.28</v>
      </c>
      <c r="AI124" s="15">
        <f>F26</f>
        <v>204.165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1017.288</v>
      </c>
      <c r="AF125" s="15">
        <f>G23</f>
        <v>1027.8</v>
      </c>
      <c r="AG125" s="15">
        <f>G24</f>
        <v>1131.833</v>
      </c>
      <c r="AH125" s="15">
        <f>G25</f>
        <v>1128.82</v>
      </c>
      <c r="AI125" s="15">
        <f>G26</f>
        <v>1350.63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117.28</v>
      </c>
      <c r="AH126" t="s" s="44">
        <v>76</v>
      </c>
      <c r="AI126" s="15">
        <f>AI124</f>
        <v>204.165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1128.82</v>
      </c>
      <c r="AH127" t="s" s="44">
        <v>76</v>
      </c>
      <c r="AI127" s="15">
        <f>AI125</f>
        <v>1350.63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-1011.54</v>
      </c>
      <c r="AO127" t="s" s="44">
        <v>76</v>
      </c>
      <c r="AP127" s="15">
        <f>AI126-AI127</f>
        <v>-1146.465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-68.0214309230775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-1078.443569076920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45.8496</v>
      </c>
      <c r="AF131" s="15">
        <f>-L23</f>
        <v>-12.8475</v>
      </c>
      <c r="AG131" s="15">
        <f>-L24</f>
        <v>-11.4616</v>
      </c>
      <c r="AH131" s="15">
        <f>-L25</f>
        <v>-64.504</v>
      </c>
      <c r="AI131" s="15">
        <f>-L26</f>
        <v>58.1085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0</v>
      </c>
      <c r="AG132" s="15">
        <f>-M24</f>
        <v>0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589</v>
      </c>
      <c r="AF133" t="s" s="44">
        <f>IF(AG133&gt;0,"paid","(raised)")</f>
        <v>374</v>
      </c>
      <c r="AG133" s="15">
        <f>SUM(AI131:AI132)</f>
        <v>58.1085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58.1085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389</v>
      </c>
      <c r="AR133" t="s" s="44">
        <v>390</v>
      </c>
      <c r="AS133" t="s" s="44">
        <f>IF(AT133&gt;0,"pay","raise")</f>
        <v>364</v>
      </c>
      <c r="AT133" s="15">
        <f>-SUM(AE76:AH76)</f>
        <v>68.0214309230775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553.5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0.275222031499589</v>
      </c>
      <c r="AK134" t="s" s="44">
        <v>130</v>
      </c>
      <c r="AL134" t="s" s="44">
        <v>131</v>
      </c>
      <c r="AM134" t="s" s="44">
        <v>132</v>
      </c>
      <c r="AN134" s="15">
        <f>AH85</f>
        <v>26.564253483240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68.0214309230775</v>
      </c>
      <c r="AG135" t="s" s="44">
        <f>AG134</f>
        <v>372</v>
      </c>
      <c r="AH135" t="s" s="44">
        <v>136</v>
      </c>
      <c r="AI135" s="15">
        <f>AF134/AF135</f>
        <v>8.13714137572215</v>
      </c>
      <c r="AJ135" t="s" s="44">
        <v>130</v>
      </c>
      <c r="AK135" t="s" s="44">
        <v>137</v>
      </c>
      <c r="AL135" t="s" s="44">
        <v>138</v>
      </c>
      <c r="AM135" s="15">
        <f>AH86</f>
        <v>12</v>
      </c>
      <c r="AN135" t="s" s="44">
        <v>139</v>
      </c>
      <c r="AO135" t="s" s="44">
        <v>140</v>
      </c>
      <c r="AP135" t="s" s="44">
        <v>141</v>
      </c>
      <c r="AQ135" s="16">
        <f>AK94</f>
        <v>0.474719369606015</v>
      </c>
      <c r="AR135" t="s" s="44">
        <f>IF(AQ135&gt;0,"higher","lower")</f>
        <v>363</v>
      </c>
      <c r="AS135" t="s" s="44">
        <v>142</v>
      </c>
      <c r="AT135" s="15">
        <f>AI94</f>
        <v>1990.871148968120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524.4048</v>
      </c>
      <c r="AE137" s="15">
        <f>AF104</f>
        <v>525.3200000000001</v>
      </c>
      <c r="AF137" s="15">
        <f>AG104</f>
        <v>600.3013</v>
      </c>
      <c r="AG137" s="15">
        <f>AH104</f>
        <v>618.652</v>
      </c>
      <c r="AH137" s="15">
        <f>AI104</f>
        <v>736.5645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44.4168</v>
      </c>
      <c r="AE138" s="15">
        <f>SUM(AF117:AF118)</f>
        <v>-81.36750000000001</v>
      </c>
      <c r="AF138" s="15">
        <f>SUM(AG117:AG118)</f>
        <v>24.3559</v>
      </c>
      <c r="AG138" s="15">
        <f>SUM(AH117:AH118)</f>
        <v>-155.396</v>
      </c>
      <c r="AH138" s="15">
        <f>SUM(AI117:AI118)</f>
        <v>135.063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45.8496</v>
      </c>
      <c r="AE139" s="15">
        <f>SUM(AF131:AF132)</f>
        <v>-12.8475</v>
      </c>
      <c r="AF139" s="15">
        <f>SUM(AG131:AG132)</f>
        <v>-11.4616</v>
      </c>
      <c r="AG139" s="15">
        <f>SUM(AH131:AH132)</f>
        <v>-64.504</v>
      </c>
      <c r="AH139" s="15">
        <f>SUM(AI131:AI132)</f>
        <v>58.1085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-773.712</v>
      </c>
      <c r="AE140" s="15">
        <f>(AF124-AF125)</f>
        <v>-856.5</v>
      </c>
      <c r="AF140" s="15">
        <f>(AG124-AG125)</f>
        <v>-916.928</v>
      </c>
      <c r="AG140" s="15">
        <f>(AH124-AH125)</f>
        <v>-1011.54</v>
      </c>
      <c r="AH140" s="15">
        <f>(AI124-AI125)</f>
        <v>-1146.465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1990.871148968120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W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30" customWidth="1"/>
    <col min="2" max="29" width="10.4844" style="230" customWidth="1"/>
    <col min="30" max="30" width="18.9766" style="231" customWidth="1"/>
    <col min="31" max="49" width="9" style="231" customWidth="1"/>
    <col min="50" max="16384" width="16.3516" style="231" customWidth="1"/>
  </cols>
  <sheetData>
    <row r="1" ht="11.65" customHeight="1"/>
    <row r="2" ht="27.65" customHeight="1">
      <c r="B2" t="s" s="2">
        <v>590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16</v>
      </c>
      <c r="W3" t="s" s="3">
        <v>17</v>
      </c>
      <c r="X3" t="s" s="3">
        <v>12</v>
      </c>
      <c r="Y3" t="s" s="3">
        <v>18</v>
      </c>
      <c r="Z3" t="s" s="3">
        <v>12</v>
      </c>
      <c r="AA3" t="s" s="3">
        <v>226</v>
      </c>
      <c r="AB3" t="s" s="3">
        <v>19</v>
      </c>
      <c r="AC3" t="s" s="3">
        <v>20</v>
      </c>
    </row>
    <row r="4" ht="20.25" customHeight="1">
      <c r="B4" s="6">
        <v>2017</v>
      </c>
      <c r="C4" s="7">
        <v>19969</v>
      </c>
      <c r="D4" s="8">
        <v>524</v>
      </c>
      <c r="E4" s="8">
        <v>1890</v>
      </c>
      <c r="F4" s="8">
        <v>1395</v>
      </c>
      <c r="G4" s="8">
        <v>23558</v>
      </c>
      <c r="H4" s="8">
        <v>63261</v>
      </c>
      <c r="I4" s="8">
        <v>20791.5</v>
      </c>
      <c r="J4" s="8">
        <v>13574</v>
      </c>
      <c r="K4" s="8">
        <v>-283</v>
      </c>
      <c r="L4" s="8">
        <v>400</v>
      </c>
      <c r="M4" s="8">
        <v>-1270.05</v>
      </c>
      <c r="N4" s="8"/>
      <c r="O4" s="8"/>
      <c r="P4" s="9"/>
      <c r="Q4" s="9"/>
      <c r="R4" s="9"/>
      <c r="S4" s="9"/>
      <c r="T4" s="9"/>
      <c r="U4" s="9"/>
      <c r="V4" s="8">
        <f>J4+K4</f>
        <v>13291</v>
      </c>
      <c r="W4" s="8">
        <f>-(L4+M4)</f>
        <v>870.05</v>
      </c>
      <c r="X4" s="9"/>
      <c r="Y4" s="8">
        <f>F4-G4</f>
        <v>-22163</v>
      </c>
      <c r="Z4" s="9"/>
      <c r="AA4" s="8"/>
      <c r="AB4" s="11"/>
      <c r="AC4" s="12">
        <v>13.3</v>
      </c>
    </row>
    <row r="5" ht="20.05" customHeight="1">
      <c r="B5" s="13"/>
      <c r="C5" s="14">
        <v>20276</v>
      </c>
      <c r="D5" s="15">
        <v>533</v>
      </c>
      <c r="E5" s="15">
        <v>1235</v>
      </c>
      <c r="F5" s="15">
        <v>1508</v>
      </c>
      <c r="G5" s="15">
        <v>27671</v>
      </c>
      <c r="H5" s="15">
        <v>63530</v>
      </c>
      <c r="I5" s="15">
        <v>20791.5</v>
      </c>
      <c r="J5" s="15">
        <v>-785</v>
      </c>
      <c r="K5" s="15">
        <v>-1420</v>
      </c>
      <c r="L5" s="15">
        <v>400</v>
      </c>
      <c r="M5" s="15">
        <v>-1270.05</v>
      </c>
      <c r="N5" s="15"/>
      <c r="O5" s="15"/>
      <c r="P5" s="16"/>
      <c r="Q5" s="17"/>
      <c r="R5" s="17"/>
      <c r="S5" s="17"/>
      <c r="T5" s="17"/>
      <c r="U5" s="17"/>
      <c r="V5" s="15">
        <f>J5+K5+V4</f>
        <v>11086</v>
      </c>
      <c r="W5" s="15">
        <f>-(L5+M5)+W4</f>
        <v>1740.1</v>
      </c>
      <c r="X5" s="17"/>
      <c r="Y5" s="15">
        <f>F5-G5</f>
        <v>-26163</v>
      </c>
      <c r="Z5" s="17"/>
      <c r="AA5" s="15"/>
      <c r="AB5" s="19"/>
      <c r="AC5" s="20">
        <v>13.327</v>
      </c>
    </row>
    <row r="6" ht="20.05" customHeight="1">
      <c r="B6" s="13"/>
      <c r="C6" s="14">
        <v>21278</v>
      </c>
      <c r="D6" s="15">
        <v>553</v>
      </c>
      <c r="E6" s="15">
        <v>2294</v>
      </c>
      <c r="F6" s="15">
        <v>1587</v>
      </c>
      <c r="G6" s="15">
        <v>25233</v>
      </c>
      <c r="H6" s="15">
        <v>62817</v>
      </c>
      <c r="I6" s="15">
        <v>20791.5</v>
      </c>
      <c r="J6" s="15">
        <v>2845</v>
      </c>
      <c r="K6" s="15">
        <v>-844</v>
      </c>
      <c r="L6" s="15">
        <v>400</v>
      </c>
      <c r="M6" s="15">
        <v>-1270.05</v>
      </c>
      <c r="N6" s="15"/>
      <c r="O6" s="15"/>
      <c r="P6" s="16"/>
      <c r="Q6" s="17"/>
      <c r="R6" s="17"/>
      <c r="S6" s="17"/>
      <c r="T6" s="17"/>
      <c r="U6" s="17"/>
      <c r="V6" s="15">
        <f>J6+K6+V5</f>
        <v>13087</v>
      </c>
      <c r="W6" s="15">
        <f>-(L6+M6)+W5</f>
        <v>2610.15</v>
      </c>
      <c r="X6" s="17"/>
      <c r="Y6" s="15">
        <f>F6-G6</f>
        <v>-23646</v>
      </c>
      <c r="Z6" s="17"/>
      <c r="AA6" s="15"/>
      <c r="AB6" s="19"/>
      <c r="AC6" s="20">
        <v>13.305</v>
      </c>
    </row>
    <row r="7" ht="20.05" customHeight="1">
      <c r="B7" s="13"/>
      <c r="C7" s="14">
        <v>21782</v>
      </c>
      <c r="D7" s="15">
        <v>634</v>
      </c>
      <c r="E7" s="15">
        <v>2336</v>
      </c>
      <c r="F7" s="15">
        <v>1595</v>
      </c>
      <c r="G7" s="15">
        <v>23388</v>
      </c>
      <c r="H7" s="15">
        <v>62952</v>
      </c>
      <c r="I7" s="15">
        <v>20791.5</v>
      </c>
      <c r="J7" s="15">
        <v>-7430</v>
      </c>
      <c r="K7" s="15">
        <v>-692</v>
      </c>
      <c r="L7" s="15">
        <v>400</v>
      </c>
      <c r="M7" s="15">
        <v>-1270.05</v>
      </c>
      <c r="N7" s="15"/>
      <c r="O7" s="15"/>
      <c r="P7" s="16"/>
      <c r="Q7" s="17"/>
      <c r="R7" s="17"/>
      <c r="S7" s="17"/>
      <c r="T7" s="17"/>
      <c r="U7" s="17"/>
      <c r="V7" s="15">
        <f>J7+K7+V6</f>
        <v>4965</v>
      </c>
      <c r="W7" s="15">
        <f>-(L7+M7)+W6</f>
        <v>3480.2</v>
      </c>
      <c r="X7" s="17"/>
      <c r="Y7" s="15">
        <f>F7-G7</f>
        <v>-21793</v>
      </c>
      <c r="Z7" s="17"/>
      <c r="AA7" s="15"/>
      <c r="AB7" s="19"/>
      <c r="AC7" s="20">
        <v>13.557</v>
      </c>
    </row>
    <row r="8" ht="20.05" customHeight="1">
      <c r="B8" s="21">
        <v>2018</v>
      </c>
      <c r="C8" s="14">
        <v>21980</v>
      </c>
      <c r="D8" s="15">
        <v>537</v>
      </c>
      <c r="E8" s="15">
        <v>1892</v>
      </c>
      <c r="F8" s="15">
        <v>2329</v>
      </c>
      <c r="G8" s="15">
        <v>18094</v>
      </c>
      <c r="H8" s="15">
        <v>59491</v>
      </c>
      <c r="I8" s="15">
        <v>24055.25</v>
      </c>
      <c r="J8" s="15">
        <v>-6654</v>
      </c>
      <c r="K8" s="15">
        <v>-1678</v>
      </c>
      <c r="L8" s="15">
        <v>-925.01</v>
      </c>
      <c r="M8" s="15">
        <v>-1255.59</v>
      </c>
      <c r="N8" s="15">
        <f>SUM(C5:C8)/4</f>
        <v>21329</v>
      </c>
      <c r="O8" s="15"/>
      <c r="P8" s="16"/>
      <c r="Q8" s="16">
        <f>(E8+D8)/C8</f>
        <v>0.110509554140127</v>
      </c>
      <c r="R8" s="16"/>
      <c r="S8" s="17"/>
      <c r="T8" s="15">
        <f>SUM(J5:K8)/4</f>
        <v>-4164.5</v>
      </c>
      <c r="U8" s="25"/>
      <c r="V8" s="15">
        <f>J8+K8+V7</f>
        <v>-3367</v>
      </c>
      <c r="W8" s="15">
        <f>-(L8+M8)+W7</f>
        <v>5660.8</v>
      </c>
      <c r="X8" s="17"/>
      <c r="Y8" s="15">
        <f>F8-G8</f>
        <v>-15765</v>
      </c>
      <c r="Z8" s="24"/>
      <c r="AA8" s="60">
        <v>72475</v>
      </c>
      <c r="AB8" s="22"/>
      <c r="AC8" s="20">
        <v>13.761</v>
      </c>
    </row>
    <row r="9" ht="20.05" customHeight="1">
      <c r="B9" s="13"/>
      <c r="C9" s="14">
        <v>23325</v>
      </c>
      <c r="D9" s="15">
        <v>545</v>
      </c>
      <c r="E9" s="15">
        <v>1663</v>
      </c>
      <c r="F9" s="15">
        <v>1901</v>
      </c>
      <c r="G9" s="15">
        <v>24755</v>
      </c>
      <c r="H9" s="15">
        <v>62365</v>
      </c>
      <c r="I9" s="15">
        <v>24055.25</v>
      </c>
      <c r="J9" s="15">
        <v>-394</v>
      </c>
      <c r="K9" s="15">
        <v>-607</v>
      </c>
      <c r="L9" s="15">
        <v>-925.01</v>
      </c>
      <c r="M9" s="15">
        <v>-1255.59</v>
      </c>
      <c r="N9" s="15">
        <f>SUM(C6:C9)/4</f>
        <v>22091.25</v>
      </c>
      <c r="O9" s="15"/>
      <c r="P9" s="16"/>
      <c r="Q9" s="16">
        <f>(E9+D9)/C9</f>
        <v>0.0946623794212219</v>
      </c>
      <c r="R9" s="16"/>
      <c r="S9" s="17"/>
      <c r="T9" s="15">
        <f>SUM(J6:K9)/4</f>
        <v>-3863.5</v>
      </c>
      <c r="U9" s="25"/>
      <c r="V9" s="15">
        <f>J9+K9+V8</f>
        <v>-4368</v>
      </c>
      <c r="W9" s="15">
        <f>-(L9+M9)+W8</f>
        <v>7841.4</v>
      </c>
      <c r="X9" s="17"/>
      <c r="Y9" s="15">
        <f>F13-G9</f>
        <v>-21522</v>
      </c>
      <c r="Z9" s="24"/>
      <c r="AA9" s="60">
        <v>67250</v>
      </c>
      <c r="AB9" s="22"/>
      <c r="AC9" s="20">
        <v>14</v>
      </c>
    </row>
    <row r="10" ht="20.05" customHeight="1">
      <c r="B10" s="13"/>
      <c r="C10" s="14">
        <v>24584</v>
      </c>
      <c r="D10" s="15">
        <v>549</v>
      </c>
      <c r="E10" s="15">
        <v>2207</v>
      </c>
      <c r="F10" s="15">
        <v>2008</v>
      </c>
      <c r="G10" s="15">
        <v>22894</v>
      </c>
      <c r="H10" s="15">
        <v>62798</v>
      </c>
      <c r="I10" s="15">
        <v>24055.25</v>
      </c>
      <c r="J10" s="15">
        <v>3547</v>
      </c>
      <c r="K10" s="15">
        <v>-590</v>
      </c>
      <c r="L10" s="15">
        <v>-925.01</v>
      </c>
      <c r="M10" s="15">
        <v>-1255.59</v>
      </c>
      <c r="N10" s="15">
        <f>SUM(C7:C10)/4</f>
        <v>22917.75</v>
      </c>
      <c r="O10" s="15"/>
      <c r="P10" s="16">
        <f>C10/C9-1</f>
        <v>0.0539764201500536</v>
      </c>
      <c r="Q10" s="16">
        <f>(E10+D10)/C10</f>
        <v>0.112105434428897</v>
      </c>
      <c r="R10" s="16"/>
      <c r="S10" s="17"/>
      <c r="T10" s="15">
        <f>SUM(J7:K10)/4</f>
        <v>-3624.5</v>
      </c>
      <c r="U10" s="25"/>
      <c r="V10" s="15">
        <f>J10+K10+V9</f>
        <v>-1411</v>
      </c>
      <c r="W10" s="15">
        <f>-(L10+M10)+W9</f>
        <v>10022</v>
      </c>
      <c r="X10" s="17"/>
      <c r="Y10" s="15">
        <f>F10-G10</f>
        <v>-20886</v>
      </c>
      <c r="Z10" s="24"/>
      <c r="AA10" s="60">
        <v>74050</v>
      </c>
      <c r="AB10" s="22"/>
      <c r="AC10" s="20">
        <v>14.902</v>
      </c>
    </row>
    <row r="11" ht="20.05" customHeight="1">
      <c r="B11" s="13"/>
      <c r="C11" s="14">
        <v>25818</v>
      </c>
      <c r="D11" s="15">
        <v>634</v>
      </c>
      <c r="E11" s="15">
        <v>2031</v>
      </c>
      <c r="F11" s="15">
        <v>2329</v>
      </c>
      <c r="G11" s="15">
        <v>24572</v>
      </c>
      <c r="H11" s="15">
        <v>66759</v>
      </c>
      <c r="I11" s="15">
        <v>24055.25</v>
      </c>
      <c r="J11" s="15">
        <v>-6654</v>
      </c>
      <c r="K11" s="15">
        <v>-1678</v>
      </c>
      <c r="L11" s="15">
        <v>-925.01</v>
      </c>
      <c r="M11" s="15">
        <v>-1255.59</v>
      </c>
      <c r="N11" s="15">
        <f>SUM(C8:C11)/4</f>
        <v>23926.75</v>
      </c>
      <c r="O11" s="15"/>
      <c r="P11" s="16">
        <f>C11/C10-1</f>
        <v>0.0501952489424016</v>
      </c>
      <c r="Q11" s="16">
        <f>(E11+D11)/C11</f>
        <v>0.103222557905337</v>
      </c>
      <c r="R11" s="16"/>
      <c r="S11" s="17"/>
      <c r="T11" s="15">
        <f>SUM(J8:K11)/4</f>
        <v>-3677</v>
      </c>
      <c r="U11" s="25"/>
      <c r="V11" s="15">
        <f>J11+K11+V10</f>
        <v>-9743</v>
      </c>
      <c r="W11" s="15">
        <f>-(L11+M11)+W10</f>
        <v>12202.6</v>
      </c>
      <c r="X11" s="17"/>
      <c r="Y11" s="15">
        <f>F11-G11</f>
        <v>-22243</v>
      </c>
      <c r="Z11" s="24"/>
      <c r="AA11" s="60">
        <v>83625</v>
      </c>
      <c r="AB11" s="22"/>
      <c r="AC11" s="20">
        <v>14.38</v>
      </c>
    </row>
    <row r="12" ht="20.05" customHeight="1">
      <c r="B12" s="21">
        <v>2019</v>
      </c>
      <c r="C12" s="14">
        <v>26197</v>
      </c>
      <c r="D12" s="15">
        <v>584</v>
      </c>
      <c r="E12" s="15">
        <v>2355</v>
      </c>
      <c r="F12" s="15">
        <v>2202</v>
      </c>
      <c r="G12" s="15">
        <v>19223</v>
      </c>
      <c r="H12" s="15">
        <v>63304</v>
      </c>
      <c r="I12" s="15">
        <v>25481</v>
      </c>
      <c r="J12" s="15">
        <v>13567</v>
      </c>
      <c r="K12" s="15">
        <v>-991</v>
      </c>
      <c r="L12" s="15">
        <v>99.15000000000001</v>
      </c>
      <c r="M12" s="15">
        <v>-1250.65</v>
      </c>
      <c r="N12" s="15">
        <f>SUM(C9:C12)/4</f>
        <v>24981</v>
      </c>
      <c r="O12" s="23"/>
      <c r="P12" s="16">
        <f>C12/C11-1</f>
        <v>0.0146796808428228</v>
      </c>
      <c r="Q12" s="16">
        <f>(E12+D12)/C12</f>
        <v>0.112188418521205</v>
      </c>
      <c r="R12" s="16">
        <f>AVERAGE(Q9:Q12)</f>
        <v>0.105544697569165</v>
      </c>
      <c r="S12" s="17"/>
      <c r="T12" s="15">
        <f>SUM(J9:K12)/4</f>
        <v>1550</v>
      </c>
      <c r="U12" s="25"/>
      <c r="V12" s="15">
        <f>J12+K12+V11</f>
        <v>2833</v>
      </c>
      <c r="W12" s="15">
        <f>-(L12+M12)+W11</f>
        <v>13354.1</v>
      </c>
      <c r="X12" s="17"/>
      <c r="Y12" s="15">
        <f>F12-G12</f>
        <v>-17021</v>
      </c>
      <c r="Z12" s="24"/>
      <c r="AA12" s="60">
        <v>83200</v>
      </c>
      <c r="AB12" s="22"/>
      <c r="AC12" s="20">
        <v>14.24</v>
      </c>
    </row>
    <row r="13" ht="20.05" customHeight="1">
      <c r="B13" s="13"/>
      <c r="C13" s="14">
        <v>26548</v>
      </c>
      <c r="D13" s="15">
        <v>581</v>
      </c>
      <c r="E13" s="15">
        <v>1926</v>
      </c>
      <c r="F13" s="15">
        <v>3233</v>
      </c>
      <c r="G13" s="15">
        <v>25236</v>
      </c>
      <c r="H13" s="15">
        <v>65976</v>
      </c>
      <c r="I13" s="15">
        <v>26767</v>
      </c>
      <c r="J13" s="15">
        <v>2097</v>
      </c>
      <c r="K13" s="15">
        <v>-724</v>
      </c>
      <c r="L13" s="15">
        <v>99.15000000000001</v>
      </c>
      <c r="M13" s="15">
        <v>-1250.65</v>
      </c>
      <c r="N13" s="15">
        <f>SUM(C10:C13)/4</f>
        <v>25786.75</v>
      </c>
      <c r="O13" s="23"/>
      <c r="P13" s="16">
        <f>C13/C12-1</f>
        <v>0.0133984807420697</v>
      </c>
      <c r="Q13" s="16">
        <f>(E13+D13)/C13</f>
        <v>0.09443272562904929</v>
      </c>
      <c r="R13" s="16">
        <f>AVERAGE(Q10:Q13)</f>
        <v>0.105487284121122</v>
      </c>
      <c r="S13" s="17"/>
      <c r="T13" s="15">
        <f>SUM(J10:K13)/4</f>
        <v>2143.5</v>
      </c>
      <c r="U13" s="25"/>
      <c r="V13" s="15">
        <f>J13+K13+V12</f>
        <v>4206</v>
      </c>
      <c r="W13" s="15">
        <f>-(L13+M13)+W12</f>
        <v>14505.6</v>
      </c>
      <c r="X13" s="17"/>
      <c r="Y13" s="15">
        <f>F13-G13</f>
        <v>-22003</v>
      </c>
      <c r="Z13" s="24"/>
      <c r="AA13" s="60">
        <v>76875</v>
      </c>
      <c r="AB13" s="24"/>
      <c r="AC13" s="15">
        <v>14.127</v>
      </c>
    </row>
    <row r="14" ht="20.05" customHeight="1">
      <c r="B14" s="13"/>
      <c r="C14" s="14">
        <v>28976</v>
      </c>
      <c r="D14" s="15">
        <v>606</v>
      </c>
      <c r="E14" s="15">
        <v>2962</v>
      </c>
      <c r="F14" s="15">
        <v>2663</v>
      </c>
      <c r="G14" s="15">
        <v>23824</v>
      </c>
      <c r="H14" s="15">
        <v>66751</v>
      </c>
      <c r="I14" s="15">
        <v>28891</v>
      </c>
      <c r="J14" s="15">
        <v>2289</v>
      </c>
      <c r="K14" s="15">
        <v>-1329</v>
      </c>
      <c r="L14" s="15">
        <v>99.15000000000001</v>
      </c>
      <c r="M14" s="15">
        <v>-1250.65</v>
      </c>
      <c r="N14" s="15">
        <f>SUM(C11:C14)/4</f>
        <v>26884.75</v>
      </c>
      <c r="O14" s="23"/>
      <c r="P14" s="16">
        <f>C14/C13-1</f>
        <v>0.0914569835769173</v>
      </c>
      <c r="Q14" s="16">
        <f>(E14+D14)/C14</f>
        <v>0.123136388735505</v>
      </c>
      <c r="R14" s="16">
        <f>AVERAGE(Q11:Q14)</f>
        <v>0.108245022697774</v>
      </c>
      <c r="S14" s="17"/>
      <c r="T14" s="15">
        <f>SUM(J11:K14)/4</f>
        <v>1644.25</v>
      </c>
      <c r="U14" s="25"/>
      <c r="V14" s="15">
        <f>J14+K14+V13</f>
        <v>5166</v>
      </c>
      <c r="W14" s="15">
        <f>-(L14+M14)+W13</f>
        <v>15657.1</v>
      </c>
      <c r="X14" s="17"/>
      <c r="Y14" s="15">
        <f>F14-G14</f>
        <v>-21161</v>
      </c>
      <c r="Z14" s="24"/>
      <c r="AA14" s="60">
        <v>52375</v>
      </c>
      <c r="AB14" s="24"/>
      <c r="AC14" s="15">
        <v>14.195</v>
      </c>
    </row>
    <row r="15" ht="20.05" customHeight="1">
      <c r="B15" s="13"/>
      <c r="C15" s="14">
        <v>28803</v>
      </c>
      <c r="D15" s="15">
        <v>759</v>
      </c>
      <c r="E15" s="15">
        <v>3638</v>
      </c>
      <c r="F15" s="15">
        <v>2034</v>
      </c>
      <c r="G15" s="15">
        <v>23964</v>
      </c>
      <c r="H15" s="15">
        <v>69097</v>
      </c>
      <c r="I15" s="15">
        <v>29229</v>
      </c>
      <c r="J15" s="15">
        <v>-6779</v>
      </c>
      <c r="K15" s="15">
        <v>-1674</v>
      </c>
      <c r="L15" s="15">
        <v>99.15000000000001</v>
      </c>
      <c r="M15" s="15">
        <v>-1250.65</v>
      </c>
      <c r="N15" s="15">
        <f>SUM(C12:C15)/4</f>
        <v>27631</v>
      </c>
      <c r="O15" s="15"/>
      <c r="P15" s="16">
        <f>C15/C14-1</f>
        <v>-0.00597045831032579</v>
      </c>
      <c r="Q15" s="16">
        <f>(E15+D15)/C15</f>
        <v>0.152657709266396</v>
      </c>
      <c r="R15" s="16">
        <f>AVERAGE(Q12:Q15)</f>
        <v>0.120603810538039</v>
      </c>
      <c r="S15" s="17"/>
      <c r="T15" s="15">
        <f>SUM(J12:K15)/4</f>
        <v>1614</v>
      </c>
      <c r="U15" s="25"/>
      <c r="V15" s="15">
        <f>J15+K15+V14</f>
        <v>-3287</v>
      </c>
      <c r="W15" s="15">
        <f>-(L15+M15)+W14</f>
        <v>16808.6</v>
      </c>
      <c r="X15" s="17"/>
      <c r="Y15" s="15">
        <f>F15-G15</f>
        <v>-21930</v>
      </c>
      <c r="Z15" s="24"/>
      <c r="AA15" s="15">
        <v>53000</v>
      </c>
      <c r="AB15" s="24"/>
      <c r="AC15" s="15">
        <v>13.882</v>
      </c>
    </row>
    <row r="16" ht="20.05" customHeight="1">
      <c r="B16" s="21">
        <v>2020</v>
      </c>
      <c r="C16" s="14">
        <v>27260</v>
      </c>
      <c r="D16" s="15">
        <v>661</v>
      </c>
      <c r="E16" s="15">
        <v>2447</v>
      </c>
      <c r="F16" s="15">
        <v>2131</v>
      </c>
      <c r="G16" s="15">
        <v>18172</v>
      </c>
      <c r="H16" s="15">
        <v>65660</v>
      </c>
      <c r="I16" s="15">
        <v>26865</v>
      </c>
      <c r="J16" s="15">
        <v>13710</v>
      </c>
      <c r="K16" s="15">
        <v>-1658</v>
      </c>
      <c r="L16" s="15">
        <v>-2780</v>
      </c>
      <c r="M16" s="15">
        <v>0</v>
      </c>
      <c r="N16" s="15">
        <f>SUM(C13:C16)/4</f>
        <v>27896.75</v>
      </c>
      <c r="O16" s="23">
        <v>28202.03</v>
      </c>
      <c r="P16" s="16">
        <f>C16/C15-1</f>
        <v>-0.0535708085963268</v>
      </c>
      <c r="Q16" s="16">
        <f>(E16+D16)/C16</f>
        <v>0.114013206162876</v>
      </c>
      <c r="R16" s="16">
        <f>AVERAGE(Q13:Q16)</f>
        <v>0.121060007448457</v>
      </c>
      <c r="S16" s="17"/>
      <c r="T16" s="15">
        <f>SUM(J13:K16)/4</f>
        <v>1483</v>
      </c>
      <c r="U16" s="25"/>
      <c r="V16" s="15">
        <f>J16+K16+V15</f>
        <v>8765</v>
      </c>
      <c r="W16" s="15">
        <f>-(L16+M16)+W15</f>
        <v>19588.6</v>
      </c>
      <c r="X16" s="17"/>
      <c r="Y16" s="15">
        <f>F16-G16</f>
        <v>-16041</v>
      </c>
      <c r="Z16" s="24"/>
      <c r="AA16" s="15">
        <v>41100</v>
      </c>
      <c r="AB16" s="15"/>
      <c r="AC16" s="15">
        <v>16.31</v>
      </c>
    </row>
    <row r="17" ht="20.05" customHeight="1">
      <c r="B17" s="13"/>
      <c r="C17" s="14">
        <v>26395</v>
      </c>
      <c r="D17" s="15">
        <v>666</v>
      </c>
      <c r="E17" s="15">
        <v>1374</v>
      </c>
      <c r="F17" s="15">
        <v>2626</v>
      </c>
      <c r="G17" s="15">
        <v>22289</v>
      </c>
      <c r="H17" s="15">
        <v>66700</v>
      </c>
      <c r="I17" s="15">
        <v>25792</v>
      </c>
      <c r="J17" s="15">
        <v>2415</v>
      </c>
      <c r="K17" s="15">
        <v>-851</v>
      </c>
      <c r="L17" s="15">
        <v>-2780</v>
      </c>
      <c r="M17" s="15">
        <v>0</v>
      </c>
      <c r="N17" s="15">
        <f>SUM(C14:C17)/4</f>
        <v>27858.5</v>
      </c>
      <c r="O17" s="15">
        <v>27473.7</v>
      </c>
      <c r="P17" s="16">
        <f>C17/C16-1</f>
        <v>-0.0317314746881878</v>
      </c>
      <c r="Q17" s="16">
        <f>(E17+D17)/C17</f>
        <v>0.0772873650312559</v>
      </c>
      <c r="R17" s="16">
        <f>AVERAGE(Q14:Q17)</f>
        <v>0.116773667299008</v>
      </c>
      <c r="S17" s="17"/>
      <c r="T17" s="15">
        <f>SUM(J14:K17)/4</f>
        <v>1530.75</v>
      </c>
      <c r="U17" s="25"/>
      <c r="V17" s="15">
        <f>J17+K17+V16</f>
        <v>10329</v>
      </c>
      <c r="W17" s="15">
        <f>-(L17+M17)+W16</f>
        <v>22368.6</v>
      </c>
      <c r="X17" s="17"/>
      <c r="Y17" s="15">
        <f>F17-G17</f>
        <v>-19663</v>
      </c>
      <c r="Z17" s="24"/>
      <c r="AA17" s="15">
        <v>47175</v>
      </c>
      <c r="AB17" s="15"/>
      <c r="AC17" s="15">
        <v>14.255</v>
      </c>
    </row>
    <row r="18" ht="20.05" customHeight="1">
      <c r="B18" s="13"/>
      <c r="C18" s="14">
        <v>29720</v>
      </c>
      <c r="D18" s="15">
        <v>673</v>
      </c>
      <c r="E18" s="15">
        <v>1826</v>
      </c>
      <c r="F18" s="15">
        <v>3464</v>
      </c>
      <c r="G18" s="15">
        <v>24596</v>
      </c>
      <c r="H18" s="15">
        <v>71970</v>
      </c>
      <c r="I18" s="15">
        <v>30063</v>
      </c>
      <c r="J18" s="15">
        <v>5545</v>
      </c>
      <c r="K18" s="15">
        <v>-957</v>
      </c>
      <c r="L18" s="15">
        <v>-2780</v>
      </c>
      <c r="M18" s="15">
        <v>0</v>
      </c>
      <c r="N18" s="15">
        <f>SUM(C15:C18)/4</f>
        <v>28044.5</v>
      </c>
      <c r="O18" s="15">
        <v>27631.955</v>
      </c>
      <c r="P18" s="16">
        <f>C18/C17-1</f>
        <v>0.125970827808297</v>
      </c>
      <c r="Q18" s="16">
        <f>(E18+D18)/C18</f>
        <v>0.0840847913862719</v>
      </c>
      <c r="R18" s="16">
        <f>AVERAGE(Q15:Q18)</f>
        <v>0.1070107679617</v>
      </c>
      <c r="S18" s="17"/>
      <c r="T18" s="15">
        <f>SUM(J15:K18)/4</f>
        <v>2437.75</v>
      </c>
      <c r="U18" s="25"/>
      <c r="V18" s="15">
        <f>J18+K18+V17</f>
        <v>14917</v>
      </c>
      <c r="W18" s="15">
        <f>-(L18+M18)+W17</f>
        <v>25148.6</v>
      </c>
      <c r="X18" s="17"/>
      <c r="Y18" s="15">
        <f>F18-G18</f>
        <v>-21132</v>
      </c>
      <c r="Z18" s="24"/>
      <c r="AA18" s="15">
        <v>40050</v>
      </c>
      <c r="AB18" s="15"/>
      <c r="AC18" s="15">
        <v>14.79</v>
      </c>
    </row>
    <row r="19" ht="20.05" customHeight="1">
      <c r="B19" s="13"/>
      <c r="C19" s="14">
        <v>31102.3</v>
      </c>
      <c r="D19" s="15">
        <v>725.6</v>
      </c>
      <c r="E19" s="15">
        <v>2000.7</v>
      </c>
      <c r="F19" s="15">
        <v>3572</v>
      </c>
      <c r="G19" s="15">
        <v>27717</v>
      </c>
      <c r="H19" s="15">
        <v>78647</v>
      </c>
      <c r="I19" s="15">
        <v>31079.4</v>
      </c>
      <c r="J19" s="15">
        <v>-4192.3</v>
      </c>
      <c r="K19" s="15">
        <v>-1582.3</v>
      </c>
      <c r="L19" s="15">
        <v>-2780</v>
      </c>
      <c r="M19" s="15">
        <v>0</v>
      </c>
      <c r="N19" s="15">
        <f>SUM(C16:C19)/4</f>
        <v>28619.325</v>
      </c>
      <c r="O19" s="15">
        <v>28030.29</v>
      </c>
      <c r="P19" s="16">
        <f>C19/C18-1</f>
        <v>0.0465107671601615</v>
      </c>
      <c r="Q19" s="16">
        <f>(E19+D19)/C19</f>
        <v>0.087655896830781</v>
      </c>
      <c r="R19" s="16">
        <f>AVERAGE(Q16:Q19)</f>
        <v>0.0907603148527962</v>
      </c>
      <c r="S19" s="17"/>
      <c r="T19" s="15">
        <f>SUM(J16:K19)/4</f>
        <v>3107.35</v>
      </c>
      <c r="U19" s="25"/>
      <c r="V19" s="15">
        <f>J19+K19+V18</f>
        <v>9142.4</v>
      </c>
      <c r="W19" s="15">
        <f>-(L19+M19)+W18</f>
        <v>27928.6</v>
      </c>
      <c r="X19" s="17"/>
      <c r="Y19" s="15">
        <f>F19-G19</f>
        <v>-24145</v>
      </c>
      <c r="Z19" s="24"/>
      <c r="AA19" s="15">
        <v>41000</v>
      </c>
      <c r="AB19" s="17"/>
      <c r="AC19" s="15">
        <v>14.1</v>
      </c>
    </row>
    <row r="20" ht="20.05" customHeight="1">
      <c r="B20" s="21">
        <v>2021</v>
      </c>
      <c r="C20" s="14">
        <v>29747.2</v>
      </c>
      <c r="D20" s="15">
        <v>702</v>
      </c>
      <c r="E20" s="15">
        <v>1746.5</v>
      </c>
      <c r="F20" s="15">
        <v>3082</v>
      </c>
      <c r="G20" s="15">
        <v>23452</v>
      </c>
      <c r="H20" s="15">
        <v>76829</v>
      </c>
      <c r="I20" s="15">
        <v>29835.4</v>
      </c>
      <c r="J20" s="15">
        <v>9957.4</v>
      </c>
      <c r="K20" s="15">
        <v>-1035.2</v>
      </c>
      <c r="L20" s="15">
        <v>-6005</v>
      </c>
      <c r="M20" s="15"/>
      <c r="N20" s="15">
        <f>SUM(C17:C20)/4</f>
        <v>29241.125</v>
      </c>
      <c r="O20" s="15">
        <v>29178.85925</v>
      </c>
      <c r="P20" s="16">
        <f>C20/C19-1</f>
        <v>-0.0435691251129338</v>
      </c>
      <c r="Q20" s="16">
        <f>(E20+D20)/C20</f>
        <v>0.0823102678571429</v>
      </c>
      <c r="R20" s="16">
        <f>AVERAGE(Q17:Q20)</f>
        <v>0.0828345802763629</v>
      </c>
      <c r="S20" s="17"/>
      <c r="T20" s="15">
        <f>SUM(J17:K20)/4</f>
        <v>2324.9</v>
      </c>
      <c r="U20" s="25"/>
      <c r="V20" s="15">
        <f>J20+K20+V19</f>
        <v>18064.6</v>
      </c>
      <c r="W20" s="15">
        <f>-(L20+M20)+W19</f>
        <v>33933.6</v>
      </c>
      <c r="X20" s="17"/>
      <c r="Y20" s="15">
        <f>F20-G20</f>
        <v>-20370</v>
      </c>
      <c r="Z20" s="15"/>
      <c r="AA20" s="15">
        <v>36175</v>
      </c>
      <c r="AB20" s="15">
        <v>3882.296042989750</v>
      </c>
      <c r="AC20" s="15">
        <v>14.606</v>
      </c>
    </row>
    <row r="21" ht="20.05" customHeight="1">
      <c r="B21" s="13"/>
      <c r="C21" s="14">
        <v>30839.8</v>
      </c>
      <c r="D21" s="15">
        <v>702</v>
      </c>
      <c r="E21" s="15">
        <v>564.5</v>
      </c>
      <c r="F21" s="15">
        <v>8254</v>
      </c>
      <c r="G21" s="15">
        <v>24407</v>
      </c>
      <c r="H21" s="15">
        <v>79159</v>
      </c>
      <c r="I21" s="15">
        <v>30780.6</v>
      </c>
      <c r="J21" s="15">
        <v>101.6</v>
      </c>
      <c r="K21" s="15">
        <v>-1223.8</v>
      </c>
      <c r="L21" s="15">
        <v>-5</v>
      </c>
      <c r="M21" s="15"/>
      <c r="N21" s="15">
        <f>SUM(C18:C21)/4</f>
        <v>30352.325</v>
      </c>
      <c r="O21" s="15">
        <v>30334.50325</v>
      </c>
      <c r="P21" s="16">
        <f>C21/C20-1</f>
        <v>0.0367295073149742</v>
      </c>
      <c r="Q21" s="16">
        <f>(E21+D21)/C21</f>
        <v>0.0410670626917165</v>
      </c>
      <c r="R21" s="16">
        <f>AVERAGE(Q18:Q21)</f>
        <v>0.07377950469147811</v>
      </c>
      <c r="S21" s="17"/>
      <c r="T21" s="15">
        <f>SUM(J18:K21)/4</f>
        <v>1653.35</v>
      </c>
      <c r="U21" s="25"/>
      <c r="V21" s="15">
        <f>J21+K21+V20</f>
        <v>16942.4</v>
      </c>
      <c r="W21" s="15">
        <f>-(L21+M21)+W20</f>
        <v>33938.6</v>
      </c>
      <c r="X21" s="17"/>
      <c r="Y21" s="15">
        <f>F21-G21</f>
        <v>-16153</v>
      </c>
      <c r="Z21" s="15"/>
      <c r="AA21" s="15">
        <v>44200</v>
      </c>
      <c r="AB21" s="15">
        <v>4302.247933884290</v>
      </c>
      <c r="AC21" s="15">
        <v>14.45</v>
      </c>
    </row>
    <row r="22" ht="20.05" customHeight="1">
      <c r="B22" s="13"/>
      <c r="C22" s="14">
        <v>31483.9</v>
      </c>
      <c r="D22" s="15">
        <v>734</v>
      </c>
      <c r="E22" s="15">
        <v>1823.6</v>
      </c>
      <c r="F22" s="15">
        <v>5555</v>
      </c>
      <c r="G22" s="15">
        <v>20351</v>
      </c>
      <c r="H22" s="15">
        <v>76929</v>
      </c>
      <c r="I22" s="15">
        <v>32020.8</v>
      </c>
      <c r="J22" s="15">
        <v>3061.8</v>
      </c>
      <c r="K22" s="15">
        <v>-1091.3</v>
      </c>
      <c r="L22" s="15">
        <v>545</v>
      </c>
      <c r="M22" s="15">
        <v>-5003</v>
      </c>
      <c r="N22" s="15">
        <f>SUM(C19:C22)/4</f>
        <v>30793.3</v>
      </c>
      <c r="O22" s="15">
        <v>31326.17125</v>
      </c>
      <c r="P22" s="16">
        <f>C22/C21-1</f>
        <v>0.0208853494510341</v>
      </c>
      <c r="Q22" s="16">
        <f>(E22+D22)/C22</f>
        <v>0.08123517099215791</v>
      </c>
      <c r="R22" s="16">
        <f>AVERAGE(Q19:Q22)</f>
        <v>0.0730670995929496</v>
      </c>
      <c r="S22" s="17"/>
      <c r="T22" s="15">
        <f>SUM(J19:K22)/4</f>
        <v>998.975</v>
      </c>
      <c r="U22" s="25"/>
      <c r="V22" s="15">
        <f>J22+K22+V21</f>
        <v>18912.9</v>
      </c>
      <c r="W22" s="15">
        <f>-(L22+M22)+W21</f>
        <v>38396.6</v>
      </c>
      <c r="X22" s="17"/>
      <c r="Y22" s="15">
        <f>F22-G22</f>
        <v>-14796</v>
      </c>
      <c r="Z22" s="15"/>
      <c r="AA22" s="15">
        <v>32050</v>
      </c>
      <c r="AB22" s="15">
        <v>3984.202883586670</v>
      </c>
      <c r="AC22" s="15">
        <v>14.328</v>
      </c>
    </row>
    <row r="23" ht="20.05" customHeight="1">
      <c r="B23" s="13"/>
      <c r="C23" s="14">
        <v>32810.1</v>
      </c>
      <c r="D23" s="15">
        <v>758.5</v>
      </c>
      <c r="E23" s="15">
        <v>1470.4</v>
      </c>
      <c r="F23" s="15">
        <v>4774</v>
      </c>
      <c r="G23" s="15">
        <v>19669</v>
      </c>
      <c r="H23" s="15">
        <v>78191</v>
      </c>
      <c r="I23" s="15">
        <v>32025.9</v>
      </c>
      <c r="J23" s="15">
        <v>-7795.6</v>
      </c>
      <c r="K23" s="15">
        <v>-1493.9</v>
      </c>
      <c r="L23" s="15">
        <v>8993</v>
      </c>
      <c r="M23" s="15">
        <v>0</v>
      </c>
      <c r="N23" s="15">
        <f>SUM(C20:C23)/4</f>
        <v>31220.25</v>
      </c>
      <c r="O23" s="15">
        <v>31561.88525</v>
      </c>
      <c r="P23" s="16">
        <f>C23/C22-1</f>
        <v>0.0421231168946668</v>
      </c>
      <c r="Q23" s="16">
        <f>(E23+D23)/C23</f>
        <v>0.06793334979168</v>
      </c>
      <c r="R23" s="16">
        <f>AVERAGE(Q20:Q23)</f>
        <v>0.0681364628331743</v>
      </c>
      <c r="S23" s="17"/>
      <c r="T23" s="15">
        <f>SUM(J20:K23)/4</f>
        <v>120.25</v>
      </c>
      <c r="U23" s="25"/>
      <c r="V23" s="15">
        <f>J23+K23+V22</f>
        <v>9623.4</v>
      </c>
      <c r="W23" s="15">
        <f>-(L23+M23)+W22</f>
        <v>29403.6</v>
      </c>
      <c r="X23" s="17"/>
      <c r="Y23" s="15">
        <f>F23-G23</f>
        <v>-14895</v>
      </c>
      <c r="Z23" s="15"/>
      <c r="AA23" s="15">
        <v>34075</v>
      </c>
      <c r="AB23" s="15">
        <v>3913.233088388420</v>
      </c>
      <c r="AC23" s="15">
        <v>14.275</v>
      </c>
    </row>
    <row r="24" ht="20.05" customHeight="1">
      <c r="B24" s="21">
        <v>2022</v>
      </c>
      <c r="C24" s="14">
        <v>29291</v>
      </c>
      <c r="D24" s="15">
        <v>730</v>
      </c>
      <c r="E24" s="15">
        <v>1077</v>
      </c>
      <c r="F24" s="15">
        <v>7694</v>
      </c>
      <c r="G24" s="15">
        <v>19555</v>
      </c>
      <c r="H24" s="15">
        <v>79824</v>
      </c>
      <c r="I24" s="15">
        <v>30028</v>
      </c>
      <c r="J24" s="15">
        <v>4569.2</v>
      </c>
      <c r="K24" s="15">
        <v>-970.3</v>
      </c>
      <c r="L24" s="15">
        <v>-1758</v>
      </c>
      <c r="M24" s="15">
        <v>0</v>
      </c>
      <c r="N24" s="15">
        <f>SUM(C21:C24)/4</f>
        <v>31106.2</v>
      </c>
      <c r="O24" s="15">
        <v>32148.61625</v>
      </c>
      <c r="P24" s="16">
        <f>C24/C23-1</f>
        <v>-0.107256606959442</v>
      </c>
      <c r="Q24" s="16">
        <f>(E24+D24)/C24</f>
        <v>0.0616913044962617</v>
      </c>
      <c r="R24" s="16">
        <f>AVERAGE(Q21:Q24)</f>
        <v>0.062981721992954</v>
      </c>
      <c r="S24" s="35"/>
      <c r="T24" s="15">
        <f>SUM(J21:K24)/4</f>
        <v>-1210.575</v>
      </c>
      <c r="U24" s="15"/>
      <c r="V24" s="15">
        <f>J24+K24+V23</f>
        <v>13222.3</v>
      </c>
      <c r="W24" s="15">
        <f>-(L24+M24)+W23</f>
        <v>31161.6</v>
      </c>
      <c r="X24" s="15"/>
      <c r="Y24" s="15">
        <f>F24-G24</f>
        <v>-11861</v>
      </c>
      <c r="Z24" s="15"/>
      <c r="AA24" s="15">
        <v>31600</v>
      </c>
      <c r="AB24" s="15">
        <v>2523.754577530220</v>
      </c>
      <c r="AC24" s="15">
        <v>14.327</v>
      </c>
    </row>
    <row r="25" ht="20.05" customHeight="1">
      <c r="B25" s="13"/>
      <c r="C25" s="14">
        <v>32381</v>
      </c>
      <c r="D25" s="15">
        <v>730</v>
      </c>
      <c r="E25" s="15">
        <v>-121</v>
      </c>
      <c r="F25" s="15">
        <v>6562</v>
      </c>
      <c r="G25" s="15">
        <v>18604</v>
      </c>
      <c r="H25" s="15">
        <v>79437</v>
      </c>
      <c r="I25" s="15">
        <v>32245</v>
      </c>
      <c r="J25" s="15">
        <v>800.8</v>
      </c>
      <c r="K25" s="15">
        <v>-1281.7</v>
      </c>
      <c r="L25" s="15">
        <v>-448</v>
      </c>
      <c r="M25" s="15">
        <v>0</v>
      </c>
      <c r="N25" s="15">
        <f>SUM(C22:C25)/4</f>
        <v>31491.5</v>
      </c>
      <c r="O25" s="15">
        <v>31957.91725</v>
      </c>
      <c r="P25" s="16">
        <f>C25/C24-1</f>
        <v>0.105493154893995</v>
      </c>
      <c r="Q25" s="16">
        <f>(E25+D25)/C25</f>
        <v>0.0188073252833452</v>
      </c>
      <c r="R25" s="16">
        <f>AVERAGE(Q22:Q25)</f>
        <v>0.0574167876408612</v>
      </c>
      <c r="S25" s="35"/>
      <c r="T25" s="15">
        <f>SUM(J22:K25)/4</f>
        <v>-1050.25</v>
      </c>
      <c r="U25" s="15">
        <v>1142.403255307180</v>
      </c>
      <c r="V25" s="15">
        <f>J25+K25+V24</f>
        <v>12741.4</v>
      </c>
      <c r="W25" s="15">
        <f>-(L25+M25)+W24</f>
        <v>31609.6</v>
      </c>
      <c r="X25" s="15"/>
      <c r="Y25" s="15">
        <f>F25-G25</f>
        <v>-12042</v>
      </c>
      <c r="Z25" s="15">
        <v>-19654.7308851399</v>
      </c>
      <c r="AA25" s="15">
        <v>31175</v>
      </c>
      <c r="AB25" s="15">
        <v>1853.3900100968</v>
      </c>
      <c r="AC25" s="15">
        <v>14.66</v>
      </c>
    </row>
    <row r="26" ht="20.05" customHeight="1">
      <c r="B26" s="13"/>
      <c r="C26" s="14">
        <v>32248</v>
      </c>
      <c r="D26" s="15">
        <v>743</v>
      </c>
      <c r="E26" s="15">
        <v>542</v>
      </c>
      <c r="F26" s="15">
        <v>4086</v>
      </c>
      <c r="G26" s="15">
        <v>25531</v>
      </c>
      <c r="H26" s="15">
        <v>83251</v>
      </c>
      <c r="I26" s="15">
        <v>31974</v>
      </c>
      <c r="J26" s="15">
        <v>10489</v>
      </c>
      <c r="K26" s="15">
        <v>-1299</v>
      </c>
      <c r="L26" s="15">
        <v>-5556</v>
      </c>
      <c r="M26" s="15">
        <v>-4329</v>
      </c>
      <c r="N26" s="15">
        <f>SUM(C23:C26)/4</f>
        <v>31682.525</v>
      </c>
      <c r="O26" s="15">
        <v>32196.72425</v>
      </c>
      <c r="P26" s="16">
        <f>C26/C25-1</f>
        <v>-0.00410734690096044</v>
      </c>
      <c r="Q26" s="16">
        <f>(E26+D26)/C26</f>
        <v>0.0398474323989085</v>
      </c>
      <c r="R26" s="16">
        <f>AVERAGE(Q23:Q26)</f>
        <v>0.0470698529925489</v>
      </c>
      <c r="S26" s="35">
        <f>S27</f>
        <v>0.0681364628331743</v>
      </c>
      <c r="T26" s="15">
        <f>SUM(J24:K26)/3</f>
        <v>4102.666666666670</v>
      </c>
      <c r="U26" s="15">
        <v>813.286181056675</v>
      </c>
      <c r="V26" s="15">
        <f>J26+K26+V25</f>
        <v>21931.4</v>
      </c>
      <c r="W26" s="15">
        <f>-(L26+M26)+W25</f>
        <v>41494.6</v>
      </c>
      <c r="X26" s="15">
        <f>X27</f>
        <v>46337.006043118</v>
      </c>
      <c r="Y26" s="15">
        <f>F26-G26</f>
        <v>-21445</v>
      </c>
      <c r="Z26" s="15">
        <v>-23560.5710551547</v>
      </c>
      <c r="AA26" s="23">
        <v>22925</v>
      </c>
      <c r="AB26" s="23">
        <v>1610.846947327820</v>
      </c>
      <c r="AC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AVERAGE(AF52:AI52)</f>
        <v>34292.96757744</v>
      </c>
      <c r="P27" s="17"/>
      <c r="Q27" s="17"/>
      <c r="R27" s="17"/>
      <c r="S27" s="35">
        <f>AF53</f>
        <v>0.0681364628331743</v>
      </c>
      <c r="T27" s="15"/>
      <c r="U27" s="15">
        <f>SUM(AF55:AI55)/4</f>
        <v>1210.601510779490</v>
      </c>
      <c r="V27" s="17"/>
      <c r="W27" s="17"/>
      <c r="X27" s="15">
        <f>-SUM(AF76:AI76)+W26</f>
        <v>46337.006043118</v>
      </c>
      <c r="Y27" s="26"/>
      <c r="Z27" s="15">
        <f>AI75</f>
        <v>-18525.3157698174</v>
      </c>
      <c r="AA27" s="15">
        <v>17300</v>
      </c>
      <c r="AB27" s="23">
        <v>1580.721171407990</v>
      </c>
      <c r="AC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244506.55</v>
      </c>
      <c r="O28" s="15">
        <f>SUM(O19:O26)</f>
        <v>246734.96675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15"/>
      <c r="AA28" s="15"/>
      <c r="AB28" s="15">
        <f>AI88</f>
        <v>47817.7816964517</v>
      </c>
      <c r="AC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15"/>
      <c r="AA29" s="15"/>
      <c r="AB29" s="15"/>
      <c r="AC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5"/>
      <c r="AA30" s="15"/>
      <c r="AB30" s="15"/>
      <c r="AC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5"/>
      <c r="AA31" s="15"/>
      <c r="AB31" s="15"/>
      <c r="AC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5"/>
      <c r="AA32" s="15"/>
      <c r="AB32" s="15"/>
      <c r="AC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5"/>
      <c r="AA33" s="15"/>
      <c r="AB33" s="15"/>
      <c r="AC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/>
      <c r="AA34" s="15"/>
      <c r="AB34" s="15"/>
      <c r="AC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5"/>
      <c r="AA35" s="15"/>
      <c r="AB35" s="15"/>
      <c r="AC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5"/>
      <c r="AA36" s="15"/>
      <c r="AB36" s="15"/>
      <c r="AC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5"/>
      <c r="AA37" s="15"/>
      <c r="AB37" s="15"/>
      <c r="AC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5"/>
      <c r="AA38" s="15"/>
      <c r="AB38" s="15"/>
      <c r="AC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5"/>
      <c r="AA39" s="15"/>
      <c r="AB39" s="15"/>
      <c r="AC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5"/>
      <c r="AA40" s="15"/>
      <c r="AB40" s="15"/>
      <c r="AC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5"/>
      <c r="AA41" s="15"/>
      <c r="AB41" s="15"/>
      <c r="AC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15"/>
      <c r="AA42" s="15"/>
      <c r="AB42" s="15"/>
      <c r="AC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5"/>
      <c r="AA43" s="15"/>
      <c r="AB43" s="15"/>
      <c r="AC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5"/>
      <c r="AA44" s="15"/>
      <c r="AB44" s="15"/>
      <c r="AC44" s="15"/>
    </row>
    <row r="46" ht="27.65" customHeight="1">
      <c r="AD46" t="s" s="2">
        <v>226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ht="20.25" customHeight="1">
      <c r="AD47" t="s" s="28">
        <v>366</v>
      </c>
      <c r="AE47" t="s" s="29">
        <v>23</v>
      </c>
      <c r="AF47" t="s" s="29">
        <v>24</v>
      </c>
      <c r="AG47" t="s" s="29">
        <v>25</v>
      </c>
      <c r="AH47" t="s" s="29">
        <v>26</v>
      </c>
      <c r="AI47" t="s" s="29">
        <v>23</v>
      </c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ht="20.25" customHeight="1">
      <c r="AD48" t="s" s="31">
        <v>15</v>
      </c>
      <c r="AE48" s="32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</row>
    <row r="49" ht="20.05" customHeight="1">
      <c r="AD49" t="s" s="33">
        <v>27</v>
      </c>
      <c r="AE49" s="34"/>
      <c r="AF49" s="16">
        <f>AVERAGE(P23:P26)</f>
        <v>0.009063079482064839</v>
      </c>
      <c r="AG49" s="35"/>
      <c r="AH49" s="35"/>
      <c r="AI49" s="35">
        <f>AVERAGE(AF51:AI51)</f>
        <v>0.0175</v>
      </c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ht="20.05" customHeight="1">
      <c r="AD50" s="36"/>
      <c r="AE50" s="37"/>
      <c r="AF50" s="35">
        <f>P23</f>
        <v>0.0421231168946668</v>
      </c>
      <c r="AG50" s="35">
        <f>P24</f>
        <v>-0.107256606959442</v>
      </c>
      <c r="AH50" s="35">
        <f>P25</f>
        <v>0.105493154893995</v>
      </c>
      <c r="AI50" s="35">
        <f>P26</f>
        <v>-0.00410734690096044</v>
      </c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ht="20.05" customHeight="1">
      <c r="AD51" t="s" s="33">
        <v>13</v>
      </c>
      <c r="AE51" s="37"/>
      <c r="AF51" s="35">
        <v>0.04</v>
      </c>
      <c r="AG51" s="35">
        <v>0.07000000000000001</v>
      </c>
      <c r="AH51" s="35">
        <v>-0.07000000000000001</v>
      </c>
      <c r="AI51" s="35">
        <v>0.03</v>
      </c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ht="20.05" customHeight="1">
      <c r="AD52" t="s" s="33">
        <v>28</v>
      </c>
      <c r="AE52" s="38">
        <f>C26</f>
        <v>32248</v>
      </c>
      <c r="AF52" s="23">
        <f>C26*(1+AF51)</f>
        <v>33537.92</v>
      </c>
      <c r="AG52" s="23">
        <f>AF52*(1+AG51)</f>
        <v>35885.5744</v>
      </c>
      <c r="AH52" s="23">
        <f>AG52*(1+AH51)</f>
        <v>33373.584192</v>
      </c>
      <c r="AI52" s="23">
        <f>AH52*(1+AI51)</f>
        <v>34374.79171776</v>
      </c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ht="20.05" customHeight="1">
      <c r="AD53" t="s" s="33">
        <v>14</v>
      </c>
      <c r="AE53" s="37"/>
      <c r="AF53" s="35">
        <f>AVERAGE(R23)</f>
        <v>0.0681364628331743</v>
      </c>
      <c r="AG53" s="35">
        <f>AF53</f>
        <v>0.0681364628331743</v>
      </c>
      <c r="AH53" s="35">
        <f>AG53</f>
        <v>0.0681364628331743</v>
      </c>
      <c r="AI53" s="35">
        <f>AH53</f>
        <v>0.0681364628331743</v>
      </c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ht="20.05" customHeight="1">
      <c r="AD54" t="s" s="33">
        <v>29</v>
      </c>
      <c r="AE54" s="14"/>
      <c r="AF54" s="15">
        <f>AVERAGE(K24:K25)</f>
        <v>-1126</v>
      </c>
      <c r="AG54" s="15">
        <f>AF54</f>
        <v>-1126</v>
      </c>
      <c r="AH54" s="15">
        <f>AG54</f>
        <v>-1126</v>
      </c>
      <c r="AI54" s="15">
        <f>AH54</f>
        <v>-1126</v>
      </c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20.05" customHeight="1">
      <c r="AD55" t="s" s="33">
        <v>30</v>
      </c>
      <c r="AE55" s="14"/>
      <c r="AF55" s="15">
        <f>(AF52*AF53)+AF54</f>
        <v>1159.155239581970</v>
      </c>
      <c r="AG55" s="15">
        <f>(AG52*AG53)+AG54</f>
        <v>1319.116106352710</v>
      </c>
      <c r="AH55" s="15">
        <f>(AH52*AH53)+AH54</f>
        <v>1147.957978908020</v>
      </c>
      <c r="AI55" s="15">
        <f>(AI52*AI53)+AI54</f>
        <v>1216.176718275260</v>
      </c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20.05" customHeight="1">
      <c r="AD56" t="s" s="33">
        <v>31</v>
      </c>
      <c r="AE56" s="14"/>
      <c r="AF56" s="15">
        <f>-G26/20</f>
        <v>-1276.55</v>
      </c>
      <c r="AG56" s="15">
        <f>-AF71/20</f>
        <v>-1212.7225</v>
      </c>
      <c r="AH56" s="15">
        <f>-AG71/20</f>
        <v>-1152.086375</v>
      </c>
      <c r="AI56" s="15">
        <f>-AH71/20</f>
        <v>-1094.48205625</v>
      </c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20.05" customHeight="1">
      <c r="AD57" t="s" s="33">
        <v>32</v>
      </c>
      <c r="AE57" s="39"/>
      <c r="AF57" s="40">
        <v>-0.3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20.05" customHeight="1">
      <c r="AD58" t="s" s="33">
        <v>33</v>
      </c>
      <c r="AE58" s="14"/>
      <c r="AF58" s="15">
        <f>IF(AF66&gt;0,AF66*$AF$57,0)</f>
        <v>-465.246571874592</v>
      </c>
      <c r="AG58" s="15">
        <f>IF(AG66&gt;0,AG66*$AF$57,0)</f>
        <v>-513.234831905814</v>
      </c>
      <c r="AH58" s="15">
        <f>IF(AH66&gt;0,AH66*$AF$57,0)</f>
        <v>-461.887393672407</v>
      </c>
      <c r="AI58" s="15">
        <f>IF(AI66&gt;0,AI66*$AF$57,0)</f>
        <v>-482.353015482579</v>
      </c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20.05" customHeight="1">
      <c r="AD59" t="s" s="33">
        <v>34</v>
      </c>
      <c r="AE59" s="14"/>
      <c r="AF59" s="15">
        <f>AF55+AF56+AF58</f>
        <v>-582.641332292622</v>
      </c>
      <c r="AG59" s="15">
        <f>AG55+AG56+AG58</f>
        <v>-406.841225553104</v>
      </c>
      <c r="AH59" s="15">
        <f>AH55+AH56+AH58</f>
        <v>-466.015789764387</v>
      </c>
      <c r="AI59" s="15">
        <f>AI55+AI56+AI58</f>
        <v>-360.658353457319</v>
      </c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20.05" customHeight="1">
      <c r="AD60" t="s" s="33">
        <v>35</v>
      </c>
      <c r="AE60" s="14"/>
      <c r="AF60" s="15">
        <f>-MIN(0,AF59)</f>
        <v>582.641332292622</v>
      </c>
      <c r="AG60" s="15">
        <f>-MIN(AF72,AG59)</f>
        <v>406.841225553104</v>
      </c>
      <c r="AH60" s="15">
        <f>-MIN(AG72,AH59)</f>
        <v>466.015789764387</v>
      </c>
      <c r="AI60" s="15">
        <f>-MIN(AH72,AI59)</f>
        <v>360.658353457319</v>
      </c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20.05" customHeight="1">
      <c r="AD61" t="s" s="33">
        <v>36</v>
      </c>
      <c r="AE61" s="14"/>
      <c r="AF61" s="15">
        <f>F26</f>
        <v>4086</v>
      </c>
      <c r="AG61" s="15">
        <f>AF63</f>
        <v>4086</v>
      </c>
      <c r="AH61" s="15">
        <f>AG63</f>
        <v>4086</v>
      </c>
      <c r="AI61" s="15">
        <f>AH63</f>
        <v>4086</v>
      </c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20.05" customHeight="1">
      <c r="AD62" t="s" s="33">
        <v>37</v>
      </c>
      <c r="AE62" s="14"/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>
        <f>AI55+AI56+AI58+AI60</f>
        <v>0</v>
      </c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20.05" customHeight="1">
      <c r="AD63" t="s" s="33">
        <v>38</v>
      </c>
      <c r="AE63" s="14"/>
      <c r="AF63" s="15">
        <f>AF61+AF62</f>
        <v>4086</v>
      </c>
      <c r="AG63" s="15">
        <f>AG61+AG62</f>
        <v>4086</v>
      </c>
      <c r="AH63" s="15">
        <f>AH61+AH62</f>
        <v>4086</v>
      </c>
      <c r="AI63" s="15">
        <f>AI61+AI62</f>
        <v>4086</v>
      </c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20.05" customHeight="1">
      <c r="AD64" t="s" s="41">
        <v>4</v>
      </c>
      <c r="AE64" s="14"/>
      <c r="AF64" s="15"/>
      <c r="AG64" s="15"/>
      <c r="AH64" s="15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ht="20.05" customHeight="1">
      <c r="AD65" t="s" s="33">
        <v>3</v>
      </c>
      <c r="AE65" s="14"/>
      <c r="AF65" s="15">
        <f>-AVERAGE(D24:D26)</f>
        <v>-734.333333333333</v>
      </c>
      <c r="AG65" s="15">
        <f>AF65</f>
        <v>-734.333333333333</v>
      </c>
      <c r="AH65" s="15">
        <f>AG65</f>
        <v>-734.333333333333</v>
      </c>
      <c r="AI65" s="15">
        <f>AH65</f>
        <v>-734.333333333333</v>
      </c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20.05" customHeight="1">
      <c r="AD66" t="s" s="33">
        <v>4</v>
      </c>
      <c r="AE66" s="14"/>
      <c r="AF66" s="15">
        <f>(AF52*AF53)+AF65</f>
        <v>1550.821906248640</v>
      </c>
      <c r="AG66" s="15">
        <f>(AG52*AG53)+AG65</f>
        <v>1710.782773019380</v>
      </c>
      <c r="AH66" s="15">
        <f>(AH52*AH53)+AH65</f>
        <v>1539.624645574690</v>
      </c>
      <c r="AI66" s="15">
        <f>(AI52*AI53)+AI65</f>
        <v>1607.843384941930</v>
      </c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ht="20.05" customHeight="1">
      <c r="AD67" t="s" s="41">
        <v>39</v>
      </c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20.05" customHeight="1">
      <c r="AD68" t="s" s="33">
        <v>40</v>
      </c>
      <c r="AE68" s="14"/>
      <c r="AF68" s="15">
        <f>H26-F26-AF54</f>
        <v>80291</v>
      </c>
      <c r="AG68" s="15">
        <f>AF68-AG54</f>
        <v>81417</v>
      </c>
      <c r="AH68" s="15">
        <f>AG68-AH54</f>
        <v>82543</v>
      </c>
      <c r="AI68" s="15">
        <f>AH68-AI54</f>
        <v>83669</v>
      </c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20.05" customHeight="1">
      <c r="AD69" t="s" s="33">
        <v>41</v>
      </c>
      <c r="AE69" s="14"/>
      <c r="AF69" s="15">
        <f>0-AF65</f>
        <v>734.333333333333</v>
      </c>
      <c r="AG69" s="15">
        <f>AF69-AG65</f>
        <v>1468.666666666670</v>
      </c>
      <c r="AH69" s="15">
        <f>AG69-AH65</f>
        <v>2203</v>
      </c>
      <c r="AI69" s="15">
        <f>AH69-AI65</f>
        <v>2937.333333333330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20.05" customHeight="1">
      <c r="AD70" t="s" s="33">
        <v>42</v>
      </c>
      <c r="AE70" s="14"/>
      <c r="AF70" s="15">
        <f>AF68-AF69</f>
        <v>79556.6666666667</v>
      </c>
      <c r="AG70" s="15">
        <f>AG68-AG69</f>
        <v>79948.3333333333</v>
      </c>
      <c r="AH70" s="15">
        <f>AH68-AH69</f>
        <v>80340</v>
      </c>
      <c r="AI70" s="15">
        <f>AI68-AI69</f>
        <v>80731.6666666667</v>
      </c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20.05" customHeight="1">
      <c r="AD71" t="s" s="33">
        <v>6</v>
      </c>
      <c r="AE71" s="14"/>
      <c r="AF71" s="15">
        <f>G26+AF56</f>
        <v>24254.45</v>
      </c>
      <c r="AG71" s="15">
        <f>AF71+AG56</f>
        <v>23041.7275</v>
      </c>
      <c r="AH71" s="15">
        <f>AG71+AH56</f>
        <v>21889.641125</v>
      </c>
      <c r="AI71" s="15">
        <f>AH71+AI56</f>
        <v>20795.15906875</v>
      </c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20.05" customHeight="1">
      <c r="AD72" t="s" s="33">
        <v>35</v>
      </c>
      <c r="AE72" s="14"/>
      <c r="AF72" s="15">
        <f>AF60</f>
        <v>582.641332292622</v>
      </c>
      <c r="AG72" s="15">
        <f>AF72+AG60</f>
        <v>989.482557845726</v>
      </c>
      <c r="AH72" s="15">
        <f>AG72+AH60</f>
        <v>1455.498347610110</v>
      </c>
      <c r="AI72" s="15">
        <f>AH72+AI60</f>
        <v>1816.156701067430</v>
      </c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20.05" customHeight="1">
      <c r="AD73" t="s" s="33">
        <v>11</v>
      </c>
      <c r="AE73" s="14"/>
      <c r="AF73" s="15">
        <f>(H26-G26)+AF66+AF58</f>
        <v>58805.575334374</v>
      </c>
      <c r="AG73" s="15">
        <f>AF73+AG66+AG58</f>
        <v>60003.1232754876</v>
      </c>
      <c r="AH73" s="15">
        <f>AG73+AH66+AH58</f>
        <v>61080.8605273899</v>
      </c>
      <c r="AI73" s="15">
        <f>AH73+AI66+AI58</f>
        <v>62206.3508968493</v>
      </c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20.05" customHeight="1">
      <c r="AD74" t="s" s="33">
        <v>43</v>
      </c>
      <c r="AE74" s="14"/>
      <c r="AF74" s="15">
        <f>AF71+AF72+AF73-AF63-AF70</f>
        <v>-7.8e-11</v>
      </c>
      <c r="AG74" s="15">
        <f>AG71+AG72+AG73-AG63-AG70</f>
        <v>2.6e-11</v>
      </c>
      <c r="AH74" s="15">
        <f>AH71+AH72+AH73-AH63-AH70</f>
        <v>9.999999999999999e-12</v>
      </c>
      <c r="AI74" s="15">
        <f>AI71+AI72+AI73-AI63-AI70</f>
        <v>3e-11</v>
      </c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20.05" customHeight="1">
      <c r="AD75" t="s" s="33">
        <v>18</v>
      </c>
      <c r="AE75" s="14"/>
      <c r="AF75" s="15">
        <f>AF63-AF71-AF72</f>
        <v>-20751.0913322926</v>
      </c>
      <c r="AG75" s="15">
        <f>AG63-AG71-AG72</f>
        <v>-19945.2100578457</v>
      </c>
      <c r="AH75" s="15">
        <f>AH63-AH71-AH72</f>
        <v>-19259.1394726101</v>
      </c>
      <c r="AI75" s="15">
        <f>AI63-AI71-AI72</f>
        <v>-18525.3157698174</v>
      </c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20.05" customHeight="1">
      <c r="AD76" t="s" s="33">
        <v>44</v>
      </c>
      <c r="AE76" s="14"/>
      <c r="AF76" s="15">
        <f>AF56+AF58+AF60</f>
        <v>-1159.155239581970</v>
      </c>
      <c r="AG76" s="15">
        <f>AG56+AG58+AG60</f>
        <v>-1319.116106352710</v>
      </c>
      <c r="AH76" s="15">
        <f>AH56+AH58+AH60</f>
        <v>-1147.957978908020</v>
      </c>
      <c r="AI76" s="15">
        <f>AI56+AI58+AI60</f>
        <v>-1216.176718275260</v>
      </c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20.05" customHeight="1">
      <c r="AD77" t="s" s="33">
        <v>45</v>
      </c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20.05" customHeight="1">
      <c r="AD78" t="s" s="33">
        <f>AA$3</f>
        <v>591</v>
      </c>
      <c r="AE78" s="14"/>
      <c r="AF78" s="15"/>
      <c r="AG78" s="15"/>
      <c r="AH78" s="15"/>
      <c r="AI78" s="15">
        <v>17300</v>
      </c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20.05" customHeight="1">
      <c r="AD79" t="s" s="33">
        <f>$AD78</f>
        <v>591</v>
      </c>
      <c r="AE79" s="14"/>
      <c r="AF79" s="15"/>
      <c r="AG79" s="15"/>
      <c r="AH79" s="15"/>
      <c r="AI79" s="15">
        <v>33286756723200</v>
      </c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20.05" customHeight="1">
      <c r="AD80" t="s" s="33">
        <v>46</v>
      </c>
      <c r="AE80" s="14"/>
      <c r="AF80" s="15"/>
      <c r="AG80" s="15"/>
      <c r="AH80" s="15"/>
      <c r="AI80" s="15">
        <f>AI79/1000000000</f>
        <v>33286.7567232</v>
      </c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20.05" customHeight="1">
      <c r="AD81" t="s" s="33">
        <v>47</v>
      </c>
      <c r="AE81" s="14"/>
      <c r="AF81" s="15"/>
      <c r="AG81" s="15"/>
      <c r="AH81" s="15"/>
      <c r="AI81" s="15">
        <f>AI80/AI78</f>
        <v>1.924089984</v>
      </c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20.05" customHeight="1">
      <c r="AD82" t="s" s="33">
        <v>48</v>
      </c>
      <c r="AE82" s="14"/>
      <c r="AF82" s="15"/>
      <c r="AG82" s="15"/>
      <c r="AH82" s="15"/>
      <c r="AI82" s="43">
        <f>AI80/(AI63+AI70)</f>
        <v>0.392450747955811</v>
      </c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</row>
    <row r="83" ht="20.05" customHeight="1">
      <c r="AD83" t="s" s="33">
        <v>49</v>
      </c>
      <c r="AE83" s="14"/>
      <c r="AF83" s="15"/>
      <c r="AG83" s="15"/>
      <c r="AH83" s="15"/>
      <c r="AI83" s="16">
        <f>-(AF58+AG58+AH58+AI58)/AI80</f>
        <v>0.0577623656436106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ht="20.05" customHeight="1">
      <c r="AD84" t="s" s="33">
        <v>50</v>
      </c>
      <c r="AE84" s="14"/>
      <c r="AF84" s="15"/>
      <c r="AG84" s="15"/>
      <c r="AH84" s="15"/>
      <c r="AI84" s="15">
        <f>SUM(AF55:AI55)</f>
        <v>4842.406043117960</v>
      </c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20.05" customHeight="1">
      <c r="AD85" t="s" s="33">
        <v>51</v>
      </c>
      <c r="AE85" s="14"/>
      <c r="AF85" s="15"/>
      <c r="AG85" s="15"/>
      <c r="AH85" s="15"/>
      <c r="AI85" s="15">
        <f>AI70/AI84</f>
        <v>16.6718085901538</v>
      </c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20.05" customHeight="1">
      <c r="AD86" t="s" s="33">
        <v>52</v>
      </c>
      <c r="AE86" s="14"/>
      <c r="AF86" s="15"/>
      <c r="AG86" s="15"/>
      <c r="AH86" s="15">
        <f>AI80/AI84</f>
        <v>6.87401189136281</v>
      </c>
      <c r="AI86" s="15">
        <v>19</v>
      </c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20.05" customHeight="1">
      <c r="AD87" t="s" s="33">
        <v>53</v>
      </c>
      <c r="AE87" s="14"/>
      <c r="AF87" s="15"/>
      <c r="AG87" s="15"/>
      <c r="AH87" s="15"/>
      <c r="AI87" s="15">
        <f>AI84*AI86</f>
        <v>92005.7148192412</v>
      </c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20.05" customHeight="1">
      <c r="AD88" t="s" s="33">
        <v>54</v>
      </c>
      <c r="AE88" s="14"/>
      <c r="AF88" s="15"/>
      <c r="AG88" s="15"/>
      <c r="AH88" s="15"/>
      <c r="AI88" s="15">
        <f>(AI87/AI81)</f>
        <v>47817.7816964517</v>
      </c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20.05" customHeight="1">
      <c r="AD89" t="s" s="33">
        <v>55</v>
      </c>
      <c r="AE89" s="38"/>
      <c r="AF89" s="23"/>
      <c r="AG89" s="23"/>
      <c r="AH89" s="23"/>
      <c r="AI89" s="16">
        <f>AI88/AI78-1</f>
        <v>1.76403362407235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ht="20.05" customHeight="1">
      <c r="AD90" t="s" s="33">
        <v>56</v>
      </c>
      <c r="AE90" s="38"/>
      <c r="AF90" s="23"/>
      <c r="AG90" s="23"/>
      <c r="AH90" s="23"/>
      <c r="AI90" s="16">
        <f>C26/C22-1</f>
        <v>0.0242695472924257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ht="20.05" customHeight="1">
      <c r="AD91" t="s" s="33">
        <v>57</v>
      </c>
      <c r="AE91" s="38"/>
      <c r="AF91" s="23"/>
      <c r="AG91" s="23"/>
      <c r="AH91" s="23"/>
      <c r="AI91" s="16">
        <f>O28/N28-1</f>
        <v>0.009113934780070309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ht="20.05" customHeight="1">
      <c r="AD92" s="36"/>
      <c r="AE92" s="38"/>
      <c r="AF92" s="23"/>
      <c r="AG92" s="23"/>
      <c r="AH92" s="23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ht="20.05" customHeight="1">
      <c r="AD93" s="36"/>
      <c r="AE93" s="38"/>
      <c r="AF93" s="23"/>
      <c r="AG93" s="23"/>
      <c r="AH93" s="23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ht="20.05" customHeight="1">
      <c r="AD94" s="36"/>
      <c r="AE94" s="45"/>
      <c r="AF94" t="s" s="44">
        <f>$AD78</f>
        <v>591</v>
      </c>
      <c r="AG94" t="s" s="44">
        <v>60</v>
      </c>
      <c r="AH94" s="15">
        <f>AI78</f>
        <v>17300</v>
      </c>
      <c r="AI94" t="s" s="44">
        <v>61</v>
      </c>
      <c r="AJ94" s="15">
        <f>AI88</f>
        <v>47817.7816964517</v>
      </c>
      <c r="AK94" t="s" s="44">
        <f>IF(AL94&gt;0,"+","")</f>
        <v>361</v>
      </c>
      <c r="AL94" s="16">
        <f>AJ94/AH94-1</f>
        <v>1.76403362407235</v>
      </c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ht="20.05" customHeight="1">
      <c r="AD95" s="36"/>
      <c r="AE95" s="46"/>
      <c r="AF95" s="47">
        <f>TODAY()</f>
        <v>44942</v>
      </c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ht="32.05" customHeight="1">
      <c r="AD96" s="36"/>
      <c r="AE96" s="34"/>
      <c r="AF96" t="s" s="44">
        <v>62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ht="32.05" customHeight="1">
      <c r="AD97" s="36"/>
      <c r="AE97" s="34"/>
      <c r="AF97" t="s" s="44">
        <v>63</v>
      </c>
      <c r="AG97" t="s" s="44">
        <v>64</v>
      </c>
      <c r="AH97" t="s" s="44">
        <f>IF(AI97&gt;0,"+","")</f>
        <v>361</v>
      </c>
      <c r="AI97" s="16">
        <f>AN104/AF104-1</f>
        <v>0.0242695472924257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ht="32.05" customHeight="1">
      <c r="AD98" s="36"/>
      <c r="AE98" s="34"/>
      <c r="AF98" t="s" s="44">
        <v>63</v>
      </c>
      <c r="AG98" t="s" s="44">
        <v>65</v>
      </c>
      <c r="AH98" t="s" s="44">
        <f>IF(AI98&gt;0,"+","")</f>
        <v>361</v>
      </c>
      <c r="AI98" s="16">
        <f>(AH117+AH118+AJ117+AJ118+AL117+AL118+AN117+AN118)/AG134</f>
        <v>0.0906817093987467</v>
      </c>
      <c r="AJ98" t="s" s="44">
        <v>66</v>
      </c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ht="32.05" customHeight="1">
      <c r="AD99" s="36"/>
      <c r="AE99" s="34"/>
      <c r="AF99" t="s" s="44">
        <v>63</v>
      </c>
      <c r="AG99" t="s" s="44">
        <v>17</v>
      </c>
      <c r="AH99" t="s" s="44">
        <f>IF(AI99&gt;0,"+","")</f>
        <v>361</v>
      </c>
      <c r="AI99" s="16">
        <f>(AH131+AH132+AJ131+AJ132+AL131+AL132+AN131+AN132)/AG134</f>
        <v>0.09307004661829291</v>
      </c>
      <c r="AJ99" t="s" s="44">
        <f>AJ98</f>
        <v>66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ht="32.05" customHeight="1">
      <c r="AD100" s="36"/>
      <c r="AE100" s="34"/>
      <c r="AF100" t="s" s="44">
        <v>68</v>
      </c>
      <c r="AG100" t="s" s="44">
        <v>369</v>
      </c>
      <c r="AH100" s="16">
        <f>AQ127/AG134</f>
        <v>-0.644250209725401</v>
      </c>
      <c r="AI100" t="s" s="44">
        <f>AJ99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ht="20.05" customHeight="1">
      <c r="AD101" s="36"/>
      <c r="AE101" s="34"/>
      <c r="AF101" t="s" s="44">
        <v>28</v>
      </c>
      <c r="AG101" t="s" s="44">
        <f>AG105</f>
        <v>370</v>
      </c>
      <c r="AH101" s="16">
        <f>AH105</f>
        <v>-0.00410734690096044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ht="32.05" customHeight="1">
      <c r="AD102" s="36"/>
      <c r="AE102" s="34"/>
      <c r="AF102" t="s" s="44">
        <v>70</v>
      </c>
      <c r="AG102" t="s" s="44">
        <v>371</v>
      </c>
      <c r="AH102" t="s" s="44">
        <f>AN105</f>
        <v>372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ht="20.05" customHeight="1">
      <c r="AD103" s="36"/>
      <c r="AE103" s="34"/>
      <c r="AF103" s="16">
        <f>P22</f>
        <v>0.0208853494510341</v>
      </c>
      <c r="AG103" s="16">
        <f>P23</f>
        <v>0.0421231168946668</v>
      </c>
      <c r="AH103" s="16">
        <f>P24</f>
        <v>-0.107256606959442</v>
      </c>
      <c r="AI103" s="16">
        <f>P25</f>
        <v>0.105493154893995</v>
      </c>
      <c r="AJ103" s="16">
        <f>P26</f>
        <v>-0.00410734690096044</v>
      </c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ht="20.05" customHeight="1">
      <c r="AD104" s="36"/>
      <c r="AE104" s="34"/>
      <c r="AF104" s="15">
        <f>C22</f>
        <v>31483.9</v>
      </c>
      <c r="AG104" t="s" s="44">
        <v>72</v>
      </c>
      <c r="AH104" s="15">
        <f>C23</f>
        <v>32810.1</v>
      </c>
      <c r="AI104" t="s" s="44">
        <v>72</v>
      </c>
      <c r="AJ104" s="15">
        <f>C24</f>
        <v>29291</v>
      </c>
      <c r="AK104" t="s" s="44">
        <v>72</v>
      </c>
      <c r="AL104" s="15">
        <f>C25</f>
        <v>32381</v>
      </c>
      <c r="AM104" t="s" s="44">
        <v>72</v>
      </c>
      <c r="AN104" s="15">
        <f>C26</f>
        <v>32248</v>
      </c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ht="44.05" customHeight="1">
      <c r="AD105" s="36"/>
      <c r="AE105" s="34"/>
      <c r="AF105" t="s" s="44">
        <v>2</v>
      </c>
      <c r="AG105" t="s" s="44">
        <f>IF(AH105&lt;0,"declined","grew")</f>
        <v>370</v>
      </c>
      <c r="AH105" s="16">
        <f>AN104/AL104-1</f>
        <v>-0.00410734690096044</v>
      </c>
      <c r="AI105" t="s" s="44">
        <v>73</v>
      </c>
      <c r="AJ105" t="s" s="44">
        <v>74</v>
      </c>
      <c r="AK105" t="s" s="44">
        <v>75</v>
      </c>
      <c r="AL105" t="s" s="44">
        <v>76</v>
      </c>
      <c r="AM105" s="15">
        <f>AN104</f>
        <v>32248</v>
      </c>
      <c r="AN105" t="s" s="44">
        <v>372</v>
      </c>
      <c r="AO105" t="s" s="44">
        <v>373</v>
      </c>
      <c r="AP105" s="16">
        <f>AI91</f>
        <v>0.009113934780070309</v>
      </c>
      <c r="AQ105" t="s" s="44">
        <v>78</v>
      </c>
      <c r="AR105" s="17"/>
      <c r="AS105" s="17"/>
      <c r="AT105" s="17"/>
      <c r="AU105" s="17"/>
      <c r="AV105" s="17"/>
      <c r="AW105" s="17"/>
    </row>
    <row r="106" ht="56.05" customHeight="1">
      <c r="AD106" s="36"/>
      <c r="AE106" s="34"/>
      <c r="AF106" t="s" s="44">
        <v>79</v>
      </c>
      <c r="AG106" s="16">
        <f>AVERAGE(AG103:AJ103)</f>
        <v>0.009063079482064839</v>
      </c>
      <c r="AH106" t="s" s="44">
        <v>80</v>
      </c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ht="56.05" customHeight="1">
      <c r="AD107" s="36"/>
      <c r="AE107" s="34"/>
      <c r="AF107" t="s" s="44">
        <v>81</v>
      </c>
      <c r="AG107" s="35">
        <f>AI49</f>
        <v>0.0175</v>
      </c>
      <c r="AH107" t="s" s="44">
        <v>82</v>
      </c>
      <c r="AI107" t="s" s="44">
        <v>83</v>
      </c>
      <c r="AJ107" s="23">
        <f>AI52</f>
        <v>34374.79171776</v>
      </c>
      <c r="AK107" t="s" s="44">
        <f>AN105</f>
        <v>372</v>
      </c>
      <c r="AL107" t="s" s="44">
        <v>84</v>
      </c>
      <c r="AM107" t="s" s="44">
        <f>AJ105</f>
        <v>74</v>
      </c>
      <c r="AN107" t="s" s="44">
        <f>AK105</f>
        <v>75</v>
      </c>
      <c r="AO107" t="s" s="44">
        <v>85</v>
      </c>
      <c r="AP107" s="17"/>
      <c r="AQ107" s="17"/>
      <c r="AR107" s="17"/>
      <c r="AS107" s="17"/>
      <c r="AT107" s="17"/>
      <c r="AU107" s="17"/>
      <c r="AV107" s="17"/>
      <c r="AW107" s="17"/>
    </row>
    <row r="108" ht="20.05" customHeight="1">
      <c r="AD108" s="36"/>
      <c r="AE108" s="34"/>
      <c r="AF108" t="s" s="44">
        <v>14</v>
      </c>
      <c r="AG108" t="s" s="44">
        <f>IF(AI112&lt;AG112,"down","up")</f>
        <v>108</v>
      </c>
      <c r="AH108" t="s" s="44">
        <v>86</v>
      </c>
      <c r="AI108" t="s" s="44">
        <f>IF(AM112&gt;AK112,"up","down")</f>
        <v>108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ht="44.05" customHeight="1">
      <c r="AD109" s="36"/>
      <c r="AE109" s="34"/>
      <c r="AF109" t="s" s="44">
        <f>AF102</f>
        <v>70</v>
      </c>
      <c r="AG109" t="s" s="44">
        <v>88</v>
      </c>
      <c r="AH109" t="s" s="44">
        <f>AN105</f>
        <v>372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ht="20.05" customHeight="1">
      <c r="AD110" s="36"/>
      <c r="AE110" s="34"/>
      <c r="AF110" s="16">
        <f>(D22+E22)/C22</f>
        <v>0.08123517099215791</v>
      </c>
      <c r="AG110" s="16">
        <f>(D23+E23)/C23</f>
        <v>0.06793334979168</v>
      </c>
      <c r="AH110" s="16">
        <f>((E24+D24)/C24)</f>
        <v>0.0616913044962617</v>
      </c>
      <c r="AI110" s="16">
        <f>(D25+E25)/C25</f>
        <v>0.0188073252833452</v>
      </c>
      <c r="AJ110" s="16">
        <f>(D26+E26)/C26</f>
        <v>0.0398474323989085</v>
      </c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ht="20.05" customHeight="1">
      <c r="AD111" s="36"/>
      <c r="AE111" s="34"/>
      <c r="AF111" s="15">
        <f>E22</f>
        <v>1823.6</v>
      </c>
      <c r="AG111" t="s" s="44">
        <v>72</v>
      </c>
      <c r="AH111" s="15">
        <f>E23</f>
        <v>1470.4</v>
      </c>
      <c r="AI111" t="s" s="44">
        <v>72</v>
      </c>
      <c r="AJ111" s="15">
        <f>E24</f>
        <v>1077</v>
      </c>
      <c r="AK111" t="s" s="44">
        <v>72</v>
      </c>
      <c r="AL111" s="15">
        <f>E25</f>
        <v>-121</v>
      </c>
      <c r="AM111" t="s" s="44">
        <v>72</v>
      </c>
      <c r="AN111" s="15">
        <f>E26</f>
        <v>542</v>
      </c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ht="44.05" customHeight="1">
      <c r="AD112" s="36"/>
      <c r="AE112" s="34"/>
      <c r="AF112" t="s" s="44">
        <v>89</v>
      </c>
      <c r="AG112" s="16">
        <f>AI110</f>
        <v>0.0188073252833452</v>
      </c>
      <c r="AH112" t="s" s="44">
        <v>76</v>
      </c>
      <c r="AI112" s="16">
        <f>AJ110</f>
        <v>0.0398474323989085</v>
      </c>
      <c r="AJ112" t="s" s="44">
        <v>90</v>
      </c>
      <c r="AK112" s="15">
        <f>AL111</f>
        <v>-121</v>
      </c>
      <c r="AL112" t="s" s="44">
        <v>76</v>
      </c>
      <c r="AM112" s="15">
        <f>AN111</f>
        <v>542</v>
      </c>
      <c r="AN112" t="s" s="44">
        <f>AK107</f>
        <v>372</v>
      </c>
      <c r="AO112" t="s" s="44">
        <v>73</v>
      </c>
      <c r="AP112" t="s" s="44">
        <f>AM107</f>
        <v>74</v>
      </c>
      <c r="AQ112" t="s" s="44">
        <v>91</v>
      </c>
      <c r="AR112" s="17"/>
      <c r="AS112" s="17"/>
      <c r="AT112" s="17"/>
      <c r="AU112" s="17"/>
      <c r="AV112" s="17"/>
      <c r="AW112" s="17"/>
    </row>
    <row r="113" ht="68.05" customHeight="1">
      <c r="AD113" s="36"/>
      <c r="AE113" s="34"/>
      <c r="AF113" t="s" s="44">
        <v>92</v>
      </c>
      <c r="AG113" s="16">
        <f>AVERAGE(AG110:AJ110)</f>
        <v>0.0470698529925489</v>
      </c>
      <c r="AH113" t="s" s="44">
        <v>78</v>
      </c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ht="44.05" customHeight="1">
      <c r="AD114" s="36"/>
      <c r="AE114" s="34"/>
      <c r="AF114" t="s" s="44">
        <v>93</v>
      </c>
      <c r="AG114" s="35">
        <f>AF53</f>
        <v>0.0681364628331743</v>
      </c>
      <c r="AH114" t="s" s="44">
        <v>94</v>
      </c>
      <c r="AI114" s="15">
        <f>AI66</f>
        <v>1607.843384941930</v>
      </c>
      <c r="AJ114" t="s" s="44">
        <f>AN112</f>
        <v>372</v>
      </c>
      <c r="AK114" t="s" s="44">
        <v>95</v>
      </c>
      <c r="AL114" t="s" s="44">
        <f>AP112</f>
        <v>74</v>
      </c>
      <c r="AM114" t="s" s="44">
        <f>AK105</f>
        <v>75</v>
      </c>
      <c r="AN114" t="s" s="44">
        <f>AO107</f>
        <v>85</v>
      </c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ht="20.05" customHeight="1">
      <c r="AD115" s="36"/>
      <c r="AE115" s="34"/>
      <c r="AF115" t="s" s="44">
        <v>15</v>
      </c>
      <c r="AG115" t="s" s="44">
        <f>IF(AI119&lt;AG119,"lower","higher")</f>
        <v>363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ht="56.05" customHeight="1">
      <c r="AD116" s="36"/>
      <c r="AE116" s="34"/>
      <c r="AF116" t="s" s="44">
        <f>AF109</f>
        <v>70</v>
      </c>
      <c r="AG116" t="s" s="44">
        <v>96</v>
      </c>
      <c r="AH116" t="s" s="44">
        <f>AN105</f>
        <v>372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ht="20.05" customHeight="1">
      <c r="AD117" s="36"/>
      <c r="AE117" s="34"/>
      <c r="AF117" s="15">
        <f>J22</f>
        <v>3061.8</v>
      </c>
      <c r="AG117" t="s" s="44">
        <v>72</v>
      </c>
      <c r="AH117" s="15">
        <f>J23</f>
        <v>-7795.6</v>
      </c>
      <c r="AI117" t="s" s="44">
        <v>72</v>
      </c>
      <c r="AJ117" s="15">
        <f>J24</f>
        <v>4569.2</v>
      </c>
      <c r="AK117" t="s" s="44">
        <v>72</v>
      </c>
      <c r="AL117" s="15">
        <f>J25</f>
        <v>800.8</v>
      </c>
      <c r="AM117" t="s" s="44">
        <v>72</v>
      </c>
      <c r="AN117" s="15">
        <f>J26</f>
        <v>10489</v>
      </c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ht="20.05" customHeight="1">
      <c r="AD118" s="36"/>
      <c r="AE118" s="34"/>
      <c r="AF118" s="15">
        <f>K22</f>
        <v>-1091.3</v>
      </c>
      <c r="AG118" t="s" s="44">
        <v>72</v>
      </c>
      <c r="AH118" s="15">
        <f>K23</f>
        <v>-1493.9</v>
      </c>
      <c r="AI118" t="s" s="44">
        <v>72</v>
      </c>
      <c r="AJ118" s="15">
        <f>K24</f>
        <v>-970.3</v>
      </c>
      <c r="AK118" t="s" s="44">
        <v>72</v>
      </c>
      <c r="AL118" s="15">
        <f>K25</f>
        <v>-1281.7</v>
      </c>
      <c r="AM118" t="s" s="44">
        <v>72</v>
      </c>
      <c r="AN118" s="15">
        <f>K26</f>
        <v>-1299</v>
      </c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ht="44.05" customHeight="1">
      <c r="AD119" s="36"/>
      <c r="AE119" s="34"/>
      <c r="AF119" t="s" s="44">
        <v>97</v>
      </c>
      <c r="AG119" s="15">
        <f>AL117+AL118</f>
        <v>-480.9</v>
      </c>
      <c r="AH119" t="s" s="44">
        <v>76</v>
      </c>
      <c r="AI119" s="15">
        <f>AN117+AN118</f>
        <v>9190</v>
      </c>
      <c r="AJ119" t="s" s="44">
        <f>AJ114</f>
        <v>372</v>
      </c>
      <c r="AK119" t="s" s="44">
        <v>84</v>
      </c>
      <c r="AL119" t="s" s="44">
        <f>AL114</f>
        <v>74</v>
      </c>
      <c r="AM119" t="s" s="44">
        <v>98</v>
      </c>
      <c r="AN119" s="15">
        <f>AN118</f>
        <v>-1299</v>
      </c>
      <c r="AO119" t="s" s="44">
        <f>AN105</f>
        <v>372</v>
      </c>
      <c r="AP119" t="s" s="44">
        <v>99</v>
      </c>
      <c r="AQ119" s="17"/>
      <c r="AR119" s="17"/>
      <c r="AS119" s="17"/>
      <c r="AT119" s="17"/>
      <c r="AU119" s="17"/>
      <c r="AV119" s="17"/>
      <c r="AW119" s="17"/>
    </row>
    <row r="120" ht="56.05" customHeight="1">
      <c r="AD120" s="36"/>
      <c r="AE120" s="34"/>
      <c r="AF120" t="s" s="44">
        <v>100</v>
      </c>
      <c r="AG120" s="15">
        <f>(AH117+AH118+AJ117+AJ118+AL117+AL118+AN117+AN118)/4</f>
        <v>754.625</v>
      </c>
      <c r="AH120" t="s" s="44">
        <f>AN105</f>
        <v>372</v>
      </c>
      <c r="AI120" t="s" s="44">
        <v>78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ht="44.05" customHeight="1">
      <c r="AD121" s="36"/>
      <c r="AE121" s="34"/>
      <c r="AF121" t="s" s="44">
        <v>101</v>
      </c>
      <c r="AG121" s="15">
        <f>AF54</f>
        <v>-1126</v>
      </c>
      <c r="AH121" t="s" s="44">
        <f>AH120</f>
        <v>372</v>
      </c>
      <c r="AI121" t="s" s="44">
        <v>102</v>
      </c>
      <c r="AJ121" t="s" s="44">
        <v>103</v>
      </c>
      <c r="AK121" t="s" s="44">
        <f>IF(AJ107&gt;AM105,"higher","lower")</f>
        <v>363</v>
      </c>
      <c r="AL121" t="s" s="44">
        <v>105</v>
      </c>
      <c r="AM121" s="15">
        <f>SUM(AF55:AI55)/4</f>
        <v>1210.601510779490</v>
      </c>
      <c r="AN121" t="s" s="44">
        <f>AH121</f>
        <v>372</v>
      </c>
      <c r="AO121" t="s" s="44">
        <v>106</v>
      </c>
      <c r="AP121" t="s" s="44">
        <v>107</v>
      </c>
      <c r="AQ121" s="17"/>
      <c r="AR121" s="17"/>
      <c r="AS121" s="17"/>
      <c r="AT121" s="17"/>
      <c r="AU121" s="17"/>
      <c r="AV121" s="17"/>
      <c r="AW121" s="17"/>
    </row>
    <row r="122" ht="20.05" customHeight="1">
      <c r="AD122" s="36"/>
      <c r="AE122" s="34"/>
      <c r="AF122" t="s" s="44">
        <v>18</v>
      </c>
      <c r="AG122" t="s" s="44">
        <f>AN127</f>
        <v>87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ht="32.05" customHeight="1">
      <c r="AD123" s="36"/>
      <c r="AE123" s="34"/>
      <c r="AF123" t="s" s="44">
        <f>AF102</f>
        <v>70</v>
      </c>
      <c r="AG123" t="s" s="44">
        <v>109</v>
      </c>
      <c r="AH123" t="s" s="44">
        <f>AN105</f>
        <v>372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ht="20.05" customHeight="1">
      <c r="AD124" s="36"/>
      <c r="AE124" s="34"/>
      <c r="AF124" s="15">
        <f>F22</f>
        <v>5555</v>
      </c>
      <c r="AG124" t="s" s="44">
        <v>72</v>
      </c>
      <c r="AH124" s="15">
        <f>F23</f>
        <v>4774</v>
      </c>
      <c r="AI124" t="s" s="44">
        <v>72</v>
      </c>
      <c r="AJ124" s="15">
        <f>F24</f>
        <v>7694</v>
      </c>
      <c r="AK124" t="s" s="44">
        <v>72</v>
      </c>
      <c r="AL124" s="15">
        <f>F25</f>
        <v>6562</v>
      </c>
      <c r="AM124" t="s" s="44">
        <v>72</v>
      </c>
      <c r="AN124" s="15">
        <f>F26</f>
        <v>4086</v>
      </c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ht="20.05" customHeight="1">
      <c r="AD125" s="36"/>
      <c r="AE125" s="34"/>
      <c r="AF125" s="15">
        <f>G22</f>
        <v>20351</v>
      </c>
      <c r="AG125" t="s" s="44">
        <v>72</v>
      </c>
      <c r="AH125" s="15">
        <f>G23</f>
        <v>19669</v>
      </c>
      <c r="AI125" t="s" s="44">
        <v>72</v>
      </c>
      <c r="AJ125" s="15">
        <f>G24</f>
        <v>19555</v>
      </c>
      <c r="AK125" t="s" s="44">
        <v>72</v>
      </c>
      <c r="AL125" s="15">
        <f>G25</f>
        <v>18604</v>
      </c>
      <c r="AM125" t="s" s="44">
        <v>72</v>
      </c>
      <c r="AN125" s="15">
        <f>G26</f>
        <v>25531</v>
      </c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ht="32.05" customHeight="1">
      <c r="AD126" s="36"/>
      <c r="AE126" s="34"/>
      <c r="AF126" t="s" s="44">
        <v>110</v>
      </c>
      <c r="AG126" t="s" s="44">
        <f>IF(AJ126&lt;AH126,"declined","increased")</f>
        <v>370</v>
      </c>
      <c r="AH126" s="15">
        <f>AL124</f>
        <v>6562</v>
      </c>
      <c r="AI126" t="s" s="44">
        <v>76</v>
      </c>
      <c r="AJ126" s="15">
        <f>AN124</f>
        <v>4086</v>
      </c>
      <c r="AK126" t="s" s="44">
        <f>AN121</f>
        <v>372</v>
      </c>
      <c r="AL126" t="s" s="44">
        <v>84</v>
      </c>
      <c r="AM126" t="s" s="44">
        <f>AJ105</f>
        <v>74</v>
      </c>
      <c r="AN126" t="s" s="44">
        <f>AQ112</f>
        <v>91</v>
      </c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ht="32.05" customHeight="1">
      <c r="AD127" s="36"/>
      <c r="AE127" s="34"/>
      <c r="AF127" t="s" s="44">
        <v>112</v>
      </c>
      <c r="AG127" t="s" s="44">
        <f>IF(AJ127&lt;AH127,"declined","increased")</f>
        <v>111</v>
      </c>
      <c r="AH127" s="15">
        <f>AL125</f>
        <v>18604</v>
      </c>
      <c r="AI127" t="s" s="44">
        <v>76</v>
      </c>
      <c r="AJ127" s="15">
        <f>AN125</f>
        <v>25531</v>
      </c>
      <c r="AK127" t="s" s="44">
        <f>AK126</f>
        <v>372</v>
      </c>
      <c r="AL127" t="s" s="44">
        <v>113</v>
      </c>
      <c r="AM127" t="s" s="44">
        <v>114</v>
      </c>
      <c r="AN127" t="s" s="44">
        <f>IF(AQ127&lt;AO127,"down","up")</f>
        <v>87</v>
      </c>
      <c r="AO127" s="15">
        <f>AH126-AH127</f>
        <v>-12042</v>
      </c>
      <c r="AP127" t="s" s="44">
        <v>76</v>
      </c>
      <c r="AQ127" s="15">
        <f>AJ126-AJ127</f>
        <v>-21445</v>
      </c>
      <c r="AR127" t="s" s="44">
        <f>AK127</f>
        <v>372</v>
      </c>
      <c r="AS127" t="s" s="44">
        <v>115</v>
      </c>
      <c r="AT127" s="17"/>
      <c r="AU127" s="17"/>
      <c r="AV127" s="17"/>
      <c r="AW127" s="17"/>
    </row>
    <row r="128" ht="56.05" customHeight="1">
      <c r="AD128" s="36"/>
      <c r="AE128" s="34"/>
      <c r="AF128" t="s" s="44">
        <v>116</v>
      </c>
      <c r="AG128" s="15">
        <f>SUM(AF58:AI58)</f>
        <v>-1922.721812935390</v>
      </c>
      <c r="AH128" t="s" s="44">
        <f>AK127</f>
        <v>372</v>
      </c>
      <c r="AI128" t="s" s="44">
        <v>117</v>
      </c>
      <c r="AJ128" t="s" s="44">
        <f>IF(AK128&gt;0,"+","")</f>
      </c>
      <c r="AK128" s="15">
        <f>AF56+AG56+AH56+AI56+AF60+AG60+AH60+AI60</f>
        <v>-2919.684230182570</v>
      </c>
      <c r="AL128" t="s" s="44">
        <f>AR127</f>
        <v>372</v>
      </c>
      <c r="AM128" t="s" s="44">
        <v>118</v>
      </c>
      <c r="AN128" t="s" s="44">
        <v>119</v>
      </c>
      <c r="AO128" s="15">
        <f>AI75</f>
        <v>-18525.3157698174</v>
      </c>
      <c r="AP128" t="s" s="44">
        <f>AK127</f>
        <v>372</v>
      </c>
      <c r="AQ128" t="s" s="44">
        <v>120</v>
      </c>
      <c r="AR128" s="17"/>
      <c r="AS128" s="17"/>
      <c r="AT128" s="17"/>
      <c r="AU128" s="17"/>
      <c r="AV128" s="17"/>
      <c r="AW128" s="17"/>
    </row>
    <row r="129" ht="20.05" customHeight="1">
      <c r="AD129" s="36"/>
      <c r="AE129" s="34"/>
      <c r="AF129" t="s" s="44">
        <v>17</v>
      </c>
      <c r="AG129" t="s" s="44">
        <f>AG133</f>
        <v>374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ht="68.05" customHeight="1">
      <c r="AD130" s="36"/>
      <c r="AE130" s="34"/>
      <c r="AF130" t="s" s="44">
        <f>AF102</f>
        <v>70</v>
      </c>
      <c r="AG130" t="s" s="44">
        <v>122</v>
      </c>
      <c r="AH130" t="s" s="44">
        <f>AN105</f>
        <v>372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ht="20.05" customHeight="1">
      <c r="AD131" s="36"/>
      <c r="AE131" s="34"/>
      <c r="AF131" s="15">
        <f>-L22</f>
        <v>-545</v>
      </c>
      <c r="AG131" t="s" s="44">
        <v>72</v>
      </c>
      <c r="AH131" s="15">
        <f>-L23</f>
        <v>-8993</v>
      </c>
      <c r="AI131" t="s" s="44">
        <v>72</v>
      </c>
      <c r="AJ131" s="15">
        <f>-L24</f>
        <v>1758</v>
      </c>
      <c r="AK131" t="s" s="44">
        <v>72</v>
      </c>
      <c r="AL131" s="15">
        <f>-L25</f>
        <v>448</v>
      </c>
      <c r="AM131" t="s" s="44">
        <v>72</v>
      </c>
      <c r="AN131" s="15">
        <f>-L26</f>
        <v>5556</v>
      </c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ht="20.05" customHeight="1">
      <c r="AD132" s="36"/>
      <c r="AE132" s="34"/>
      <c r="AF132" s="15">
        <f>-M22</f>
        <v>5003</v>
      </c>
      <c r="AG132" t="s" s="44">
        <v>72</v>
      </c>
      <c r="AH132" s="15">
        <f>-M23</f>
        <v>0</v>
      </c>
      <c r="AI132" t="s" s="44">
        <v>72</v>
      </c>
      <c r="AJ132" s="15">
        <f>-M24</f>
        <v>0</v>
      </c>
      <c r="AK132" t="s" s="44">
        <v>72</v>
      </c>
      <c r="AL132" s="15">
        <f>-M25</f>
        <v>0</v>
      </c>
      <c r="AM132" t="s" s="44">
        <v>72</v>
      </c>
      <c r="AN132" s="15">
        <f>-M26</f>
        <v>4329</v>
      </c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ht="44.05" customHeight="1">
      <c r="AD133" s="36"/>
      <c r="AE133" s="34"/>
      <c r="AF133" t="s" s="44">
        <f>AF94</f>
        <v>591</v>
      </c>
      <c r="AG133" t="s" s="44">
        <f>IF(AH133&gt;0,"paid","(raised)")</f>
        <v>374</v>
      </c>
      <c r="AH133" s="15">
        <f>SUM(AN131:AN132)</f>
        <v>9885</v>
      </c>
      <c r="AI133" t="s" s="44">
        <f>AN105</f>
        <v>372</v>
      </c>
      <c r="AJ133" t="s" s="44">
        <f>AI105</f>
        <v>73</v>
      </c>
      <c r="AK133" t="s" s="44">
        <f>AJ105</f>
        <v>74</v>
      </c>
      <c r="AL133" t="s" s="44">
        <f>AK105</f>
        <v>75</v>
      </c>
      <c r="AM133" s="15">
        <f>AN131</f>
        <v>5556</v>
      </c>
      <c r="AN133" t="s" s="44">
        <f>AN105</f>
        <v>372</v>
      </c>
      <c r="AO133" t="s" s="44">
        <v>123</v>
      </c>
      <c r="AP133" s="15">
        <f>AN132</f>
        <v>4329</v>
      </c>
      <c r="AQ133" t="s" s="44">
        <f>AN105</f>
        <v>372</v>
      </c>
      <c r="AR133" t="s" s="44">
        <v>124</v>
      </c>
      <c r="AS133" t="s" s="44">
        <v>125</v>
      </c>
      <c r="AT133" t="s" s="44">
        <f>IF(AU133&gt;0,"pay","raise")</f>
        <v>364</v>
      </c>
      <c r="AU133" s="15">
        <f>-SUM(AF76:AI76)</f>
        <v>4842.406043117960</v>
      </c>
      <c r="AV133" t="s" s="44">
        <f>AN105</f>
        <v>372</v>
      </c>
      <c r="AW133" t="s" s="44">
        <v>126</v>
      </c>
    </row>
    <row r="134" ht="56.05" customHeight="1">
      <c r="AD134" s="36"/>
      <c r="AE134" s="34"/>
      <c r="AF134" t="s" s="44">
        <v>375</v>
      </c>
      <c r="AG134" s="15">
        <f>AI80</f>
        <v>33286.7567232</v>
      </c>
      <c r="AH134" t="s" s="44">
        <f>AN105</f>
        <v>372</v>
      </c>
      <c r="AI134" t="s" s="44">
        <v>128</v>
      </c>
      <c r="AJ134" t="s" s="44">
        <v>129</v>
      </c>
      <c r="AK134" s="43">
        <f>AI82</f>
        <v>0.392450747955811</v>
      </c>
      <c r="AL134" t="s" s="44">
        <v>130</v>
      </c>
      <c r="AM134" t="s" s="44">
        <v>131</v>
      </c>
      <c r="AN134" t="s" s="44">
        <v>132</v>
      </c>
      <c r="AO134" s="15">
        <f>AI85</f>
        <v>16.6718085901538</v>
      </c>
      <c r="AP134" t="s" s="44">
        <v>133</v>
      </c>
      <c r="AQ134" s="16">
        <f>-AG128/AG134</f>
        <v>0.0577623656436105</v>
      </c>
      <c r="AR134" t="s" s="44">
        <v>134</v>
      </c>
      <c r="AS134" s="17"/>
      <c r="AT134" s="17"/>
      <c r="AU134" s="17"/>
      <c r="AV134" s="17"/>
      <c r="AW134" s="17"/>
    </row>
    <row r="135" ht="56.05" customHeight="1">
      <c r="AD135" s="36"/>
      <c r="AE135" s="34"/>
      <c r="AF135" t="s" s="44">
        <v>135</v>
      </c>
      <c r="AG135" s="15">
        <f>AI84</f>
        <v>4842.406043117960</v>
      </c>
      <c r="AH135" t="s" s="44">
        <f>AH134</f>
        <v>372</v>
      </c>
      <c r="AI135" t="s" s="44">
        <v>136</v>
      </c>
      <c r="AJ135" s="15">
        <f>AG134/AG135</f>
        <v>6.87401189136281</v>
      </c>
      <c r="AK135" t="s" s="44">
        <v>130</v>
      </c>
      <c r="AL135" t="s" s="44">
        <v>137</v>
      </c>
      <c r="AM135" t="s" s="44">
        <v>138</v>
      </c>
      <c r="AN135" s="15">
        <f>AI86</f>
        <v>19</v>
      </c>
      <c r="AO135" t="s" s="44">
        <v>139</v>
      </c>
      <c r="AP135" t="s" s="44">
        <v>140</v>
      </c>
      <c r="AQ135" t="s" s="44">
        <v>141</v>
      </c>
      <c r="AR135" s="16">
        <f>AL94</f>
        <v>1.76403362407235</v>
      </c>
      <c r="AS135" t="s" s="44">
        <f>IF(AR135&gt;0,"higher","lower")</f>
        <v>363</v>
      </c>
      <c r="AT135" t="s" s="44">
        <v>142</v>
      </c>
      <c r="AU135" s="15">
        <f>AJ94</f>
        <v>47817.7816964517</v>
      </c>
      <c r="AV135" t="s" s="44">
        <v>143</v>
      </c>
      <c r="AW135" s="17"/>
    </row>
    <row r="136" ht="20.05" customHeight="1">
      <c r="AD136" s="36"/>
      <c r="AE136" s="34"/>
      <c r="AF136" s="17"/>
      <c r="AG136" s="17"/>
      <c r="AH136" s="17"/>
      <c r="AI136" s="17"/>
      <c r="AJ136" s="15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ht="20.05" customHeight="1">
      <c r="AD137" t="s" s="33">
        <v>28</v>
      </c>
      <c r="AE137" s="14">
        <f>AF104</f>
        <v>31483.9</v>
      </c>
      <c r="AF137" s="15">
        <f>AH104</f>
        <v>32810.1</v>
      </c>
      <c r="AG137" s="15">
        <f>AJ104</f>
        <v>29291</v>
      </c>
      <c r="AH137" s="15">
        <f>AL104</f>
        <v>32381</v>
      </c>
      <c r="AI137" s="15">
        <f>AN104</f>
        <v>32248</v>
      </c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ht="20.05" customHeight="1">
      <c r="AD138" t="s" s="33">
        <v>144</v>
      </c>
      <c r="AE138" s="14">
        <f>SUM(AF117:AF118)</f>
        <v>1970.5</v>
      </c>
      <c r="AF138" s="15">
        <f>SUM(AH117:AH118)</f>
        <v>-9289.5</v>
      </c>
      <c r="AG138" s="15">
        <f>SUM(AJ117:AJ118)</f>
        <v>3598.9</v>
      </c>
      <c r="AH138" s="15">
        <f>SUM(AL117:AL118)</f>
        <v>-480.9</v>
      </c>
      <c r="AI138" s="15">
        <f>SUM(AN117:AN118)</f>
        <v>9190</v>
      </c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ht="20.05" customHeight="1">
      <c r="AD139" t="s" s="33">
        <v>145</v>
      </c>
      <c r="AE139" s="14">
        <f>SUM(AF131:AF132)</f>
        <v>4458</v>
      </c>
      <c r="AF139" s="15">
        <f>SUM(AH131:AH132)</f>
        <v>-8993</v>
      </c>
      <c r="AG139" s="15">
        <f>SUM(AJ131:AJ132)</f>
        <v>1758</v>
      </c>
      <c r="AH139" s="15">
        <f>SUM(AL131:AL132)</f>
        <v>448</v>
      </c>
      <c r="AI139" s="15">
        <f>SUM(AN131:AN132)</f>
        <v>9885</v>
      </c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ht="20.05" customHeight="1">
      <c r="AD140" t="s" s="33">
        <v>146</v>
      </c>
      <c r="AE140" s="14">
        <f>(AF124-AF125)</f>
        <v>-14796</v>
      </c>
      <c r="AF140" s="15">
        <f>(AH124-AH125)</f>
        <v>-14895</v>
      </c>
      <c r="AG140" s="15">
        <f>(AJ124-AJ125)</f>
        <v>-11861</v>
      </c>
      <c r="AH140" s="15">
        <f>(AL124-AL125)</f>
        <v>-12042</v>
      </c>
      <c r="AI140" s="15">
        <f>(AN124-AN125)</f>
        <v>-21445</v>
      </c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ht="20.05" customHeight="1">
      <c r="AD141" s="36"/>
      <c r="AE141" s="34"/>
      <c r="AF141" s="17"/>
      <c r="AG141" s="17"/>
      <c r="AH141" s="17"/>
      <c r="AI141" s="15">
        <f>AU135</f>
        <v>47817.7816964517</v>
      </c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ht="20.05" customHeight="1">
      <c r="AD142" s="36"/>
      <c r="AE142" s="34"/>
      <c r="AF142" s="17"/>
      <c r="AG142" s="17"/>
      <c r="AH142" s="17"/>
      <c r="AI142" s="17"/>
      <c r="AJ142" s="15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ht="20.05" customHeight="1">
      <c r="AD143" s="36"/>
      <c r="AE143" s="34"/>
      <c r="AF143" s="17"/>
      <c r="AG143" s="17"/>
      <c r="AH143" s="17"/>
      <c r="AI143" s="17"/>
      <c r="AJ143" s="15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ht="20.05" customHeight="1">
      <c r="AD144" s="36"/>
      <c r="AE144" s="34"/>
      <c r="AF144" s="17"/>
      <c r="AG144" s="17"/>
      <c r="AH144" s="17"/>
      <c r="AI144" s="17"/>
      <c r="AJ144" s="15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ht="20.05" customHeight="1">
      <c r="AD145" s="36"/>
      <c r="AE145" s="34"/>
      <c r="AF145" s="17"/>
      <c r="AG145" s="17"/>
      <c r="AH145" s="17"/>
      <c r="AI145" s="17"/>
      <c r="AJ145" s="15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ht="20.05" customHeight="1">
      <c r="AD146" s="36"/>
      <c r="AE146" s="34"/>
      <c r="AF146" s="17"/>
      <c r="AG146" s="17"/>
      <c r="AH146" s="17"/>
      <c r="AI146" s="17"/>
      <c r="AJ146" s="15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ht="20.05" customHeight="1">
      <c r="AD147" s="36"/>
      <c r="AE147" s="34"/>
      <c r="AF147" s="17"/>
      <c r="AG147" s="17"/>
      <c r="AH147" s="17"/>
      <c r="AI147" s="17"/>
      <c r="AJ147" s="15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ht="20.05" customHeight="1">
      <c r="AD148" s="36"/>
      <c r="AE148" s="34"/>
      <c r="AF148" s="17"/>
      <c r="AG148" s="17"/>
      <c r="AH148" s="17"/>
      <c r="AI148" s="17"/>
      <c r="AJ148" s="15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</sheetData>
  <mergeCells count="2">
    <mergeCell ref="B2:AC2"/>
    <mergeCell ref="AD46:AW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32" customWidth="1"/>
    <col min="2" max="28" width="10.4844" style="232" customWidth="1"/>
    <col min="29" max="29" width="18.9766" style="234" customWidth="1"/>
    <col min="30" max="48" width="9" style="234" customWidth="1"/>
    <col min="49" max="16384" width="16.3516" style="234" customWidth="1"/>
  </cols>
  <sheetData>
    <row r="1" ht="11.65" customHeight="1"/>
    <row r="2" ht="27.65" customHeight="1">
      <c r="B2" t="s" s="2">
        <v>592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310</v>
      </c>
      <c r="AA3" t="s" s="3">
        <v>19</v>
      </c>
      <c r="AB3" t="s" s="3">
        <v>20</v>
      </c>
    </row>
    <row r="4" ht="20.25" customHeight="1">
      <c r="B4" s="6">
        <v>2017</v>
      </c>
      <c r="C4" s="7">
        <v>12113.64</v>
      </c>
      <c r="D4" s="8">
        <v>420.28</v>
      </c>
      <c r="E4" s="8">
        <v>-1345.96</v>
      </c>
      <c r="F4" s="8">
        <v>7300.37</v>
      </c>
      <c r="G4" s="8">
        <v>39540.9</v>
      </c>
      <c r="H4" s="8">
        <v>51690.45</v>
      </c>
      <c r="I4" s="8">
        <v>12403.58</v>
      </c>
      <c r="J4" s="8">
        <v>-347.13</v>
      </c>
      <c r="K4" s="8">
        <v>-1054.69</v>
      </c>
      <c r="L4" s="8">
        <v>538.65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-538.65</v>
      </c>
      <c r="W4" s="9"/>
      <c r="X4" s="8">
        <f>F4-G4</f>
        <v>-32240.53</v>
      </c>
      <c r="Y4" s="9"/>
      <c r="Z4" s="59">
        <v>342</v>
      </c>
      <c r="AA4" s="11"/>
      <c r="AB4" s="12">
        <v>13.3</v>
      </c>
    </row>
    <row r="5" ht="20.05" customHeight="1">
      <c r="B5" s="13"/>
      <c r="C5" s="14">
        <v>13009.8174</v>
      </c>
      <c r="D5" s="15">
        <v>354.4982</v>
      </c>
      <c r="E5" s="15">
        <v>-2433.5102</v>
      </c>
      <c r="F5" s="15">
        <v>5070.9235</v>
      </c>
      <c r="G5" s="15">
        <v>40700.658</v>
      </c>
      <c r="H5" s="15">
        <v>50272.1094</v>
      </c>
      <c r="I5" s="15">
        <v>13119.0988</v>
      </c>
      <c r="J5" s="15">
        <v>1150.1201</v>
      </c>
      <c r="K5" s="15">
        <v>-1202.0954</v>
      </c>
      <c r="L5" s="15">
        <v>539.7435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-1078.3935</v>
      </c>
      <c r="W5" s="17"/>
      <c r="X5" s="15">
        <f>F5-G5</f>
        <v>-35629.7345</v>
      </c>
      <c r="Y5" s="17"/>
      <c r="Z5" s="26">
        <v>348</v>
      </c>
      <c r="AA5" s="19"/>
      <c r="AB5" s="20">
        <v>13.327</v>
      </c>
    </row>
    <row r="6" ht="20.05" customHeight="1">
      <c r="B6" s="13"/>
      <c r="C6" s="14">
        <v>16298.625</v>
      </c>
      <c r="D6" s="15">
        <v>339.2775</v>
      </c>
      <c r="E6" s="15">
        <v>823.5795000000001</v>
      </c>
      <c r="F6" s="15">
        <v>5155.6875</v>
      </c>
      <c r="G6" s="15">
        <v>38863.905</v>
      </c>
      <c r="H6" s="15">
        <v>49546.4895</v>
      </c>
      <c r="I6" s="15">
        <v>15207.615</v>
      </c>
      <c r="J6" s="15">
        <v>-55.881</v>
      </c>
      <c r="K6" s="15">
        <v>-1447.584</v>
      </c>
      <c r="L6" s="15">
        <v>538.8525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-1617.246</v>
      </c>
      <c r="W6" s="17"/>
      <c r="X6" s="15">
        <f>F6-G6</f>
        <v>-33708.2175</v>
      </c>
      <c r="Y6" s="17"/>
      <c r="Z6" s="26">
        <v>334</v>
      </c>
      <c r="AA6" s="19"/>
      <c r="AB6" s="20">
        <v>13.305</v>
      </c>
    </row>
    <row r="7" ht="20.05" customHeight="1">
      <c r="B7" s="13"/>
      <c r="C7" s="14">
        <v>14438.205</v>
      </c>
      <c r="D7" s="15">
        <v>465.0051</v>
      </c>
      <c r="E7" s="15">
        <v>115.2345</v>
      </c>
      <c r="F7" s="15">
        <v>4160.6433</v>
      </c>
      <c r="G7" s="15">
        <v>38298.525</v>
      </c>
      <c r="H7" s="15">
        <v>51019.0581</v>
      </c>
      <c r="I7" s="15">
        <v>14221.293</v>
      </c>
      <c r="J7" s="15">
        <v>1672.9338</v>
      </c>
      <c r="K7" s="15">
        <v>-1327.2303</v>
      </c>
      <c r="L7" s="15">
        <v>549.0585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-2166.3045</v>
      </c>
      <c r="W7" s="17"/>
      <c r="X7" s="15">
        <f>F7-G7</f>
        <v>-34137.8817</v>
      </c>
      <c r="Y7" s="17"/>
      <c r="Z7" s="26">
        <v>300</v>
      </c>
      <c r="AA7" s="19"/>
      <c r="AB7" s="20">
        <v>13.557</v>
      </c>
    </row>
    <row r="8" ht="20.05" customHeight="1">
      <c r="B8" s="21">
        <v>2018</v>
      </c>
      <c r="C8" s="14">
        <v>13527.063</v>
      </c>
      <c r="D8" s="15">
        <v>652.2714</v>
      </c>
      <c r="E8" s="15">
        <v>-884.8323</v>
      </c>
      <c r="F8" s="15">
        <v>4198.4811</v>
      </c>
      <c r="G8" s="15">
        <v>42425.163</v>
      </c>
      <c r="H8" s="15">
        <v>54391.7286</v>
      </c>
      <c r="I8" s="15">
        <v>13788.522</v>
      </c>
      <c r="J8" s="15">
        <v>-447.2325</v>
      </c>
      <c r="K8" s="15">
        <v>-1337.5692</v>
      </c>
      <c r="L8" s="15">
        <v>866.943</v>
      </c>
      <c r="M8" s="15">
        <v>-3.44025</v>
      </c>
      <c r="N8" s="15">
        <f>SUM(C5:C8)/4</f>
        <v>14318.4276</v>
      </c>
      <c r="O8" s="15"/>
      <c r="P8" s="16"/>
      <c r="Q8" s="16">
        <f>J8/I8</f>
        <v>-0.032435129740519</v>
      </c>
      <c r="R8" s="16"/>
      <c r="S8" s="17"/>
      <c r="T8" s="15">
        <f>SUM(J5:K8)/4</f>
        <v>-748.634625</v>
      </c>
      <c r="U8" s="26"/>
      <c r="V8" s="15">
        <f>-(L8+M8)+V7</f>
        <v>-3029.80725</v>
      </c>
      <c r="W8" s="17"/>
      <c r="X8" s="15">
        <f>F8-G8</f>
        <v>-38226.6819</v>
      </c>
      <c r="Y8" s="24"/>
      <c r="Z8" s="26">
        <v>294</v>
      </c>
      <c r="AA8" s="22"/>
      <c r="AB8" s="20">
        <v>13.761</v>
      </c>
    </row>
    <row r="9" ht="20.05" customHeight="1">
      <c r="B9" s="13"/>
      <c r="C9" s="14">
        <v>14224</v>
      </c>
      <c r="D9" s="15">
        <v>865.2</v>
      </c>
      <c r="E9" s="15">
        <v>-695.8</v>
      </c>
      <c r="F9" s="15">
        <v>4226.6</v>
      </c>
      <c r="G9" s="15">
        <v>44744</v>
      </c>
      <c r="H9" s="15">
        <v>56221.2</v>
      </c>
      <c r="I9" s="15">
        <v>14756</v>
      </c>
      <c r="J9" s="15">
        <v>-154</v>
      </c>
      <c r="K9" s="15">
        <v>-1052.8</v>
      </c>
      <c r="L9" s="15">
        <v>882</v>
      </c>
      <c r="M9" s="15">
        <v>-3.5</v>
      </c>
      <c r="N9" s="15">
        <f>SUM(C6:C9)/4</f>
        <v>14621.97325</v>
      </c>
      <c r="O9" s="15"/>
      <c r="P9" s="16"/>
      <c r="Q9" s="16">
        <f>J9/I9</f>
        <v>-0.0104364326375712</v>
      </c>
      <c r="R9" s="16"/>
      <c r="S9" s="17"/>
      <c r="T9" s="15">
        <f>SUM(J6:K9)/4</f>
        <v>-1037.3408</v>
      </c>
      <c r="U9" s="26"/>
      <c r="V9" s="15">
        <f>-(L9+M9)+V8</f>
        <v>-3908.30725</v>
      </c>
      <c r="W9" s="17"/>
      <c r="X9" s="15">
        <f>F13-G9</f>
        <v>-40195.106</v>
      </c>
      <c r="Y9" s="24"/>
      <c r="Z9" s="26">
        <v>242</v>
      </c>
      <c r="AA9" s="22"/>
      <c r="AB9" s="20">
        <v>14</v>
      </c>
    </row>
    <row r="10" ht="20.05" customHeight="1">
      <c r="B10" s="13"/>
      <c r="C10" s="14">
        <v>18195.342</v>
      </c>
      <c r="D10" s="15">
        <v>1005.885</v>
      </c>
      <c r="E10" s="15">
        <v>56.6276</v>
      </c>
      <c r="F10" s="15">
        <v>4072.7166</v>
      </c>
      <c r="G10" s="15">
        <v>49191.502</v>
      </c>
      <c r="H10" s="15">
        <v>61262.122</v>
      </c>
      <c r="I10" s="15">
        <v>20475.348</v>
      </c>
      <c r="J10" s="15">
        <v>1810.593</v>
      </c>
      <c r="K10" s="15">
        <v>-1782.2792</v>
      </c>
      <c r="L10" s="15">
        <v>938.826</v>
      </c>
      <c r="M10" s="15">
        <v>-3.7255</v>
      </c>
      <c r="N10" s="15">
        <f>SUM(C7:C10)/4</f>
        <v>15096.1525</v>
      </c>
      <c r="O10" s="15"/>
      <c r="P10" s="16">
        <f>C10/C9-1</f>
        <v>0.279200084364454</v>
      </c>
      <c r="Q10" s="16">
        <f>J10/I10</f>
        <v>0.0884279475982533</v>
      </c>
      <c r="R10" s="16"/>
      <c r="S10" s="17"/>
      <c r="T10" s="15">
        <f>SUM(J7:K10)/4</f>
        <v>-654.3961</v>
      </c>
      <c r="U10" s="26"/>
      <c r="V10" s="15">
        <f>-(L10+M10)+V9</f>
        <v>-4843.40775</v>
      </c>
      <c r="W10" s="17"/>
      <c r="X10" s="15">
        <f>F10-G10</f>
        <v>-45118.7854</v>
      </c>
      <c r="Y10" s="24"/>
      <c r="Z10" s="26">
        <v>206</v>
      </c>
      <c r="AA10" s="22"/>
      <c r="AB10" s="20">
        <v>14.902</v>
      </c>
    </row>
    <row r="11" ht="20.05" customHeight="1">
      <c r="B11" s="13"/>
      <c r="C11" s="14">
        <v>15967.552</v>
      </c>
      <c r="D11" s="15">
        <v>421.334</v>
      </c>
      <c r="E11" s="15">
        <v>-1706.906</v>
      </c>
      <c r="F11" s="15">
        <v>3612.256</v>
      </c>
      <c r="G11" s="15">
        <v>49424.06</v>
      </c>
      <c r="H11" s="15">
        <v>59935.84</v>
      </c>
      <c r="I11" s="15">
        <v>12904.612</v>
      </c>
      <c r="J11" s="15">
        <v>424.21</v>
      </c>
      <c r="K11" s="15">
        <v>-117.916</v>
      </c>
      <c r="L11" s="15">
        <v>905.9400000000001</v>
      </c>
      <c r="M11" s="15">
        <v>-3.595</v>
      </c>
      <c r="N11" s="15">
        <f>SUM(C8:C11)/4</f>
        <v>15478.48925</v>
      </c>
      <c r="O11" s="15"/>
      <c r="P11" s="16">
        <f>C11/C10-1</f>
        <v>-0.122437379852492</v>
      </c>
      <c r="Q11" s="16">
        <f>J11/I11</f>
        <v>0.0328727434811678</v>
      </c>
      <c r="R11" s="16"/>
      <c r="S11" s="17"/>
      <c r="T11" s="15">
        <f>SUM(J8:K11)/4</f>
        <v>-664.248475</v>
      </c>
      <c r="U11" s="26"/>
      <c r="V11" s="15">
        <f>-(L11+M11)+V10</f>
        <v>-5745.75275</v>
      </c>
      <c r="W11" s="17"/>
      <c r="X11" s="15">
        <f>F11-G11</f>
        <v>-45811.804</v>
      </c>
      <c r="Y11" s="24"/>
      <c r="Z11" s="26">
        <v>298</v>
      </c>
      <c r="AA11" s="22"/>
      <c r="AB11" s="20">
        <v>14.38</v>
      </c>
    </row>
    <row r="12" ht="20.05" customHeight="1">
      <c r="B12" s="21">
        <v>2019</v>
      </c>
      <c r="C12" s="14">
        <v>15664</v>
      </c>
      <c r="D12" s="15">
        <v>683.52</v>
      </c>
      <c r="E12" s="15">
        <v>280.528</v>
      </c>
      <c r="F12" s="15">
        <v>4798.88</v>
      </c>
      <c r="G12" s="15">
        <v>50381.12</v>
      </c>
      <c r="H12" s="15">
        <v>61644.96</v>
      </c>
      <c r="I12" s="15">
        <v>16461.44</v>
      </c>
      <c r="J12" s="15">
        <v>-867.216</v>
      </c>
      <c r="K12" s="15">
        <v>-24.208</v>
      </c>
      <c r="L12" s="15">
        <v>-470.988</v>
      </c>
      <c r="M12" s="15">
        <v>-2.492</v>
      </c>
      <c r="N12" s="15">
        <f>SUM(C9:C12)/4</f>
        <v>16012.7235</v>
      </c>
      <c r="O12" s="23"/>
      <c r="P12" s="16">
        <f>C12/C11-1</f>
        <v>-0.0190105534022999</v>
      </c>
      <c r="Q12" s="16">
        <f>J12/I12</f>
        <v>-0.052681660899654</v>
      </c>
      <c r="R12" s="16">
        <f>AVERAGE(Q9:Q12)</f>
        <v>0.014545649385549</v>
      </c>
      <c r="S12" s="17"/>
      <c r="T12" s="15">
        <f>SUM(J9:K12)/4</f>
        <v>-440.90405</v>
      </c>
      <c r="U12" s="26"/>
      <c r="V12" s="15">
        <f>-(L12+M12)+V11</f>
        <v>-5272.27275</v>
      </c>
      <c r="W12" s="17"/>
      <c r="X12" s="15">
        <f>F12-G12</f>
        <v>-45582.24</v>
      </c>
      <c r="Y12" s="24"/>
      <c r="Z12" s="26">
        <v>474</v>
      </c>
      <c r="AA12" s="22"/>
      <c r="AB12" s="20">
        <v>14.24</v>
      </c>
    </row>
    <row r="13" ht="20.05" customHeight="1">
      <c r="B13" s="13"/>
      <c r="C13" s="14">
        <v>15440.811</v>
      </c>
      <c r="D13" s="15">
        <v>134.2065</v>
      </c>
      <c r="E13" s="15">
        <v>59.3334</v>
      </c>
      <c r="F13" s="15">
        <v>4548.894</v>
      </c>
      <c r="G13" s="15">
        <v>50405.136</v>
      </c>
      <c r="H13" s="15">
        <v>61833.879</v>
      </c>
      <c r="I13" s="15">
        <v>15751.605</v>
      </c>
      <c r="J13" s="15">
        <v>-1244.5887</v>
      </c>
      <c r="K13" s="15">
        <v>-964.8741</v>
      </c>
      <c r="L13" s="15">
        <v>-467.250525</v>
      </c>
      <c r="M13" s="15">
        <v>-2.472225</v>
      </c>
      <c r="N13" s="15">
        <f>SUM(C10:C13)/4</f>
        <v>16316.92625</v>
      </c>
      <c r="O13" s="23"/>
      <c r="P13" s="16">
        <f>C13/C12-1</f>
        <v>-0.0142485316649642</v>
      </c>
      <c r="Q13" s="16">
        <f>J13/I13</f>
        <v>-0.07901345291479819</v>
      </c>
      <c r="R13" s="16">
        <f>AVERAGE(Q10:Q13)</f>
        <v>-0.00259860568375778</v>
      </c>
      <c r="S13" s="17"/>
      <c r="T13" s="15">
        <f>SUM(J10:K13)/4</f>
        <v>-691.56975</v>
      </c>
      <c r="U13" s="26"/>
      <c r="V13" s="15">
        <f>-(L13+M13)+V12</f>
        <v>-4802.55</v>
      </c>
      <c r="W13" s="17"/>
      <c r="X13" s="15">
        <f>F13-G13</f>
        <v>-45856.242</v>
      </c>
      <c r="Y13" s="24"/>
      <c r="Z13" s="26">
        <v>366</v>
      </c>
      <c r="AA13" s="24"/>
      <c r="AB13" s="15">
        <v>14.127</v>
      </c>
    </row>
    <row r="14" ht="20.05" customHeight="1">
      <c r="B14" s="13"/>
      <c r="C14" s="14">
        <v>19120.665</v>
      </c>
      <c r="D14" s="15">
        <v>674.2625</v>
      </c>
      <c r="E14" s="15">
        <v>1406.7245</v>
      </c>
      <c r="F14" s="15">
        <v>4911.47</v>
      </c>
      <c r="G14" s="15">
        <v>49753.475</v>
      </c>
      <c r="H14" s="15">
        <v>62685.12</v>
      </c>
      <c r="I14" s="15">
        <v>13158.765</v>
      </c>
      <c r="J14" s="15">
        <v>1795.6675</v>
      </c>
      <c r="K14" s="15">
        <v>-482.63</v>
      </c>
      <c r="L14" s="15">
        <v>-469.499625</v>
      </c>
      <c r="M14" s="15">
        <v>-2.484125</v>
      </c>
      <c r="N14" s="15">
        <f>SUM(C11:C14)/4</f>
        <v>16548.257</v>
      </c>
      <c r="O14" s="23"/>
      <c r="P14" s="16">
        <f>C14/C13-1</f>
        <v>0.238319994979538</v>
      </c>
      <c r="Q14" s="16">
        <f>J14/I14</f>
        <v>0.136461704422869</v>
      </c>
      <c r="R14" s="16">
        <f>AVERAGE(Q11:Q14)</f>
        <v>0.00940983352239615</v>
      </c>
      <c r="S14" s="17"/>
      <c r="T14" s="15">
        <f>SUM(J11:K14)/4</f>
        <v>-370.388825</v>
      </c>
      <c r="U14" s="26"/>
      <c r="V14" s="15">
        <f>-(L14+M14)+V13</f>
        <v>-4330.56625</v>
      </c>
      <c r="W14" s="17"/>
      <c r="X14" s="15">
        <f>F14-G14</f>
        <v>-44842.005</v>
      </c>
      <c r="Y14" s="24"/>
      <c r="Z14" s="26">
        <v>510</v>
      </c>
      <c r="AA14" s="24"/>
      <c r="AB14" s="15">
        <v>14.195</v>
      </c>
    </row>
    <row r="15" ht="20.05" customHeight="1">
      <c r="B15" s="13"/>
      <c r="C15" s="14">
        <v>14334.5532</v>
      </c>
      <c r="D15" s="15">
        <v>610.808</v>
      </c>
      <c r="E15" s="15">
        <v>-1617.253</v>
      </c>
      <c r="F15" s="15">
        <v>4150.718</v>
      </c>
      <c r="G15" s="15">
        <v>51849.27</v>
      </c>
      <c r="H15" s="15">
        <v>61858.192</v>
      </c>
      <c r="I15" s="15">
        <v>19445.9056</v>
      </c>
      <c r="J15" s="15">
        <v>-544.1744</v>
      </c>
      <c r="K15" s="15">
        <v>-2962.4188</v>
      </c>
      <c r="L15" s="15">
        <v>-459.14715</v>
      </c>
      <c r="M15" s="15">
        <v>-2.42935</v>
      </c>
      <c r="N15" s="15">
        <f>SUM(C12:C15)/4</f>
        <v>16140.0073</v>
      </c>
      <c r="O15" s="15"/>
      <c r="P15" s="16">
        <f>C15/C14-1</f>
        <v>-0.250310948913126</v>
      </c>
      <c r="Q15" s="16">
        <f>J15/I15</f>
        <v>-0.0279840091376356</v>
      </c>
      <c r="R15" s="16">
        <f>AVERAGE(Q12:Q15)</f>
        <v>-0.0058043546323047</v>
      </c>
      <c r="S15" s="17"/>
      <c r="T15" s="15">
        <f>SUM(J12:K15)/4</f>
        <v>-1323.610625</v>
      </c>
      <c r="U15" s="26"/>
      <c r="V15" s="15">
        <f>-(L15+M15)+V14</f>
        <v>-3868.98975</v>
      </c>
      <c r="W15" s="17"/>
      <c r="X15" s="15">
        <f>F15-G15</f>
        <v>-47698.552</v>
      </c>
      <c r="Y15" s="24"/>
      <c r="Z15" s="233">
        <v>498</v>
      </c>
      <c r="AA15" s="24"/>
      <c r="AB15" s="15">
        <v>13.882</v>
      </c>
    </row>
    <row r="16" ht="20.05" customHeight="1">
      <c r="B16" s="21">
        <v>2020</v>
      </c>
      <c r="C16" s="14">
        <v>12528.0372</v>
      </c>
      <c r="D16" s="15">
        <v>7225.33</v>
      </c>
      <c r="E16" s="15">
        <v>-2014.4481</v>
      </c>
      <c r="F16" s="15">
        <v>2658.53</v>
      </c>
      <c r="G16" s="15">
        <v>140983.64</v>
      </c>
      <c r="H16" s="15">
        <v>149154.95</v>
      </c>
      <c r="I16" s="15">
        <v>12243.1015</v>
      </c>
      <c r="J16" s="15">
        <v>-595.3150000000001</v>
      </c>
      <c r="K16" s="15">
        <v>-656.3144</v>
      </c>
      <c r="L16" s="15">
        <v>-4258.541</v>
      </c>
      <c r="M16" s="15">
        <v>-1.631</v>
      </c>
      <c r="N16" s="15">
        <f>SUM(C13:C16)/4</f>
        <v>15356.0166</v>
      </c>
      <c r="O16" s="15">
        <v>21109.3806</v>
      </c>
      <c r="P16" s="16">
        <f>C16/C15-1</f>
        <v>-0.126025274369905</v>
      </c>
      <c r="Q16" s="16">
        <f>J16/I16</f>
        <v>-0.0486245254113102</v>
      </c>
      <c r="R16" s="16">
        <f>AVERAGE(Q13:Q16)</f>
        <v>-0.00479007076021875</v>
      </c>
      <c r="S16" s="17"/>
      <c r="T16" s="15">
        <f>SUM(J13:K16)/4</f>
        <v>-1413.661975</v>
      </c>
      <c r="U16" s="26"/>
      <c r="V16" s="15">
        <f>-(L16+M16)+V15</f>
        <v>391.18225</v>
      </c>
      <c r="W16" s="17"/>
      <c r="X16" s="15">
        <f>F16-G16</f>
        <v>-138325.11</v>
      </c>
      <c r="Y16" s="24"/>
      <c r="Z16" s="233">
        <v>181</v>
      </c>
      <c r="AA16" s="24"/>
      <c r="AB16" s="15">
        <v>16.31</v>
      </c>
    </row>
    <row r="17" ht="20.05" customHeight="1">
      <c r="B17" s="13"/>
      <c r="C17" s="14">
        <v>2126.2758</v>
      </c>
      <c r="D17" s="15">
        <v>2783.57385</v>
      </c>
      <c r="E17" s="15">
        <v>-8549.436250000001</v>
      </c>
      <c r="F17" s="15">
        <v>2352.075</v>
      </c>
      <c r="G17" s="15">
        <v>147795.84</v>
      </c>
      <c r="H17" s="15">
        <v>146641.185</v>
      </c>
      <c r="I17" s="15">
        <v>1952.42182</v>
      </c>
      <c r="J17" s="15">
        <v>1187.4415</v>
      </c>
      <c r="K17" s="15">
        <v>-122.8781</v>
      </c>
      <c r="L17" s="15">
        <v>2189.568</v>
      </c>
      <c r="M17" s="15">
        <v>-2.851</v>
      </c>
      <c r="N17" s="15">
        <f>SUM(C14:C17)/4</f>
        <v>12027.3828</v>
      </c>
      <c r="O17" s="15">
        <v>14288.570525</v>
      </c>
      <c r="P17" s="16">
        <f>C17/C16-1</f>
        <v>-0.830278616988781</v>
      </c>
      <c r="Q17" s="16">
        <f>J17/I17</f>
        <v>0.608189013171344</v>
      </c>
      <c r="R17" s="16">
        <f>AVERAGE(Q14:Q17)</f>
        <v>0.167010545761317</v>
      </c>
      <c r="S17" s="17"/>
      <c r="T17" s="26">
        <f>SUM(J14:K17)/4</f>
        <v>-595.155425</v>
      </c>
      <c r="U17" s="26"/>
      <c r="V17" s="15">
        <f>-(L17+M17)+V16</f>
        <v>-1795.53475</v>
      </c>
      <c r="W17" s="17"/>
      <c r="X17" s="15">
        <f>F17-G17</f>
        <v>-145443.765</v>
      </c>
      <c r="Y17" s="24"/>
      <c r="Z17" s="233">
        <v>246</v>
      </c>
      <c r="AA17" s="24"/>
      <c r="AB17" s="15">
        <v>14.255</v>
      </c>
    </row>
    <row r="18" ht="20.05" customHeight="1">
      <c r="B18" s="13"/>
      <c r="C18" s="14">
        <v>3279.2388</v>
      </c>
      <c r="D18" s="15">
        <v>5157.7167</v>
      </c>
      <c r="E18" s="15">
        <v>-5453.6646</v>
      </c>
      <c r="F18" s="15">
        <v>2514.3</v>
      </c>
      <c r="G18" s="15">
        <v>153239.19</v>
      </c>
      <c r="H18" s="15">
        <v>146494.95</v>
      </c>
      <c r="I18" s="15">
        <v>2564.37894</v>
      </c>
      <c r="J18" s="15">
        <v>4145.637</v>
      </c>
      <c r="K18" s="15">
        <v>57.0894</v>
      </c>
      <c r="L18" s="15">
        <v>502.86</v>
      </c>
      <c r="M18" s="15">
        <v>-2.958</v>
      </c>
      <c r="N18" s="15">
        <f>SUM(C15:C18)/4</f>
        <v>8067.02625</v>
      </c>
      <c r="O18" s="15">
        <v>12089.2967</v>
      </c>
      <c r="P18" s="16">
        <f>C18/C17-1</f>
        <v>0.542245272226679</v>
      </c>
      <c r="Q18" s="16">
        <f>J18/I18</f>
        <v>1.61662417957621</v>
      </c>
      <c r="R18" s="16">
        <f>AVERAGE(Q15:Q18)</f>
        <v>0.537051164549652</v>
      </c>
      <c r="S18" s="17"/>
      <c r="T18" s="26">
        <f>SUM(J15:K18)/4</f>
        <v>127.2668</v>
      </c>
      <c r="U18" s="26"/>
      <c r="V18" s="15">
        <f>-(L18+M18)+V17</f>
        <v>-2295.43675</v>
      </c>
      <c r="W18" s="17"/>
      <c r="X18" s="15">
        <f>F18-G18</f>
        <v>-150724.89</v>
      </c>
      <c r="Y18" s="24"/>
      <c r="Z18" s="26">
        <v>214</v>
      </c>
      <c r="AA18" s="24"/>
      <c r="AB18" s="15">
        <v>14.79</v>
      </c>
    </row>
    <row r="19" ht="20.05" customHeight="1">
      <c r="B19" s="13"/>
      <c r="C19" s="14">
        <v>4981.53</v>
      </c>
      <c r="D19" s="15">
        <v>7099.35</v>
      </c>
      <c r="E19" s="15">
        <v>-19522.86</v>
      </c>
      <c r="F19" s="15">
        <v>2834.1</v>
      </c>
      <c r="G19" s="15">
        <v>179535.3</v>
      </c>
      <c r="H19" s="15">
        <v>152139</v>
      </c>
      <c r="I19" s="15">
        <v>9097.32</v>
      </c>
      <c r="J19" s="15">
        <v>-4410.48</v>
      </c>
      <c r="K19" s="15">
        <v>-153.69</v>
      </c>
      <c r="L19" s="15">
        <v>813.5700000000001</v>
      </c>
      <c r="M19" s="15">
        <v>-2.82</v>
      </c>
      <c r="N19" s="15">
        <f>SUM(C16:C19)/4</f>
        <v>5728.77045</v>
      </c>
      <c r="O19" s="15">
        <v>10207.09575</v>
      </c>
      <c r="P19" s="16">
        <f>C19/C18-1</f>
        <v>0.519111691408384</v>
      </c>
      <c r="Q19" s="16">
        <f>J19/I19</f>
        <v>-0.484810911345319</v>
      </c>
      <c r="R19" s="16">
        <f>AVERAGE(Q16:Q19)</f>
        <v>0.422844438997731</v>
      </c>
      <c r="S19" s="17"/>
      <c r="T19" s="26">
        <f>SUM(J16:K19)/4</f>
        <v>-137.1274</v>
      </c>
      <c r="U19" s="26"/>
      <c r="V19" s="15">
        <f>-(L19+M19)+V18</f>
        <v>-3106.18675</v>
      </c>
      <c r="W19" s="17"/>
      <c r="X19" s="15">
        <f>F19-G19</f>
        <v>-176701.2</v>
      </c>
      <c r="Y19" s="24"/>
      <c r="Z19" s="26">
        <v>404</v>
      </c>
      <c r="AA19" s="24"/>
      <c r="AB19" s="15">
        <v>14.1</v>
      </c>
    </row>
    <row r="20" ht="20.05" customHeight="1">
      <c r="B20" s="21">
        <v>2021</v>
      </c>
      <c r="C20" s="14">
        <v>4894.4706</v>
      </c>
      <c r="D20" s="15">
        <v>5845.3212</v>
      </c>
      <c r="E20" s="15">
        <v>-5629.1524</v>
      </c>
      <c r="F20" s="15">
        <v>2424.596</v>
      </c>
      <c r="G20" s="15">
        <v>188432.006</v>
      </c>
      <c r="H20" s="15">
        <v>154516.874</v>
      </c>
      <c r="I20" s="15">
        <v>5207.039</v>
      </c>
      <c r="J20" s="15">
        <v>3093.5508</v>
      </c>
      <c r="K20" s="15">
        <v>-1432.8486</v>
      </c>
      <c r="L20" s="15">
        <v>1987.8766</v>
      </c>
      <c r="M20" s="15">
        <v>0</v>
      </c>
      <c r="N20" s="15">
        <f>SUM(C17:C20)/4</f>
        <v>3820.3788</v>
      </c>
      <c r="O20" s="15">
        <v>7839.0445818</v>
      </c>
      <c r="P20" s="16">
        <f>C20/C19-1</f>
        <v>-0.017476437961831</v>
      </c>
      <c r="Q20" s="16">
        <f>J20/I20</f>
        <v>0.594109396914446</v>
      </c>
      <c r="R20" s="16">
        <f>AVERAGE(Q17:Q20)</f>
        <v>0.5835279195791701</v>
      </c>
      <c r="S20" s="17"/>
      <c r="T20" s="26">
        <f>SUM(J17:K20)/4</f>
        <v>590.9555</v>
      </c>
      <c r="U20" s="26"/>
      <c r="V20" s="15">
        <f>-(L20+M20)+V19</f>
        <v>-5094.06335</v>
      </c>
      <c r="W20" s="17"/>
      <c r="X20" s="15">
        <f>F20-G20</f>
        <v>-186007.41</v>
      </c>
      <c r="Y20" s="15"/>
      <c r="Z20" s="26">
        <v>332</v>
      </c>
      <c r="AA20" s="15"/>
      <c r="AB20" s="15">
        <v>14.606</v>
      </c>
    </row>
    <row r="21" ht="20.05" customHeight="1">
      <c r="B21" s="13"/>
      <c r="C21" s="14">
        <v>5226.565</v>
      </c>
      <c r="D21" s="15">
        <v>4504.065</v>
      </c>
      <c r="E21" s="15">
        <v>-7460.535</v>
      </c>
      <c r="F21" s="15">
        <v>1141.55</v>
      </c>
      <c r="G21" s="15">
        <v>187315.35</v>
      </c>
      <c r="H21" s="15">
        <v>146161.75</v>
      </c>
      <c r="I21" s="15">
        <v>5259.8</v>
      </c>
      <c r="J21" s="15">
        <v>1418.99</v>
      </c>
      <c r="K21" s="15">
        <v>-1515.805</v>
      </c>
      <c r="L21" s="15">
        <v>-862.665</v>
      </c>
      <c r="M21" s="15">
        <v>0</v>
      </c>
      <c r="N21" s="15">
        <f>SUM(C18:C21)/4</f>
        <v>4595.4511</v>
      </c>
      <c r="O21" s="15">
        <v>7612.3740683</v>
      </c>
      <c r="P21" s="16">
        <f>C21/C20-1</f>
        <v>0.06785093366379601</v>
      </c>
      <c r="Q21" s="16">
        <f>J21/I21</f>
        <v>0.26978021978022</v>
      </c>
      <c r="R21" s="16">
        <f>AVERAGE(Q18:Q21)</f>
        <v>0.498925721231389</v>
      </c>
      <c r="S21" s="17"/>
      <c r="T21" s="26">
        <f>SUM(J18:K21)/4</f>
        <v>300.6109</v>
      </c>
      <c r="U21" s="26"/>
      <c r="V21" s="15">
        <f>-(L21+M21)+V20</f>
        <v>-4231.39835</v>
      </c>
      <c r="W21" s="17"/>
      <c r="X21" s="15">
        <f>F21-G21</f>
        <v>-186173.8</v>
      </c>
      <c r="Y21" s="15"/>
      <c r="Z21" s="26">
        <v>222</v>
      </c>
      <c r="AA21" s="15"/>
      <c r="AB21" s="15">
        <v>14.45</v>
      </c>
    </row>
    <row r="22" ht="20.05" customHeight="1">
      <c r="B22" s="13"/>
      <c r="C22" s="14">
        <v>3470.2416</v>
      </c>
      <c r="D22" s="15">
        <v>3918.708</v>
      </c>
      <c r="E22" s="15">
        <v>-10959.4872</v>
      </c>
      <c r="F22" s="15">
        <v>601.776</v>
      </c>
      <c r="G22" s="15">
        <v>186650.856</v>
      </c>
      <c r="H22" s="15">
        <v>134998.416</v>
      </c>
      <c r="I22" s="15">
        <v>3702.3552</v>
      </c>
      <c r="J22" s="15">
        <v>1174.896</v>
      </c>
      <c r="K22" s="15">
        <v>-500.0472</v>
      </c>
      <c r="L22" s="15">
        <v>315.216</v>
      </c>
      <c r="M22" s="15">
        <v>0</v>
      </c>
      <c r="N22" s="15">
        <f>SUM(C19:C22)/4</f>
        <v>4643.2018</v>
      </c>
      <c r="O22" s="15">
        <v>7370.400485232</v>
      </c>
      <c r="P22" s="16">
        <f>C22/C21-1</f>
        <v>-0.33603779920464</v>
      </c>
      <c r="Q22" s="16">
        <f>J22/I22</f>
        <v>0.31733746130031</v>
      </c>
      <c r="R22" s="16">
        <f>AVERAGE(Q19:Q22)</f>
        <v>0.174104041662414</v>
      </c>
      <c r="S22" s="17"/>
      <c r="T22" s="26">
        <f>SUM(J19:K22)/4</f>
        <v>-581.3585</v>
      </c>
      <c r="U22" s="26"/>
      <c r="V22" s="15">
        <f>-(L22+M22)+V21</f>
        <v>-4546.61435</v>
      </c>
      <c r="W22" s="17"/>
      <c r="X22" s="15">
        <f>F22-G22</f>
        <v>-186049.08</v>
      </c>
      <c r="Y22" s="15"/>
      <c r="Z22" s="26">
        <v>222</v>
      </c>
      <c r="AA22" s="15"/>
      <c r="AB22" s="15">
        <v>14.328</v>
      </c>
    </row>
    <row r="23" ht="20.05" customHeight="1">
      <c r="B23" s="13"/>
      <c r="C23" s="14">
        <v>5677.1675</v>
      </c>
      <c r="D23" s="15">
        <v>4226.8275</v>
      </c>
      <c r="E23" s="15">
        <v>-35793.135</v>
      </c>
      <c r="F23" s="15">
        <v>770.85</v>
      </c>
      <c r="G23" s="15">
        <v>189900.325</v>
      </c>
      <c r="H23" s="15">
        <v>102680.075</v>
      </c>
      <c r="I23" s="15">
        <v>6285.2825</v>
      </c>
      <c r="J23" s="15">
        <v>1528.8525</v>
      </c>
      <c r="K23" s="15">
        <v>-114.2</v>
      </c>
      <c r="L23" s="15">
        <v>269.7975</v>
      </c>
      <c r="M23" s="15">
        <v>0</v>
      </c>
      <c r="N23" s="15">
        <f>SUM(C20:C23)/4</f>
        <v>4817.111175</v>
      </c>
      <c r="O23" s="15">
        <v>7273.22518685</v>
      </c>
      <c r="P23" s="16">
        <f>C23/C22-1</f>
        <v>0.63595742152362</v>
      </c>
      <c r="Q23" s="16">
        <f>J23/I23</f>
        <v>0.243243243243243</v>
      </c>
      <c r="R23" s="16">
        <f>AVERAGE(Q20:Q23)</f>
        <v>0.356117580309555</v>
      </c>
      <c r="S23" s="17"/>
      <c r="T23" s="26">
        <f>SUM(J20:K23)/4</f>
        <v>913.347125</v>
      </c>
      <c r="U23" s="15">
        <v>-371.7874230025</v>
      </c>
      <c r="V23" s="15">
        <f>-(L23+M23)+V22</f>
        <v>-4816.41185</v>
      </c>
      <c r="W23" s="17"/>
      <c r="X23" s="15">
        <f>F23-G23</f>
        <v>-189129.475</v>
      </c>
      <c r="Y23" s="15">
        <v>-184729.979398481</v>
      </c>
      <c r="Z23" s="26">
        <v>222</v>
      </c>
      <c r="AA23" s="15"/>
      <c r="AB23" s="15">
        <v>14.275</v>
      </c>
    </row>
    <row r="24" ht="20.05" customHeight="1">
      <c r="B24" s="21">
        <v>2022</v>
      </c>
      <c r="C24" s="14">
        <v>5017.3154</v>
      </c>
      <c r="D24" s="15">
        <v>3203.5172</v>
      </c>
      <c r="E24" s="15">
        <v>-3210.6807</v>
      </c>
      <c r="F24" s="15">
        <v>1203.468</v>
      </c>
      <c r="G24" s="15">
        <v>191738.241</v>
      </c>
      <c r="H24" s="15">
        <v>100976.696</v>
      </c>
      <c r="I24" s="15">
        <v>5470.0486</v>
      </c>
      <c r="J24" s="15">
        <v>2520.54911</v>
      </c>
      <c r="K24" s="15">
        <v>-137.5392</v>
      </c>
      <c r="L24" s="15">
        <v>-67.3369</v>
      </c>
      <c r="M24" s="15">
        <v>0</v>
      </c>
      <c r="N24" s="15">
        <f>SUM(C21:C24)/4</f>
        <v>4847.822375</v>
      </c>
      <c r="O24" s="15">
        <v>6913.029569238</v>
      </c>
      <c r="P24" s="16">
        <f>C24/C23-1</f>
        <v>-0.116229105447391</v>
      </c>
      <c r="Q24" s="16">
        <f>J24/I24</f>
        <v>0.460790990047145</v>
      </c>
      <c r="R24" s="16">
        <f>AVERAGE(Q21:Q24)</f>
        <v>0.32278797859273</v>
      </c>
      <c r="S24" s="35"/>
      <c r="T24" s="26">
        <f>SUM(J21:K24)/4</f>
        <v>1093.9240525</v>
      </c>
      <c r="U24" s="15">
        <v>121.807403116113</v>
      </c>
      <c r="V24" s="15">
        <f>-(L24+M24)+V23</f>
        <v>-4749.07495</v>
      </c>
      <c r="W24" s="15"/>
      <c r="X24" s="15">
        <f>F24-G24</f>
        <v>-190534.773</v>
      </c>
      <c r="Y24" s="15">
        <v>-189426.192425104</v>
      </c>
      <c r="Z24" s="26">
        <v>222</v>
      </c>
      <c r="AA24" s="17"/>
      <c r="AB24" s="15">
        <v>14.327</v>
      </c>
    </row>
    <row r="25" ht="20.05" customHeight="1">
      <c r="B25" s="13"/>
      <c r="C25" s="14">
        <v>7747.81</v>
      </c>
      <c r="D25" s="15">
        <v>4507.95</v>
      </c>
      <c r="E25" s="15">
        <v>58387.848</v>
      </c>
      <c r="F25" s="15">
        <v>1905.8</v>
      </c>
      <c r="G25" s="15">
        <v>120358.6</v>
      </c>
      <c r="H25" s="15">
        <v>85907.600000000006</v>
      </c>
      <c r="I25" s="15">
        <v>7991.166</v>
      </c>
      <c r="J25" s="15">
        <v>-2151.4283</v>
      </c>
      <c r="K25" s="15">
        <v>-812.164</v>
      </c>
      <c r="L25" s="15">
        <v>82.096</v>
      </c>
      <c r="M25" s="15">
        <v>0</v>
      </c>
      <c r="N25" s="15">
        <f>SUM(C22:C25)/4</f>
        <v>5478.133625</v>
      </c>
      <c r="O25" s="15">
        <v>6218.2589</v>
      </c>
      <c r="P25" s="16">
        <f>C25/C24-1</f>
        <v>0.544214262471919</v>
      </c>
      <c r="Q25" s="16">
        <f>J25/I25</f>
        <v>-0.269225830122913</v>
      </c>
      <c r="R25" s="16">
        <f>AVERAGE(Q22:Q25)</f>
        <v>0.188036466116946</v>
      </c>
      <c r="S25" s="35"/>
      <c r="T25" s="26">
        <f>SUM(J22:K25)/4</f>
        <v>377.2297275</v>
      </c>
      <c r="U25" s="15">
        <v>124.638551663448</v>
      </c>
      <c r="V25" s="15">
        <f>-(L25+M25)+V24</f>
        <v>-4831.17095</v>
      </c>
      <c r="W25" s="15"/>
      <c r="X25" s="15">
        <f>F25-G25</f>
        <v>-118452.8</v>
      </c>
      <c r="Y25" s="15">
        <v>-193828.992877227</v>
      </c>
      <c r="Z25" s="26">
        <v>222</v>
      </c>
      <c r="AA25" s="17"/>
      <c r="AB25" s="15">
        <v>14.66</v>
      </c>
    </row>
    <row r="26" ht="20.05" customHeight="1">
      <c r="B26" s="13"/>
      <c r="C26" s="14">
        <v>9847.035</v>
      </c>
      <c r="D26" s="15">
        <v>2572.479</v>
      </c>
      <c r="E26" s="15">
        <v>-970.569</v>
      </c>
      <c r="F26" s="15">
        <v>2638.44</v>
      </c>
      <c r="G26" s="15">
        <v>130320.09</v>
      </c>
      <c r="H26" s="15">
        <v>92439.63</v>
      </c>
      <c r="I26" s="15">
        <v>10379.4345</v>
      </c>
      <c r="J26" s="15">
        <v>-552.423375</v>
      </c>
      <c r="K26" s="15">
        <v>-904.6079999999999</v>
      </c>
      <c r="L26" s="15">
        <v>73.8135</v>
      </c>
      <c r="M26" s="15">
        <v>0</v>
      </c>
      <c r="N26" s="15">
        <f>SUM(C23:C26)/4</f>
        <v>7072.331975</v>
      </c>
      <c r="O26" s="15">
        <v>9879.548227171879</v>
      </c>
      <c r="P26" s="16">
        <f>C26/C25-1</f>
        <v>0.27094430555215</v>
      </c>
      <c r="Q26" s="16">
        <f>J26/I26</f>
        <v>-0.0532228778937812</v>
      </c>
      <c r="R26" s="16">
        <f>AVERAGE(Q23:Q26)</f>
        <v>0.0953963813184235</v>
      </c>
      <c r="S26" s="35">
        <f>S27</f>
        <v>0.0953963813184235</v>
      </c>
      <c r="T26" s="26">
        <f>SUM(J23:K26)/4</f>
        <v>-155.74031625</v>
      </c>
      <c r="U26" s="15">
        <v>628.152898615203</v>
      </c>
      <c r="V26" s="15">
        <f>-(L26+M26)+V25</f>
        <v>-4904.98445</v>
      </c>
      <c r="W26" s="15">
        <f>W27</f>
        <v>-4071.620985617460</v>
      </c>
      <c r="X26" s="15">
        <f>F26-G26</f>
        <v>-127681.65</v>
      </c>
      <c r="Y26" s="15">
        <v>-124383.788405539</v>
      </c>
      <c r="Z26" s="26">
        <v>222</v>
      </c>
      <c r="AA26" s="15">
        <v>315.560118168390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AVERAGE(AE51:AH51)</f>
        <v>11666.5732044985</v>
      </c>
      <c r="P27" s="17"/>
      <c r="Q27" s="17"/>
      <c r="R27" s="17"/>
      <c r="S27" s="35">
        <f>AE52</f>
        <v>0.0953963813184235</v>
      </c>
      <c r="T27" s="26"/>
      <c r="U27" s="15">
        <f>SUM(AE54:AH54)/4</f>
        <v>208.340866095636</v>
      </c>
      <c r="V27" s="17"/>
      <c r="W27" s="15">
        <f>-SUM(AE75:AH75)+V26</f>
        <v>-4071.620985617460</v>
      </c>
      <c r="X27" s="26"/>
      <c r="Y27" s="15">
        <f>AH74</f>
        <v>-126848.286535618</v>
      </c>
      <c r="Z27" s="15">
        <v>116</v>
      </c>
      <c r="AA27" s="15">
        <v>315.560118168390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17398.287975</v>
      </c>
      <c r="O28" s="15">
        <f>SUM(O24:O26)</f>
        <v>23010.8366964099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AH87</f>
        <v>54.6582530578297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5" ht="27.65" customHeight="1">
      <c r="AC45" t="s" s="2">
        <v>310</v>
      </c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</row>
    <row r="46" ht="20.25" customHeight="1">
      <c r="AC46" t="s" s="28">
        <v>366</v>
      </c>
      <c r="AD46" t="s" s="29">
        <v>23</v>
      </c>
      <c r="AE46" t="s" s="29">
        <v>24</v>
      </c>
      <c r="AF46" t="s" s="29">
        <v>25</v>
      </c>
      <c r="AG46" t="s" s="29">
        <v>26</v>
      </c>
      <c r="AH46" t="s" s="29">
        <v>23</v>
      </c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</row>
    <row r="47" ht="20.25" customHeight="1">
      <c r="AC47" t="s" s="31">
        <v>15</v>
      </c>
      <c r="AD47" s="32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</row>
    <row r="48" ht="20.05" customHeight="1">
      <c r="AC48" t="s" s="33">
        <v>27</v>
      </c>
      <c r="AD48" s="34"/>
      <c r="AE48" s="16">
        <f>AVERAGE(P23:P26)</f>
        <v>0.333721721025075</v>
      </c>
      <c r="AF48" s="35"/>
      <c r="AG48" s="35"/>
      <c r="AH48" s="35">
        <f>AVERAGE(AE50:AH50)</f>
        <v>0.06</v>
      </c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</row>
    <row r="49" ht="20.05" customHeight="1">
      <c r="AC49" s="36"/>
      <c r="AD49" s="37"/>
      <c r="AE49" s="35">
        <f>P23</f>
        <v>0.63595742152362</v>
      </c>
      <c r="AF49" s="35">
        <f>P24</f>
        <v>-0.116229105447391</v>
      </c>
      <c r="AG49" s="35">
        <f>P25</f>
        <v>0.544214262471919</v>
      </c>
      <c r="AH49" s="35">
        <f>P26</f>
        <v>0.27094430555215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t="s" s="33">
        <v>13</v>
      </c>
      <c r="AD50" s="37"/>
      <c r="AE50" s="35">
        <v>0.15</v>
      </c>
      <c r="AF50" s="35">
        <v>-0.01</v>
      </c>
      <c r="AG50" s="35">
        <v>0.05</v>
      </c>
      <c r="AH50" s="35">
        <v>0.05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28</v>
      </c>
      <c r="AD51" s="38">
        <f>C26</f>
        <v>9847.035</v>
      </c>
      <c r="AE51" s="23">
        <f>C26*(1+AE50)</f>
        <v>11324.09025</v>
      </c>
      <c r="AF51" s="23">
        <f>AE51*(1+AF50)</f>
        <v>11210.8493475</v>
      </c>
      <c r="AG51" s="23">
        <f>AF51*(1+AG50)</f>
        <v>11771.391814875</v>
      </c>
      <c r="AH51" s="23">
        <f>AG51*(1+AH50)</f>
        <v>12359.9614056188</v>
      </c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</row>
    <row r="52" ht="20.05" customHeight="1">
      <c r="AC52" t="s" s="33">
        <v>14</v>
      </c>
      <c r="AD52" s="37"/>
      <c r="AE52" s="35">
        <f>AVERAGE(R26)</f>
        <v>0.0953963813184235</v>
      </c>
      <c r="AF52" s="35">
        <f>AE52</f>
        <v>0.0953963813184235</v>
      </c>
      <c r="AG52" s="35">
        <f>AF52</f>
        <v>0.0953963813184235</v>
      </c>
      <c r="AH52" s="35">
        <f>AG52</f>
        <v>0.0953963813184235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ht="20.05" customHeight="1">
      <c r="AC53" t="s" s="33">
        <v>29</v>
      </c>
      <c r="AD53" s="14"/>
      <c r="AE53" s="15">
        <f>AVERAGE(K26)</f>
        <v>-904.6079999999999</v>
      </c>
      <c r="AF53" s="15">
        <f>AE53</f>
        <v>-904.6079999999999</v>
      </c>
      <c r="AG53" s="15">
        <f>AF53</f>
        <v>-904.6079999999999</v>
      </c>
      <c r="AH53" s="15">
        <f>AG53</f>
        <v>-904.6079999999999</v>
      </c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</row>
    <row r="54" ht="20.05" customHeight="1">
      <c r="AC54" t="s" s="33">
        <v>30</v>
      </c>
      <c r="AD54" s="14"/>
      <c r="AE54" s="15">
        <f>(AE51*AE52)+AE53</f>
        <v>175.669231573242</v>
      </c>
      <c r="AF54" s="15">
        <f>(AF51*AF52)+AF53</f>
        <v>164.866459257509</v>
      </c>
      <c r="AG54" s="15">
        <f>(AG51*AG52)+AG53</f>
        <v>218.340182220385</v>
      </c>
      <c r="AH54" s="15">
        <f>(AH51*AH52)+AH53</f>
        <v>274.487591331409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31</v>
      </c>
      <c r="AD55" s="14"/>
      <c r="AE55" s="15">
        <f>-G26/20</f>
        <v>-6516.0045</v>
      </c>
      <c r="AF55" s="15">
        <f>-AE70/20</f>
        <v>-6190.204275</v>
      </c>
      <c r="AG55" s="15">
        <f>-AF70/20</f>
        <v>-5880.69406125</v>
      </c>
      <c r="AH55" s="15">
        <f>-AG70/20</f>
        <v>-5586.6593581875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32</v>
      </c>
      <c r="AD56" s="39"/>
      <c r="AE56" s="40">
        <v>-0.5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33</v>
      </c>
      <c r="AD57" s="14"/>
      <c r="AE57" s="15">
        <f>IF(AE65&gt;0,AE65*$AE$56,0)</f>
        <v>0</v>
      </c>
      <c r="AF57" s="15">
        <f>IF(AF65&gt;0,AF65*$AE$56,0)</f>
        <v>0</v>
      </c>
      <c r="AG57" s="15">
        <f>IF(AG65&gt;0,AG65*$AE$56,0)</f>
        <v>0</v>
      </c>
      <c r="AH57" s="15">
        <f>IF(AH65&gt;0,AH65*$AE$56,0)</f>
        <v>0</v>
      </c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34</v>
      </c>
      <c r="AD58" s="14"/>
      <c r="AE58" s="15">
        <f>AE54+AE55+AE57</f>
        <v>-6340.335268426760</v>
      </c>
      <c r="AF58" s="15">
        <f>AF54+AF55+AF57</f>
        <v>-6025.337815742490</v>
      </c>
      <c r="AG58" s="15">
        <f>AG54+AG55+AG57</f>
        <v>-5662.353879029620</v>
      </c>
      <c r="AH58" s="15">
        <f>AH54+AH55+AH57</f>
        <v>-5312.171766856090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35</v>
      </c>
      <c r="AD59" s="14"/>
      <c r="AE59" s="15">
        <f>-MIN(0,AE58)</f>
        <v>6340.335268426760</v>
      </c>
      <c r="AF59" s="15">
        <f>-MIN(AE71,AF58)</f>
        <v>6025.337815742490</v>
      </c>
      <c r="AG59" s="15">
        <f>-MIN(AF71,AG58)</f>
        <v>5662.353879029620</v>
      </c>
      <c r="AH59" s="15">
        <f>-MIN(AG71,AH58)</f>
        <v>5312.171766856090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36</v>
      </c>
      <c r="AD60" s="14"/>
      <c r="AE60" s="15">
        <f>F26</f>
        <v>2638.44</v>
      </c>
      <c r="AF60" s="15">
        <f>AE62</f>
        <v>2638.44</v>
      </c>
      <c r="AG60" s="15">
        <f>AF62</f>
        <v>2638.44</v>
      </c>
      <c r="AH60" s="15">
        <f>AG62</f>
        <v>2638.440000000010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37</v>
      </c>
      <c r="AD61" s="14"/>
      <c r="AE61" s="15">
        <f>AE54+AE55+AE57+AE59</f>
        <v>2e-12</v>
      </c>
      <c r="AF61" s="15">
        <f>AF54+AF55+AF57+AF59</f>
        <v>-1e-12</v>
      </c>
      <c r="AG61" s="15">
        <f>AG54+AG55+AG57+AG59</f>
        <v>5e-12</v>
      </c>
      <c r="AH61" s="15">
        <f>AH54+AH55+AH57+AH59</f>
        <v>-1e-12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38</v>
      </c>
      <c r="AD62" s="14"/>
      <c r="AE62" s="15">
        <f>AE60+AE61</f>
        <v>2638.44</v>
      </c>
      <c r="AF62" s="15">
        <f>AF60+AF61</f>
        <v>2638.44</v>
      </c>
      <c r="AG62" s="15">
        <f>AG60+AG61</f>
        <v>2638.440000000010</v>
      </c>
      <c r="AH62" s="15">
        <f>AH60+AH61</f>
        <v>2638.440000000010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41">
        <v>4</v>
      </c>
      <c r="AD63" s="14"/>
      <c r="AE63" s="15"/>
      <c r="AF63" s="15"/>
      <c r="AG63" s="15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</row>
    <row r="64" ht="20.05" customHeight="1">
      <c r="AC64" t="s" s="33">
        <v>3</v>
      </c>
      <c r="AD64" s="14"/>
      <c r="AE64" s="15">
        <f>-AVERAGE(D24:D26)</f>
        <v>-3427.982066666670</v>
      </c>
      <c r="AF64" s="15">
        <f>AE64</f>
        <v>-3427.982066666670</v>
      </c>
      <c r="AG64" s="15">
        <f>AF64</f>
        <v>-3427.982066666670</v>
      </c>
      <c r="AH64" s="15">
        <f>AG64</f>
        <v>-3427.982066666670</v>
      </c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ht="20.05" customHeight="1">
      <c r="AC65" t="s" s="33">
        <v>4</v>
      </c>
      <c r="AD65" s="14"/>
      <c r="AE65" s="15">
        <f>(AE51*AE52)+AE64</f>
        <v>-2347.704835093430</v>
      </c>
      <c r="AF65" s="15">
        <f>(AF51*AF52)+AF64</f>
        <v>-2358.507607409160</v>
      </c>
      <c r="AG65" s="15">
        <f>(AG51*AG52)+AG64</f>
        <v>-2305.033884446290</v>
      </c>
      <c r="AH65" s="15">
        <f>(AH51*AH52)+AH64</f>
        <v>-2248.886475335260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41">
        <v>39</v>
      </c>
      <c r="AD66" s="14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33">
        <v>40</v>
      </c>
      <c r="AD67" s="14"/>
      <c r="AE67" s="15">
        <f>H26-F26-AE53</f>
        <v>90705.798</v>
      </c>
      <c r="AF67" s="15">
        <f>AE67-AF53</f>
        <v>91610.406</v>
      </c>
      <c r="AG67" s="15">
        <f>AF67-AG53</f>
        <v>92515.014</v>
      </c>
      <c r="AH67" s="15">
        <f>AG67-AH53</f>
        <v>93419.622</v>
      </c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41</v>
      </c>
      <c r="AD68" s="14"/>
      <c r="AE68" s="15">
        <f>0-AE64</f>
        <v>3427.982066666670</v>
      </c>
      <c r="AF68" s="15">
        <f>AE68-AF64</f>
        <v>6855.964133333340</v>
      </c>
      <c r="AG68" s="15">
        <f>AF68-AG64</f>
        <v>10283.9462</v>
      </c>
      <c r="AH68" s="15">
        <f>AG68-AH64</f>
        <v>13711.9282666667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42</v>
      </c>
      <c r="AD69" s="14"/>
      <c r="AE69" s="15">
        <f>AE67-AE68</f>
        <v>87277.8159333333</v>
      </c>
      <c r="AF69" s="15">
        <f>AF67-AF68</f>
        <v>84754.4418666667</v>
      </c>
      <c r="AG69" s="15">
        <f>AG67-AG68</f>
        <v>82231.0678</v>
      </c>
      <c r="AH69" s="15">
        <f>AH67-AH68</f>
        <v>79707.6937333333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6</v>
      </c>
      <c r="AD70" s="14"/>
      <c r="AE70" s="15">
        <f>G26+AE55</f>
        <v>123804.0855</v>
      </c>
      <c r="AF70" s="15">
        <f>AE70+AF55</f>
        <v>117613.881225</v>
      </c>
      <c r="AG70" s="15">
        <f>AF70+AG55</f>
        <v>111733.18716375</v>
      </c>
      <c r="AH70" s="15">
        <f>AG70+AH55</f>
        <v>106146.527805563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35</v>
      </c>
      <c r="AD71" s="14"/>
      <c r="AE71" s="15">
        <f>AE59</f>
        <v>6340.335268426760</v>
      </c>
      <c r="AF71" s="15">
        <f>AE71+AF59</f>
        <v>12365.6730841693</v>
      </c>
      <c r="AG71" s="15">
        <f>AF71+AG59</f>
        <v>18028.0269631989</v>
      </c>
      <c r="AH71" s="15">
        <f>AG71+AH59</f>
        <v>23340.198730055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11</v>
      </c>
      <c r="AD72" s="14"/>
      <c r="AE72" s="15">
        <f>(H26-G26)+AE65+AE57</f>
        <v>-40228.1648350934</v>
      </c>
      <c r="AF72" s="15">
        <f>AE72+AF65+AF57</f>
        <v>-42586.6724425026</v>
      </c>
      <c r="AG72" s="15">
        <f>AF72+AG65+AG57</f>
        <v>-44891.7063269489</v>
      </c>
      <c r="AH72" s="15">
        <f>AG72+AH65+AH57</f>
        <v>-47140.5928022842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43</v>
      </c>
      <c r="AD73" s="14"/>
      <c r="AE73" s="15">
        <f>AE70+AE71+AE72-AE62-AE69</f>
        <v>6e-11</v>
      </c>
      <c r="AF73" s="15">
        <f>AF70+AF71+AF72-AF62-AF69</f>
        <v>0</v>
      </c>
      <c r="AG73" s="15">
        <f>AG70+AG71+AG72-AG62-AG69</f>
        <v>-9.999999999999999e-12</v>
      </c>
      <c r="AH73" s="15">
        <f>AH70+AH71+AH72-AH62-AH69</f>
        <v>4.9e-10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18</v>
      </c>
      <c r="AD74" s="14"/>
      <c r="AE74" s="15">
        <f>AE62-AE70-AE71</f>
        <v>-127505.980768427</v>
      </c>
      <c r="AF74" s="15">
        <f>AF62-AF70-AF71</f>
        <v>-127341.114309169</v>
      </c>
      <c r="AG74" s="15">
        <f>AG62-AG70-AG71</f>
        <v>-127122.774126949</v>
      </c>
      <c r="AH74" s="15">
        <f>AH62-AH70-AH71</f>
        <v>-126848.286535618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44</v>
      </c>
      <c r="AD75" s="14"/>
      <c r="AE75" s="15">
        <f>AE55+AE57+AE59</f>
        <v>-175.669231573240</v>
      </c>
      <c r="AF75" s="15">
        <f>AF55+AF57+AF59</f>
        <v>-164.866459257510</v>
      </c>
      <c r="AG75" s="15">
        <f>AG55+AG57+AG59</f>
        <v>-218.340182220380</v>
      </c>
      <c r="AH75" s="15">
        <f>AH55+AH57+AH59</f>
        <v>-274.487591331410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45</v>
      </c>
      <c r="AD76" s="14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f>Z$3</f>
        <v>593</v>
      </c>
      <c r="AD77" s="14"/>
      <c r="AE77" s="15"/>
      <c r="AF77" s="15"/>
      <c r="AG77" s="15"/>
      <c r="AH77" s="15">
        <v>116</v>
      </c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$AC77</f>
        <v>593</v>
      </c>
      <c r="AD78" s="14"/>
      <c r="AE78" s="15"/>
      <c r="AF78" s="15"/>
      <c r="AG78" s="15"/>
      <c r="AH78" s="15">
        <v>10611772948480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v>46</v>
      </c>
      <c r="AD79" s="14"/>
      <c r="AE79" s="15"/>
      <c r="AF79" s="15"/>
      <c r="AG79" s="15"/>
      <c r="AH79" s="15">
        <f>AH78/1000000000</f>
        <v>10611.77294848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47</v>
      </c>
      <c r="AD80" s="14"/>
      <c r="AE80" s="15"/>
      <c r="AF80" s="15"/>
      <c r="AG80" s="15"/>
      <c r="AH80" s="15">
        <f>AH79/AH77</f>
        <v>91.48080127999999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48</v>
      </c>
      <c r="AD81" s="14"/>
      <c r="AE81" s="15"/>
      <c r="AF81" s="15"/>
      <c r="AG81" s="15"/>
      <c r="AH81" s="43">
        <f>AH79/(AH62+AH69)</f>
        <v>0.128867895399252</v>
      </c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</row>
    <row r="82" ht="20.05" customHeight="1">
      <c r="AC82" t="s" s="33">
        <v>49</v>
      </c>
      <c r="AD82" s="14"/>
      <c r="AE82" s="15"/>
      <c r="AF82" s="15"/>
      <c r="AG82" s="15"/>
      <c r="AH82" s="16">
        <f>-(AE57+AF57+AG57+AH57)/AH79</f>
        <v>0</v>
      </c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</row>
    <row r="83" ht="20.05" customHeight="1">
      <c r="AC83" t="s" s="33">
        <v>50</v>
      </c>
      <c r="AD83" s="14"/>
      <c r="AE83" s="15"/>
      <c r="AF83" s="15"/>
      <c r="AG83" s="15"/>
      <c r="AH83" s="15">
        <f>SUM(AE54:AH54)</f>
        <v>833.363464382545</v>
      </c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</row>
    <row r="84" ht="20.05" customHeight="1">
      <c r="AC84" t="s" s="33">
        <v>51</v>
      </c>
      <c r="AD84" s="14"/>
      <c r="AE84" s="15"/>
      <c r="AF84" s="15"/>
      <c r="AG84" s="15"/>
      <c r="AH84" s="15">
        <f>AH69/AH83</f>
        <v>95.6457741909651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52</v>
      </c>
      <c r="AD85" s="14"/>
      <c r="AE85" s="15"/>
      <c r="AF85" s="15"/>
      <c r="AG85" s="15">
        <f>AH79/AH83</f>
        <v>12.7336671236751</v>
      </c>
      <c r="AH85" s="15">
        <v>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53</v>
      </c>
      <c r="AD86" s="14"/>
      <c r="AE86" s="15"/>
      <c r="AF86" s="15"/>
      <c r="AG86" s="15"/>
      <c r="AH86" s="15">
        <f>AH83*AH85</f>
        <v>5000.180786295270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54</v>
      </c>
      <c r="AD87" s="14"/>
      <c r="AE87" s="15"/>
      <c r="AF87" s="15"/>
      <c r="AG87" s="15"/>
      <c r="AH87" s="15">
        <f>(AH86/AH80)</f>
        <v>54.6582530578297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55</v>
      </c>
      <c r="AD88" s="38"/>
      <c r="AE88" s="23"/>
      <c r="AF88" s="23"/>
      <c r="AG88" s="23"/>
      <c r="AH88" s="16">
        <f>AH87/AH77-1</f>
        <v>-0.528808163294572</v>
      </c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</row>
    <row r="89" ht="20.05" customHeight="1">
      <c r="AC89" t="s" s="33">
        <v>56</v>
      </c>
      <c r="AD89" s="38"/>
      <c r="AE89" s="23"/>
      <c r="AF89" s="23"/>
      <c r="AG89" s="23"/>
      <c r="AH89" s="16">
        <f>C26/C22-1</f>
        <v>1.8375646813755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57</v>
      </c>
      <c r="AD90" s="38"/>
      <c r="AE90" s="23"/>
      <c r="AF90" s="23"/>
      <c r="AG90" s="23"/>
      <c r="AH90" s="16">
        <f>O28/N28-1</f>
        <v>0.322592011896498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s="36"/>
      <c r="AD91" s="38"/>
      <c r="AE91" s="23"/>
      <c r="AF91" s="23"/>
      <c r="AG91" s="23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45"/>
      <c r="AE93" t="s" s="44">
        <f>$AC77</f>
        <v>593</v>
      </c>
      <c r="AF93" t="s" s="44">
        <v>60</v>
      </c>
      <c r="AG93" s="15">
        <f>AH77</f>
        <v>116</v>
      </c>
      <c r="AH93" t="s" s="44">
        <v>61</v>
      </c>
      <c r="AI93" s="15">
        <f>AH87</f>
        <v>54.6582530578297</v>
      </c>
      <c r="AJ93" t="s" s="44">
        <f>IF(AK93&gt;0,"+","")</f>
      </c>
      <c r="AK93" s="16">
        <f>AI93/AG93-1</f>
        <v>-0.528808163294572</v>
      </c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</row>
    <row r="94" ht="20.05" customHeight="1">
      <c r="AC94" s="36"/>
      <c r="AD94" s="46"/>
      <c r="AE94" s="47">
        <f>TODAY()</f>
        <v>44942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32.05" customHeight="1">
      <c r="AC95" s="36"/>
      <c r="AD95" s="34"/>
      <c r="AE95" t="s" s="44">
        <v>62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63</v>
      </c>
      <c r="AF96" t="s" s="44">
        <v>64</v>
      </c>
      <c r="AG96" t="s" s="44">
        <f>IF(AH96&gt;0,"+","")</f>
        <v>361</v>
      </c>
      <c r="AH96" s="16">
        <f>AM103/AE103-1</f>
        <v>1.8375646813755</v>
      </c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65</v>
      </c>
      <c r="AG97" t="s" s="44">
        <f>IF(AH97&gt;0,"+","")</f>
      </c>
      <c r="AH97" s="16">
        <f>(AG116+AG117+AI116+AI117+AK116+AK117+AM116+AM117)/AF133</f>
        <v>-0.0587047299282097</v>
      </c>
      <c r="AI97" t="s" s="44">
        <v>66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17</v>
      </c>
      <c r="AG98" t="s" s="44">
        <f>IF(AH98&gt;0,"+","")</f>
      </c>
      <c r="AH98" s="16">
        <f>(AG130+AG131+AI130+AI131+AK130+AK131+AM130+AM131)/AF133</f>
        <v>-0.0337709920613531</v>
      </c>
      <c r="AI98" t="s" s="44">
        <f>AI97</f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68</v>
      </c>
      <c r="AF99" t="s" s="44">
        <v>369</v>
      </c>
      <c r="AG99" s="16">
        <f>AP126/AF133</f>
        <v>-12.0320751885564</v>
      </c>
      <c r="AH99" t="s" s="44">
        <f>AI98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20.05" customHeight="1">
      <c r="AC100" s="36"/>
      <c r="AD100" s="34"/>
      <c r="AE100" t="s" s="44">
        <v>28</v>
      </c>
      <c r="AF100" t="s" s="44">
        <f>AF104</f>
        <v>362</v>
      </c>
      <c r="AG100" s="16">
        <f>AG104</f>
        <v>0.27094430555215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70</v>
      </c>
      <c r="AF101" t="s" s="44">
        <v>371</v>
      </c>
      <c r="AG101" t="s" s="44">
        <f>AM104</f>
        <v>372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s="16">
        <f>P22</f>
        <v>-0.33603779920464</v>
      </c>
      <c r="AF102" s="16">
        <f>P23</f>
        <v>0.63595742152362</v>
      </c>
      <c r="AG102" s="16">
        <f>P24</f>
        <v>-0.116229105447391</v>
      </c>
      <c r="AH102" s="16">
        <f>P25</f>
        <v>0.544214262471919</v>
      </c>
      <c r="AI102" s="16">
        <f>P26</f>
        <v>0.27094430555215</v>
      </c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5">
        <f>C22</f>
        <v>3470.2416</v>
      </c>
      <c r="AF103" t="s" s="44">
        <v>72</v>
      </c>
      <c r="AG103" s="15">
        <f>C23</f>
        <v>5677.1675</v>
      </c>
      <c r="AH103" t="s" s="44">
        <v>72</v>
      </c>
      <c r="AI103" s="15">
        <f>C24</f>
        <v>5017.3154</v>
      </c>
      <c r="AJ103" t="s" s="44">
        <v>72</v>
      </c>
      <c r="AK103" s="15">
        <f>C25</f>
        <v>7747.81</v>
      </c>
      <c r="AL103" t="s" s="44">
        <v>72</v>
      </c>
      <c r="AM103" s="15">
        <f>C26</f>
        <v>9847.035</v>
      </c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44.05" customHeight="1">
      <c r="AC104" s="36"/>
      <c r="AD104" s="34"/>
      <c r="AE104" t="s" s="44">
        <v>2</v>
      </c>
      <c r="AF104" t="s" s="44">
        <f>IF(AG104&lt;0,"declined","grew")</f>
        <v>362</v>
      </c>
      <c r="AG104" s="16">
        <f>AM103/AK103-1</f>
        <v>0.27094430555215</v>
      </c>
      <c r="AH104" t="s" s="44">
        <v>73</v>
      </c>
      <c r="AI104" t="s" s="44">
        <v>74</v>
      </c>
      <c r="AJ104" t="s" s="44">
        <v>75</v>
      </c>
      <c r="AK104" t="s" s="44">
        <v>76</v>
      </c>
      <c r="AL104" s="15">
        <f>AM103</f>
        <v>9847.035</v>
      </c>
      <c r="AM104" t="s" s="44">
        <v>372</v>
      </c>
      <c r="AN104" t="s" s="44">
        <v>373</v>
      </c>
      <c r="AO104" s="16">
        <f>AH90</f>
        <v>0.322592011896498</v>
      </c>
      <c r="AP104" t="s" s="44">
        <v>78</v>
      </c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79</v>
      </c>
      <c r="AF105" s="16">
        <f>AVERAGE(AF102:AI102)</f>
        <v>0.333721721025075</v>
      </c>
      <c r="AG105" t="s" s="44">
        <v>80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81</v>
      </c>
      <c r="AF106" s="35">
        <f>AH48</f>
        <v>0.06</v>
      </c>
      <c r="AG106" t="s" s="44">
        <v>82</v>
      </c>
      <c r="AH106" t="s" s="44">
        <v>83</v>
      </c>
      <c r="AI106" s="23">
        <f>AH51</f>
        <v>12359.9614056188</v>
      </c>
      <c r="AJ106" t="s" s="44">
        <f>AM104</f>
        <v>372</v>
      </c>
      <c r="AK106" t="s" s="44">
        <v>84</v>
      </c>
      <c r="AL106" t="s" s="44">
        <f>AI104</f>
        <v>74</v>
      </c>
      <c r="AM106" t="s" s="44">
        <f>AJ104</f>
        <v>75</v>
      </c>
      <c r="AN106" t="s" s="44">
        <v>85</v>
      </c>
      <c r="AO106" s="17"/>
      <c r="AP106" s="17"/>
      <c r="AQ106" s="17"/>
      <c r="AR106" s="17"/>
      <c r="AS106" s="17"/>
      <c r="AT106" s="17"/>
      <c r="AU106" s="17"/>
      <c r="AV106" s="17"/>
    </row>
    <row r="107" ht="20.05" customHeight="1">
      <c r="AC107" s="36"/>
      <c r="AD107" s="34"/>
      <c r="AE107" t="s" s="44">
        <v>14</v>
      </c>
      <c r="AF107" t="s" s="44">
        <f>IF(AH111&lt;AF111,"down","up")</f>
        <v>87</v>
      </c>
      <c r="AG107" t="s" s="44">
        <v>86</v>
      </c>
      <c r="AH107" t="s" s="44">
        <f>IF(AL111&gt;AJ111,"up","down")</f>
        <v>87</v>
      </c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44.05" customHeight="1">
      <c r="AC108" s="36"/>
      <c r="AD108" s="34"/>
      <c r="AE108" t="s" s="44">
        <f>AE101</f>
        <v>70</v>
      </c>
      <c r="AF108" t="s" s="44">
        <v>88</v>
      </c>
      <c r="AG108" t="s" s="44">
        <f>AM104</f>
        <v>372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s="16">
        <f>(D22+E22)/C22</f>
        <v>-2.02890173410405</v>
      </c>
      <c r="AF109" s="16">
        <f>(D23+E23)/C23</f>
        <v>-5.56022127231582</v>
      </c>
      <c r="AG109" s="16">
        <f>((E24+D24)/C24)</f>
        <v>-0.00142775556824672</v>
      </c>
      <c r="AH109" s="16">
        <f>(D25+E25)/C25</f>
        <v>8.117880794701991</v>
      </c>
      <c r="AI109" s="16">
        <f>(D26+E26)/C26</f>
        <v>0.162679425837321</v>
      </c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5">
        <f>E22</f>
        <v>-10959.4872</v>
      </c>
      <c r="AF110" t="s" s="44">
        <v>72</v>
      </c>
      <c r="AG110" s="15">
        <f>E23</f>
        <v>-35793.135</v>
      </c>
      <c r="AH110" t="s" s="44">
        <v>72</v>
      </c>
      <c r="AI110" s="15">
        <f>E24</f>
        <v>-3210.6807</v>
      </c>
      <c r="AJ110" t="s" s="44">
        <v>72</v>
      </c>
      <c r="AK110" s="15">
        <f>E25</f>
        <v>58387.848</v>
      </c>
      <c r="AL110" t="s" s="44">
        <v>72</v>
      </c>
      <c r="AM110" s="15">
        <f>E26</f>
        <v>-970.569</v>
      </c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44.05" customHeight="1">
      <c r="AC111" s="36"/>
      <c r="AD111" s="34"/>
      <c r="AE111" t="s" s="44">
        <v>89</v>
      </c>
      <c r="AF111" s="16">
        <f>AH109</f>
        <v>8.117880794701991</v>
      </c>
      <c r="AG111" t="s" s="44">
        <v>76</v>
      </c>
      <c r="AH111" s="16">
        <f>AI109</f>
        <v>0.162679425837321</v>
      </c>
      <c r="AI111" t="s" s="44">
        <v>90</v>
      </c>
      <c r="AJ111" s="15">
        <f>AK110</f>
        <v>58387.848</v>
      </c>
      <c r="AK111" t="s" s="44">
        <v>76</v>
      </c>
      <c r="AL111" s="15">
        <f>AM110</f>
        <v>-970.569</v>
      </c>
      <c r="AM111" t="s" s="44">
        <f>AJ106</f>
        <v>372</v>
      </c>
      <c r="AN111" t="s" s="44">
        <v>73</v>
      </c>
      <c r="AO111" t="s" s="44">
        <f>AL106</f>
        <v>74</v>
      </c>
      <c r="AP111" t="s" s="44">
        <v>91</v>
      </c>
      <c r="AQ111" s="17"/>
      <c r="AR111" s="17"/>
      <c r="AS111" s="17"/>
      <c r="AT111" s="17"/>
      <c r="AU111" s="17"/>
      <c r="AV111" s="17"/>
    </row>
    <row r="112" ht="68.05" customHeight="1">
      <c r="AC112" s="36"/>
      <c r="AD112" s="34"/>
      <c r="AE112" t="s" s="44">
        <v>92</v>
      </c>
      <c r="AF112" s="16">
        <f>AVERAGE(AF109:AI109)</f>
        <v>0.679727798163811</v>
      </c>
      <c r="AG112" t="s" s="44">
        <v>78</v>
      </c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93</v>
      </c>
      <c r="AF113" s="35">
        <f>AE52</f>
        <v>0.0953963813184235</v>
      </c>
      <c r="AG113" t="s" s="44">
        <v>94</v>
      </c>
      <c r="AH113" s="15">
        <f>AH65</f>
        <v>-2248.886475335260</v>
      </c>
      <c r="AI113" t="s" s="44">
        <f>AM111</f>
        <v>372</v>
      </c>
      <c r="AJ113" t="s" s="44">
        <v>95</v>
      </c>
      <c r="AK113" t="s" s="44">
        <f>AO111</f>
        <v>74</v>
      </c>
      <c r="AL113" t="s" s="44">
        <f>AJ104</f>
        <v>75</v>
      </c>
      <c r="AM113" t="s" s="44">
        <f>AN106</f>
        <v>85</v>
      </c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20.05" customHeight="1">
      <c r="AC114" s="36"/>
      <c r="AD114" s="34"/>
      <c r="AE114" t="s" s="44">
        <v>15</v>
      </c>
      <c r="AF114" t="s" s="44">
        <f>IF(AH118&lt;AF118,"lower","higher")</f>
        <v>363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56.05" customHeight="1">
      <c r="AC115" s="36"/>
      <c r="AD115" s="34"/>
      <c r="AE115" t="s" s="44">
        <f>AE108</f>
        <v>70</v>
      </c>
      <c r="AF115" t="s" s="44">
        <v>96</v>
      </c>
      <c r="AG115" t="s" s="44">
        <f>AM104</f>
        <v>372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s="15">
        <f>J22</f>
        <v>1174.896</v>
      </c>
      <c r="AF116" t="s" s="44">
        <v>72</v>
      </c>
      <c r="AG116" s="15">
        <f>J23</f>
        <v>1528.8525</v>
      </c>
      <c r="AH116" t="s" s="44">
        <v>72</v>
      </c>
      <c r="AI116" s="15">
        <f>J24</f>
        <v>2520.54911</v>
      </c>
      <c r="AJ116" t="s" s="44">
        <v>72</v>
      </c>
      <c r="AK116" s="15">
        <f>J25</f>
        <v>-2151.4283</v>
      </c>
      <c r="AL116" t="s" s="44">
        <v>72</v>
      </c>
      <c r="AM116" s="15">
        <f>J26</f>
        <v>-552.423375</v>
      </c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K22</f>
        <v>-500.0472</v>
      </c>
      <c r="AF117" t="s" s="44">
        <v>72</v>
      </c>
      <c r="AG117" s="15">
        <f>K23</f>
        <v>-114.2</v>
      </c>
      <c r="AH117" t="s" s="44">
        <v>72</v>
      </c>
      <c r="AI117" s="15">
        <f>K24</f>
        <v>-137.5392</v>
      </c>
      <c r="AJ117" t="s" s="44">
        <v>72</v>
      </c>
      <c r="AK117" s="15">
        <f>K25</f>
        <v>-812.164</v>
      </c>
      <c r="AL117" t="s" s="44">
        <v>72</v>
      </c>
      <c r="AM117" s="15">
        <f>K26</f>
        <v>-904.6079999999999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44.05" customHeight="1">
      <c r="AC118" s="36"/>
      <c r="AD118" s="34"/>
      <c r="AE118" t="s" s="44">
        <v>97</v>
      </c>
      <c r="AF118" s="15">
        <f>AK116+AK117</f>
        <v>-2963.5923</v>
      </c>
      <c r="AG118" t="s" s="44">
        <v>76</v>
      </c>
      <c r="AH118" s="15">
        <f>AM116+AM117</f>
        <v>-1457.031375</v>
      </c>
      <c r="AI118" t="s" s="44">
        <f>AI113</f>
        <v>372</v>
      </c>
      <c r="AJ118" t="s" s="44">
        <v>84</v>
      </c>
      <c r="AK118" t="s" s="44">
        <f>AK113</f>
        <v>74</v>
      </c>
      <c r="AL118" t="s" s="44">
        <v>98</v>
      </c>
      <c r="AM118" s="15">
        <f>AM117</f>
        <v>-904.6079999999999</v>
      </c>
      <c r="AN118" t="s" s="44">
        <f>AM104</f>
        <v>372</v>
      </c>
      <c r="AO118" t="s" s="44">
        <v>99</v>
      </c>
      <c r="AP118" s="17"/>
      <c r="AQ118" s="17"/>
      <c r="AR118" s="17"/>
      <c r="AS118" s="17"/>
      <c r="AT118" s="17"/>
      <c r="AU118" s="17"/>
      <c r="AV118" s="17"/>
    </row>
    <row r="119" ht="56.05" customHeight="1">
      <c r="AC119" s="36"/>
      <c r="AD119" s="34"/>
      <c r="AE119" t="s" s="44">
        <v>100</v>
      </c>
      <c r="AF119" s="15">
        <f>(AG116+AG117+AI116+AI117+AK116+AK117+AM116+AM117)/4</f>
        <v>-155.74031625</v>
      </c>
      <c r="AG119" t="s" s="44">
        <f>AM104</f>
        <v>372</v>
      </c>
      <c r="AH119" t="s" s="44">
        <v>78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101</v>
      </c>
      <c r="AF120" s="15">
        <f>AE53</f>
        <v>-904.6079999999999</v>
      </c>
      <c r="AG120" t="s" s="44">
        <f>AG119</f>
        <v>372</v>
      </c>
      <c r="AH120" t="s" s="44">
        <v>102</v>
      </c>
      <c r="AI120" t="s" s="44">
        <v>103</v>
      </c>
      <c r="AJ120" t="s" s="44">
        <f>IF(AI106&gt;AL104,"higher","lower")</f>
        <v>363</v>
      </c>
      <c r="AK120" t="s" s="44">
        <v>105</v>
      </c>
      <c r="AL120" s="15">
        <f>SUM(AE54:AH54)/4</f>
        <v>208.340866095636</v>
      </c>
      <c r="AM120" t="s" s="44">
        <f>AG120</f>
        <v>372</v>
      </c>
      <c r="AN120" t="s" s="44">
        <v>106</v>
      </c>
      <c r="AO120" t="s" s="44">
        <v>107</v>
      </c>
      <c r="AP120" s="17"/>
      <c r="AQ120" s="17"/>
      <c r="AR120" s="17"/>
      <c r="AS120" s="17"/>
      <c r="AT120" s="17"/>
      <c r="AU120" s="17"/>
      <c r="AV120" s="17"/>
    </row>
    <row r="121" ht="20.05" customHeight="1">
      <c r="AC121" s="36"/>
      <c r="AD121" s="34"/>
      <c r="AE121" t="s" s="44">
        <v>18</v>
      </c>
      <c r="AF121" t="s" s="44">
        <f>AM126</f>
        <v>87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32.05" customHeight="1">
      <c r="AC122" s="36"/>
      <c r="AD122" s="34"/>
      <c r="AE122" t="s" s="44">
        <f>AE101</f>
        <v>70</v>
      </c>
      <c r="AF122" t="s" s="44">
        <v>109</v>
      </c>
      <c r="AG122" t="s" s="44">
        <f>AM104</f>
        <v>372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s="15">
        <f>F22</f>
        <v>601.776</v>
      </c>
      <c r="AF123" t="s" s="44">
        <v>72</v>
      </c>
      <c r="AG123" s="15">
        <f>F23</f>
        <v>770.85</v>
      </c>
      <c r="AH123" t="s" s="44">
        <v>72</v>
      </c>
      <c r="AI123" s="15">
        <f>F24</f>
        <v>1203.468</v>
      </c>
      <c r="AJ123" t="s" s="44">
        <v>72</v>
      </c>
      <c r="AK123" s="15">
        <f>F25</f>
        <v>1905.8</v>
      </c>
      <c r="AL123" t="s" s="44">
        <v>72</v>
      </c>
      <c r="AM123" s="15">
        <f>F26</f>
        <v>2638.44</v>
      </c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G22</f>
        <v>186650.856</v>
      </c>
      <c r="AF124" t="s" s="44">
        <v>72</v>
      </c>
      <c r="AG124" s="15">
        <f>G23</f>
        <v>189900.325</v>
      </c>
      <c r="AH124" t="s" s="44">
        <v>72</v>
      </c>
      <c r="AI124" s="15">
        <f>G24</f>
        <v>191738.241</v>
      </c>
      <c r="AJ124" t="s" s="44">
        <v>72</v>
      </c>
      <c r="AK124" s="15">
        <f>G25</f>
        <v>120358.6</v>
      </c>
      <c r="AL124" t="s" s="44">
        <v>72</v>
      </c>
      <c r="AM124" s="15">
        <f>G26</f>
        <v>130320.09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v>110</v>
      </c>
      <c r="AF125" t="s" s="44">
        <f>IF(AI125&lt;AG125,"declined","increased")</f>
        <v>111</v>
      </c>
      <c r="AG125" s="15">
        <f>AK123</f>
        <v>1905.8</v>
      </c>
      <c r="AH125" t="s" s="44">
        <v>76</v>
      </c>
      <c r="AI125" s="15">
        <f>AM123</f>
        <v>2638.44</v>
      </c>
      <c r="AJ125" t="s" s="44">
        <f>AM120</f>
        <v>372</v>
      </c>
      <c r="AK125" t="s" s="44">
        <v>84</v>
      </c>
      <c r="AL125" t="s" s="44">
        <f>AI104</f>
        <v>74</v>
      </c>
      <c r="AM125" t="s" s="44">
        <f>AP111</f>
        <v>91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112</v>
      </c>
      <c r="AF126" t="s" s="44">
        <f>IF(AI126&lt;AG126,"declined","increased")</f>
        <v>111</v>
      </c>
      <c r="AG126" s="15">
        <f>AK124</f>
        <v>120358.6</v>
      </c>
      <c r="AH126" t="s" s="44">
        <v>76</v>
      </c>
      <c r="AI126" s="15">
        <f>AM124</f>
        <v>130320.09</v>
      </c>
      <c r="AJ126" t="s" s="44">
        <f>AJ125</f>
        <v>372</v>
      </c>
      <c r="AK126" t="s" s="44">
        <v>113</v>
      </c>
      <c r="AL126" t="s" s="44">
        <v>114</v>
      </c>
      <c r="AM126" t="s" s="44">
        <f>IF(AP126&lt;AN126,"down","up")</f>
        <v>87</v>
      </c>
      <c r="AN126" s="15">
        <f>AG125-AG126</f>
        <v>-118452.8</v>
      </c>
      <c r="AO126" t="s" s="44">
        <v>76</v>
      </c>
      <c r="AP126" s="15">
        <f>AI125-AI126</f>
        <v>-127681.65</v>
      </c>
      <c r="AQ126" t="s" s="44">
        <f>AJ126</f>
        <v>372</v>
      </c>
      <c r="AR126" t="s" s="44">
        <v>115</v>
      </c>
      <c r="AS126" s="17"/>
      <c r="AT126" s="17"/>
      <c r="AU126" s="17"/>
      <c r="AV126" s="17"/>
    </row>
    <row r="127" ht="56.05" customHeight="1">
      <c r="AC127" s="36"/>
      <c r="AD127" s="34"/>
      <c r="AE127" t="s" s="44">
        <v>116</v>
      </c>
      <c r="AF127" s="15">
        <f>SUM(AE57:AH57)</f>
        <v>0</v>
      </c>
      <c r="AG127" t="s" s="44">
        <f>AJ126</f>
        <v>372</v>
      </c>
      <c r="AH127" t="s" s="44">
        <v>117</v>
      </c>
      <c r="AI127" t="s" s="44">
        <f>IF(AJ127&gt;0,"+","")</f>
      </c>
      <c r="AJ127" s="15">
        <f>AE55+AF55+AG55+AH55+AE59+AF59+AG59+AH59</f>
        <v>-833.363464382540</v>
      </c>
      <c r="AK127" t="s" s="44">
        <f>AQ126</f>
        <v>372</v>
      </c>
      <c r="AL127" t="s" s="44">
        <v>118</v>
      </c>
      <c r="AM127" t="s" s="44">
        <v>119</v>
      </c>
      <c r="AN127" s="15">
        <f>AH74</f>
        <v>-126848.286535618</v>
      </c>
      <c r="AO127" t="s" s="44">
        <f>AJ126</f>
        <v>372</v>
      </c>
      <c r="AP127" t="s" s="44">
        <v>120</v>
      </c>
      <c r="AQ127" s="17"/>
      <c r="AR127" s="17"/>
      <c r="AS127" s="17"/>
      <c r="AT127" s="17"/>
      <c r="AU127" s="17"/>
      <c r="AV127" s="17"/>
    </row>
    <row r="128" ht="20.05" customHeight="1">
      <c r="AC128" s="36"/>
      <c r="AD128" s="34"/>
      <c r="AE128" t="s" s="44">
        <v>17</v>
      </c>
      <c r="AF128" t="s" s="44">
        <f>AF132</f>
        <v>121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68.05" customHeight="1">
      <c r="AC129" s="36"/>
      <c r="AD129" s="34"/>
      <c r="AE129" t="s" s="44">
        <f>AE101</f>
        <v>70</v>
      </c>
      <c r="AF129" t="s" s="44">
        <v>122</v>
      </c>
      <c r="AG129" t="s" s="44">
        <f>AM104</f>
        <v>372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s="15">
        <f>-L22</f>
        <v>-315.216</v>
      </c>
      <c r="AF130" t="s" s="44">
        <v>72</v>
      </c>
      <c r="AG130" s="15">
        <f>-L23</f>
        <v>-269.7975</v>
      </c>
      <c r="AH130" t="s" s="44">
        <v>72</v>
      </c>
      <c r="AI130" s="15">
        <f>-L24</f>
        <v>67.3369</v>
      </c>
      <c r="AJ130" t="s" s="44">
        <v>72</v>
      </c>
      <c r="AK130" s="15">
        <f>-L25</f>
        <v>-82.096</v>
      </c>
      <c r="AL130" t="s" s="44">
        <v>72</v>
      </c>
      <c r="AM130" s="15">
        <f>-L26</f>
        <v>-73.8135</v>
      </c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-M22</f>
        <v>0</v>
      </c>
      <c r="AF131" t="s" s="44">
        <v>72</v>
      </c>
      <c r="AG131" s="15">
        <f>-M23</f>
        <v>0</v>
      </c>
      <c r="AH131" t="s" s="44">
        <v>72</v>
      </c>
      <c r="AI131" s="15">
        <f>-M24</f>
        <v>0</v>
      </c>
      <c r="AJ131" t="s" s="44">
        <v>72</v>
      </c>
      <c r="AK131" s="15">
        <f>-M25</f>
        <v>0</v>
      </c>
      <c r="AL131" t="s" s="44">
        <v>72</v>
      </c>
      <c r="AM131" s="15">
        <f>-M26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44.05" customHeight="1">
      <c r="AC132" s="36"/>
      <c r="AD132" s="34"/>
      <c r="AE132" t="s" s="44">
        <f>AE93</f>
        <v>593</v>
      </c>
      <c r="AF132" t="s" s="44">
        <f>IF(AG132&gt;0,"paid","(raised)")</f>
        <v>121</v>
      </c>
      <c r="AG132" s="15">
        <f>SUM(AM130:AM131)</f>
        <v>-73.8135</v>
      </c>
      <c r="AH132" t="s" s="44">
        <f>AM104</f>
        <v>372</v>
      </c>
      <c r="AI132" t="s" s="44">
        <f>AH104</f>
        <v>73</v>
      </c>
      <c r="AJ132" t="s" s="44">
        <f>AI104</f>
        <v>74</v>
      </c>
      <c r="AK132" t="s" s="44">
        <f>AJ104</f>
        <v>75</v>
      </c>
      <c r="AL132" s="15">
        <f>AM130</f>
        <v>-73.8135</v>
      </c>
      <c r="AM132" t="s" s="44">
        <f>AM104</f>
        <v>372</v>
      </c>
      <c r="AN132" t="s" s="44">
        <v>123</v>
      </c>
      <c r="AO132" s="15">
        <f>AM131</f>
        <v>0</v>
      </c>
      <c r="AP132" t="s" s="44">
        <f>AM104</f>
        <v>372</v>
      </c>
      <c r="AQ132" t="s" s="44">
        <v>124</v>
      </c>
      <c r="AR132" t="s" s="44">
        <v>125</v>
      </c>
      <c r="AS132" t="s" s="44">
        <f>IF(AT132&gt;0,"pay","raise")</f>
        <v>364</v>
      </c>
      <c r="AT132" s="15">
        <f>-SUM(AE75:AH75)</f>
        <v>833.363464382540</v>
      </c>
      <c r="AU132" t="s" s="44">
        <f>AM104</f>
        <v>372</v>
      </c>
      <c r="AV132" t="s" s="44">
        <v>126</v>
      </c>
    </row>
    <row r="133" ht="56.05" customHeight="1">
      <c r="AC133" s="36"/>
      <c r="AD133" s="34"/>
      <c r="AE133" t="s" s="44">
        <v>375</v>
      </c>
      <c r="AF133" s="15">
        <f>AH79</f>
        <v>10611.77294848</v>
      </c>
      <c r="AG133" t="s" s="44">
        <f>AM104</f>
        <v>372</v>
      </c>
      <c r="AH133" t="s" s="44">
        <v>128</v>
      </c>
      <c r="AI133" t="s" s="44">
        <v>129</v>
      </c>
      <c r="AJ133" s="43">
        <f>AH81</f>
        <v>0.128867895399252</v>
      </c>
      <c r="AK133" t="s" s="44">
        <v>130</v>
      </c>
      <c r="AL133" t="s" s="44">
        <v>131</v>
      </c>
      <c r="AM133" t="s" s="44">
        <v>132</v>
      </c>
      <c r="AN133" s="15">
        <f>AH84</f>
        <v>95.6457741909651</v>
      </c>
      <c r="AO133" t="s" s="44">
        <v>133</v>
      </c>
      <c r="AP133" s="16">
        <f>-AF127/AF133</f>
        <v>0</v>
      </c>
      <c r="AQ133" t="s" s="44">
        <v>134</v>
      </c>
      <c r="AR133" s="17"/>
      <c r="AS133" s="17"/>
      <c r="AT133" s="17"/>
      <c r="AU133" s="17"/>
      <c r="AV133" s="17"/>
    </row>
    <row r="134" ht="56.05" customHeight="1">
      <c r="AC134" s="36"/>
      <c r="AD134" s="34"/>
      <c r="AE134" t="s" s="44">
        <v>135</v>
      </c>
      <c r="AF134" s="15">
        <f>AH83</f>
        <v>833.363464382545</v>
      </c>
      <c r="AG134" t="s" s="44">
        <f>AG133</f>
        <v>372</v>
      </c>
      <c r="AH134" t="s" s="44">
        <v>136</v>
      </c>
      <c r="AI134" s="15">
        <f>AF133/AF134</f>
        <v>12.7336671236751</v>
      </c>
      <c r="AJ134" t="s" s="44">
        <v>130</v>
      </c>
      <c r="AK134" t="s" s="44">
        <v>137</v>
      </c>
      <c r="AL134" t="s" s="44">
        <v>138</v>
      </c>
      <c r="AM134" s="15">
        <f>AH85</f>
        <v>6</v>
      </c>
      <c r="AN134" t="s" s="44">
        <v>139</v>
      </c>
      <c r="AO134" t="s" s="44">
        <v>140</v>
      </c>
      <c r="AP134" t="s" s="44">
        <v>141</v>
      </c>
      <c r="AQ134" s="16">
        <f>AK93</f>
        <v>-0.528808163294572</v>
      </c>
      <c r="AR134" t="s" s="44">
        <f>IF(AQ134&gt;0,"higher","lower")</f>
        <v>104</v>
      </c>
      <c r="AS134" t="s" s="44">
        <v>142</v>
      </c>
      <c r="AT134" s="15">
        <f>AI93</f>
        <v>54.6582530578297</v>
      </c>
      <c r="AU134" t="s" s="44">
        <v>143</v>
      </c>
      <c r="AV134" s="17"/>
    </row>
    <row r="135" ht="20.05" customHeight="1">
      <c r="AC135" s="36"/>
      <c r="AD135" s="34"/>
      <c r="AE135" s="17"/>
      <c r="AF135" s="17"/>
      <c r="AG135" s="17"/>
      <c r="AH135" s="17"/>
      <c r="AI135" s="15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</row>
    <row r="136" ht="20.05" customHeight="1">
      <c r="AC136" t="s" s="33">
        <v>28</v>
      </c>
      <c r="AD136" s="14">
        <f>AE103</f>
        <v>3470.2416</v>
      </c>
      <c r="AE136" s="15">
        <f>AG103</f>
        <v>5677.1675</v>
      </c>
      <c r="AF136" s="15">
        <f>AI103</f>
        <v>5017.3154</v>
      </c>
      <c r="AG136" s="15">
        <f>AK103</f>
        <v>7747.81</v>
      </c>
      <c r="AH136" s="15">
        <f>AM103</f>
        <v>9847.035</v>
      </c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144</v>
      </c>
      <c r="AD137" s="14">
        <f>SUM(AE116:AE117)</f>
        <v>674.8488</v>
      </c>
      <c r="AE137" s="15">
        <f>SUM(AG116:AG117)</f>
        <v>1414.6525</v>
      </c>
      <c r="AF137" s="15">
        <f>SUM(AI116:AI117)</f>
        <v>2383.00991</v>
      </c>
      <c r="AG137" s="15">
        <f>SUM(AK116:AK117)</f>
        <v>-2963.5923</v>
      </c>
      <c r="AH137" s="15">
        <f>SUM(AM116:AM117)</f>
        <v>-1457.031375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145</v>
      </c>
      <c r="AD138" s="14">
        <f>SUM(AE130:AE131)</f>
        <v>-315.216</v>
      </c>
      <c r="AE138" s="15">
        <f>SUM(AG130:AG131)</f>
        <v>-269.7975</v>
      </c>
      <c r="AF138" s="15">
        <f>SUM(AI130:AI131)</f>
        <v>67.3369</v>
      </c>
      <c r="AG138" s="15">
        <f>SUM(AK130:AK131)</f>
        <v>-82.096</v>
      </c>
      <c r="AH138" s="15">
        <f>SUM(AM130:AM131)</f>
        <v>-73.8135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146</v>
      </c>
      <c r="AD139" s="14">
        <f>(AE123-AE124)</f>
        <v>-186049.08</v>
      </c>
      <c r="AE139" s="15">
        <f>(AG123-AG124)</f>
        <v>-189129.475</v>
      </c>
      <c r="AF139" s="15">
        <f>(AI123-AI124)</f>
        <v>-190534.773</v>
      </c>
      <c r="AG139" s="15">
        <f>(AK123-AK124)</f>
        <v>-118452.8</v>
      </c>
      <c r="AH139" s="15">
        <f>(AM123-AM124)</f>
        <v>-127681.65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4"/>
      <c r="AE140" s="17"/>
      <c r="AF140" s="17"/>
      <c r="AG140" s="17"/>
      <c r="AH140" s="15">
        <f>AT134</f>
        <v>54.6582530578297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7"/>
      <c r="AI141" s="15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</sheetData>
  <mergeCells count="2">
    <mergeCell ref="B2:AB2"/>
    <mergeCell ref="AC45:AV4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35" customWidth="1"/>
    <col min="2" max="26" width="10.4844" style="235" customWidth="1"/>
    <col min="27" max="27" width="18.9766" style="236" customWidth="1"/>
    <col min="28" max="46" width="9" style="236" customWidth="1"/>
    <col min="47" max="16384" width="16.3516" style="236" customWidth="1"/>
  </cols>
  <sheetData>
    <row r="1" ht="11.65" customHeight="1"/>
    <row r="2" ht="27.65" customHeight="1">
      <c r="B2" t="s" s="2">
        <v>594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169</v>
      </c>
      <c r="W3" t="s" s="3">
        <v>18</v>
      </c>
      <c r="X3" t="s" s="3">
        <v>169</v>
      </c>
      <c r="Y3" t="s" s="3">
        <v>19</v>
      </c>
      <c r="Z3" t="s" s="3">
        <v>20</v>
      </c>
    </row>
    <row r="4" ht="20.25" customHeight="1">
      <c r="B4" s="6">
        <v>2017</v>
      </c>
      <c r="C4" s="7">
        <v>3775</v>
      </c>
      <c r="D4" s="8">
        <v>184</v>
      </c>
      <c r="E4" s="8">
        <v>216</v>
      </c>
      <c r="F4" s="8">
        <v>361</v>
      </c>
      <c r="G4" s="8">
        <v>13176</v>
      </c>
      <c r="H4" s="8">
        <v>19235</v>
      </c>
      <c r="I4" s="8">
        <v>3641</v>
      </c>
      <c r="J4" s="8">
        <v>-291</v>
      </c>
      <c r="K4" s="8">
        <v>-171</v>
      </c>
      <c r="L4" s="8">
        <v>-19.75</v>
      </c>
      <c r="M4" s="8">
        <v>-12.25</v>
      </c>
      <c r="N4" s="8"/>
      <c r="O4" s="8"/>
      <c r="P4" s="9"/>
      <c r="Q4" s="55">
        <f>J4/I4</f>
        <v>-0.0799230980499863</v>
      </c>
      <c r="R4" s="9"/>
      <c r="S4" s="9"/>
      <c r="T4" s="8">
        <f>J4+K4</f>
        <v>-462</v>
      </c>
      <c r="U4" s="8">
        <f>-(L4+M4)</f>
        <v>32</v>
      </c>
      <c r="V4" s="8">
        <v>1916.4255616</v>
      </c>
      <c r="W4" s="8">
        <f>F4-G4</f>
        <v>-12815</v>
      </c>
      <c r="X4" s="8">
        <v>1130</v>
      </c>
      <c r="Y4" s="11"/>
      <c r="Z4" s="12">
        <v>13.3</v>
      </c>
    </row>
    <row r="5" ht="20.05" customHeight="1">
      <c r="B5" s="13"/>
      <c r="C5" s="14">
        <v>3473</v>
      </c>
      <c r="D5" s="15">
        <v>185</v>
      </c>
      <c r="E5" s="15">
        <v>-257</v>
      </c>
      <c r="F5" s="15">
        <v>484</v>
      </c>
      <c r="G5" s="15">
        <v>13902</v>
      </c>
      <c r="H5" s="15">
        <v>19529</v>
      </c>
      <c r="I5" s="15">
        <v>3523</v>
      </c>
      <c r="J5" s="15">
        <v>-77</v>
      </c>
      <c r="K5" s="15">
        <v>-155</v>
      </c>
      <c r="L5" s="15">
        <v>-19.75</v>
      </c>
      <c r="M5" s="15">
        <v>-12.25</v>
      </c>
      <c r="N5" s="15"/>
      <c r="O5" s="15"/>
      <c r="P5" s="16">
        <f>C5/C4-1</f>
        <v>-0.08</v>
      </c>
      <c r="Q5" s="16">
        <f>J5/I5</f>
        <v>-0.0218563724098779</v>
      </c>
      <c r="R5" s="17"/>
      <c r="S5" s="17"/>
      <c r="T5" s="15">
        <f>J5+K5+T4</f>
        <v>-694</v>
      </c>
      <c r="U5" s="15">
        <f>-(L5+M5)+U4</f>
        <v>64</v>
      </c>
      <c r="V5" s="15">
        <f>V4</f>
        <v>1916.4255616</v>
      </c>
      <c r="W5" s="15">
        <f>F5-G5</f>
        <v>-13418</v>
      </c>
      <c r="X5" s="15">
        <v>1130</v>
      </c>
      <c r="Y5" s="19"/>
      <c r="Z5" s="20">
        <v>13.327</v>
      </c>
    </row>
    <row r="6" ht="20.05" customHeight="1">
      <c r="B6" s="13"/>
      <c r="C6" s="14">
        <v>3558</v>
      </c>
      <c r="D6" s="15">
        <v>187</v>
      </c>
      <c r="E6" s="15">
        <v>-100</v>
      </c>
      <c r="F6" s="15">
        <v>613</v>
      </c>
      <c r="G6" s="15">
        <v>13471</v>
      </c>
      <c r="H6" s="15">
        <v>18989</v>
      </c>
      <c r="I6" s="15">
        <v>3915</v>
      </c>
      <c r="J6" s="15">
        <v>314</v>
      </c>
      <c r="K6" s="15">
        <v>242</v>
      </c>
      <c r="L6" s="15">
        <v>-19.75</v>
      </c>
      <c r="M6" s="15">
        <v>-12.25</v>
      </c>
      <c r="N6" s="15"/>
      <c r="O6" s="15"/>
      <c r="P6" s="16">
        <f>C6/C5-1</f>
        <v>0.0244745177080334</v>
      </c>
      <c r="Q6" s="16">
        <f>J6/I6</f>
        <v>0.0802043422733078</v>
      </c>
      <c r="R6" s="17"/>
      <c r="S6" s="17"/>
      <c r="T6" s="15">
        <f>J6+K6+T5</f>
        <v>-138</v>
      </c>
      <c r="U6" s="15">
        <f>-(L6+M6)+U5</f>
        <v>96</v>
      </c>
      <c r="V6" s="15">
        <f>V5</f>
        <v>1916.4255616</v>
      </c>
      <c r="W6" s="15">
        <f>F6-G6</f>
        <v>-12858</v>
      </c>
      <c r="X6" s="26">
        <v>685</v>
      </c>
      <c r="Y6" s="19"/>
      <c r="Z6" s="20">
        <v>13.305</v>
      </c>
    </row>
    <row r="7" ht="20.05" customHeight="1">
      <c r="B7" s="13"/>
      <c r="C7" s="14">
        <v>3341</v>
      </c>
      <c r="D7" s="15">
        <v>120</v>
      </c>
      <c r="E7" s="15">
        <v>186</v>
      </c>
      <c r="F7" s="15">
        <v>696</v>
      </c>
      <c r="G7" s="15">
        <v>12502</v>
      </c>
      <c r="H7" s="15">
        <v>18191</v>
      </c>
      <c r="I7" s="15">
        <v>4448</v>
      </c>
      <c r="J7" s="15">
        <v>793</v>
      </c>
      <c r="K7" s="15">
        <v>-65</v>
      </c>
      <c r="L7" s="15">
        <v>-19.75</v>
      </c>
      <c r="M7" s="15">
        <v>-12.25</v>
      </c>
      <c r="N7" s="15"/>
      <c r="O7" s="15"/>
      <c r="P7" s="16">
        <f>C7/C6-1</f>
        <v>-0.0609893198426082</v>
      </c>
      <c r="Q7" s="16">
        <f>J7/I7</f>
        <v>0.178282374100719</v>
      </c>
      <c r="R7" s="17"/>
      <c r="S7" s="17"/>
      <c r="T7" s="15">
        <f>J7+K7+T6</f>
        <v>590</v>
      </c>
      <c r="U7" s="15">
        <f>-(L7+M7)+U6</f>
        <v>128</v>
      </c>
      <c r="V7" s="15">
        <f>V6</f>
        <v>1916.4255616</v>
      </c>
      <c r="W7" s="15">
        <f>F7-G7</f>
        <v>-11806</v>
      </c>
      <c r="X7" s="26">
        <v>680</v>
      </c>
      <c r="Y7" s="19"/>
      <c r="Z7" s="20">
        <v>13.557</v>
      </c>
    </row>
    <row r="8" ht="20.05" customHeight="1">
      <c r="B8" s="21">
        <v>2018</v>
      </c>
      <c r="C8" s="14">
        <v>3861</v>
      </c>
      <c r="D8" s="15">
        <v>169</v>
      </c>
      <c r="E8" s="15">
        <v>52</v>
      </c>
      <c r="F8" s="15">
        <v>1687</v>
      </c>
      <c r="G8" s="15">
        <v>13375</v>
      </c>
      <c r="H8" s="15">
        <v>19162</v>
      </c>
      <c r="I8" s="15">
        <v>4204</v>
      </c>
      <c r="J8" s="15">
        <v>1060</v>
      </c>
      <c r="K8" s="15">
        <v>-68</v>
      </c>
      <c r="L8" s="15">
        <v>12.25</v>
      </c>
      <c r="M8" s="15">
        <v>0</v>
      </c>
      <c r="N8" s="15">
        <f>SUM(C5:C8)/4</f>
        <v>3558.25</v>
      </c>
      <c r="O8" s="15"/>
      <c r="P8" s="16">
        <f>C8/C7-1</f>
        <v>0.155642023346304</v>
      </c>
      <c r="Q8" s="16">
        <f>J8/I8</f>
        <v>0.252140818268316</v>
      </c>
      <c r="R8" s="16"/>
      <c r="S8" s="15">
        <f>SUM(J5:K8)/4</f>
        <v>511</v>
      </c>
      <c r="T8" s="15">
        <f>J8+K8+T7</f>
        <v>1582</v>
      </c>
      <c r="U8" s="15">
        <f>-(L8+M8)+U7</f>
        <v>115.75</v>
      </c>
      <c r="V8" s="15">
        <f>V7</f>
        <v>1916.4255616</v>
      </c>
      <c r="W8" s="15">
        <f>F8-G8</f>
        <v>-11688</v>
      </c>
      <c r="X8" s="26">
        <v>810</v>
      </c>
      <c r="Y8" s="22"/>
      <c r="Z8" s="20">
        <v>13.761</v>
      </c>
    </row>
    <row r="9" ht="20.05" customHeight="1">
      <c r="B9" s="13"/>
      <c r="C9" s="14">
        <v>3319</v>
      </c>
      <c r="D9" s="15">
        <v>167</v>
      </c>
      <c r="E9" s="15">
        <v>-146</v>
      </c>
      <c r="F9" s="15">
        <v>1533</v>
      </c>
      <c r="G9" s="15">
        <v>13496</v>
      </c>
      <c r="H9" s="15">
        <v>19188</v>
      </c>
      <c r="I9" s="15">
        <v>3951</v>
      </c>
      <c r="J9" s="15">
        <v>71</v>
      </c>
      <c r="K9" s="15">
        <v>-108</v>
      </c>
      <c r="L9" s="15">
        <v>12.25</v>
      </c>
      <c r="M9" s="15">
        <v>0</v>
      </c>
      <c r="N9" s="15">
        <f>SUM(C6:C9)/4</f>
        <v>3519.75</v>
      </c>
      <c r="O9" s="15"/>
      <c r="P9" s="16">
        <f>C9/C8-1</f>
        <v>-0.14037814037814</v>
      </c>
      <c r="Q9" s="16">
        <f>J9/I9</f>
        <v>0.0179701341432549</v>
      </c>
      <c r="R9" s="16"/>
      <c r="S9" s="15">
        <f>SUM(J6:K9)/4</f>
        <v>559.75</v>
      </c>
      <c r="T9" s="15">
        <f>J9+K9+T8</f>
        <v>1545</v>
      </c>
      <c r="U9" s="15">
        <f>-(L9+M9)+U8</f>
        <v>103.5</v>
      </c>
      <c r="V9" s="15">
        <f>V8</f>
        <v>1916.4255616</v>
      </c>
      <c r="W9" s="15">
        <f>F13-G9</f>
        <v>-12769</v>
      </c>
      <c r="X9" s="26">
        <v>690</v>
      </c>
      <c r="Y9" s="22"/>
      <c r="Z9" s="20">
        <v>14</v>
      </c>
    </row>
    <row r="10" ht="20.05" customHeight="1">
      <c r="B10" s="13"/>
      <c r="C10" s="14">
        <v>4059</v>
      </c>
      <c r="D10" s="15">
        <v>193</v>
      </c>
      <c r="E10" s="15">
        <v>-135</v>
      </c>
      <c r="F10" s="15">
        <v>837</v>
      </c>
      <c r="G10" s="15">
        <v>14131</v>
      </c>
      <c r="H10" s="15">
        <v>19712</v>
      </c>
      <c r="I10" s="15">
        <v>3801</v>
      </c>
      <c r="J10" s="15">
        <v>-597</v>
      </c>
      <c r="K10" s="15">
        <v>-154</v>
      </c>
      <c r="L10" s="15">
        <v>12.25</v>
      </c>
      <c r="M10" s="15">
        <v>0</v>
      </c>
      <c r="N10" s="15">
        <f>SUM(C7:C10)/4</f>
        <v>3645</v>
      </c>
      <c r="O10" s="15"/>
      <c r="P10" s="16">
        <f>C10/C9-1</f>
        <v>0.222958722506779</v>
      </c>
      <c r="Q10" s="16">
        <f>J10/I10</f>
        <v>-0.157063930544594</v>
      </c>
      <c r="R10" s="16"/>
      <c r="S10" s="15">
        <f>SUM(J7:K10)/4</f>
        <v>233</v>
      </c>
      <c r="T10" s="15">
        <f>J10+K10+T9</f>
        <v>794</v>
      </c>
      <c r="U10" s="15">
        <f>-(L10+M10)+U9</f>
        <v>91.25</v>
      </c>
      <c r="V10" s="15">
        <f>V9</f>
        <v>1916.4255616</v>
      </c>
      <c r="W10" s="15">
        <f>F10-G10</f>
        <v>-13294</v>
      </c>
      <c r="X10" s="26">
        <v>630</v>
      </c>
      <c r="Y10" s="22"/>
      <c r="Z10" s="20">
        <v>14.902</v>
      </c>
    </row>
    <row r="11" ht="20.05" customHeight="1">
      <c r="B11" s="13"/>
      <c r="C11" s="14">
        <v>4111</v>
      </c>
      <c r="D11" s="15">
        <v>186</v>
      </c>
      <c r="E11" s="15">
        <v>154</v>
      </c>
      <c r="F11" s="15">
        <v>671</v>
      </c>
      <c r="G11" s="15">
        <v>13835</v>
      </c>
      <c r="H11" s="15">
        <v>19711</v>
      </c>
      <c r="I11" s="15">
        <v>4152</v>
      </c>
      <c r="J11" s="15">
        <v>-54</v>
      </c>
      <c r="K11" s="15">
        <v>-206</v>
      </c>
      <c r="L11" s="15">
        <v>12.25</v>
      </c>
      <c r="M11" s="15">
        <v>0</v>
      </c>
      <c r="N11" s="15">
        <f>SUM(C8:C11)/4</f>
        <v>3837.5</v>
      </c>
      <c r="O11" s="15"/>
      <c r="P11" s="16">
        <f>C11/C10-1</f>
        <v>0.0128110372012811</v>
      </c>
      <c r="Q11" s="16">
        <f>J11/I11</f>
        <v>-0.0130057803468208</v>
      </c>
      <c r="R11" s="16"/>
      <c r="S11" s="15">
        <f>SUM(J8:K11)/4</f>
        <v>-14</v>
      </c>
      <c r="T11" s="15">
        <f>J11+K11+T10</f>
        <v>534</v>
      </c>
      <c r="U11" s="15">
        <f>-(L11+M11)+U10</f>
        <v>79</v>
      </c>
      <c r="V11" s="15">
        <f>V10</f>
        <v>1916.4255616</v>
      </c>
      <c r="W11" s="15">
        <f>F11-G11</f>
        <v>-13164</v>
      </c>
      <c r="X11" s="26">
        <v>650</v>
      </c>
      <c r="Y11" s="22"/>
      <c r="Z11" s="20">
        <v>14.38</v>
      </c>
    </row>
    <row r="12" ht="20.05" customHeight="1">
      <c r="B12" s="21">
        <v>2019</v>
      </c>
      <c r="C12" s="14">
        <v>4038</v>
      </c>
      <c r="D12" s="15">
        <v>175</v>
      </c>
      <c r="E12" s="15">
        <v>169</v>
      </c>
      <c r="F12" s="15">
        <v>549</v>
      </c>
      <c r="G12" s="15">
        <v>13977</v>
      </c>
      <c r="H12" s="15">
        <v>20005</v>
      </c>
      <c r="I12" s="15">
        <v>3988</v>
      </c>
      <c r="J12" s="15">
        <v>-61</v>
      </c>
      <c r="K12" s="15">
        <v>-142</v>
      </c>
      <c r="L12" s="15">
        <v>-169.5</v>
      </c>
      <c r="M12" s="15">
        <v>0</v>
      </c>
      <c r="N12" s="15">
        <f>SUM(C9:C12)/4</f>
        <v>3881.75</v>
      </c>
      <c r="O12" s="23"/>
      <c r="P12" s="16">
        <f>C12/C11-1</f>
        <v>-0.0177572366820725</v>
      </c>
      <c r="Q12" s="16">
        <f>J12/I12</f>
        <v>-0.015295887662989</v>
      </c>
      <c r="R12" s="16">
        <f>AVERAGE(Q9:Q12)</f>
        <v>-0.0418488661027872</v>
      </c>
      <c r="S12" s="15">
        <f>SUM(J9:K12)/4</f>
        <v>-312.75</v>
      </c>
      <c r="T12" s="15">
        <f>J12+K12+T11</f>
        <v>331</v>
      </c>
      <c r="U12" s="15">
        <f>-(L12+M12)+U11</f>
        <v>248.5</v>
      </c>
      <c r="V12" s="15">
        <f>V11</f>
        <v>1916.4255616</v>
      </c>
      <c r="W12" s="15">
        <f>F12-G12</f>
        <v>-13428</v>
      </c>
      <c r="X12" s="26">
        <v>695</v>
      </c>
      <c r="Y12" s="22"/>
      <c r="Z12" s="20">
        <v>14.24</v>
      </c>
    </row>
    <row r="13" ht="20.05" customHeight="1">
      <c r="B13" s="13"/>
      <c r="C13" s="14">
        <v>3625</v>
      </c>
      <c r="D13" s="15">
        <v>172</v>
      </c>
      <c r="E13" s="15">
        <v>-5</v>
      </c>
      <c r="F13" s="15">
        <v>727</v>
      </c>
      <c r="G13" s="15">
        <v>13293</v>
      </c>
      <c r="H13" s="15">
        <v>19302</v>
      </c>
      <c r="I13" s="15">
        <v>4447</v>
      </c>
      <c r="J13" s="15">
        <v>426</v>
      </c>
      <c r="K13" s="15">
        <v>-171</v>
      </c>
      <c r="L13" s="15">
        <v>-169.5</v>
      </c>
      <c r="M13" s="15">
        <v>0</v>
      </c>
      <c r="N13" s="15">
        <f>SUM(C10:C13)/4</f>
        <v>3958.25</v>
      </c>
      <c r="O13" s="23">
        <v>3484.95</v>
      </c>
      <c r="P13" s="16">
        <f>C13/C12-1</f>
        <v>-0.102278355621595</v>
      </c>
      <c r="Q13" s="16">
        <f>J13/I13</f>
        <v>0.0957949179221947</v>
      </c>
      <c r="R13" s="16">
        <f>AVERAGE(Q10:Q13)</f>
        <v>-0.0223926701580523</v>
      </c>
      <c r="S13" s="15">
        <f>SUM(J10:K13)/4</f>
        <v>-239.75</v>
      </c>
      <c r="T13" s="15">
        <f>J13+K13+T12</f>
        <v>586</v>
      </c>
      <c r="U13" s="15">
        <f>-(L13+M13)+U12</f>
        <v>418</v>
      </c>
      <c r="V13" s="15">
        <f>V12</f>
        <v>1916.4255616</v>
      </c>
      <c r="W13" s="15">
        <f>F13-G13</f>
        <v>-12566</v>
      </c>
      <c r="X13" s="26">
        <v>715</v>
      </c>
      <c r="Y13" s="24"/>
      <c r="Z13" s="15">
        <v>14.127</v>
      </c>
    </row>
    <row r="14" ht="20.05" customHeight="1">
      <c r="B14" s="13"/>
      <c r="C14" s="14">
        <v>4273</v>
      </c>
      <c r="D14" s="15">
        <v>176</v>
      </c>
      <c r="E14" s="15">
        <v>-24</v>
      </c>
      <c r="F14" s="15">
        <v>657</v>
      </c>
      <c r="G14" s="15">
        <v>13246</v>
      </c>
      <c r="H14" s="15">
        <v>19231</v>
      </c>
      <c r="I14" s="15">
        <v>4010</v>
      </c>
      <c r="J14" s="15">
        <v>375</v>
      </c>
      <c r="K14" s="15">
        <v>-184</v>
      </c>
      <c r="L14" s="15">
        <v>-169.5</v>
      </c>
      <c r="M14" s="15">
        <v>0</v>
      </c>
      <c r="N14" s="15">
        <f>SUM(C11:C14)/4</f>
        <v>4011.75</v>
      </c>
      <c r="O14" s="23">
        <v>3873.45</v>
      </c>
      <c r="P14" s="16">
        <f>C14/C13-1</f>
        <v>0.178758620689655</v>
      </c>
      <c r="Q14" s="16">
        <f>J14/I14</f>
        <v>0.0935162094763092</v>
      </c>
      <c r="R14" s="16">
        <f>AVERAGE(Q11:Q14)</f>
        <v>0.0402523648471735</v>
      </c>
      <c r="S14" s="15">
        <f>SUM(J11:K14)/4</f>
        <v>-4.25</v>
      </c>
      <c r="T14" s="15">
        <f>J14+K14+T13</f>
        <v>777</v>
      </c>
      <c r="U14" s="15">
        <f>-(L14+M14)+U13</f>
        <v>587.5</v>
      </c>
      <c r="V14" s="15">
        <f>V13</f>
        <v>1916.4255616</v>
      </c>
      <c r="W14" s="15">
        <f>F14-G14</f>
        <v>-12589</v>
      </c>
      <c r="X14" s="26">
        <v>630</v>
      </c>
      <c r="Y14" s="24"/>
      <c r="Z14" s="15">
        <v>14.195</v>
      </c>
    </row>
    <row r="15" ht="20.05" customHeight="1">
      <c r="B15" s="13"/>
      <c r="C15" s="14">
        <v>4003</v>
      </c>
      <c r="D15" s="15">
        <v>168</v>
      </c>
      <c r="E15" s="15">
        <v>129</v>
      </c>
      <c r="F15" s="15">
        <v>635</v>
      </c>
      <c r="G15" s="15">
        <v>12620</v>
      </c>
      <c r="H15" s="15">
        <v>18856</v>
      </c>
      <c r="I15" s="15">
        <v>4000</v>
      </c>
      <c r="J15" s="15">
        <v>518</v>
      </c>
      <c r="K15" s="15">
        <v>-139</v>
      </c>
      <c r="L15" s="15">
        <v>-169.5</v>
      </c>
      <c r="M15" s="15">
        <v>0</v>
      </c>
      <c r="N15" s="15">
        <f>SUM(C12:C15)/4</f>
        <v>3984.75</v>
      </c>
      <c r="O15" s="15">
        <v>4089.666666666670</v>
      </c>
      <c r="P15" s="16">
        <f>C15/C14-1</f>
        <v>-0.0631874561198221</v>
      </c>
      <c r="Q15" s="16">
        <f>J15/I15</f>
        <v>0.1295</v>
      </c>
      <c r="R15" s="16">
        <f>AVERAGE(Q12:Q15)</f>
        <v>0.0758788099338787</v>
      </c>
      <c r="S15" s="15">
        <f>SUM(J12:K15)/4</f>
        <v>155.5</v>
      </c>
      <c r="T15" s="15">
        <f>J15+K15+T14</f>
        <v>1156</v>
      </c>
      <c r="U15" s="15">
        <f>-(L15+M15)+U14</f>
        <v>757</v>
      </c>
      <c r="V15" s="15">
        <f>V14</f>
        <v>1916.4255616</v>
      </c>
      <c r="W15" s="15">
        <f>F15-G15</f>
        <v>-11985</v>
      </c>
      <c r="X15" s="15">
        <v>585</v>
      </c>
      <c r="Y15" s="24"/>
      <c r="Z15" s="15">
        <v>13.882</v>
      </c>
    </row>
    <row r="16" ht="20.05" customHeight="1">
      <c r="B16" s="21">
        <v>2020</v>
      </c>
      <c r="C16" s="14">
        <v>3797</v>
      </c>
      <c r="D16" s="15">
        <v>179.9</v>
      </c>
      <c r="E16" s="15">
        <v>-404</v>
      </c>
      <c r="F16" s="15">
        <v>681</v>
      </c>
      <c r="G16" s="15">
        <v>14385</v>
      </c>
      <c r="H16" s="15">
        <v>20450</v>
      </c>
      <c r="I16" s="15">
        <v>3579.8</v>
      </c>
      <c r="J16" s="15">
        <v>-95.5</v>
      </c>
      <c r="K16" s="15">
        <v>-121.1</v>
      </c>
      <c r="L16" s="15">
        <v>217.7</v>
      </c>
      <c r="M16" s="15">
        <v>0</v>
      </c>
      <c r="N16" s="15">
        <f>SUM(C13:C16)/4</f>
        <v>3924.5</v>
      </c>
      <c r="O16" s="15">
        <v>4177.7</v>
      </c>
      <c r="P16" s="16">
        <f>C16/C15-1</f>
        <v>-0.0514614039470397</v>
      </c>
      <c r="Q16" s="16">
        <f>J16/I16</f>
        <v>-0.0266774680149729</v>
      </c>
      <c r="R16" s="16">
        <f>AVERAGE(Q13:Q16)</f>
        <v>0.0730334148458828</v>
      </c>
      <c r="S16" s="15">
        <f>SUM(J13:K16)/4</f>
        <v>152.1</v>
      </c>
      <c r="T16" s="15">
        <f>J16+K16+T15</f>
        <v>939.4</v>
      </c>
      <c r="U16" s="15">
        <f>-(L16+M16)+U15</f>
        <v>539.3</v>
      </c>
      <c r="V16" s="15">
        <f>V15</f>
        <v>1916.4255616</v>
      </c>
      <c r="W16" s="15">
        <f>F16-G16</f>
        <v>-13704</v>
      </c>
      <c r="X16" s="26">
        <v>296</v>
      </c>
      <c r="Y16" s="24"/>
      <c r="Z16" s="15">
        <v>16.31</v>
      </c>
    </row>
    <row r="17" ht="20.05" customHeight="1">
      <c r="B17" s="13"/>
      <c r="C17" s="14">
        <v>2130</v>
      </c>
      <c r="D17" s="15">
        <v>176.1</v>
      </c>
      <c r="E17" s="15">
        <v>263</v>
      </c>
      <c r="F17" s="15">
        <v>724</v>
      </c>
      <c r="G17" s="15">
        <v>12240</v>
      </c>
      <c r="H17" s="15">
        <v>18366</v>
      </c>
      <c r="I17" s="15">
        <v>3268.2</v>
      </c>
      <c r="J17" s="15">
        <v>611.5</v>
      </c>
      <c r="K17" s="15">
        <v>-59.9</v>
      </c>
      <c r="L17" s="15">
        <v>-471.7</v>
      </c>
      <c r="M17" s="15">
        <v>0</v>
      </c>
      <c r="N17" s="15">
        <f>SUM(C14:C17)/4</f>
        <v>3550.75</v>
      </c>
      <c r="O17" s="15">
        <v>4167.4</v>
      </c>
      <c r="P17" s="16">
        <f>C17/C16-1</f>
        <v>-0.439030813800369</v>
      </c>
      <c r="Q17" s="16">
        <f>J17/I17</f>
        <v>0.187106052261184</v>
      </c>
      <c r="R17" s="16">
        <f>AVERAGE(Q14:Q17)</f>
        <v>0.0958611984306301</v>
      </c>
      <c r="S17" s="26">
        <f>SUM(J14:K17)/4</f>
        <v>226.25</v>
      </c>
      <c r="T17" s="15">
        <f>J17+K17+T16</f>
        <v>1491</v>
      </c>
      <c r="U17" s="15">
        <f>-(L17+M17)+U16</f>
        <v>1011</v>
      </c>
      <c r="V17" s="15">
        <f>V16</f>
        <v>1916.4255616</v>
      </c>
      <c r="W17" s="15">
        <f>F17-G17</f>
        <v>-11516</v>
      </c>
      <c r="X17" s="26">
        <v>384</v>
      </c>
      <c r="Y17" s="24"/>
      <c r="Z17" s="15">
        <v>14.255</v>
      </c>
    </row>
    <row r="18" ht="20.05" customHeight="1">
      <c r="B18" s="13"/>
      <c r="C18" s="14">
        <v>3689</v>
      </c>
      <c r="D18" s="15">
        <v>188</v>
      </c>
      <c r="E18" s="15">
        <v>36</v>
      </c>
      <c r="F18" s="15">
        <v>699</v>
      </c>
      <c r="G18" s="15">
        <v>11761</v>
      </c>
      <c r="H18" s="15">
        <v>17975</v>
      </c>
      <c r="I18" s="15">
        <v>3747</v>
      </c>
      <c r="J18" s="15">
        <v>834</v>
      </c>
      <c r="K18" s="15">
        <v>-57</v>
      </c>
      <c r="L18" s="15">
        <v>-815</v>
      </c>
      <c r="M18" s="15">
        <v>0</v>
      </c>
      <c r="N18" s="15">
        <f>SUM(C15:C18)/4</f>
        <v>3404.75</v>
      </c>
      <c r="O18" s="15">
        <v>3742.8625</v>
      </c>
      <c r="P18" s="16">
        <f>C18/C17-1</f>
        <v>0.731924882629108</v>
      </c>
      <c r="Q18" s="16">
        <f>J18/I18</f>
        <v>0.22257806244996</v>
      </c>
      <c r="R18" s="16">
        <f>AVERAGE(Q15:Q18)</f>
        <v>0.128126661674043</v>
      </c>
      <c r="S18" s="26">
        <f>SUM(J15:K18)/4</f>
        <v>372.75</v>
      </c>
      <c r="T18" s="15">
        <f>J18+K18+T17</f>
        <v>2268</v>
      </c>
      <c r="U18" s="15">
        <f>-(L18+M18)+U17</f>
        <v>1826</v>
      </c>
      <c r="V18" s="15">
        <f>V17</f>
        <v>1916.4255616</v>
      </c>
      <c r="W18" s="15">
        <f>F18-G18</f>
        <v>-11062</v>
      </c>
      <c r="X18" s="15">
        <v>440</v>
      </c>
      <c r="Y18" s="24"/>
      <c r="Z18" s="15">
        <v>14.79</v>
      </c>
    </row>
    <row r="19" ht="20.05" customHeight="1">
      <c r="B19" s="13"/>
      <c r="C19" s="14">
        <v>3819</v>
      </c>
      <c r="D19" s="15">
        <v>177</v>
      </c>
      <c r="E19" s="15">
        <v>424</v>
      </c>
      <c r="F19" s="15">
        <v>1045</v>
      </c>
      <c r="G19" s="15">
        <v>10927</v>
      </c>
      <c r="H19" s="15">
        <v>17782</v>
      </c>
      <c r="I19" s="15">
        <v>4217</v>
      </c>
      <c r="J19" s="15">
        <v>1193</v>
      </c>
      <c r="K19" s="15">
        <v>-157</v>
      </c>
      <c r="L19" s="15">
        <v>-654</v>
      </c>
      <c r="M19" s="15">
        <v>0</v>
      </c>
      <c r="N19" s="15">
        <f>SUM(C16:C19)/4</f>
        <v>3358.75</v>
      </c>
      <c r="O19" s="15">
        <v>3571.4775</v>
      </c>
      <c r="P19" s="16">
        <f>C19/C18-1</f>
        <v>0.0352399024125779</v>
      </c>
      <c r="Q19" s="16">
        <f>J19/I19</f>
        <v>0.282902537348826</v>
      </c>
      <c r="R19" s="16">
        <f>AVERAGE(Q16:Q19)</f>
        <v>0.166477296011249</v>
      </c>
      <c r="S19" s="26">
        <f>SUM(J16:K19)/4</f>
        <v>537</v>
      </c>
      <c r="T19" s="15">
        <f>J19+K19+T18</f>
        <v>3304</v>
      </c>
      <c r="U19" s="15">
        <f>-(L19+M19)+U18</f>
        <v>2480</v>
      </c>
      <c r="V19" s="15">
        <f>V18</f>
        <v>1916.4255616</v>
      </c>
      <c r="W19" s="15">
        <f>F19-G19</f>
        <v>-9882</v>
      </c>
      <c r="X19" s="15">
        <v>655</v>
      </c>
      <c r="Y19" s="24"/>
      <c r="Z19" s="15">
        <v>14.1</v>
      </c>
    </row>
    <row r="20" ht="20.05" customHeight="1">
      <c r="B20" s="21">
        <v>2021</v>
      </c>
      <c r="C20" s="14">
        <v>3921.9</v>
      </c>
      <c r="D20" s="15">
        <v>180.9</v>
      </c>
      <c r="E20" s="15">
        <v>113.3</v>
      </c>
      <c r="F20" s="15">
        <v>1224</v>
      </c>
      <c r="G20" s="15">
        <v>11374</v>
      </c>
      <c r="H20" s="15">
        <v>18538</v>
      </c>
      <c r="I20" s="15">
        <v>3948.4</v>
      </c>
      <c r="J20" s="15">
        <v>218.3</v>
      </c>
      <c r="K20" s="15">
        <v>-113.4</v>
      </c>
      <c r="L20" s="15">
        <v>59</v>
      </c>
      <c r="M20" s="15">
        <v>0</v>
      </c>
      <c r="N20" s="15">
        <f>SUM(C17:C20)/4</f>
        <v>3389.975</v>
      </c>
      <c r="O20" s="15">
        <v>3425.325</v>
      </c>
      <c r="P20" s="16">
        <f>C20/C19-1</f>
        <v>0.0269442262372349</v>
      </c>
      <c r="Q20" s="16">
        <f>J20/I20</f>
        <v>0.0552882180123594</v>
      </c>
      <c r="R20" s="16">
        <f>AVERAGE(Q17:Q20)</f>
        <v>0.186968717518082</v>
      </c>
      <c r="S20" s="26">
        <f>SUM(J17:K20)/4</f>
        <v>617.375</v>
      </c>
      <c r="T20" s="15">
        <f>J20+K20+T19</f>
        <v>3408.9</v>
      </c>
      <c r="U20" s="15">
        <f>-(L20+M20)+U19</f>
        <v>2421</v>
      </c>
      <c r="V20" s="15">
        <f>V19</f>
        <v>1916.4255616</v>
      </c>
      <c r="W20" s="15">
        <f>F20-G20</f>
        <v>-10150</v>
      </c>
      <c r="X20" s="15">
        <v>880</v>
      </c>
      <c r="Y20" s="15"/>
      <c r="Z20" s="15">
        <v>14.606</v>
      </c>
    </row>
    <row r="21" ht="20.05" customHeight="1">
      <c r="B21" s="13"/>
      <c r="C21" s="14">
        <v>3338.8</v>
      </c>
      <c r="D21" s="15">
        <v>182.7</v>
      </c>
      <c r="E21" s="15">
        <v>-17.5</v>
      </c>
      <c r="F21" s="15">
        <v>1393</v>
      </c>
      <c r="G21" s="15">
        <v>11750</v>
      </c>
      <c r="H21" s="15">
        <v>18890</v>
      </c>
      <c r="I21" s="15">
        <v>4076.6</v>
      </c>
      <c r="J21" s="15">
        <v>-162.4</v>
      </c>
      <c r="K21" s="15">
        <v>-59.5</v>
      </c>
      <c r="L21" s="15">
        <v>388.2</v>
      </c>
      <c r="M21" s="15">
        <v>0</v>
      </c>
      <c r="N21" s="15">
        <f>SUM(C18:C21)/4</f>
        <v>3692.175</v>
      </c>
      <c r="O21" s="15">
        <v>3584.0815</v>
      </c>
      <c r="P21" s="16">
        <f>C21/C20-1</f>
        <v>-0.148677936714348</v>
      </c>
      <c r="Q21" s="16">
        <f>J21/I21</f>
        <v>-0.0398371191679341</v>
      </c>
      <c r="R21" s="16">
        <f>AVERAGE(Q18:Q21)</f>
        <v>0.130232924660803</v>
      </c>
      <c r="S21" s="26">
        <f>SUM(J18:K21)/4</f>
        <v>424</v>
      </c>
      <c r="T21" s="15">
        <f>J21+K21+T20</f>
        <v>3187</v>
      </c>
      <c r="U21" s="15">
        <f>-(L21+M21)+U20</f>
        <v>2032.8</v>
      </c>
      <c r="V21" s="15">
        <f>V20</f>
        <v>1916.4255616</v>
      </c>
      <c r="W21" s="15">
        <f>F21-G21</f>
        <v>-10357</v>
      </c>
      <c r="X21" s="15">
        <v>760</v>
      </c>
      <c r="Y21" s="15"/>
      <c r="Z21" s="15">
        <v>14.45</v>
      </c>
    </row>
    <row r="22" ht="20.05" customHeight="1">
      <c r="B22" s="13"/>
      <c r="C22" s="14">
        <v>3938.6</v>
      </c>
      <c r="D22" s="15">
        <v>178.6</v>
      </c>
      <c r="E22" s="15">
        <v>-80.3</v>
      </c>
      <c r="F22" s="15">
        <v>816</v>
      </c>
      <c r="G22" s="15">
        <v>12269</v>
      </c>
      <c r="H22" s="15">
        <v>19275</v>
      </c>
      <c r="I22" s="15">
        <v>3584.6</v>
      </c>
      <c r="J22" s="15">
        <v>-789.7</v>
      </c>
      <c r="K22" s="15">
        <v>-66.90000000000001</v>
      </c>
      <c r="L22" s="15">
        <v>275.9</v>
      </c>
      <c r="M22" s="15">
        <v>-31.5</v>
      </c>
      <c r="N22" s="15">
        <f>SUM(C19:C22)/4</f>
        <v>3754.575</v>
      </c>
      <c r="O22" s="15">
        <v>3861.3015</v>
      </c>
      <c r="P22" s="16">
        <f>C22/C21-1</f>
        <v>0.179645381574218</v>
      </c>
      <c r="Q22" s="16">
        <f>J22/I22</f>
        <v>-0.220303520615968</v>
      </c>
      <c r="R22" s="16">
        <f>AVERAGE(Q19:Q22)</f>
        <v>0.0195125288943208</v>
      </c>
      <c r="S22" s="26">
        <f>SUM(J19:K22)/4</f>
        <v>15.6</v>
      </c>
      <c r="T22" s="15">
        <f>J22+K22+T21</f>
        <v>2330.4</v>
      </c>
      <c r="U22" s="15">
        <f>-(L22+M22)+U21</f>
        <v>1788.4</v>
      </c>
      <c r="V22" s="15">
        <f>V21</f>
        <v>1916.4255616</v>
      </c>
      <c r="W22" s="15">
        <f>F22-G22</f>
        <v>-11453</v>
      </c>
      <c r="X22" s="15">
        <v>715</v>
      </c>
      <c r="Y22" s="15"/>
      <c r="Z22" s="15">
        <v>14.328</v>
      </c>
    </row>
    <row r="23" ht="20.05" customHeight="1">
      <c r="B23" s="13"/>
      <c r="C23" s="14">
        <v>4144.8</v>
      </c>
      <c r="D23" s="15">
        <v>182.2</v>
      </c>
      <c r="E23" s="15">
        <v>64.40000000000001</v>
      </c>
      <c r="F23" s="15">
        <v>839</v>
      </c>
      <c r="G23" s="15">
        <v>11481</v>
      </c>
      <c r="H23" s="15">
        <v>18449</v>
      </c>
      <c r="I23" s="15">
        <v>5203.4</v>
      </c>
      <c r="J23" s="15">
        <v>1004.2</v>
      </c>
      <c r="K23" s="15">
        <v>-141.1</v>
      </c>
      <c r="L23" s="15">
        <v>-808.4</v>
      </c>
      <c r="M23" s="15">
        <v>-3.2</v>
      </c>
      <c r="N23" s="15">
        <f>SUM(C20:C23)/4</f>
        <v>3836.025</v>
      </c>
      <c r="O23" s="15">
        <v>3926.1975</v>
      </c>
      <c r="P23" s="16">
        <f>C23/C22-1</f>
        <v>0.0523536281927588</v>
      </c>
      <c r="Q23" s="16">
        <f>J23/I23</f>
        <v>0.192989199369643</v>
      </c>
      <c r="R23" s="16">
        <f>AVERAGE(Q20:Q23)</f>
        <v>-0.00296580560047493</v>
      </c>
      <c r="S23" s="26">
        <f>SUM(J20:K23)/4</f>
        <v>-27.625</v>
      </c>
      <c r="T23" s="15">
        <f>J23+K23+T22</f>
        <v>3193.5</v>
      </c>
      <c r="U23" s="15">
        <f>-(L23+M23)+U22</f>
        <v>2600</v>
      </c>
      <c r="V23" s="15">
        <f>V22</f>
        <v>1916.4255616</v>
      </c>
      <c r="W23" s="15">
        <f>F23-G23</f>
        <v>-10642</v>
      </c>
      <c r="X23" s="15">
        <v>665</v>
      </c>
      <c r="Y23" s="15"/>
      <c r="Z23" s="15">
        <v>14.275</v>
      </c>
    </row>
    <row r="24" ht="20.05" customHeight="1">
      <c r="B24" s="21">
        <v>2022</v>
      </c>
      <c r="C24" s="14">
        <v>4225</v>
      </c>
      <c r="D24" s="15">
        <v>181</v>
      </c>
      <c r="E24" s="15">
        <v>70</v>
      </c>
      <c r="F24" s="15">
        <v>1005</v>
      </c>
      <c r="G24" s="15">
        <v>11869</v>
      </c>
      <c r="H24" s="15">
        <v>18916</v>
      </c>
      <c r="I24" s="15">
        <v>4282</v>
      </c>
      <c r="J24" s="15">
        <v>310.9</v>
      </c>
      <c r="K24" s="15">
        <v>-73.59999999999999</v>
      </c>
      <c r="L24" s="15">
        <v>-71</v>
      </c>
      <c r="M24" s="15">
        <v>0</v>
      </c>
      <c r="N24" s="15">
        <f>SUM(C21:C24)/4</f>
        <v>3911.8</v>
      </c>
      <c r="O24" s="15">
        <v>3998.15</v>
      </c>
      <c r="P24" s="16">
        <f>C24/C23-1</f>
        <v>0.0193495464196101</v>
      </c>
      <c r="Q24" s="16">
        <f>J24/I24</f>
        <v>0.0726062587575899</v>
      </c>
      <c r="R24" s="16">
        <f>AVERAGE(Q21:Q24)</f>
        <v>0.0013637045858327</v>
      </c>
      <c r="S24" s="26">
        <f>SUM(J21:K24)/4</f>
        <v>5.475</v>
      </c>
      <c r="T24" s="15">
        <f>J24+K24+T23</f>
        <v>3430.8</v>
      </c>
      <c r="U24" s="15">
        <f>-(L24+M24)+U23</f>
        <v>2671</v>
      </c>
      <c r="V24" s="15">
        <f>V23</f>
        <v>1916.4255616</v>
      </c>
      <c r="W24" s="15">
        <f>F24-G24</f>
        <v>-10864</v>
      </c>
      <c r="X24" s="15">
        <v>625</v>
      </c>
      <c r="Y24" s="17"/>
      <c r="Z24" s="15">
        <v>14.327</v>
      </c>
    </row>
    <row r="25" ht="20.05" customHeight="1">
      <c r="B25" s="13"/>
      <c r="C25" s="14">
        <v>4063</v>
      </c>
      <c r="D25" s="15">
        <v>171</v>
      </c>
      <c r="E25" s="15">
        <v>-138</v>
      </c>
      <c r="F25" s="15">
        <v>964</v>
      </c>
      <c r="G25" s="15">
        <v>12340</v>
      </c>
      <c r="H25" s="15">
        <v>19301</v>
      </c>
      <c r="I25" s="15">
        <v>4365</v>
      </c>
      <c r="J25" s="15">
        <v>67.09999999999999</v>
      </c>
      <c r="K25" s="15">
        <v>-255.4</v>
      </c>
      <c r="L25" s="15">
        <v>146</v>
      </c>
      <c r="M25" s="15">
        <v>0</v>
      </c>
      <c r="N25" s="15">
        <f>SUM(C22:C25)/4</f>
        <v>4092.85</v>
      </c>
      <c r="O25" s="15">
        <v>4108.6435</v>
      </c>
      <c r="P25" s="16">
        <f>C25/C24-1</f>
        <v>-0.0383431952662722</v>
      </c>
      <c r="Q25" s="16">
        <f>J25/I25</f>
        <v>0.0153722794959908</v>
      </c>
      <c r="R25" s="16">
        <f>AVERAGE(Q22:Q25)</f>
        <v>0.0151660542518139</v>
      </c>
      <c r="S25" s="26">
        <f>SUM(J22:K25)/4</f>
        <v>13.875</v>
      </c>
      <c r="T25" s="15">
        <f>J25+K25+T24</f>
        <v>3242.5</v>
      </c>
      <c r="U25" s="15">
        <f>-(L25+M25)+U24</f>
        <v>2525</v>
      </c>
      <c r="V25" s="15">
        <f>V24</f>
        <v>1916.4255616</v>
      </c>
      <c r="W25" s="15">
        <f>F25-G25</f>
        <v>-11376</v>
      </c>
      <c r="X25" s="26">
        <v>685</v>
      </c>
      <c r="Y25" s="15">
        <v>1457</v>
      </c>
      <c r="Z25" s="15">
        <v>14.66</v>
      </c>
    </row>
    <row r="26" ht="20.05" customHeight="1">
      <c r="B26" s="13"/>
      <c r="C26" s="14">
        <v>4464.7</v>
      </c>
      <c r="D26" s="15">
        <v>190.2</v>
      </c>
      <c r="E26" s="15">
        <v>-107.7</v>
      </c>
      <c r="F26" s="15">
        <v>654</v>
      </c>
      <c r="G26" s="15">
        <v>12693</v>
      </c>
      <c r="H26" s="15">
        <v>19568</v>
      </c>
      <c r="I26" s="15">
        <v>4784.7</v>
      </c>
      <c r="J26" s="15">
        <v>-31</v>
      </c>
      <c r="K26" s="15">
        <v>-255</v>
      </c>
      <c r="L26" s="15">
        <v>-26</v>
      </c>
      <c r="M26" s="15">
        <v>0</v>
      </c>
      <c r="N26" s="15">
        <f>SUM(C23:C26)/4</f>
        <v>4224.375</v>
      </c>
      <c r="O26" s="15">
        <v>4328.1135</v>
      </c>
      <c r="P26" s="16">
        <f>C26/C25-1</f>
        <v>0.098867831651489</v>
      </c>
      <c r="Q26" s="16">
        <f>J26/I26</f>
        <v>-0.00647898509833427</v>
      </c>
      <c r="R26" s="16">
        <f>AVERAGE(Q23:Q26)</f>
        <v>0.06862218813122239</v>
      </c>
      <c r="S26" s="26">
        <f>SUM(J23:K26)/4</f>
        <v>156.525</v>
      </c>
      <c r="T26" s="15">
        <f>J26+K26+T25</f>
        <v>2956.5</v>
      </c>
      <c r="U26" s="15">
        <f>-(L26+M26)+U25</f>
        <v>2551</v>
      </c>
      <c r="V26" s="15">
        <f>V25</f>
        <v>1916.4255616</v>
      </c>
      <c r="W26" s="15">
        <f>F26-G26</f>
        <v>-12039</v>
      </c>
      <c r="X26" s="26">
        <v>635</v>
      </c>
      <c r="Y26" s="15">
        <v>1535.581215331980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AVERAGE(AC41:AF41)</f>
        <v>4667.386084309</v>
      </c>
      <c r="P27" s="17"/>
      <c r="Q27" s="17"/>
      <c r="R27" s="17"/>
      <c r="S27" s="26"/>
      <c r="T27" s="17"/>
      <c r="U27" s="17"/>
      <c r="V27" s="17"/>
      <c r="W27" s="26"/>
      <c r="X27" s="26">
        <v>560</v>
      </c>
      <c r="Y27" s="15">
        <v>1110.084436391230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SUM(N13:N26)</f>
        <v>53095.275</v>
      </c>
      <c r="O28" s="15">
        <f>SUM(O13:O26)</f>
        <v>54339.3191666667</v>
      </c>
      <c r="P28" s="17"/>
      <c r="Q28" s="17"/>
      <c r="R28" s="17"/>
      <c r="S28" s="17"/>
      <c r="T28" s="17"/>
      <c r="U28" s="17"/>
      <c r="V28" s="17"/>
      <c r="W28" s="26"/>
      <c r="X28" s="15">
        <v>550</v>
      </c>
      <c r="Y28" s="15">
        <f>AF76</f>
        <v>957.484852748596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7"/>
      <c r="Y29" s="15"/>
      <c r="Z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26"/>
      <c r="O31" s="17"/>
      <c r="P31" s="17"/>
      <c r="Q31" s="17"/>
      <c r="R31" s="17"/>
      <c r="S31" s="17"/>
      <c r="T31" s="17"/>
      <c r="U31" s="17"/>
      <c r="V31" s="17"/>
      <c r="W31" s="26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5" ht="27.65" customHeight="1">
      <c r="AA35" t="s" s="2">
        <v>21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ht="20.25" customHeight="1">
      <c r="AA36" t="s" s="28">
        <f>B$3</f>
        <v>22</v>
      </c>
      <c r="AB36" t="s" s="29">
        <v>23</v>
      </c>
      <c r="AC36" t="s" s="29">
        <v>24</v>
      </c>
      <c r="AD36" t="s" s="29">
        <v>25</v>
      </c>
      <c r="AE36" t="s" s="29">
        <v>26</v>
      </c>
      <c r="AF36" t="s" s="29">
        <v>23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</row>
    <row r="37" ht="20.25" customHeight="1">
      <c r="AA37" t="s" s="31">
        <v>15</v>
      </c>
      <c r="AB37" s="32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ht="20.05" customHeight="1">
      <c r="AA38" t="s" s="33">
        <v>27</v>
      </c>
      <c r="AB38" s="34"/>
      <c r="AC38" s="16">
        <f>AVERAGE(P23:P26)</f>
        <v>0.0330569527493964</v>
      </c>
      <c r="AD38" s="35"/>
      <c r="AE38" s="35"/>
      <c r="AF38" s="35">
        <f>AVERAGE(AC40:AF40)</f>
        <v>0.015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A39" s="36"/>
      <c r="AB39" s="37"/>
      <c r="AC39" s="35">
        <f>P23</f>
        <v>0.0523536281927588</v>
      </c>
      <c r="AD39" s="35">
        <f>P24</f>
        <v>0.0193495464196101</v>
      </c>
      <c r="AE39" s="35">
        <f>P25</f>
        <v>-0.0383431952662722</v>
      </c>
      <c r="AF39" s="35">
        <f>P26</f>
        <v>0.098867831651489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A40" t="s" s="33">
        <v>13</v>
      </c>
      <c r="AB40" s="37">
        <f>C26/C25-1</f>
        <v>0.098867831651489</v>
      </c>
      <c r="AC40" s="35">
        <v>0.03</v>
      </c>
      <c r="AD40" s="35">
        <v>0.02</v>
      </c>
      <c r="AE40" s="35">
        <v>-0.01</v>
      </c>
      <c r="AF40" s="35">
        <v>0.02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A41" t="s" s="33">
        <v>28</v>
      </c>
      <c r="AB41" s="38">
        <f>C26</f>
        <v>4464.7</v>
      </c>
      <c r="AC41" s="23">
        <f>AB41*(1+AC40)</f>
        <v>4598.641</v>
      </c>
      <c r="AD41" s="23">
        <f>AC41*(1+AD40)</f>
        <v>4690.61382</v>
      </c>
      <c r="AE41" s="23">
        <f>AD41*(1+AE40)</f>
        <v>4643.7076818</v>
      </c>
      <c r="AF41" s="23">
        <f>AE41*(1+AF40)</f>
        <v>4736.581835436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A42" t="s" s="33">
        <v>14</v>
      </c>
      <c r="AB42" s="37">
        <f>(E26+D26)/C26</f>
        <v>0.018478285215132</v>
      </c>
      <c r="AC42" s="35">
        <f>AVERAGE(R26)</f>
        <v>0.06862218813122239</v>
      </c>
      <c r="AD42" s="35">
        <f>AC42</f>
        <v>0.06862218813122239</v>
      </c>
      <c r="AE42" s="35">
        <f>AD42</f>
        <v>0.06862218813122239</v>
      </c>
      <c r="AF42" s="35">
        <f>AE42</f>
        <v>0.06862218813122239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A43" t="s" s="33">
        <v>29</v>
      </c>
      <c r="AB43" s="14">
        <f>AVERAGE(K23:K26)</f>
        <v>-181.275</v>
      </c>
      <c r="AC43" s="15">
        <f>AVERAGE(K23:K26)</f>
        <v>-181.275</v>
      </c>
      <c r="AD43" s="15">
        <f>AC43</f>
        <v>-181.275</v>
      </c>
      <c r="AE43" s="15">
        <f>AD43</f>
        <v>-181.275</v>
      </c>
      <c r="AF43" s="15">
        <f>AE43</f>
        <v>-181.275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A44" t="s" s="33">
        <v>30</v>
      </c>
      <c r="AB44" s="14">
        <f>J26+K26</f>
        <v>-286</v>
      </c>
      <c r="AC44" s="15">
        <f>(AC41*AC42)+AC43</f>
        <v>134.293807849953</v>
      </c>
      <c r="AD44" s="15">
        <f>(AD41*AD42)+AD43</f>
        <v>140.605184006952</v>
      </c>
      <c r="AE44" s="15">
        <f>(AE41*AE42)+AE43</f>
        <v>137.386382166882</v>
      </c>
      <c r="AF44" s="15">
        <f>(AF41*AF42)+AF43</f>
        <v>143.759609810220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A45" t="s" s="33">
        <v>31</v>
      </c>
      <c r="AB45" s="14">
        <f>L26</f>
        <v>-26</v>
      </c>
      <c r="AC45" s="15">
        <f>-AB60/20</f>
        <v>-634.65</v>
      </c>
      <c r="AD45" s="15">
        <f>-AC60/20</f>
        <v>-602.9175</v>
      </c>
      <c r="AE45" s="15">
        <f>-AD60/20</f>
        <v>-572.771625</v>
      </c>
      <c r="AF45" s="15">
        <f>-AE60/20</f>
        <v>-544.13304375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A46" t="s" s="33">
        <v>32</v>
      </c>
      <c r="AB46" s="39"/>
      <c r="AC46" s="40">
        <v>0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A47" t="s" s="33">
        <v>33</v>
      </c>
      <c r="AB47" s="14">
        <f>M26</f>
        <v>0</v>
      </c>
      <c r="AC47" s="15">
        <f>IF(AC55&gt;0,AC55*$AC$46,0)</f>
        <v>0</v>
      </c>
      <c r="AD47" s="15">
        <f>IF(AD55&gt;0,AD55*$AC$46,0)</f>
        <v>0</v>
      </c>
      <c r="AE47" s="15">
        <f>IF(AE55&gt;0,AE55*$AC$46,0)</f>
        <v>0</v>
      </c>
      <c r="AF47" s="15">
        <f>IF(AF55&gt;0,AF55*$AC$46,0)</f>
        <v>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A48" t="s" s="33">
        <v>34</v>
      </c>
      <c r="AB48" s="14"/>
      <c r="AC48" s="15">
        <f>AC44+AC45+AC47</f>
        <v>-500.356192150047</v>
      </c>
      <c r="AD48" s="15">
        <f>AD44+AD45+AD47</f>
        <v>-462.312315993048</v>
      </c>
      <c r="AE48" s="15">
        <f>AE44+AE45+AE47</f>
        <v>-435.385242833118</v>
      </c>
      <c r="AF48" s="15">
        <f>AF44+AF45+AF47</f>
        <v>-400.373433939780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A49" t="s" s="33">
        <v>35</v>
      </c>
      <c r="AB49" s="14"/>
      <c r="AC49" s="15">
        <f>-MIN(0,AC48)</f>
        <v>500.356192150047</v>
      </c>
      <c r="AD49" s="15">
        <f>-MIN(AC61,AD48)</f>
        <v>462.312315993048</v>
      </c>
      <c r="AE49" s="15">
        <f>-MIN(AD61,AE48)</f>
        <v>435.385242833118</v>
      </c>
      <c r="AF49" s="15">
        <f>-MIN(AE61,AF48)</f>
        <v>400.373433939780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A50" t="s" s="33">
        <v>36</v>
      </c>
      <c r="AB50" s="14">
        <f>F25</f>
        <v>964</v>
      </c>
      <c r="AC50" s="15">
        <f>F26</f>
        <v>654</v>
      </c>
      <c r="AD50" s="15">
        <f>AC52</f>
        <v>654</v>
      </c>
      <c r="AE50" s="15">
        <f>AD52</f>
        <v>654</v>
      </c>
      <c r="AF50" s="15">
        <f>AE52</f>
        <v>654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A51" t="s" s="33">
        <v>37</v>
      </c>
      <c r="AB51" s="14">
        <f>AB52-AB50</f>
        <v>-310</v>
      </c>
      <c r="AC51" s="15">
        <f>AC44+AC45+AC47+AC49</f>
        <v>0</v>
      </c>
      <c r="AD51" s="15">
        <f>AD44+AD45+AD47+AD49</f>
        <v>0</v>
      </c>
      <c r="AE51" s="15">
        <f>AE44+AE45+AE47+AE49</f>
        <v>0</v>
      </c>
      <c r="AF51" s="15">
        <f>AF44+AF45+AF47+AF49</f>
        <v>0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A52" t="s" s="33">
        <v>38</v>
      </c>
      <c r="AB52" s="14">
        <f>F26</f>
        <v>654</v>
      </c>
      <c r="AC52" s="15">
        <f>AC50+AC51</f>
        <v>654</v>
      </c>
      <c r="AD52" s="15">
        <f>AD50+AD51</f>
        <v>654</v>
      </c>
      <c r="AE52" s="15">
        <f>AE50+AE51</f>
        <v>654</v>
      </c>
      <c r="AF52" s="15">
        <f>AF50+AF51</f>
        <v>654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A53" t="s" s="41">
        <v>4</v>
      </c>
      <c r="AB53" s="14"/>
      <c r="AC53" s="15"/>
      <c r="AD53" s="15"/>
      <c r="AE53" s="1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ht="20.05" customHeight="1">
      <c r="AA54" t="s" s="33">
        <v>3</v>
      </c>
      <c r="AB54" s="14">
        <f>-D26</f>
        <v>-190.2</v>
      </c>
      <c r="AC54" s="15">
        <f>-AVERAGE(D24:D26)</f>
        <v>-180.733333333333</v>
      </c>
      <c r="AD54" s="15">
        <f>AC54</f>
        <v>-180.733333333333</v>
      </c>
      <c r="AE54" s="15">
        <f>AD54</f>
        <v>-180.733333333333</v>
      </c>
      <c r="AF54" s="15">
        <f>AE54</f>
        <v>-180.733333333333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4</v>
      </c>
      <c r="AB55" s="14">
        <f>E26</f>
        <v>-107.7</v>
      </c>
      <c r="AC55" s="15">
        <f>(AC41*AC42)+AC54</f>
        <v>134.835474516620</v>
      </c>
      <c r="AD55" s="15">
        <f>(AD41*AD42)+AD54</f>
        <v>141.146850673619</v>
      </c>
      <c r="AE55" s="15">
        <f>(AE41*AE42)+AE54</f>
        <v>137.928048833549</v>
      </c>
      <c r="AF55" s="15">
        <f>(AF41*AF42)+AF54</f>
        <v>144.301276476887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40</v>
      </c>
      <c r="AB57" s="14"/>
      <c r="AC57" s="15">
        <f>H26-F26-AC43</f>
        <v>19095.275</v>
      </c>
      <c r="AD57" s="15">
        <f>AC57-AD43</f>
        <v>19276.55</v>
      </c>
      <c r="AE57" s="15">
        <f>AD57-AE43</f>
        <v>19457.825</v>
      </c>
      <c r="AF57" s="15">
        <f>AE57-AF43</f>
        <v>19639.1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41</v>
      </c>
      <c r="AB58" s="14"/>
      <c r="AC58" s="15">
        <f>0-AC54</f>
        <v>180.733333333333</v>
      </c>
      <c r="AD58" s="15">
        <f>AC58-AD54</f>
        <v>361.466666666666</v>
      </c>
      <c r="AE58" s="15">
        <f>AD58-AE54</f>
        <v>542.199999999999</v>
      </c>
      <c r="AF58" s="15">
        <f>AE58-AF54</f>
        <v>722.933333333332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42</v>
      </c>
      <c r="AB59" s="14">
        <f>H26-F26</f>
        <v>18914</v>
      </c>
      <c r="AC59" s="15">
        <f>AC57-AC58</f>
        <v>18914.5416666667</v>
      </c>
      <c r="AD59" s="15">
        <f>AD57-AD58</f>
        <v>18915.0833333333</v>
      </c>
      <c r="AE59" s="15">
        <f>AE57-AE58</f>
        <v>18915.625</v>
      </c>
      <c r="AF59" s="15">
        <f>AF57-AF58</f>
        <v>18916.1666666667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6</v>
      </c>
      <c r="AB60" s="14">
        <f>G26</f>
        <v>12693</v>
      </c>
      <c r="AC60" s="15">
        <f>G26+AC45</f>
        <v>12058.35</v>
      </c>
      <c r="AD60" s="15">
        <f>AC60+AD45</f>
        <v>11455.4325</v>
      </c>
      <c r="AE60" s="15">
        <f>AD60+AE45</f>
        <v>10882.660875</v>
      </c>
      <c r="AF60" s="15">
        <f>AE60+AF45</f>
        <v>10338.52783125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35</v>
      </c>
      <c r="AB61" s="14"/>
      <c r="AC61" s="15">
        <f>AC49</f>
        <v>500.356192150047</v>
      </c>
      <c r="AD61" s="15">
        <f>AC61+AD49</f>
        <v>962.668508143095</v>
      </c>
      <c r="AE61" s="15">
        <f>AD61+AE49</f>
        <v>1398.053750976210</v>
      </c>
      <c r="AF61" s="15">
        <f>AE61+AF49</f>
        <v>1798.427184915990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11</v>
      </c>
      <c r="AB62" s="14">
        <f>H26-G26</f>
        <v>6875</v>
      </c>
      <c r="AC62" s="15">
        <f>(H26-G26)+AC55+AC47</f>
        <v>7009.835474516620</v>
      </c>
      <c r="AD62" s="15">
        <f>AC62+AD55+AD47</f>
        <v>7150.982325190240</v>
      </c>
      <c r="AE62" s="15">
        <f>AD62+AE55+AE47</f>
        <v>7288.910374023790</v>
      </c>
      <c r="AF62" s="15">
        <f>AE62+AF55+AF47</f>
        <v>7433.211650500680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43</v>
      </c>
      <c r="AB63" s="14">
        <f>AB60+AB61+AB62-AB52-AB59</f>
        <v>0</v>
      </c>
      <c r="AC63" s="15">
        <f>AC60+AC61+AC62-AC52-AC59</f>
        <v>-3.3e-11</v>
      </c>
      <c r="AD63" s="15">
        <f>AD60+AD61+AD62-AD52-AD59</f>
        <v>3.5e-11</v>
      </c>
      <c r="AE63" s="15">
        <f>AE60+AE61+AE62-AE52-AE59</f>
        <v>0</v>
      </c>
      <c r="AF63" s="15">
        <f>AF60+AF61+AF62-AF52-AF59</f>
        <v>-3e-11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18</v>
      </c>
      <c r="AB64" s="14">
        <f>AB52-AB60-AB61</f>
        <v>-12039</v>
      </c>
      <c r="AC64" s="15">
        <f>AC52-AC60-AC61</f>
        <v>-11904.70619215</v>
      </c>
      <c r="AD64" s="15">
        <f>AD52-AD60-AD61</f>
        <v>-11764.1010081431</v>
      </c>
      <c r="AE64" s="15">
        <f>AE52-AE60-AE61</f>
        <v>-11626.7146259762</v>
      </c>
      <c r="AF64" s="15">
        <f>AF52-AF60-AF61</f>
        <v>-11482.955016166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44</v>
      </c>
      <c r="AB65" s="14">
        <f>AB45+AB47+AB49</f>
        <v>-26</v>
      </c>
      <c r="AC65" s="15">
        <f>AC45+AC47+AC49</f>
        <v>-134.293807849953</v>
      </c>
      <c r="AD65" s="15">
        <f>AD45+AD47+AD49</f>
        <v>-140.605184006952</v>
      </c>
      <c r="AE65" s="15">
        <f>AE45+AE47+AE49</f>
        <v>-137.386382166882</v>
      </c>
      <c r="AF65" s="15">
        <f>AF45+AF47+AF49</f>
        <v>-143.759609810220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33">
        <f>X$3</f>
        <v>595</v>
      </c>
      <c r="AB67" s="14"/>
      <c r="AC67" s="15"/>
      <c r="AD67" s="15"/>
      <c r="AE67" s="15"/>
      <c r="AF67" s="15">
        <v>550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46</v>
      </c>
      <c r="AB68" s="14"/>
      <c r="AC68" s="15"/>
      <c r="AD68" s="15"/>
      <c r="AE68" s="15"/>
      <c r="AF68" s="15">
        <v>1916.4255616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47</v>
      </c>
      <c r="AB69" s="14"/>
      <c r="AC69" s="15"/>
      <c r="AD69" s="15"/>
      <c r="AE69" s="15"/>
      <c r="AF69" s="15">
        <f>AF68/AF67</f>
        <v>3.484410112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48</v>
      </c>
      <c r="AB70" s="14"/>
      <c r="AC70" s="15"/>
      <c r="AD70" s="15"/>
      <c r="AE70" s="15"/>
      <c r="AF70" s="43">
        <f>AF68/(AF52+AF59)</f>
        <v>0.097925868197341</v>
      </c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</row>
    <row r="71" ht="20.05" customHeight="1">
      <c r="AA71" t="s" s="33">
        <v>49</v>
      </c>
      <c r="AB71" s="14"/>
      <c r="AC71" s="15"/>
      <c r="AD71" s="15"/>
      <c r="AE71" s="15"/>
      <c r="AF71" s="16">
        <f>-(AC47+AD47+AE47+AF47)/AF68</f>
        <v>0</v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ht="20.05" customHeight="1">
      <c r="AA72" t="s" s="33">
        <v>50</v>
      </c>
      <c r="AB72" s="14"/>
      <c r="AC72" s="15"/>
      <c r="AD72" s="15"/>
      <c r="AE72" s="15">
        <f>SUM(J23:K26)</f>
        <v>626.1</v>
      </c>
      <c r="AF72" s="15">
        <f>SUM(AC44:AF44)</f>
        <v>556.044983834007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51</v>
      </c>
      <c r="AB73" s="14"/>
      <c r="AC73" s="15"/>
      <c r="AD73" s="15"/>
      <c r="AE73" s="15"/>
      <c r="AF73" s="15">
        <f>AF59/AF72</f>
        <v>34.0191301362654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52</v>
      </c>
      <c r="AB74" s="14"/>
      <c r="AC74" s="15"/>
      <c r="AD74" s="15"/>
      <c r="AE74" s="15">
        <f>AF68/AF72</f>
        <v>3.44652971848785</v>
      </c>
      <c r="AF74" s="15">
        <v>6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53</v>
      </c>
      <c r="AB75" s="14"/>
      <c r="AC75" s="15"/>
      <c r="AD75" s="15"/>
      <c r="AE75" s="15"/>
      <c r="AF75" s="15">
        <f>AF72*AF74</f>
        <v>3336.269903004040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54</v>
      </c>
      <c r="AB76" s="14"/>
      <c r="AC76" s="15"/>
      <c r="AD76" s="15"/>
      <c r="AE76" s="15"/>
      <c r="AF76" s="15">
        <f>(AF75/AF69)</f>
        <v>957.484852748596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55</v>
      </c>
      <c r="AB77" s="38"/>
      <c r="AC77" s="23"/>
      <c r="AD77" s="23"/>
      <c r="AE77" s="23"/>
      <c r="AF77" s="16">
        <f>AF76/AF67-1</f>
        <v>0.740881550451993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A78" t="s" s="33">
        <v>56</v>
      </c>
      <c r="AB78" s="38"/>
      <c r="AC78" s="23"/>
      <c r="AD78" s="23"/>
      <c r="AE78" s="23"/>
      <c r="AF78" s="16">
        <f>C26/C22-1</f>
        <v>0.133575382115473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A79" t="s" s="33">
        <v>57</v>
      </c>
      <c r="AB79" s="38"/>
      <c r="AC79" s="23"/>
      <c r="AD79" s="23"/>
      <c r="AE79" s="23"/>
      <c r="AF79" s="16">
        <f>O28/N28-1</f>
        <v>0.0234304119654094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A80" s="36"/>
      <c r="AB80" s="38"/>
      <c r="AC80" s="23"/>
      <c r="AD80" s="23"/>
      <c r="AE80" s="23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A81" s="36"/>
      <c r="AB81" s="38"/>
      <c r="AC81" t="s" s="44">
        <f>$AA67</f>
        <v>595</v>
      </c>
      <c r="AD81" t="s" s="44">
        <f>AC103</f>
        <v>15</v>
      </c>
      <c r="AE81" t="s" s="44">
        <f>AD103</f>
        <v>360</v>
      </c>
      <c r="AF81" t="s" s="44">
        <f>AE103</f>
        <v>485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ht="20.05" customHeight="1">
      <c r="AA82" s="36"/>
      <c r="AB82" s="45"/>
      <c r="AC82" t="s" s="44">
        <v>60</v>
      </c>
      <c r="AD82" s="15">
        <f>AF67</f>
        <v>550</v>
      </c>
      <c r="AE82" t="s" s="44">
        <v>61</v>
      </c>
      <c r="AF82" s="15">
        <f>AF76</f>
        <v>957.484852748596</v>
      </c>
      <c r="AG82" t="s" s="44">
        <f>IF(AH82&gt;0,"+","")</f>
        <v>361</v>
      </c>
      <c r="AH82" s="16">
        <f>AF82/AD82-1</f>
        <v>0.740881550451993</v>
      </c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20.05" customHeight="1">
      <c r="AA83" s="36"/>
      <c r="AB83" s="46"/>
      <c r="AC83" s="47">
        <f>TODAY()</f>
        <v>44942</v>
      </c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32.05" customHeight="1">
      <c r="AA84" s="36"/>
      <c r="AB84" s="34"/>
      <c r="AC84" t="s" s="44">
        <v>62</v>
      </c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32.05" customHeight="1">
      <c r="AA85" s="36"/>
      <c r="AB85" s="34"/>
      <c r="AC85" t="s" s="44">
        <v>63</v>
      </c>
      <c r="AD85" t="s" s="44">
        <v>64</v>
      </c>
      <c r="AE85" t="s" s="44">
        <f>IF(AF85&gt;0,"+","")</f>
        <v>361</v>
      </c>
      <c r="AF85" s="16">
        <f>AK92/AC92-1</f>
        <v>0.133575382115473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32.05" customHeight="1">
      <c r="AA86" s="36"/>
      <c r="AB86" s="34"/>
      <c r="AC86" t="s" s="44">
        <v>63</v>
      </c>
      <c r="AD86" t="s" s="44">
        <v>65</v>
      </c>
      <c r="AE86" t="s" s="44">
        <f>IF(AF86&gt;0,"+","")</f>
        <v>361</v>
      </c>
      <c r="AF86" s="16">
        <f>(AE107+AE108+AG107+AG108+AI107+AI108+AK107+AK108)/AD124</f>
        <v>0.326701966695371</v>
      </c>
      <c r="AG86" t="s" s="44">
        <v>66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68.05" customHeight="1">
      <c r="AA87" s="36"/>
      <c r="AB87" s="34"/>
      <c r="AC87" t="s" s="44">
        <v>63</v>
      </c>
      <c r="AD87" t="s" s="44">
        <v>67</v>
      </c>
      <c r="AE87" t="s" s="44">
        <f>IF(AF87&gt;0,"+","")</f>
        <v>361</v>
      </c>
      <c r="AF87" s="16">
        <f>(AE121+AE122+AG121+AG122+AI121+AI122+AK121+AK122)/AD124</f>
        <v>0.397928317843619</v>
      </c>
      <c r="AG87" t="s" s="44">
        <f>AG86</f>
        <v>66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44.05" customHeight="1">
      <c r="AA88" s="36"/>
      <c r="AB88" s="34"/>
      <c r="AC88" t="s" s="44">
        <v>68</v>
      </c>
      <c r="AD88" t="s" s="44">
        <v>69</v>
      </c>
      <c r="AE88" s="16">
        <f>AN117/AD124</f>
        <v>-6.28200762984438</v>
      </c>
      <c r="AF88" t="s" s="44">
        <f>AG87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A89" s="36"/>
      <c r="AB89" s="34"/>
      <c r="AC89" t="s" s="44">
        <v>28</v>
      </c>
      <c r="AD89" t="s" s="44">
        <f>AD93</f>
        <v>362</v>
      </c>
      <c r="AE89" s="16">
        <f>AE93</f>
        <v>0.098867831651489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68.05" customHeight="1">
      <c r="AA90" s="36"/>
      <c r="AB90" s="34"/>
      <c r="AC90" t="s" s="44">
        <v>70</v>
      </c>
      <c r="AD90" t="s" s="44">
        <v>71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20.05" customHeight="1">
      <c r="AA91" s="36"/>
      <c r="AB91" s="34"/>
      <c r="AC91" s="16">
        <f>P22</f>
        <v>0.179645381574218</v>
      </c>
      <c r="AD91" s="16">
        <f>P23</f>
        <v>0.0523536281927588</v>
      </c>
      <c r="AE91" s="16">
        <f>P24</f>
        <v>0.0193495464196101</v>
      </c>
      <c r="AF91" s="16">
        <f>P25</f>
        <v>-0.0383431952662722</v>
      </c>
      <c r="AG91" s="16">
        <f>P26</f>
        <v>0.098867831651489</v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32.05" customHeight="1">
      <c r="AA92" s="36"/>
      <c r="AB92" s="34"/>
      <c r="AC92" s="15">
        <f>C22</f>
        <v>3938.6</v>
      </c>
      <c r="AD92" t="s" s="44">
        <v>72</v>
      </c>
      <c r="AE92" s="15">
        <f>C23</f>
        <v>4144.8</v>
      </c>
      <c r="AF92" t="s" s="44">
        <v>72</v>
      </c>
      <c r="AG92" s="15">
        <f>C24</f>
        <v>4225</v>
      </c>
      <c r="AH92" t="s" s="44">
        <v>72</v>
      </c>
      <c r="AI92" s="15">
        <f>C25</f>
        <v>4063</v>
      </c>
      <c r="AJ92" t="s" s="44">
        <v>72</v>
      </c>
      <c r="AK92" s="15">
        <f>C26</f>
        <v>4464.7</v>
      </c>
      <c r="AL92" t="s" s="48">
        <f>AA$36</f>
        <v>22</v>
      </c>
      <c r="AM92" s="17"/>
      <c r="AN92" s="17"/>
      <c r="AO92" s="17"/>
      <c r="AP92" s="17"/>
      <c r="AQ92" s="17"/>
      <c r="AR92" s="17"/>
      <c r="AS92" s="17"/>
      <c r="AT92" s="17"/>
    </row>
    <row r="93" ht="56.05" customHeight="1">
      <c r="AA93" s="36"/>
      <c r="AB93" s="34"/>
      <c r="AC93" t="s" s="44">
        <v>2</v>
      </c>
      <c r="AD93" t="s" s="44">
        <f>IF(AE93&lt;0,"declined","grew")</f>
        <v>362</v>
      </c>
      <c r="AE93" s="16">
        <f>AK92/AI92-1</f>
        <v>0.098867831651489</v>
      </c>
      <c r="AF93" t="s" s="44">
        <v>73</v>
      </c>
      <c r="AG93" t="s" s="44">
        <v>74</v>
      </c>
      <c r="AH93" t="s" s="44">
        <v>75</v>
      </c>
      <c r="AI93" t="s" s="44">
        <v>76</v>
      </c>
      <c r="AJ93" s="15">
        <f>AK92</f>
        <v>4464.7</v>
      </c>
      <c r="AK93" t="s" s="48">
        <f>AL92</f>
        <v>22</v>
      </c>
      <c r="AL93" t="s" s="44">
        <v>77</v>
      </c>
      <c r="AM93" t="s" s="44">
        <f>IF(AN93&gt;0,"+","")</f>
        <v>361</v>
      </c>
      <c r="AN93" s="16">
        <f>AF79</f>
        <v>0.0234304119654094</v>
      </c>
      <c r="AO93" t="s" s="44">
        <v>78</v>
      </c>
      <c r="AP93" s="17"/>
      <c r="AQ93" s="17"/>
      <c r="AR93" s="17"/>
      <c r="AS93" s="17"/>
      <c r="AT93" s="17"/>
    </row>
    <row r="94" ht="56.05" customHeight="1">
      <c r="AA94" s="36"/>
      <c r="AB94" s="34"/>
      <c r="AC94" t="s" s="44">
        <v>79</v>
      </c>
      <c r="AD94" s="16">
        <f>AVERAGE(AD91:AG91)</f>
        <v>0.0330569527493964</v>
      </c>
      <c r="AE94" t="s" s="44">
        <v>80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56.05" customHeight="1">
      <c r="AA95" s="36"/>
      <c r="AB95" s="34"/>
      <c r="AC95" t="s" s="44">
        <v>81</v>
      </c>
      <c r="AD95" s="35">
        <f>AF38</f>
        <v>0.015</v>
      </c>
      <c r="AE95" t="s" s="44">
        <v>82</v>
      </c>
      <c r="AF95" t="s" s="44">
        <v>83</v>
      </c>
      <c r="AG95" s="23">
        <f>AF41</f>
        <v>4736.581835436</v>
      </c>
      <c r="AH95" t="s" s="48">
        <f>AL92</f>
        <v>22</v>
      </c>
      <c r="AI95" t="s" s="44">
        <v>84</v>
      </c>
      <c r="AJ95" t="s" s="44">
        <f>AG93</f>
        <v>74</v>
      </c>
      <c r="AK95" t="s" s="44">
        <f>AH93</f>
        <v>75</v>
      </c>
      <c r="AL95" t="s" s="44">
        <v>85</v>
      </c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A96" s="36"/>
      <c r="AB96" s="34"/>
      <c r="AC96" t="s" s="44">
        <v>14</v>
      </c>
      <c r="AD96" t="s" s="44">
        <f>IF(AF100&lt;AD100,"down","up")</f>
        <v>108</v>
      </c>
      <c r="AE96" t="s" s="44">
        <v>86</v>
      </c>
      <c r="AF96" t="s" s="44">
        <f>IF(AJ100&gt;AH100,"up","down")</f>
        <v>108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44.05" customHeight="1">
      <c r="AA97" s="36"/>
      <c r="AB97" s="34"/>
      <c r="AC97" t="s" s="44">
        <f>AC90</f>
        <v>70</v>
      </c>
      <c r="AD97" t="s" s="44">
        <v>88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20.05" customHeight="1">
      <c r="AA98" s="36"/>
      <c r="AB98" s="34"/>
      <c r="AC98" s="16">
        <f>(D22+E22)/C22</f>
        <v>0.0249581069415528</v>
      </c>
      <c r="AD98" s="16">
        <f>(D23+E23)/C23</f>
        <v>0.0594962362478286</v>
      </c>
      <c r="AE98" s="16">
        <f>((E24+D24)/C24)</f>
        <v>0.0594082840236686</v>
      </c>
      <c r="AF98" s="16">
        <f>(D25+E25)/C25</f>
        <v>0.00812207728279596</v>
      </c>
      <c r="AG98" s="16">
        <f>(D26+E26)/C26</f>
        <v>0.018478285215132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s="15">
        <f>E22</f>
        <v>-80.3</v>
      </c>
      <c r="AD99" t="s" s="44">
        <v>72</v>
      </c>
      <c r="AE99" s="15">
        <f>E23</f>
        <v>64.40000000000001</v>
      </c>
      <c r="AF99" t="s" s="44">
        <v>72</v>
      </c>
      <c r="AG99" s="15">
        <f>E24</f>
        <v>70</v>
      </c>
      <c r="AH99" t="s" s="44">
        <v>72</v>
      </c>
      <c r="AI99" s="15">
        <f>E25</f>
        <v>-138</v>
      </c>
      <c r="AJ99" t="s" s="44">
        <v>72</v>
      </c>
      <c r="AK99" s="15">
        <f>E26</f>
        <v>-107.7</v>
      </c>
      <c r="AL99" t="s" s="48">
        <f>AL92</f>
        <v>22</v>
      </c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89</v>
      </c>
      <c r="AD100" s="16">
        <f>AF98</f>
        <v>0.00812207728279596</v>
      </c>
      <c r="AE100" t="s" s="44">
        <v>76</v>
      </c>
      <c r="AF100" s="16">
        <f>AG98</f>
        <v>0.018478285215132</v>
      </c>
      <c r="AG100" t="s" s="44">
        <v>90</v>
      </c>
      <c r="AH100" s="15">
        <f>AI99</f>
        <v>-138</v>
      </c>
      <c r="AI100" t="s" s="44">
        <v>76</v>
      </c>
      <c r="AJ100" s="15">
        <f>AK99</f>
        <v>-107.7</v>
      </c>
      <c r="AK100" t="s" s="48">
        <f>AH95</f>
        <v>22</v>
      </c>
      <c r="AL100" t="s" s="44">
        <v>73</v>
      </c>
      <c r="AM100" t="s" s="44">
        <f>AJ95</f>
        <v>74</v>
      </c>
      <c r="AN100" t="s" s="44">
        <v>91</v>
      </c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92</v>
      </c>
      <c r="AD101" s="16">
        <f>AVERAGE(AD98:AG98)</f>
        <v>0.0363762206923563</v>
      </c>
      <c r="AE101" t="s" s="44">
        <v>78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44.05" customHeight="1">
      <c r="AA102" s="36"/>
      <c r="AB102" s="34"/>
      <c r="AC102" t="s" s="44">
        <v>93</v>
      </c>
      <c r="AD102" s="35">
        <f>AC42</f>
        <v>0.06862218813122239</v>
      </c>
      <c r="AE102" t="s" s="44">
        <v>94</v>
      </c>
      <c r="AF102" s="15">
        <f>AF55</f>
        <v>144.301276476887</v>
      </c>
      <c r="AG102" t="s" s="48">
        <f>AK100</f>
        <v>22</v>
      </c>
      <c r="AH102" t="s" s="44">
        <v>95</v>
      </c>
      <c r="AI102" t="s" s="44">
        <f>AM100</f>
        <v>74</v>
      </c>
      <c r="AJ102" t="s" s="44">
        <f>AH93</f>
        <v>75</v>
      </c>
      <c r="AK102" t="s" s="44">
        <f>AL95</f>
        <v>85</v>
      </c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t="s" s="44">
        <v>15</v>
      </c>
      <c r="AD103" t="s" s="44">
        <f>IF(AD105&gt;AC105,"more","less")</f>
        <v>360</v>
      </c>
      <c r="AE103" t="s" s="44">
        <f>IF(AF109&lt;0,"negative","positive")</f>
        <v>485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A104" s="36"/>
      <c r="AB104" s="34"/>
      <c r="AC104" s="17"/>
      <c r="AD104" s="15">
        <f>ABS(AD109)</f>
        <v>188.3</v>
      </c>
      <c r="AE104" s="15">
        <f>ABS(AF109)</f>
        <v>286</v>
      </c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A105" s="36"/>
      <c r="AB105" s="34"/>
      <c r="AC105" s="15">
        <f>ABS(AD109)</f>
        <v>188.3</v>
      </c>
      <c r="AD105" s="15">
        <f>ABS(AF109)</f>
        <v>286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f>AC97</f>
        <v>70</v>
      </c>
      <c r="AD106" t="s" s="44">
        <v>96</v>
      </c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32.05" customHeight="1">
      <c r="AA107" s="36"/>
      <c r="AB107" s="34"/>
      <c r="AC107" s="15">
        <f>J22</f>
        <v>-789.7</v>
      </c>
      <c r="AD107" t="s" s="44">
        <v>72</v>
      </c>
      <c r="AE107" s="15">
        <f>J23</f>
        <v>1004.2</v>
      </c>
      <c r="AF107" t="s" s="44">
        <v>72</v>
      </c>
      <c r="AG107" s="15">
        <f>J24</f>
        <v>310.9</v>
      </c>
      <c r="AH107" t="s" s="44">
        <v>72</v>
      </c>
      <c r="AI107" s="15">
        <f>J25</f>
        <v>67.09999999999999</v>
      </c>
      <c r="AJ107" t="s" s="44">
        <v>72</v>
      </c>
      <c r="AK107" s="15">
        <f>J26</f>
        <v>-31</v>
      </c>
      <c r="AL107" t="s" s="48">
        <f>AL92</f>
        <v>22</v>
      </c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A108" s="36"/>
      <c r="AB108" s="34"/>
      <c r="AC108" s="15">
        <f>K22</f>
        <v>-66.90000000000001</v>
      </c>
      <c r="AD108" t="s" s="44">
        <v>72</v>
      </c>
      <c r="AE108" s="15">
        <f>K23</f>
        <v>-141.1</v>
      </c>
      <c r="AF108" t="s" s="44">
        <v>72</v>
      </c>
      <c r="AG108" s="15">
        <f>K24</f>
        <v>-73.59999999999999</v>
      </c>
      <c r="AH108" t="s" s="44">
        <v>72</v>
      </c>
      <c r="AI108" s="15">
        <f>K25</f>
        <v>-255.4</v>
      </c>
      <c r="AJ108" t="s" s="44">
        <v>72</v>
      </c>
      <c r="AK108" s="15">
        <f>K26</f>
        <v>-255</v>
      </c>
      <c r="AL108" t="s" s="48">
        <f>AL107</f>
        <v>22</v>
      </c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v>97</v>
      </c>
      <c r="AD109" s="15">
        <f>AI107+AI108</f>
        <v>-188.3</v>
      </c>
      <c r="AE109" t="s" s="44">
        <v>76</v>
      </c>
      <c r="AF109" s="15">
        <f>AK107+AK108</f>
        <v>-286</v>
      </c>
      <c r="AG109" t="s" s="48">
        <f>AG102</f>
        <v>22</v>
      </c>
      <c r="AH109" t="s" s="44">
        <v>84</v>
      </c>
      <c r="AI109" t="s" s="44">
        <f>AI102</f>
        <v>74</v>
      </c>
      <c r="AJ109" t="s" s="44">
        <v>98</v>
      </c>
      <c r="AK109" s="15">
        <f>AK108</f>
        <v>-255</v>
      </c>
      <c r="AL109" t="s" s="48">
        <f>AL92</f>
        <v>22</v>
      </c>
      <c r="AM109" t="s" s="44">
        <v>99</v>
      </c>
      <c r="AN109" s="17"/>
      <c r="AO109" s="17"/>
      <c r="AP109" s="17"/>
      <c r="AQ109" s="17"/>
      <c r="AR109" s="17"/>
      <c r="AS109" s="17"/>
      <c r="AT109" s="17"/>
    </row>
    <row r="110" ht="56.05" customHeight="1">
      <c r="AA110" s="36"/>
      <c r="AB110" s="34"/>
      <c r="AC110" t="s" s="44">
        <v>100</v>
      </c>
      <c r="AD110" s="15">
        <f>(AE107+AE108+AG107+AG108+AI107+AI108+AK107+AK108)/4</f>
        <v>156.525</v>
      </c>
      <c r="AE110" t="s" s="48">
        <f>AL92</f>
        <v>22</v>
      </c>
      <c r="AF110" t="s" s="44">
        <v>78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101</v>
      </c>
      <c r="AD111" s="15">
        <f>AC43</f>
        <v>-181.275</v>
      </c>
      <c r="AE111" t="s" s="48">
        <f>AE110</f>
        <v>22</v>
      </c>
      <c r="AF111" t="s" s="44">
        <v>102</v>
      </c>
      <c r="AG111" t="s" s="44">
        <v>103</v>
      </c>
      <c r="AH111" t="s" s="44">
        <f>IF(AG95&gt;AJ93,"higher","lower")</f>
        <v>363</v>
      </c>
      <c r="AI111" t="s" s="44">
        <v>105</v>
      </c>
      <c r="AJ111" s="15">
        <f>SUM(AC44:AF44)/4</f>
        <v>139.011245958502</v>
      </c>
      <c r="AK111" t="s" s="48">
        <f>AE111</f>
        <v>22</v>
      </c>
      <c r="AL111" t="s" s="44">
        <v>106</v>
      </c>
      <c r="AM111" t="s" s="44">
        <v>107</v>
      </c>
      <c r="AN111" s="17"/>
      <c r="AO111" s="17"/>
      <c r="AP111" s="17"/>
      <c r="AQ111" s="17"/>
      <c r="AR111" s="17"/>
      <c r="AS111" s="17"/>
      <c r="AT111" s="17"/>
    </row>
    <row r="112" ht="20.05" customHeight="1">
      <c r="AA112" s="36"/>
      <c r="AB112" s="34"/>
      <c r="AC112" t="s" s="44">
        <v>18</v>
      </c>
      <c r="AD112" t="s" s="44">
        <f>AK117</f>
        <v>87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32.05" customHeight="1">
      <c r="AA113" s="36"/>
      <c r="AB113" s="34"/>
      <c r="AC113" t="s" s="44">
        <f>AC90</f>
        <v>70</v>
      </c>
      <c r="AD113" t="s" s="44">
        <v>109</v>
      </c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F22</f>
        <v>816</v>
      </c>
      <c r="AD114" t="s" s="44">
        <v>72</v>
      </c>
      <c r="AE114" s="15">
        <f>F23</f>
        <v>839</v>
      </c>
      <c r="AF114" t="s" s="44">
        <v>72</v>
      </c>
      <c r="AG114" s="15">
        <f>F24</f>
        <v>1005</v>
      </c>
      <c r="AH114" t="s" s="44">
        <v>72</v>
      </c>
      <c r="AI114" s="15">
        <f>F25</f>
        <v>964</v>
      </c>
      <c r="AJ114" t="s" s="44">
        <v>72</v>
      </c>
      <c r="AK114" s="15">
        <f>F26</f>
        <v>654</v>
      </c>
      <c r="AL114" t="s" s="48">
        <f>AL92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32.05" customHeight="1">
      <c r="AA115" s="36"/>
      <c r="AB115" s="34"/>
      <c r="AC115" s="15">
        <f>G22</f>
        <v>12269</v>
      </c>
      <c r="AD115" t="s" s="44">
        <v>72</v>
      </c>
      <c r="AE115" s="15">
        <f>G23</f>
        <v>11481</v>
      </c>
      <c r="AF115" t="s" s="44">
        <v>72</v>
      </c>
      <c r="AG115" s="15">
        <f>G24</f>
        <v>11869</v>
      </c>
      <c r="AH115" t="s" s="44">
        <v>72</v>
      </c>
      <c r="AI115" s="15">
        <f>G25</f>
        <v>12340</v>
      </c>
      <c r="AJ115" t="s" s="44">
        <v>72</v>
      </c>
      <c r="AK115" s="15">
        <f>G26</f>
        <v>12693</v>
      </c>
      <c r="AL115" t="s" s="48">
        <f>AL114</f>
        <v>22</v>
      </c>
      <c r="AM115" s="17"/>
      <c r="AN115" s="17"/>
      <c r="AO115" s="17"/>
      <c r="AP115" s="17"/>
      <c r="AQ115" s="17"/>
      <c r="AR115" s="17"/>
      <c r="AS115" s="17"/>
      <c r="AT115" s="17"/>
    </row>
    <row r="116" ht="32.05" customHeight="1">
      <c r="AA116" s="36"/>
      <c r="AB116" s="34"/>
      <c r="AC116" t="s" s="44">
        <v>110</v>
      </c>
      <c r="AD116" t="s" s="44">
        <f>IF(AG116&lt;AE116,"declined","increased")</f>
        <v>370</v>
      </c>
      <c r="AE116" s="15">
        <f>AI114</f>
        <v>964</v>
      </c>
      <c r="AF116" t="s" s="44">
        <v>76</v>
      </c>
      <c r="AG116" s="15">
        <f>AK114</f>
        <v>654</v>
      </c>
      <c r="AH116" t="s" s="48">
        <f>AK111</f>
        <v>22</v>
      </c>
      <c r="AI116" t="s" s="44">
        <v>84</v>
      </c>
      <c r="AJ116" t="s" s="44">
        <f>AG93</f>
        <v>74</v>
      </c>
      <c r="AK116" t="s" s="44">
        <f>AN100</f>
        <v>91</v>
      </c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32.05" customHeight="1">
      <c r="AA117" s="36"/>
      <c r="AB117" s="34"/>
      <c r="AC117" t="s" s="44">
        <v>112</v>
      </c>
      <c r="AD117" t="s" s="44">
        <f>IF(AG117&lt;AE117,"declined","increased")</f>
        <v>111</v>
      </c>
      <c r="AE117" s="15">
        <f>AI115</f>
        <v>12340</v>
      </c>
      <c r="AF117" t="s" s="44">
        <v>76</v>
      </c>
      <c r="AG117" s="15">
        <f>AK115</f>
        <v>12693</v>
      </c>
      <c r="AH117" t="s" s="48">
        <f>AH116</f>
        <v>22</v>
      </c>
      <c r="AI117" t="s" s="44">
        <v>113</v>
      </c>
      <c r="AJ117" t="s" s="44">
        <v>114</v>
      </c>
      <c r="AK117" t="s" s="44">
        <f>IF(AN117&lt;AL117,"down","up")</f>
        <v>87</v>
      </c>
      <c r="AL117" s="15">
        <f>AE116-AE117</f>
        <v>-11376</v>
      </c>
      <c r="AM117" t="s" s="44">
        <v>76</v>
      </c>
      <c r="AN117" s="15">
        <f>AG116-AG117</f>
        <v>-12039</v>
      </c>
      <c r="AO117" t="s" s="48">
        <f>AH117</f>
        <v>22</v>
      </c>
      <c r="AP117" t="s" s="44">
        <v>115</v>
      </c>
      <c r="AQ117" s="17"/>
      <c r="AR117" s="17"/>
      <c r="AS117" s="17"/>
      <c r="AT117" s="17"/>
    </row>
    <row r="118" ht="56.05" customHeight="1">
      <c r="AA118" s="36"/>
      <c r="AB118" s="34"/>
      <c r="AC118" t="s" s="44">
        <v>116</v>
      </c>
      <c r="AD118" s="15">
        <f>SUM(AC47:AF47)</f>
        <v>0</v>
      </c>
      <c r="AE118" t="s" s="48">
        <f>AH117</f>
        <v>22</v>
      </c>
      <c r="AF118" t="s" s="44">
        <v>117</v>
      </c>
      <c r="AG118" t="s" s="44">
        <f>IF(AH118&gt;0,"+","")</f>
      </c>
      <c r="AH118" s="15">
        <f>AC45+AD45+AE45+AF45+AC49+AD49+AE49+AF49</f>
        <v>-556.044983834007</v>
      </c>
      <c r="AI118" t="s" s="48">
        <f>AO117</f>
        <v>22</v>
      </c>
      <c r="AJ118" t="s" s="44">
        <v>118</v>
      </c>
      <c r="AK118" t="s" s="44">
        <v>119</v>
      </c>
      <c r="AL118" s="15">
        <f>AF64</f>
        <v>-11482.955016166</v>
      </c>
      <c r="AM118" t="s" s="48">
        <f>AH117</f>
        <v>22</v>
      </c>
      <c r="AN118" t="s" s="44">
        <v>120</v>
      </c>
      <c r="AO118" s="17"/>
      <c r="AP118" s="17"/>
      <c r="AQ118" s="17"/>
      <c r="AR118" s="17"/>
      <c r="AS118" s="17"/>
      <c r="AT118" s="17"/>
    </row>
    <row r="119" ht="20.05" customHeight="1">
      <c r="AA119" s="36"/>
      <c r="AB119" s="34"/>
      <c r="AC119" t="s" s="44">
        <v>17</v>
      </c>
      <c r="AD119" t="s" s="44">
        <f>AD123</f>
        <v>374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68.05" customHeight="1">
      <c r="AA120" s="36"/>
      <c r="AB120" s="34"/>
      <c r="AC120" t="s" s="44">
        <f>AC90</f>
        <v>70</v>
      </c>
      <c r="AD120" t="s" s="44">
        <v>122</v>
      </c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-L22</f>
        <v>-275.9</v>
      </c>
      <c r="AD121" t="s" s="44">
        <v>72</v>
      </c>
      <c r="AE121" s="15">
        <f>-L23</f>
        <v>808.4</v>
      </c>
      <c r="AF121" t="s" s="44">
        <v>72</v>
      </c>
      <c r="AG121" s="15">
        <f>-L24</f>
        <v>71</v>
      </c>
      <c r="AH121" t="s" s="44">
        <v>72</v>
      </c>
      <c r="AI121" s="15">
        <f>-L25</f>
        <v>-146</v>
      </c>
      <c r="AJ121" t="s" s="44">
        <v>72</v>
      </c>
      <c r="AK121" s="15">
        <f>-L26</f>
        <v>26</v>
      </c>
      <c r="AL121" t="s" s="48">
        <f>AL92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s="15">
        <f>-M22</f>
        <v>31.5</v>
      </c>
      <c r="AD122" t="s" s="44">
        <v>72</v>
      </c>
      <c r="AE122" s="15">
        <f>-M23</f>
        <v>3.2</v>
      </c>
      <c r="AF122" t="s" s="44">
        <v>72</v>
      </c>
      <c r="AG122" s="15">
        <f>-M24</f>
        <v>0</v>
      </c>
      <c r="AH122" t="s" s="44">
        <v>72</v>
      </c>
      <c r="AI122" s="15">
        <f>-M25</f>
        <v>0</v>
      </c>
      <c r="AJ122" t="s" s="44">
        <v>72</v>
      </c>
      <c r="AK122" s="15">
        <f>-M26</f>
        <v>0</v>
      </c>
      <c r="AL122" t="s" s="48">
        <f>AL121</f>
        <v>22</v>
      </c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f>AC81</f>
        <v>595</v>
      </c>
      <c r="AD123" t="s" s="44">
        <f>IF(AE123&gt;0,"paid","(raised)")</f>
        <v>374</v>
      </c>
      <c r="AE123" s="15">
        <f>SUM(AK121:AK122)</f>
        <v>26</v>
      </c>
      <c r="AF123" t="s" s="48">
        <f>AL92</f>
        <v>22</v>
      </c>
      <c r="AG123" t="s" s="44">
        <f>AF93</f>
        <v>73</v>
      </c>
      <c r="AH123" t="s" s="44">
        <f>AG93</f>
        <v>74</v>
      </c>
      <c r="AI123" t="s" s="44">
        <f>AH93</f>
        <v>75</v>
      </c>
      <c r="AJ123" s="15">
        <f>AK121</f>
        <v>26</v>
      </c>
      <c r="AK123" t="s" s="48">
        <f>AL92</f>
        <v>22</v>
      </c>
      <c r="AL123" t="s" s="44">
        <v>123</v>
      </c>
      <c r="AM123" s="15">
        <f>AK122</f>
        <v>0</v>
      </c>
      <c r="AN123" t="s" s="48">
        <f>AL92</f>
        <v>22</v>
      </c>
      <c r="AO123" t="s" s="44">
        <v>124</v>
      </c>
      <c r="AP123" t="s" s="44">
        <v>125</v>
      </c>
      <c r="AQ123" t="s" s="44">
        <f>IF(AR123&gt;0,"pay","raise")</f>
        <v>364</v>
      </c>
      <c r="AR123" s="15">
        <f>-SUM(AC65:AF65)</f>
        <v>556.044983834007</v>
      </c>
      <c r="AS123" t="s" s="48">
        <f>AL92</f>
        <v>22</v>
      </c>
      <c r="AT123" t="s" s="44">
        <v>126</v>
      </c>
    </row>
    <row r="124" ht="56.05" customHeight="1">
      <c r="AA124" s="36"/>
      <c r="AB124" s="34"/>
      <c r="AC124" t="s" s="44">
        <v>127</v>
      </c>
      <c r="AD124" s="15">
        <f>AF68</f>
        <v>1916.4255616</v>
      </c>
      <c r="AE124" t="s" s="48">
        <f>AL92</f>
        <v>22</v>
      </c>
      <c r="AF124" t="s" s="44">
        <v>128</v>
      </c>
      <c r="AG124" t="s" s="44">
        <v>129</v>
      </c>
      <c r="AH124" s="43">
        <f>AF70</f>
        <v>0.097925868197341</v>
      </c>
      <c r="AI124" t="s" s="44">
        <v>130</v>
      </c>
      <c r="AJ124" t="s" s="44">
        <v>131</v>
      </c>
      <c r="AK124" t="s" s="44">
        <v>132</v>
      </c>
      <c r="AL124" s="15">
        <f>AF73</f>
        <v>34.0191301362654</v>
      </c>
      <c r="AM124" t="s" s="44">
        <v>133</v>
      </c>
      <c r="AN124" s="16">
        <f>-AD118/AD124</f>
        <v>0</v>
      </c>
      <c r="AO124" t="s" s="44">
        <v>134</v>
      </c>
      <c r="AP124" s="17"/>
      <c r="AQ124" s="17"/>
      <c r="AR124" s="17"/>
      <c r="AS124" s="17"/>
      <c r="AT124" s="17"/>
    </row>
    <row r="125" ht="56.05" customHeight="1">
      <c r="AA125" s="36"/>
      <c r="AB125" s="34"/>
      <c r="AC125" t="s" s="44">
        <v>135</v>
      </c>
      <c r="AD125" s="15">
        <f>AF72</f>
        <v>556.044983834007</v>
      </c>
      <c r="AE125" t="s" s="48">
        <f>AE124</f>
        <v>22</v>
      </c>
      <c r="AF125" t="s" s="44">
        <v>136</v>
      </c>
      <c r="AG125" s="15">
        <f>AD124/AD125</f>
        <v>3.44652971848785</v>
      </c>
      <c r="AH125" t="s" s="44">
        <v>130</v>
      </c>
      <c r="AI125" t="s" s="44">
        <v>137</v>
      </c>
      <c r="AJ125" t="s" s="44">
        <v>138</v>
      </c>
      <c r="AK125" s="15">
        <f>AF74</f>
        <v>6</v>
      </c>
      <c r="AL125" t="s" s="44">
        <v>139</v>
      </c>
      <c r="AM125" t="s" s="44">
        <v>140</v>
      </c>
      <c r="AN125" t="s" s="44">
        <v>141</v>
      </c>
      <c r="AO125" s="16">
        <f>AH82</f>
        <v>0.740881550451993</v>
      </c>
      <c r="AP125" t="s" s="44">
        <f>IF(AO125&gt;0,"higher","lower")</f>
        <v>363</v>
      </c>
      <c r="AQ125" t="s" s="44">
        <v>142</v>
      </c>
      <c r="AR125" s="15">
        <f>AF82</f>
        <v>957.484852748596</v>
      </c>
      <c r="AS125" t="s" s="44">
        <v>143</v>
      </c>
      <c r="AT125" s="17"/>
    </row>
    <row r="126" ht="20.05" customHeight="1">
      <c r="AA126" s="36"/>
      <c r="AB126" s="34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A127" t="s" s="33">
        <v>28</v>
      </c>
      <c r="AB127" s="14">
        <f>AC92</f>
        <v>3938.6</v>
      </c>
      <c r="AC127" s="15">
        <f>AE92</f>
        <v>4144.8</v>
      </c>
      <c r="AD127" s="15">
        <f>AG92</f>
        <v>4225</v>
      </c>
      <c r="AE127" s="15">
        <f>AI92</f>
        <v>4063</v>
      </c>
      <c r="AF127" s="15">
        <f>AK92</f>
        <v>4464.7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20.05" customHeight="1">
      <c r="AA128" t="s" s="33">
        <v>144</v>
      </c>
      <c r="AB128" s="14">
        <f>SUM(AC107:AC108)</f>
        <v>-856.6</v>
      </c>
      <c r="AC128" s="15">
        <f>SUM(AE107:AE108)</f>
        <v>863.1</v>
      </c>
      <c r="AD128" s="15">
        <f>SUM(AG107:AG108)</f>
        <v>237.3</v>
      </c>
      <c r="AE128" s="15">
        <f>SUM(AI107:AI108)</f>
        <v>-188.3</v>
      </c>
      <c r="AF128" s="15">
        <f>SUM(AK107:AK108)</f>
        <v>-286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20.05" customHeight="1">
      <c r="AA129" t="s" s="33">
        <v>145</v>
      </c>
      <c r="AB129" s="14">
        <f>SUM(AC121:AC122)</f>
        <v>-244.4</v>
      </c>
      <c r="AC129" s="15">
        <f>SUM(AE121:AE122)</f>
        <v>811.6</v>
      </c>
      <c r="AD129" s="15">
        <f>SUM(AG121:AG122)</f>
        <v>71</v>
      </c>
      <c r="AE129" s="15">
        <f>SUM(AI121:AI122)</f>
        <v>-146</v>
      </c>
      <c r="AF129" s="15">
        <f>SUM(AK121:AK122)</f>
        <v>26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20.05" customHeight="1">
      <c r="AA130" t="s" s="33">
        <v>146</v>
      </c>
      <c r="AB130" s="14">
        <f>(AC114-AC115)</f>
        <v>-11453</v>
      </c>
      <c r="AC130" s="15">
        <f>(AE114-AE115)</f>
        <v>-10642</v>
      </c>
      <c r="AD130" s="15">
        <f>(AG114-AG115)</f>
        <v>-10864</v>
      </c>
      <c r="AE130" s="15">
        <f>(AI114-AI115)</f>
        <v>-11376</v>
      </c>
      <c r="AF130" s="15">
        <f>(AK114-AK115)</f>
        <v>-12039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s="17"/>
      <c r="AD131" s="17"/>
      <c r="AE131" s="17"/>
      <c r="AF131" s="15">
        <f>AR125</f>
        <v>957.484852748596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20.05" customHeight="1">
      <c r="AA132" s="36"/>
      <c r="AB132" s="34"/>
      <c r="AC132" s="17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A133" s="36"/>
      <c r="AB133" s="34"/>
      <c r="AC133" s="17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20.05" customHeight="1">
      <c r="AA134" s="36"/>
      <c r="AB134" s="34"/>
      <c r="AC134" s="17"/>
      <c r="AD134" s="17"/>
      <c r="AE134" s="17"/>
      <c r="AF134" s="17"/>
      <c r="AG134" s="15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20.05" customHeight="1">
      <c r="AA135" s="36"/>
      <c r="AB135" s="34"/>
      <c r="AC135" s="17"/>
      <c r="AD135" s="17"/>
      <c r="AE135" s="17"/>
      <c r="AF135" s="17"/>
      <c r="AG135" s="15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20.05" customHeight="1">
      <c r="AA136" s="36"/>
      <c r="AB136" s="34"/>
      <c r="AC136" s="17"/>
      <c r="AD136" s="17"/>
      <c r="AE136" s="17"/>
      <c r="AF136" s="17"/>
      <c r="AG136" s="15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20.05" customHeight="1">
      <c r="AA137" s="36"/>
      <c r="AB137" s="34"/>
      <c r="AC137" s="17"/>
      <c r="AD137" s="17"/>
      <c r="AE137" s="17"/>
      <c r="AF137" s="17"/>
      <c r="AG137" s="15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s="36"/>
      <c r="AB138" s="34"/>
      <c r="AC138" s="17"/>
      <c r="AD138" s="17"/>
      <c r="AE138" s="17"/>
      <c r="AF138" s="17"/>
      <c r="AG138" s="15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</sheetData>
  <mergeCells count="2">
    <mergeCell ref="B2:Z2"/>
    <mergeCell ref="AA35:AT3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2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37" customWidth="1"/>
    <col min="2" max="28" width="10.4844" style="237" customWidth="1"/>
    <col min="29" max="29" width="18.9766" style="238" customWidth="1"/>
    <col min="30" max="48" width="9" style="238" customWidth="1"/>
    <col min="49" max="16384" width="16.3516" style="238" customWidth="1"/>
  </cols>
  <sheetData>
    <row r="1" ht="11.65" customHeight="1"/>
    <row r="2" ht="27.65" customHeight="1">
      <c r="B2" t="s" s="2">
        <v>596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597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2157</v>
      </c>
      <c r="D8" s="15">
        <v>43.9</v>
      </c>
      <c r="E8" s="15">
        <v>160.5</v>
      </c>
      <c r="F8" s="15"/>
      <c r="G8" s="15"/>
      <c r="H8" s="15"/>
      <c r="I8" s="15">
        <v>1992.4</v>
      </c>
      <c r="J8" s="15">
        <v>317.8</v>
      </c>
      <c r="K8" s="15">
        <v>-178.6</v>
      </c>
      <c r="L8" s="15">
        <v>-32.4</v>
      </c>
      <c r="M8" s="15">
        <v>-127</v>
      </c>
      <c r="N8" s="15">
        <f>SUM(C5:C8)/4</f>
        <v>539.25</v>
      </c>
      <c r="O8" s="15"/>
      <c r="P8" s="16"/>
      <c r="Q8" s="16"/>
      <c r="R8" s="16"/>
      <c r="S8" s="17"/>
      <c r="T8" s="15">
        <f>SUM(J5:K8)/4</f>
        <v>34.8</v>
      </c>
      <c r="U8" s="25"/>
      <c r="V8" s="15">
        <f>-(L8+M8)+V7</f>
        <v>159.4</v>
      </c>
      <c r="W8" s="17"/>
      <c r="X8" s="15">
        <f>F8-G8</f>
        <v>0</v>
      </c>
      <c r="Y8" s="24"/>
      <c r="Z8" s="24"/>
      <c r="AA8" s="22"/>
      <c r="AB8" s="20">
        <v>13.761</v>
      </c>
    </row>
    <row r="9" ht="20.05" customHeight="1">
      <c r="B9" s="13"/>
      <c r="C9" s="14">
        <v>1870.3</v>
      </c>
      <c r="D9" s="15">
        <v>45.7</v>
      </c>
      <c r="E9" s="15">
        <v>75.40000000000001</v>
      </c>
      <c r="F9" s="15"/>
      <c r="G9" s="15"/>
      <c r="H9" s="15"/>
      <c r="I9" s="15">
        <v>1939.4</v>
      </c>
      <c r="J9" s="15">
        <v>42.5</v>
      </c>
      <c r="K9" s="15">
        <v>-208.7</v>
      </c>
      <c r="L9" s="15">
        <v>238.3</v>
      </c>
      <c r="M9" s="15">
        <v>0</v>
      </c>
      <c r="N9" s="15">
        <f>SUM(C6:C9)/4</f>
        <v>1006.825</v>
      </c>
      <c r="O9" s="15"/>
      <c r="P9" s="16"/>
      <c r="Q9" s="16"/>
      <c r="R9" s="16"/>
      <c r="S9" s="17"/>
      <c r="T9" s="15">
        <f>SUM(J6:K9)/4</f>
        <v>-6.75</v>
      </c>
      <c r="U9" s="25"/>
      <c r="V9" s="15">
        <f>-(L9+M9)+V8</f>
        <v>-78.90000000000001</v>
      </c>
      <c r="W9" s="17"/>
      <c r="X9" s="15">
        <f>F13-G9</f>
        <v>522</v>
      </c>
      <c r="Y9" s="24"/>
      <c r="Z9" s="24"/>
      <c r="AA9" s="22"/>
      <c r="AB9" s="20">
        <v>14</v>
      </c>
    </row>
    <row r="10" ht="20.05" customHeight="1">
      <c r="B10" s="13"/>
      <c r="C10" s="14">
        <v>1973.9</v>
      </c>
      <c r="D10" s="15">
        <v>48.5</v>
      </c>
      <c r="E10" s="15">
        <v>119</v>
      </c>
      <c r="F10" s="15"/>
      <c r="G10" s="15"/>
      <c r="H10" s="15"/>
      <c r="I10" s="15">
        <v>2121.3</v>
      </c>
      <c r="J10" s="15">
        <v>154.1</v>
      </c>
      <c r="K10" s="15">
        <v>-122</v>
      </c>
      <c r="L10" s="15">
        <v>-75.2</v>
      </c>
      <c r="M10" s="15">
        <v>-6.1</v>
      </c>
      <c r="N10" s="15">
        <f>SUM(C7:C10)/4</f>
        <v>1500.3</v>
      </c>
      <c r="O10" s="15"/>
      <c r="P10" s="16"/>
      <c r="Q10" s="16"/>
      <c r="R10" s="16"/>
      <c r="S10" s="17"/>
      <c r="T10" s="15">
        <f>SUM(J7:K10)/4</f>
        <v>1.275</v>
      </c>
      <c r="U10" s="25"/>
      <c r="V10" s="15">
        <f>-(L10+M10)+V9</f>
        <v>2.4</v>
      </c>
      <c r="W10" s="17"/>
      <c r="X10" s="15">
        <f>F10-G10</f>
        <v>0</v>
      </c>
      <c r="Y10" s="24"/>
      <c r="Z10" s="24">
        <v>1284</v>
      </c>
      <c r="AA10" s="22"/>
      <c r="AB10" s="20">
        <v>14.902</v>
      </c>
    </row>
    <row r="11" ht="20.05" customHeight="1">
      <c r="B11" s="13"/>
      <c r="C11" s="14">
        <v>2047.7</v>
      </c>
      <c r="D11" s="15">
        <v>51.9</v>
      </c>
      <c r="E11" s="15">
        <v>70.59999999999999</v>
      </c>
      <c r="F11" s="15"/>
      <c r="G11" s="15"/>
      <c r="H11" s="15"/>
      <c r="I11" s="15">
        <v>2594.1</v>
      </c>
      <c r="J11" s="15">
        <v>123.7</v>
      </c>
      <c r="K11" s="15">
        <v>-212.4</v>
      </c>
      <c r="L11" s="15">
        <v>185.6</v>
      </c>
      <c r="M11" s="15">
        <v>-12.7</v>
      </c>
      <c r="N11" s="15">
        <f>SUM(C8:C11)/4</f>
        <v>2012.225</v>
      </c>
      <c r="O11" s="15"/>
      <c r="P11" s="16"/>
      <c r="Q11" s="16"/>
      <c r="R11" s="16"/>
      <c r="S11" s="17"/>
      <c r="T11" s="15">
        <f>SUM(J8:K11)/4</f>
        <v>-20.9</v>
      </c>
      <c r="U11" s="25"/>
      <c r="V11" s="15">
        <f>-(L11+M11)+V10</f>
        <v>-170.5</v>
      </c>
      <c r="W11" s="17"/>
      <c r="X11" s="15">
        <f>F11-G11</f>
        <v>0</v>
      </c>
      <c r="Y11" s="24"/>
      <c r="Z11" s="24">
        <v>375</v>
      </c>
      <c r="AA11" s="22"/>
      <c r="AB11" s="20">
        <v>14.38</v>
      </c>
    </row>
    <row r="12" ht="20.05" customHeight="1">
      <c r="B12" s="21">
        <v>2019</v>
      </c>
      <c r="C12" s="14">
        <v>2284.3</v>
      </c>
      <c r="D12" s="15">
        <v>54.5</v>
      </c>
      <c r="E12" s="15">
        <v>130.8</v>
      </c>
      <c r="F12" s="15">
        <v>291</v>
      </c>
      <c r="G12" s="15">
        <v>2012</v>
      </c>
      <c r="H12" s="15">
        <v>4620</v>
      </c>
      <c r="I12" s="15">
        <v>2048.7</v>
      </c>
      <c r="J12" s="15">
        <v>75.90000000000001</v>
      </c>
      <c r="K12" s="15">
        <v>-190.3</v>
      </c>
      <c r="L12" s="15">
        <v>187.3</v>
      </c>
      <c r="M12" s="15">
        <v>0</v>
      </c>
      <c r="N12" s="15">
        <f>SUM(C9:C12)/4</f>
        <v>2044.05</v>
      </c>
      <c r="O12" s="23"/>
      <c r="P12" s="16"/>
      <c r="Q12" s="16">
        <f>(E12+D12)/C12</f>
        <v>0.0811189423455763</v>
      </c>
      <c r="R12" s="16">
        <f>AVERAGE(Q9:Q12)</f>
        <v>0.0811189423455763</v>
      </c>
      <c r="S12" s="17"/>
      <c r="T12" s="15">
        <f>SUM(J9:K12)/4</f>
        <v>-84.3</v>
      </c>
      <c r="U12" s="25"/>
      <c r="V12" s="15">
        <f>-(L12+M12)+V11</f>
        <v>-357.8</v>
      </c>
      <c r="W12" s="17"/>
      <c r="X12" s="15">
        <f>F12-G12</f>
        <v>-1721</v>
      </c>
      <c r="Y12" s="24"/>
      <c r="Z12" s="24">
        <v>359</v>
      </c>
      <c r="AA12" s="22"/>
      <c r="AB12" s="20">
        <v>14.24</v>
      </c>
    </row>
    <row r="13" ht="20.05" customHeight="1">
      <c r="B13" s="13"/>
      <c r="C13" s="14">
        <v>1987.5</v>
      </c>
      <c r="D13" s="15">
        <v>55</v>
      </c>
      <c r="E13" s="15">
        <v>98.3</v>
      </c>
      <c r="F13" s="15">
        <v>522</v>
      </c>
      <c r="G13" s="15">
        <v>2311</v>
      </c>
      <c r="H13" s="15">
        <v>4889</v>
      </c>
      <c r="I13" s="15">
        <v>2117.9</v>
      </c>
      <c r="J13" s="15">
        <v>172.6</v>
      </c>
      <c r="K13" s="15">
        <v>-262.1</v>
      </c>
      <c r="L13" s="15">
        <v>446.8</v>
      </c>
      <c r="M13" s="15">
        <v>-125.5</v>
      </c>
      <c r="N13" s="15">
        <f>SUM(C10:C13)/4</f>
        <v>2073.35</v>
      </c>
      <c r="O13" s="23"/>
      <c r="P13" s="16">
        <f>C13/C12-1</f>
        <v>-0.129930394431555</v>
      </c>
      <c r="Q13" s="16">
        <f>(E13+D13)/C13</f>
        <v>0.07713207547169811</v>
      </c>
      <c r="R13" s="16">
        <f>AVERAGE(Q10:Q13)</f>
        <v>0.0791255089086372</v>
      </c>
      <c r="S13" s="17"/>
      <c r="T13" s="15">
        <f>SUM(J10:K13)/4</f>
        <v>-65.125</v>
      </c>
      <c r="U13" s="25"/>
      <c r="V13" s="15">
        <f>-(L13+M13)+V12</f>
        <v>-679.1</v>
      </c>
      <c r="W13" s="17"/>
      <c r="X13" s="15">
        <f>F13-G13</f>
        <v>-1789</v>
      </c>
      <c r="Y13" s="24"/>
      <c r="Z13" s="24">
        <v>319</v>
      </c>
      <c r="AA13" s="24"/>
      <c r="AB13" s="15">
        <v>14.127</v>
      </c>
    </row>
    <row r="14" ht="20.05" customHeight="1">
      <c r="B14" s="13"/>
      <c r="C14" s="14">
        <v>2072.2</v>
      </c>
      <c r="D14" s="15">
        <v>57.8</v>
      </c>
      <c r="E14" s="15">
        <v>83.8</v>
      </c>
      <c r="F14" s="15">
        <v>507</v>
      </c>
      <c r="G14" s="15">
        <v>2286</v>
      </c>
      <c r="H14" s="15">
        <v>4943</v>
      </c>
      <c r="I14" s="15">
        <v>2150.1</v>
      </c>
      <c r="J14" s="15">
        <v>67.90000000000001</v>
      </c>
      <c r="K14" s="15">
        <v>-115.1</v>
      </c>
      <c r="L14" s="15">
        <v>39.2</v>
      </c>
      <c r="M14" s="15">
        <v>-6.9</v>
      </c>
      <c r="N14" s="15">
        <f>SUM(C11:C14)/4</f>
        <v>2097.925</v>
      </c>
      <c r="O14" s="23"/>
      <c r="P14" s="16">
        <f>C14/C13-1</f>
        <v>0.0426163522012579</v>
      </c>
      <c r="Q14" s="16">
        <f>(E14+D14)/C14</f>
        <v>0.0683331724736994</v>
      </c>
      <c r="R14" s="16">
        <f>AVERAGE(Q11:Q14)</f>
        <v>0.0755280634303246</v>
      </c>
      <c r="S14" s="17"/>
      <c r="T14" s="15">
        <f>SUM(J11:K14)/4</f>
        <v>-84.95</v>
      </c>
      <c r="U14" s="25"/>
      <c r="V14" s="15">
        <f>-(L14+M14)+V13</f>
        <v>-711.4</v>
      </c>
      <c r="W14" s="17"/>
      <c r="X14" s="15">
        <f>F14-G14</f>
        <v>-1779</v>
      </c>
      <c r="Y14" s="24"/>
      <c r="Z14" s="24">
        <v>325</v>
      </c>
      <c r="AA14" s="24"/>
      <c r="AB14" s="15">
        <v>14.195</v>
      </c>
    </row>
    <row r="15" ht="20.05" customHeight="1">
      <c r="B15" s="13"/>
      <c r="C15" s="14">
        <v>2094.6</v>
      </c>
      <c r="D15" s="15">
        <v>61.8</v>
      </c>
      <c r="E15" s="15">
        <v>122.9</v>
      </c>
      <c r="F15" s="15">
        <v>485</v>
      </c>
      <c r="G15" s="15">
        <v>2298</v>
      </c>
      <c r="H15" s="15">
        <v>5063</v>
      </c>
      <c r="I15" s="15">
        <v>2723</v>
      </c>
      <c r="J15" s="15">
        <v>135.3</v>
      </c>
      <c r="K15" s="15">
        <v>-132.5</v>
      </c>
      <c r="L15" s="15">
        <v>-25.1</v>
      </c>
      <c r="M15" s="15">
        <v>0</v>
      </c>
      <c r="N15" s="15">
        <f>SUM(C12:C15)/4</f>
        <v>2109.65</v>
      </c>
      <c r="O15" s="15"/>
      <c r="P15" s="16">
        <f>C15/C14-1</f>
        <v>0.0108097673969694</v>
      </c>
      <c r="Q15" s="16">
        <f>(E15+D15)/C15</f>
        <v>0.0881791272796715</v>
      </c>
      <c r="R15" s="16">
        <f>AVERAGE(Q12:Q15)</f>
        <v>0.0786908293926613</v>
      </c>
      <c r="S15" s="17"/>
      <c r="T15" s="15">
        <f>SUM(J12:K15)/4</f>
        <v>-62.075</v>
      </c>
      <c r="U15" s="25"/>
      <c r="V15" s="15">
        <f>-(L15+M15)+V14</f>
        <v>-686.3</v>
      </c>
      <c r="W15" s="17"/>
      <c r="X15" s="15">
        <f>F15-G15</f>
        <v>-1813</v>
      </c>
      <c r="Y15" s="24"/>
      <c r="Z15" s="24">
        <v>302</v>
      </c>
      <c r="AA15" s="24"/>
      <c r="AB15" s="15">
        <v>13.882</v>
      </c>
    </row>
    <row r="16" ht="20.05" customHeight="1">
      <c r="B16" s="21">
        <v>2020</v>
      </c>
      <c r="C16" s="14">
        <v>2245.8</v>
      </c>
      <c r="D16" s="15">
        <v>63.6</v>
      </c>
      <c r="E16" s="15">
        <v>144.7</v>
      </c>
      <c r="F16" s="15">
        <v>661</v>
      </c>
      <c r="G16" s="15">
        <v>2643</v>
      </c>
      <c r="H16" s="15">
        <v>5518</v>
      </c>
      <c r="I16" s="15">
        <v>1980.6</v>
      </c>
      <c r="J16" s="15">
        <v>180.8</v>
      </c>
      <c r="K16" s="15">
        <v>-222.9</v>
      </c>
      <c r="L16" s="15">
        <v>218.9</v>
      </c>
      <c r="M16" s="15">
        <v>0</v>
      </c>
      <c r="N16" s="15">
        <f>SUM(C13:C16)/4</f>
        <v>2100.025</v>
      </c>
      <c r="O16" s="15"/>
      <c r="P16" s="16">
        <f>C16/C15-1</f>
        <v>0.0721856201661415</v>
      </c>
      <c r="Q16" s="16">
        <f>(E16+D16)/C16</f>
        <v>0.0927509128150325</v>
      </c>
      <c r="R16" s="16">
        <f>AVERAGE(Q13:Q16)</f>
        <v>0.0815988220100254</v>
      </c>
      <c r="S16" s="17"/>
      <c r="T16" s="15">
        <f>SUM(J13:K16)/4</f>
        <v>-44</v>
      </c>
      <c r="U16" s="25"/>
      <c r="V16" s="15">
        <f>-(L16+M16)+V15</f>
        <v>-905.2</v>
      </c>
      <c r="W16" s="17"/>
      <c r="X16" s="15">
        <f>F16-G16</f>
        <v>-1982</v>
      </c>
      <c r="Y16" s="24"/>
      <c r="Z16" s="24">
        <v>232</v>
      </c>
      <c r="AA16" s="24"/>
      <c r="AB16" s="15">
        <v>16.31</v>
      </c>
    </row>
    <row r="17" ht="20.05" customHeight="1">
      <c r="B17" s="13"/>
      <c r="C17" s="14">
        <v>1668.1</v>
      </c>
      <c r="D17" s="15">
        <v>66.90000000000001</v>
      </c>
      <c r="E17" s="15">
        <v>-29.7</v>
      </c>
      <c r="F17" s="15">
        <v>745</v>
      </c>
      <c r="G17" s="15">
        <v>2874</v>
      </c>
      <c r="H17" s="15">
        <v>5468</v>
      </c>
      <c r="I17" s="15">
        <v>2480.7</v>
      </c>
      <c r="J17" s="15">
        <v>282.4</v>
      </c>
      <c r="K17" s="15">
        <v>-143.5</v>
      </c>
      <c r="L17" s="15">
        <v>158.9</v>
      </c>
      <c r="M17" s="15">
        <v>-214.6</v>
      </c>
      <c r="N17" s="15">
        <f>SUM(C14:C17)/4</f>
        <v>2020.175</v>
      </c>
      <c r="O17" s="15"/>
      <c r="P17" s="16">
        <f>C17/C16-1</f>
        <v>-0.257235728916199</v>
      </c>
      <c r="Q17" s="16">
        <f>(E17+D17)/C17</f>
        <v>0.0223008212936874</v>
      </c>
      <c r="R17" s="16">
        <f>AVERAGE(Q14:Q17)</f>
        <v>0.06789100846552271</v>
      </c>
      <c r="S17" s="17"/>
      <c r="T17" s="25">
        <f>SUM(J14:K17)/4</f>
        <v>13.1</v>
      </c>
      <c r="U17" s="25"/>
      <c r="V17" s="15">
        <f>-(L17+M17)+V16</f>
        <v>-849.5</v>
      </c>
      <c r="W17" s="17"/>
      <c r="X17" s="15">
        <f>F17-G17</f>
        <v>-2129</v>
      </c>
      <c r="Y17" s="24"/>
      <c r="Z17" s="24">
        <v>260</v>
      </c>
      <c r="AA17" s="24"/>
      <c r="AB17" s="15">
        <v>14.255</v>
      </c>
    </row>
    <row r="18" ht="20.05" customHeight="1">
      <c r="B18" s="13"/>
      <c r="C18" s="14">
        <v>1826.8</v>
      </c>
      <c r="D18" s="15">
        <v>67</v>
      </c>
      <c r="E18" s="15">
        <v>82.40000000000001</v>
      </c>
      <c r="F18" s="15">
        <v>534</v>
      </c>
      <c r="G18" s="15">
        <v>2380</v>
      </c>
      <c r="H18" s="15">
        <v>5033</v>
      </c>
      <c r="I18" s="15">
        <v>1336.3</v>
      </c>
      <c r="J18" s="15">
        <v>133.7</v>
      </c>
      <c r="K18" s="15">
        <v>-51.2</v>
      </c>
      <c r="L18" s="15">
        <v>-268.2</v>
      </c>
      <c r="M18" s="15">
        <v>-25.1</v>
      </c>
      <c r="N18" s="15">
        <f>SUM(C15:C18)/4</f>
        <v>1958.825</v>
      </c>
      <c r="O18" s="15"/>
      <c r="P18" s="16">
        <f>C18/C17-1</f>
        <v>0.0951381811641988</v>
      </c>
      <c r="Q18" s="16">
        <f>(E18+D18)/C18</f>
        <v>0.081782351653164</v>
      </c>
      <c r="R18" s="16">
        <f>AVERAGE(Q15:Q18)</f>
        <v>0.07125330326038889</v>
      </c>
      <c r="S18" s="17"/>
      <c r="T18" s="25">
        <f>SUM(J15:K18)/4</f>
        <v>45.525</v>
      </c>
      <c r="U18" s="25"/>
      <c r="V18" s="15">
        <f>-(L18+M18)+V17</f>
        <v>-556.2</v>
      </c>
      <c r="W18" s="17"/>
      <c r="X18" s="15">
        <f>F18-G18</f>
        <v>-1846</v>
      </c>
      <c r="Y18" s="24"/>
      <c r="Z18" s="24">
        <v>248</v>
      </c>
      <c r="AA18" s="24"/>
      <c r="AB18" s="15">
        <v>14.79</v>
      </c>
    </row>
    <row r="19" ht="20.05" customHeight="1">
      <c r="B19" s="13"/>
      <c r="C19" s="14">
        <v>1978.7</v>
      </c>
      <c r="D19" s="15">
        <v>71.8</v>
      </c>
      <c r="E19" s="15">
        <v>47.7</v>
      </c>
      <c r="F19" s="15">
        <v>859</v>
      </c>
      <c r="G19" s="15">
        <v>3714</v>
      </c>
      <c r="H19" s="15">
        <v>6671</v>
      </c>
      <c r="I19" s="15">
        <v>2010.2</v>
      </c>
      <c r="J19" s="15">
        <v>186.4</v>
      </c>
      <c r="K19" s="15">
        <v>-814.8</v>
      </c>
      <c r="L19" s="15">
        <v>957.5</v>
      </c>
      <c r="M19" s="15">
        <v>-4.2</v>
      </c>
      <c r="N19" s="15">
        <f>SUM(C16:C19)/4</f>
        <v>1929.85</v>
      </c>
      <c r="O19" s="15"/>
      <c r="P19" s="16">
        <f>C19/C18-1</f>
        <v>0.0831508649003722</v>
      </c>
      <c r="Q19" s="16">
        <f>(E19+D19)/C19</f>
        <v>0.0603931874463031</v>
      </c>
      <c r="R19" s="16">
        <f>AVERAGE(Q16:Q19)</f>
        <v>0.06430681830204681</v>
      </c>
      <c r="S19" s="17"/>
      <c r="T19" s="25">
        <f>SUM(J16:K19)/4</f>
        <v>-112.275</v>
      </c>
      <c r="U19" s="25"/>
      <c r="V19" s="15">
        <f>-(L19+M19)+V18</f>
        <v>-1509.5</v>
      </c>
      <c r="W19" s="17"/>
      <c r="X19" s="15">
        <f>F19-G19</f>
        <v>-2855</v>
      </c>
      <c r="Y19" s="24"/>
      <c r="Z19" s="24">
        <v>254</v>
      </c>
      <c r="AA19" s="24"/>
      <c r="AB19" s="15">
        <v>14.1</v>
      </c>
    </row>
    <row r="20" ht="20.05" customHeight="1">
      <c r="B20" s="21">
        <v>2021</v>
      </c>
      <c r="C20" s="14">
        <v>2272.9</v>
      </c>
      <c r="D20" s="15">
        <v>43.8</v>
      </c>
      <c r="E20" s="15">
        <v>144.2</v>
      </c>
      <c r="F20" s="15">
        <v>904</v>
      </c>
      <c r="G20" s="15">
        <v>3826</v>
      </c>
      <c r="H20" s="15">
        <v>6860</v>
      </c>
      <c r="I20" s="15">
        <v>1976</v>
      </c>
      <c r="J20" s="15">
        <v>88.8</v>
      </c>
      <c r="K20" s="15">
        <v>-40.4</v>
      </c>
      <c r="L20" s="15">
        <v>-3.6</v>
      </c>
      <c r="M20" s="15">
        <v>0</v>
      </c>
      <c r="N20" s="15">
        <f>SUM(C17:C20)/4</f>
        <v>1936.625</v>
      </c>
      <c r="O20" s="15"/>
      <c r="P20" s="16">
        <f>C20/C19-1</f>
        <v>0.148683479051903</v>
      </c>
      <c r="Q20" s="16">
        <f>(E20+D20)/C20</f>
        <v>0.0827137137577544</v>
      </c>
      <c r="R20" s="16">
        <f>AVERAGE(Q17:Q20)</f>
        <v>0.0617975185377272</v>
      </c>
      <c r="S20" s="17"/>
      <c r="T20" s="25">
        <f>SUM(J17:K20)/4</f>
        <v>-89.65000000000001</v>
      </c>
      <c r="U20" s="25"/>
      <c r="V20" s="15">
        <f>-(L20+M20)+V19</f>
        <v>-1505.9</v>
      </c>
      <c r="W20" s="17"/>
      <c r="X20" s="15">
        <f>F20-G20</f>
        <v>-2922</v>
      </c>
      <c r="Y20" s="15"/>
      <c r="Z20" s="15">
        <v>337</v>
      </c>
      <c r="AA20" s="15"/>
      <c r="AB20" s="15">
        <v>14.606</v>
      </c>
    </row>
    <row r="21" ht="20.05" customHeight="1">
      <c r="B21" s="13"/>
      <c r="C21" s="14">
        <v>1911.7</v>
      </c>
      <c r="D21" s="15">
        <v>101</v>
      </c>
      <c r="E21" s="15">
        <v>88.3</v>
      </c>
      <c r="F21" s="15">
        <v>1014</v>
      </c>
      <c r="G21" s="15">
        <v>3768</v>
      </c>
      <c r="H21" s="15">
        <v>6732</v>
      </c>
      <c r="I21" s="15">
        <v>2099.1</v>
      </c>
      <c r="J21" s="15">
        <v>155.8</v>
      </c>
      <c r="K21" s="15">
        <v>-16.2</v>
      </c>
      <c r="L21" s="15">
        <v>-0.8</v>
      </c>
      <c r="M21" s="15">
        <v>-29.3</v>
      </c>
      <c r="N21" s="15">
        <f>SUM(C18:C21)/4</f>
        <v>1997.525</v>
      </c>
      <c r="O21" s="15"/>
      <c r="P21" s="16">
        <f>C21/C20-1</f>
        <v>-0.158915922389898</v>
      </c>
      <c r="Q21" s="16">
        <f>(E21+D21)/C21</f>
        <v>0.09902181304598</v>
      </c>
      <c r="R21" s="16">
        <f>AVERAGE(Q18:Q21)</f>
        <v>0.08097776647580041</v>
      </c>
      <c r="S21" s="17"/>
      <c r="T21" s="25">
        <f>SUM(J18:K21)/4</f>
        <v>-89.47499999999999</v>
      </c>
      <c r="U21" s="25"/>
      <c r="V21" s="15">
        <f>-(L21+M21)+V20</f>
        <v>-1475.8</v>
      </c>
      <c r="W21" s="17"/>
      <c r="X21" s="15">
        <f>F21-G21</f>
        <v>-2754</v>
      </c>
      <c r="Y21" s="15"/>
      <c r="Z21" s="15">
        <v>369</v>
      </c>
      <c r="AA21" s="15"/>
      <c r="AB21" s="15">
        <v>14.45</v>
      </c>
    </row>
    <row r="22" ht="20.05" customHeight="1">
      <c r="B22" s="13"/>
      <c r="C22" s="14">
        <v>2184.3</v>
      </c>
      <c r="D22" s="15">
        <v>72</v>
      </c>
      <c r="E22" s="15">
        <v>138</v>
      </c>
      <c r="F22" s="15">
        <v>808</v>
      </c>
      <c r="G22" s="15">
        <v>3640</v>
      </c>
      <c r="H22" s="15">
        <v>6518</v>
      </c>
      <c r="I22" s="15">
        <v>2217.9</v>
      </c>
      <c r="J22" s="15">
        <v>247</v>
      </c>
      <c r="K22" s="15">
        <v>-212.1</v>
      </c>
      <c r="L22" s="15">
        <v>-83.5</v>
      </c>
      <c r="M22" s="15">
        <v>-157.2</v>
      </c>
      <c r="N22" s="15">
        <f>SUM(C19:C22)/4</f>
        <v>2086.9</v>
      </c>
      <c r="O22" s="15"/>
      <c r="P22" s="16">
        <f>C22/C21-1</f>
        <v>0.142595595543234</v>
      </c>
      <c r="Q22" s="16">
        <f>(E22+D22)/C22</f>
        <v>0.096140640021975</v>
      </c>
      <c r="R22" s="16">
        <f>AVERAGE(Q19:Q22)</f>
        <v>0.08456733856800309</v>
      </c>
      <c r="S22" s="17"/>
      <c r="T22" s="25">
        <f>SUM(J19:K22)/4</f>
        <v>-101.375</v>
      </c>
      <c r="U22" s="25"/>
      <c r="V22" s="15">
        <f>-(L22+M22)+V21</f>
        <v>-1235.1</v>
      </c>
      <c r="W22" s="17"/>
      <c r="X22" s="15">
        <f>F22-G22</f>
        <v>-2832</v>
      </c>
      <c r="Y22" s="15"/>
      <c r="Z22" s="15">
        <v>420</v>
      </c>
      <c r="AA22" s="15"/>
      <c r="AB22" s="15">
        <v>14.328</v>
      </c>
    </row>
    <row r="23" ht="20.05" customHeight="1">
      <c r="B23" s="13"/>
      <c r="C23" s="14">
        <v>2430.7</v>
      </c>
      <c r="D23" s="15">
        <v>136.3</v>
      </c>
      <c r="E23" s="15">
        <v>122.1</v>
      </c>
      <c r="F23" s="15">
        <v>904</v>
      </c>
      <c r="G23" s="15">
        <v>3736</v>
      </c>
      <c r="H23" s="15">
        <v>6767</v>
      </c>
      <c r="I23" s="15">
        <v>2406.3</v>
      </c>
      <c r="J23" s="15">
        <v>134</v>
      </c>
      <c r="K23" s="15">
        <v>-62.4</v>
      </c>
      <c r="L23" s="15">
        <v>36.4</v>
      </c>
      <c r="M23" s="15">
        <v>-11.4</v>
      </c>
      <c r="N23" s="15">
        <f>SUM(C20:C23)/4</f>
        <v>2199.9</v>
      </c>
      <c r="O23" s="15"/>
      <c r="P23" s="16">
        <f>C23/C22-1</f>
        <v>0.112805017625784</v>
      </c>
      <c r="Q23" s="16">
        <f>(E23+D23)/C23</f>
        <v>0.106306825194388</v>
      </c>
      <c r="R23" s="16">
        <f>AVERAGE(Q20:Q23)</f>
        <v>0.0960457480050244</v>
      </c>
      <c r="S23" s="17"/>
      <c r="T23" s="25">
        <f>SUM(J20:K23)/4</f>
        <v>73.625</v>
      </c>
      <c r="U23" s="25"/>
      <c r="V23" s="15">
        <f>-(L23+M23)+V22</f>
        <v>-1260.1</v>
      </c>
      <c r="W23" s="17"/>
      <c r="X23" s="15">
        <f>F23-G23</f>
        <v>-2832</v>
      </c>
      <c r="Y23" s="15"/>
      <c r="Z23" s="15">
        <v>525</v>
      </c>
      <c r="AA23" s="15"/>
      <c r="AB23" s="15">
        <v>14.275</v>
      </c>
    </row>
    <row r="24" ht="20.05" customHeight="1">
      <c r="B24" s="21">
        <v>2022</v>
      </c>
      <c r="C24" s="14">
        <v>2777</v>
      </c>
      <c r="D24" s="15">
        <v>88</v>
      </c>
      <c r="E24" s="15">
        <v>114</v>
      </c>
      <c r="F24" s="15">
        <v>841.3</v>
      </c>
      <c r="G24" s="15">
        <v>4134</v>
      </c>
      <c r="H24" s="15">
        <v>7055</v>
      </c>
      <c r="I24" s="15">
        <v>2375</v>
      </c>
      <c r="J24" s="15">
        <v>48.2</v>
      </c>
      <c r="K24" s="15">
        <v>-36.5</v>
      </c>
      <c r="L24" s="15">
        <v>-60</v>
      </c>
      <c r="M24" s="15">
        <v>-0.3</v>
      </c>
      <c r="N24" s="15">
        <f>SUM(C21:C24)/4</f>
        <v>2325.925</v>
      </c>
      <c r="O24" s="15">
        <v>2433.788</v>
      </c>
      <c r="P24" s="16">
        <f>C24/C23-1</f>
        <v>0.14246924754186</v>
      </c>
      <c r="Q24" s="16">
        <f>(E24+D24)/C24</f>
        <v>0.07274036730284481</v>
      </c>
      <c r="R24" s="16">
        <f>AVERAGE(Q21:Q24)</f>
        <v>0.093552411391297</v>
      </c>
      <c r="S24" s="35"/>
      <c r="T24" s="25">
        <f>SUM(J21:K24)/4</f>
        <v>64.45</v>
      </c>
      <c r="U24" s="25">
        <v>173.294415928480</v>
      </c>
      <c r="V24" s="15">
        <f>-(L24+M24)+V23</f>
        <v>-1199.8</v>
      </c>
      <c r="W24" s="15"/>
      <c r="X24" s="15">
        <f>F24-G24</f>
        <v>-3292.7</v>
      </c>
      <c r="Y24" s="15">
        <v>-2290.1817135624</v>
      </c>
      <c r="Z24" s="26">
        <v>575</v>
      </c>
      <c r="AA24" s="140">
        <v>351.319842496034</v>
      </c>
      <c r="AB24" s="15">
        <v>14.327</v>
      </c>
    </row>
    <row r="25" ht="20.05" customHeight="1">
      <c r="B25" s="13"/>
      <c r="C25" s="14">
        <v>2404.6</v>
      </c>
      <c r="D25" s="15">
        <v>93</v>
      </c>
      <c r="E25" s="15">
        <v>99.59999999999999</v>
      </c>
      <c r="F25" s="15">
        <v>611</v>
      </c>
      <c r="G25" s="15">
        <v>3627</v>
      </c>
      <c r="H25" s="15">
        <v>6659</v>
      </c>
      <c r="I25" s="15">
        <v>2716.3</v>
      </c>
      <c r="J25" s="15">
        <v>77.3</v>
      </c>
      <c r="K25" s="15">
        <v>-39.7</v>
      </c>
      <c r="L25" s="15">
        <v>-60.5</v>
      </c>
      <c r="M25" s="15">
        <v>-221.5</v>
      </c>
      <c r="N25" s="15">
        <f>SUM(C22:C25)/4</f>
        <v>2449.15</v>
      </c>
      <c r="O25" s="15">
        <v>2468.5715</v>
      </c>
      <c r="P25" s="16">
        <f>C25/C24-1</f>
        <v>-0.134101548433561</v>
      </c>
      <c r="Q25" s="16">
        <f>(E25+D25)/C25</f>
        <v>0.0800964817433253</v>
      </c>
      <c r="R25" s="16">
        <f>AVERAGE(Q22:Q25)</f>
        <v>0.0888210785656333</v>
      </c>
      <c r="S25" s="35"/>
      <c r="T25" s="25">
        <f>SUM(J22:K25)/4</f>
        <v>38.95</v>
      </c>
      <c r="U25" s="25">
        <v>173.294415928480</v>
      </c>
      <c r="V25" s="15">
        <f>-(L25+M25)+V24</f>
        <v>-917.8</v>
      </c>
      <c r="W25" s="15"/>
      <c r="X25" s="15">
        <f>F25-G25</f>
        <v>-3016</v>
      </c>
      <c r="Y25" s="15">
        <v>-2290.1817135624</v>
      </c>
      <c r="Z25" s="15">
        <v>515</v>
      </c>
      <c r="AA25" s="140">
        <v>382.625571035285</v>
      </c>
      <c r="AB25" s="15">
        <v>14.66</v>
      </c>
    </row>
    <row r="26" ht="20.05" customHeight="1">
      <c r="B26" s="13"/>
      <c r="C26" s="14">
        <v>2642.6</v>
      </c>
      <c r="D26" s="15">
        <v>88.7</v>
      </c>
      <c r="E26" s="15">
        <v>143.6</v>
      </c>
      <c r="F26" s="15">
        <v>609</v>
      </c>
      <c r="G26" s="15">
        <v>3598</v>
      </c>
      <c r="H26" s="15">
        <v>6771</v>
      </c>
      <c r="I26" s="15">
        <v>2693.3</v>
      </c>
      <c r="J26" s="15">
        <v>127</v>
      </c>
      <c r="K26" s="15">
        <v>-135.3</v>
      </c>
      <c r="L26" s="15">
        <v>6.7</v>
      </c>
      <c r="M26" s="15">
        <v>-0.8</v>
      </c>
      <c r="N26" s="15">
        <f>SUM(C23:C26)/4</f>
        <v>2563.725</v>
      </c>
      <c r="O26" s="15">
        <v>2549.34475</v>
      </c>
      <c r="P26" s="16">
        <f>C26/C25-1</f>
        <v>0.09897696082508529</v>
      </c>
      <c r="Q26" s="16">
        <f>(E26+D26)/C26</f>
        <v>0.087905850298948</v>
      </c>
      <c r="R26" s="16">
        <f>AVERAGE(Q23:Q26)</f>
        <v>0.0867623811348765</v>
      </c>
      <c r="S26" s="35">
        <f>S27</f>
        <v>0.0867623811348765</v>
      </c>
      <c r="T26" s="25">
        <f>SUM(J23:K26)/4</f>
        <v>28.15</v>
      </c>
      <c r="U26" s="25">
        <v>150.908654583545</v>
      </c>
      <c r="V26" s="15">
        <f>-(L26+M26)+V25</f>
        <v>-923.7</v>
      </c>
      <c r="W26" s="15">
        <f>W27</f>
        <v>-256.2934875</v>
      </c>
      <c r="X26" s="15">
        <f>F26-G26</f>
        <v>-2989</v>
      </c>
      <c r="Y26" s="15">
        <v>-2488.375767166070</v>
      </c>
      <c r="Z26" s="15">
        <v>530</v>
      </c>
      <c r="AA26" s="140">
        <v>383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3010.82345151</v>
      </c>
      <c r="P27" s="17"/>
      <c r="Q27" s="17"/>
      <c r="R27" s="17"/>
      <c r="S27" s="35">
        <f>AE53</f>
        <v>0.0867623811348765</v>
      </c>
      <c r="T27" s="25"/>
      <c r="U27" s="15">
        <f>SUM(AE55:AH55)/4</f>
        <v>192.751211829735</v>
      </c>
      <c r="V27" s="17"/>
      <c r="W27" s="15">
        <f>-SUM(AE76:AH76)+V26</f>
        <v>-256.2934875</v>
      </c>
      <c r="X27" s="26"/>
      <c r="Y27" s="15">
        <f>AH75</f>
        <v>-2217.995152681060</v>
      </c>
      <c r="Z27" s="15">
        <v>462</v>
      </c>
      <c r="AA27" s="140">
        <v>382.625571035285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>
        <f>SUM(O24:O26)</f>
        <v>7451.70425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548.732366364755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597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0.0550374193897921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0.112805017625784</v>
      </c>
      <c r="AF50" s="35">
        <f>P24</f>
        <v>0.14246924754186</v>
      </c>
      <c r="AG50" s="35">
        <f>P25</f>
        <v>-0.134101548433561</v>
      </c>
      <c r="AH50" s="35">
        <f>P26</f>
        <v>0.09897696082508529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0.07000000000000001</v>
      </c>
      <c r="AG51" s="35">
        <v>0.1</v>
      </c>
      <c r="AH51" s="35">
        <v>-0.14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2642.6</v>
      </c>
      <c r="AE52" s="23">
        <f>C26*(1+AE51)</f>
        <v>2827.582</v>
      </c>
      <c r="AF52" s="23">
        <f>AE52*(1+AF51)</f>
        <v>3025.51274</v>
      </c>
      <c r="AG52" s="23">
        <f>AF52*(1+AG51)</f>
        <v>3328.064014</v>
      </c>
      <c r="AH52" s="23">
        <f>AG52*(1+AH51)</f>
        <v>2862.13505204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0.0867623811348765</v>
      </c>
      <c r="AF53" s="35">
        <f>AE53</f>
        <v>0.0867623811348765</v>
      </c>
      <c r="AG53" s="35">
        <f>AF53</f>
        <v>0.0867623811348765</v>
      </c>
      <c r="AH53" s="35">
        <f>AG53</f>
        <v>0.0867623811348765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AVERAGE(K23:K26)</f>
        <v>-68.47499999999999</v>
      </c>
      <c r="AF54" s="15">
        <f>AE54</f>
        <v>-68.47499999999999</v>
      </c>
      <c r="AG54" s="15">
        <f>AF54</f>
        <v>-68.47499999999999</v>
      </c>
      <c r="AH54" s="15">
        <f>AG54</f>
        <v>-68.47499999999999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176.852747174116</v>
      </c>
      <c r="AF55" s="15">
        <f>(AF52*AF53)+AF54</f>
        <v>194.025689476305</v>
      </c>
      <c r="AG55" s="15">
        <f>(AG52*AG53)+AG54</f>
        <v>220.275758423935</v>
      </c>
      <c r="AH55" s="15">
        <f>(AH52*AH53)+AH54</f>
        <v>179.850652244584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-179.9</v>
      </c>
      <c r="AF56" s="15">
        <f>-AE71/20</f>
        <v>-170.905</v>
      </c>
      <c r="AG56" s="15">
        <f>-AF71/20</f>
        <v>-162.35975</v>
      </c>
      <c r="AH56" s="15">
        <f>-AG71/20</f>
        <v>-154.2417625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-3.047252825884</v>
      </c>
      <c r="AF59" s="15">
        <f>AF55+AF56+AF58</f>
        <v>23.120689476305</v>
      </c>
      <c r="AG59" s="15">
        <f>AG55+AG56+AG58</f>
        <v>57.916008423935</v>
      </c>
      <c r="AH59" s="15">
        <f>AH55+AH56+AH58</f>
        <v>25.608889744584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3.047252825884</v>
      </c>
      <c r="AF60" s="15">
        <f>-MIN(AE72,AF59)</f>
        <v>-3.047252825884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609</v>
      </c>
      <c r="AF61" s="15">
        <f>AE63</f>
        <v>609</v>
      </c>
      <c r="AG61" s="15">
        <f>AF63</f>
        <v>629.0734366504209</v>
      </c>
      <c r="AH61" s="15">
        <f>AG63</f>
        <v>686.989445074356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20.073436650421</v>
      </c>
      <c r="AG62" s="15">
        <f>AG55+AG56+AG58+AG60</f>
        <v>57.916008423935</v>
      </c>
      <c r="AH62" s="15">
        <f>AH55+AH56+AH58+AH60</f>
        <v>25.608889744584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609</v>
      </c>
      <c r="AF63" s="15">
        <f>AF61+AF62</f>
        <v>629.0734366504209</v>
      </c>
      <c r="AG63" s="15">
        <f>AG61+AG62</f>
        <v>686.989445074356</v>
      </c>
      <c r="AH63" s="15">
        <f>AH61+AH62</f>
        <v>712.598334818940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-89.90000000000001</v>
      </c>
      <c r="AF65" s="15">
        <f>AE65</f>
        <v>-89.90000000000001</v>
      </c>
      <c r="AG65" s="15">
        <f>AF65</f>
        <v>-89.90000000000001</v>
      </c>
      <c r="AH65" s="15">
        <f>AG65</f>
        <v>-89.90000000000001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155.427747174116</v>
      </c>
      <c r="AF66" s="15">
        <f>(AF52*AF53)+AF65</f>
        <v>172.600689476305</v>
      </c>
      <c r="AG66" s="15">
        <f>(AG52*AG53)+AG65</f>
        <v>198.850758423935</v>
      </c>
      <c r="AH66" s="15">
        <f>(AH52*AH53)+AH65</f>
        <v>158.425652244584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6230.475</v>
      </c>
      <c r="AF68" s="15">
        <f>AE68-AF54</f>
        <v>6298.95</v>
      </c>
      <c r="AG68" s="15">
        <f>AF68-AG54</f>
        <v>6367.425</v>
      </c>
      <c r="AH68" s="15">
        <f>AG68-AH54</f>
        <v>6435.9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89.90000000000001</v>
      </c>
      <c r="AF69" s="15">
        <f>AE69-AF65</f>
        <v>179.8</v>
      </c>
      <c r="AG69" s="15">
        <f>AF69-AG65</f>
        <v>269.7</v>
      </c>
      <c r="AH69" s="15">
        <f>AG69-AH65</f>
        <v>359.6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6140.575</v>
      </c>
      <c r="AF70" s="15">
        <f>AF68-AF69</f>
        <v>6119.15</v>
      </c>
      <c r="AG70" s="15">
        <f>AG68-AG69</f>
        <v>6097.725</v>
      </c>
      <c r="AH70" s="15">
        <f>AH68-AH69</f>
        <v>6076.3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3418.1</v>
      </c>
      <c r="AF71" s="15">
        <f>AE71+AF56</f>
        <v>3247.195</v>
      </c>
      <c r="AG71" s="15">
        <f>AF71+AG56</f>
        <v>3084.83525</v>
      </c>
      <c r="AH71" s="15">
        <f>AG71+AH56</f>
        <v>2930.5934875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3.047252825884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3328.427747174120</v>
      </c>
      <c r="AF73" s="15">
        <f>AE73+AF66+AF58</f>
        <v>3501.028436650430</v>
      </c>
      <c r="AG73" s="15">
        <f>AF73+AG66+AG58</f>
        <v>3699.879195074370</v>
      </c>
      <c r="AH73" s="15">
        <f>AG73+AH66+AH58</f>
        <v>3858.304847318950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4e-12</v>
      </c>
      <c r="AF74" s="15">
        <f>AF71+AF72+AF73-AF63-AF70</f>
        <v>9e-12</v>
      </c>
      <c r="AG74" s="15">
        <f>AG71+AG72+AG73-AG63-AG70</f>
        <v>1.4e-11</v>
      </c>
      <c r="AH74" s="15">
        <f>AH71+AH72+AH73-AH63-AH70</f>
        <v>9.999999999999999e-12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-2812.147252825880</v>
      </c>
      <c r="AF75" s="15">
        <f>AF63-AF71-AF72</f>
        <v>-2618.121563349580</v>
      </c>
      <c r="AG75" s="15">
        <f>AG63-AG71-AG72</f>
        <v>-2397.845804925640</v>
      </c>
      <c r="AH75" s="15">
        <f>AH63-AH71-AH72</f>
        <v>-2217.995152681060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-176.852747174116</v>
      </c>
      <c r="AF76" s="15">
        <f>AF56+AF58+AF60</f>
        <v>-173.952252825884</v>
      </c>
      <c r="AG76" s="15">
        <f>AG56+AG58+AG60</f>
        <v>-162.35975</v>
      </c>
      <c r="AH76" s="15">
        <f>AH56+AH58+AH60</f>
        <v>-154.2417625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598</v>
      </c>
      <c r="AD78" s="14"/>
      <c r="AE78" s="15"/>
      <c r="AF78" s="15"/>
      <c r="AG78" s="15"/>
      <c r="AH78" s="15">
        <v>462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598</v>
      </c>
      <c r="AD79" s="14"/>
      <c r="AE79" s="15"/>
      <c r="AF79" s="15"/>
      <c r="AG79" s="15"/>
      <c r="AH79" s="15">
        <v>16877645266944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16877.645266944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36.531699712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2.48606540186083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112.6</v>
      </c>
      <c r="AH84" s="15">
        <f>SUM(AE55:AH55)</f>
        <v>771.0048473189401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7.88101400546244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21.8904528624348</v>
      </c>
      <c r="AH86" s="15">
        <v>26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20046.1260302924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548.732366364755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0.187732394728907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0.209815501533672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598</v>
      </c>
      <c r="AF93" t="s" s="44">
        <f>AE115</f>
        <v>15</v>
      </c>
      <c r="AG93" t="s" s="44">
        <f>AF115</f>
        <v>58</v>
      </c>
      <c r="AH93" t="s" s="44">
        <f>AG115</f>
        <v>485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462</v>
      </c>
      <c r="AG94" t="s" s="44">
        <v>61</v>
      </c>
      <c r="AH94" s="15">
        <f>AH88</f>
        <v>548.732366364755</v>
      </c>
      <c r="AI94" t="s" s="44">
        <f>IF(AJ94&gt;0,"+","")</f>
        <v>361</v>
      </c>
      <c r="AJ94" s="16">
        <f>AH94/AF94-1</f>
        <v>0.187732394728907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0.209815501533672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0.00667154678387125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540</v>
      </c>
      <c r="AG99" t="s" s="44">
        <f>IF(AH99&gt;0,"+","")</f>
        <v>361</v>
      </c>
      <c r="AH99" s="16">
        <f>(AG132+AG133+AI132+AI133+AK132+AK133+AM132+AM133)/AF135</f>
        <v>0.0184504411056617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AP128/AF135</f>
        <v>-0.17709816462692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0.09897696082508529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0.142595595543234</v>
      </c>
      <c r="AF103" s="16">
        <f>P23</f>
        <v>0.112805017625784</v>
      </c>
      <c r="AG103" s="16">
        <f>P24</f>
        <v>0.14246924754186</v>
      </c>
      <c r="AH103" s="16">
        <f>P25</f>
        <v>-0.134101548433561</v>
      </c>
      <c r="AI103" s="16">
        <f>P26</f>
        <v>0.09897696082508529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2184.3</v>
      </c>
      <c r="AF104" t="s" s="44">
        <v>72</v>
      </c>
      <c r="AG104" s="15">
        <f>C23</f>
        <v>2430.7</v>
      </c>
      <c r="AH104" t="s" s="44">
        <v>72</v>
      </c>
      <c r="AI104" s="15">
        <f>C24</f>
        <v>2777</v>
      </c>
      <c r="AJ104" t="s" s="44">
        <v>72</v>
      </c>
      <c r="AK104" s="15">
        <f>C25</f>
        <v>2404.6</v>
      </c>
      <c r="AL104" t="s" s="44">
        <v>72</v>
      </c>
      <c r="AM104" s="15">
        <f>C26</f>
        <v>2642.6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0.09897696082508529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2642.6</v>
      </c>
      <c r="AM105" t="s" s="44">
        <v>372</v>
      </c>
      <c r="AN105" t="s" s="44">
        <v>77</v>
      </c>
      <c r="AO105" s="17">
        <f>IF(AP105&gt;0,"+","")</f>
      </c>
      <c r="AP105" s="17">
        <f>AH91</f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0.0550374193897921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2862.13505204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0.096140640021975</v>
      </c>
      <c r="AF110" s="16">
        <f>(D23+E23)/C23</f>
        <v>0.106306825194388</v>
      </c>
      <c r="AG110" s="16">
        <f>((E24+D24)/C24)</f>
        <v>0.07274036730284481</v>
      </c>
      <c r="AH110" s="16">
        <f>(D25+E25)/C25</f>
        <v>0.0800964817433253</v>
      </c>
      <c r="AI110" s="16">
        <f>(D26+E26)/C26</f>
        <v>0.087905850298948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138</v>
      </c>
      <c r="AF111" t="s" s="44">
        <v>72</v>
      </c>
      <c r="AG111" s="15">
        <f>E23</f>
        <v>122.1</v>
      </c>
      <c r="AH111" t="s" s="44">
        <v>72</v>
      </c>
      <c r="AI111" s="15">
        <f>E24</f>
        <v>114</v>
      </c>
      <c r="AJ111" t="s" s="44">
        <v>72</v>
      </c>
      <c r="AK111" s="15">
        <f>E25</f>
        <v>99.59999999999999</v>
      </c>
      <c r="AL111" t="s" s="44">
        <v>72</v>
      </c>
      <c r="AM111" s="15">
        <f>E26</f>
        <v>143.6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0.0800964817433253</v>
      </c>
      <c r="AG112" t="s" s="44">
        <v>76</v>
      </c>
      <c r="AH112" s="16">
        <f>AI110</f>
        <v>0.087905850298948</v>
      </c>
      <c r="AI112" t="s" s="44">
        <v>90</v>
      </c>
      <c r="AJ112" s="15">
        <f>AK111</f>
        <v>99.59999999999999</v>
      </c>
      <c r="AK112" t="s" s="44">
        <v>76</v>
      </c>
      <c r="AL112" s="15">
        <f>AM111</f>
        <v>143.6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0.0867623811348765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0.0867623811348765</v>
      </c>
      <c r="AG114" t="s" s="44">
        <v>94</v>
      </c>
      <c r="AH114" s="15">
        <f>AH66</f>
        <v>158.425652244584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IF(AG116&lt;AF116,"less","more")</f>
        <v>58</v>
      </c>
      <c r="AG115" t="s" s="44">
        <f>IF(AI120&lt;0,"positive","negative")</f>
        <v>485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37.6</v>
      </c>
      <c r="AG116" s="15">
        <f>ABS(AH120)</f>
        <v>8.300000000000001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t="s" s="44">
        <f>AM105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247</v>
      </c>
      <c r="AF118" t="s" s="44">
        <v>72</v>
      </c>
      <c r="AG118" s="15">
        <f>J23</f>
        <v>134</v>
      </c>
      <c r="AH118" t="s" s="44">
        <v>72</v>
      </c>
      <c r="AI118" s="15">
        <f>J24</f>
        <v>48.2</v>
      </c>
      <c r="AJ118" t="s" s="44">
        <v>72</v>
      </c>
      <c r="AK118" s="15">
        <f>J25</f>
        <v>77.3</v>
      </c>
      <c r="AL118" t="s" s="44">
        <v>72</v>
      </c>
      <c r="AM118" s="15">
        <f>J26</f>
        <v>127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-212.1</v>
      </c>
      <c r="AF119" t="s" s="44">
        <v>72</v>
      </c>
      <c r="AG119" s="15">
        <f>K23</f>
        <v>-62.4</v>
      </c>
      <c r="AH119" t="s" s="44">
        <v>72</v>
      </c>
      <c r="AI119" s="15">
        <f>K24</f>
        <v>-36.5</v>
      </c>
      <c r="AJ119" t="s" s="44">
        <v>72</v>
      </c>
      <c r="AK119" s="15">
        <f>K25</f>
        <v>-39.7</v>
      </c>
      <c r="AL119" t="s" s="44">
        <v>72</v>
      </c>
      <c r="AM119" s="15">
        <f>K26</f>
        <v>-135.3</v>
      </c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37.6</v>
      </c>
      <c r="AG120" t="s" s="44">
        <v>76</v>
      </c>
      <c r="AH120" s="15">
        <f>AM118+AM119</f>
        <v>-8.300000000000001</v>
      </c>
      <c r="AI120" t="s" s="44">
        <f>AI114</f>
        <v>372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-135.3</v>
      </c>
      <c r="AN120" t="s" s="44">
        <f>AM105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28.15</v>
      </c>
      <c r="AG121" t="s" s="44">
        <f>AM105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-68.47499999999999</v>
      </c>
      <c r="AG122" t="s" s="44">
        <f>AG121</f>
        <v>372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192.751211829735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108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t="s" s="44">
        <f>AM105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808</v>
      </c>
      <c r="AF125" t="s" s="44">
        <v>72</v>
      </c>
      <c r="AG125" s="15">
        <f>F23</f>
        <v>904</v>
      </c>
      <c r="AH125" t="s" s="44">
        <v>72</v>
      </c>
      <c r="AI125" s="15">
        <f>F24</f>
        <v>841.3</v>
      </c>
      <c r="AJ125" t="s" s="44">
        <v>72</v>
      </c>
      <c r="AK125" s="15">
        <f>F25</f>
        <v>611</v>
      </c>
      <c r="AL125" t="s" s="44">
        <v>72</v>
      </c>
      <c r="AM125" s="15">
        <f>F26</f>
        <v>609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3640</v>
      </c>
      <c r="AF126" t="s" s="44">
        <v>72</v>
      </c>
      <c r="AG126" s="15">
        <f>G23</f>
        <v>3736</v>
      </c>
      <c r="AH126" t="s" s="44">
        <v>72</v>
      </c>
      <c r="AI126" s="15">
        <f>G24</f>
        <v>4134</v>
      </c>
      <c r="AJ126" t="s" s="44">
        <v>72</v>
      </c>
      <c r="AK126" s="15">
        <f>G25</f>
        <v>3627</v>
      </c>
      <c r="AL126" t="s" s="44">
        <v>72</v>
      </c>
      <c r="AM126" s="15">
        <f>G26</f>
        <v>3598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611</v>
      </c>
      <c r="AH127" t="s" s="44">
        <v>76</v>
      </c>
      <c r="AI127" s="15">
        <f>AM125</f>
        <v>609</v>
      </c>
      <c r="AJ127" t="s" s="44">
        <f>AM122</f>
        <v>372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370</v>
      </c>
      <c r="AG128" s="15">
        <f>AK126</f>
        <v>3627</v>
      </c>
      <c r="AH128" t="s" s="44">
        <v>76</v>
      </c>
      <c r="AI128" s="15">
        <f>AM126</f>
        <v>3598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108</v>
      </c>
      <c r="AN128" s="15">
        <f>AG127-AG128</f>
        <v>-3016</v>
      </c>
      <c r="AO128" t="s" s="44">
        <v>76</v>
      </c>
      <c r="AP128" s="15">
        <f>AI127-AI128</f>
        <v>-2989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AE56+AF56+AG56+AH56+AE60+AF60+AG60+AH60</f>
        <v>-667.4065125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-2217.995152681060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t="s" s="44">
        <f>AM105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83.5</v>
      </c>
      <c r="AF132" t="s" s="44">
        <v>72</v>
      </c>
      <c r="AG132" s="15">
        <f>-L23</f>
        <v>-36.4</v>
      </c>
      <c r="AH132" t="s" s="44">
        <v>72</v>
      </c>
      <c r="AI132" s="15">
        <f>-L24</f>
        <v>60</v>
      </c>
      <c r="AJ132" t="s" s="44">
        <v>72</v>
      </c>
      <c r="AK132" s="15">
        <f>-L25</f>
        <v>60.5</v>
      </c>
      <c r="AL132" t="s" s="44">
        <v>72</v>
      </c>
      <c r="AM132" s="15">
        <f>-L26</f>
        <v>-6.7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157.2</v>
      </c>
      <c r="AF133" t="s" s="44">
        <v>72</v>
      </c>
      <c r="AG133" s="15">
        <f>-M23</f>
        <v>11.4</v>
      </c>
      <c r="AH133" t="s" s="44">
        <v>72</v>
      </c>
      <c r="AI133" s="15">
        <f>-M24</f>
        <v>0.3</v>
      </c>
      <c r="AJ133" t="s" s="44">
        <v>72</v>
      </c>
      <c r="AK133" s="15">
        <f>-M25</f>
        <v>221.5</v>
      </c>
      <c r="AL133" t="s" s="44">
        <v>72</v>
      </c>
      <c r="AM133" s="15">
        <f>-M26</f>
        <v>0.8</v>
      </c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598</v>
      </c>
      <c r="AF134" t="s" s="44">
        <f>IF(AG134&gt;0,"paid","(raised)")</f>
        <v>121</v>
      </c>
      <c r="AG134" s="15">
        <f>SUM(AM132:AM133)</f>
        <v>-5.9</v>
      </c>
      <c r="AH134" t="s" s="44">
        <f>AM105</f>
        <v>372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-6.7</v>
      </c>
      <c r="AM134" t="s" s="44">
        <f>AM105</f>
        <v>372</v>
      </c>
      <c r="AN134" t="s" s="44">
        <v>123</v>
      </c>
      <c r="AO134" s="15">
        <f>AM133</f>
        <v>0.8</v>
      </c>
      <c r="AP134" t="s" s="44">
        <f>AM105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667.4065125</v>
      </c>
      <c r="AU134" t="s" s="44">
        <f>AM105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AH80</f>
        <v>16877.645266944</v>
      </c>
      <c r="AG135" t="s" s="44">
        <f>AM105</f>
        <v>372</v>
      </c>
      <c r="AH135" t="s" s="44">
        <v>128</v>
      </c>
      <c r="AI135" t="s" s="44">
        <v>129</v>
      </c>
      <c r="AJ135" s="43">
        <f>AH82</f>
        <v>2.48606540186083</v>
      </c>
      <c r="AK135" t="s" s="44">
        <v>130</v>
      </c>
      <c r="AL135" t="s" s="44">
        <v>131</v>
      </c>
      <c r="AM135" t="s" s="44">
        <v>132</v>
      </c>
      <c r="AN135" s="15">
        <f>AH85</f>
        <v>7.88101400546244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771.0048473189401</v>
      </c>
      <c r="AG136" t="s" s="44">
        <f>AG135</f>
        <v>372</v>
      </c>
      <c r="AH136" t="s" s="44">
        <v>136</v>
      </c>
      <c r="AI136" s="15">
        <f>AF135/AF136</f>
        <v>21.8904528624348</v>
      </c>
      <c r="AJ136" t="s" s="44">
        <v>130</v>
      </c>
      <c r="AK136" t="s" s="44">
        <v>137</v>
      </c>
      <c r="AL136" t="s" s="44">
        <v>138</v>
      </c>
      <c r="AM136" s="15">
        <f>AH86</f>
        <v>26</v>
      </c>
      <c r="AN136" t="s" s="44">
        <v>139</v>
      </c>
      <c r="AO136" t="s" s="44">
        <v>140</v>
      </c>
      <c r="AP136" t="s" s="44">
        <v>141</v>
      </c>
      <c r="AQ136" s="16">
        <f>AJ94</f>
        <v>0.187732394728907</v>
      </c>
      <c r="AR136" t="s" s="44">
        <f>IF(AQ136&gt;0,"higher","lower")</f>
        <v>363</v>
      </c>
      <c r="AS136" t="s" s="44">
        <v>142</v>
      </c>
      <c r="AT136" s="15">
        <f>AH94</f>
        <v>548.732366364755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598</v>
      </c>
      <c r="AF138" t="s" s="44">
        <f>AE146</f>
        <v>394</v>
      </c>
      <c r="AG138" t="s" s="44">
        <f>AF146</f>
        <v>395</v>
      </c>
      <c r="AH138" s="16">
        <f>AG146</f>
        <v>0.09897696082508529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462</v>
      </c>
      <c r="AG139" t="s" s="44">
        <f>AG94</f>
        <v>61</v>
      </c>
      <c r="AH139" s="15">
        <f>AH94</f>
        <v>548.732366364755</v>
      </c>
      <c r="AI139" t="s" s="44">
        <f>AI94</f>
        <v>361</v>
      </c>
      <c r="AJ139" s="16">
        <f>AJ94</f>
        <v>0.187732394728907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  <v>361</v>
      </c>
      <c r="AH142" s="16">
        <f>AH97</f>
        <v>0.209815501533672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s="16">
        <f>AH98</f>
        <v>0.00667154678387125</v>
      </c>
      <c r="AH143" t="s" s="44">
        <v>401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s="16">
        <f>AH99</f>
        <v>0.0184504411056617</v>
      </c>
      <c r="AH144" t="s" s="44">
        <f>AH143</f>
        <v>401</v>
      </c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80.05" customHeight="1">
      <c r="AC145" s="36"/>
      <c r="AD145" s="38"/>
      <c r="AE145" t="s" s="44">
        <v>541</v>
      </c>
      <c r="AF145" s="16">
        <f>AG100</f>
        <v>-0.17709816462692</v>
      </c>
      <c r="AG145" t="s" s="44">
        <f>AH144</f>
        <v>401</v>
      </c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395</v>
      </c>
      <c r="AG146" s="16">
        <f>AG101</f>
        <v>0.09897696082508529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t="s" s="44">
        <v>542</v>
      </c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0.142595595543234</v>
      </c>
      <c r="AF148" s="16">
        <f>AF103</f>
        <v>0.112805017625784</v>
      </c>
      <c r="AG148" s="16">
        <f>AG103</f>
        <v>0.14246924754186</v>
      </c>
      <c r="AH148" s="16">
        <f>AH103</f>
        <v>-0.134101548433561</v>
      </c>
      <c r="AI148" s="16">
        <f>AI103</f>
        <v>0.09897696082508529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8"/>
      <c r="AE149" s="15">
        <f>AE104</f>
        <v>2184.3</v>
      </c>
      <c r="AF149" t="s" s="44">
        <f>AF104</f>
        <v>72</v>
      </c>
      <c r="AG149" s="15">
        <f>AG104</f>
        <v>2430.7</v>
      </c>
      <c r="AH149" t="s" s="44">
        <f>AH104</f>
        <v>72</v>
      </c>
      <c r="AI149" s="15">
        <f>AI104</f>
        <v>2777</v>
      </c>
      <c r="AJ149" t="s" s="44">
        <f>AJ104</f>
        <v>72</v>
      </c>
      <c r="AK149" s="15">
        <f>AK104</f>
        <v>2404.6</v>
      </c>
      <c r="AL149" t="s" s="44">
        <f>AL104</f>
        <v>72</v>
      </c>
      <c r="AM149" s="15">
        <f>AM104</f>
        <v>2642.6</v>
      </c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395</v>
      </c>
      <c r="AG150" s="16">
        <f>AG105</f>
        <v>0.09897696082508529</v>
      </c>
      <c r="AH150" t="s" s="44">
        <v>408</v>
      </c>
      <c r="AI150" t="s" s="44">
        <v>409</v>
      </c>
      <c r="AJ150" t="s" s="44">
        <v>410</v>
      </c>
      <c r="AK150" t="s" s="44">
        <f>AG147</f>
        <v>542</v>
      </c>
      <c r="AL150" s="15">
        <f>AL105</f>
        <v>2642.6</v>
      </c>
      <c r="AM150" t="s" s="44">
        <v>411</v>
      </c>
      <c r="AN150" s="44">
        <f>AO105</f>
      </c>
      <c r="AO150" s="17">
        <f>AP105</f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543</v>
      </c>
      <c r="AF151" s="16">
        <f>AF106</f>
        <v>0.0550374193897921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0.025</v>
      </c>
      <c r="AG152" t="s" s="44">
        <v>415</v>
      </c>
      <c r="AH152" t="s" s="44">
        <v>416</v>
      </c>
      <c r="AI152" t="s" s="44">
        <f>AG147</f>
        <v>542</v>
      </c>
      <c r="AJ152" s="23">
        <f>AI107</f>
        <v>2862.13505204</v>
      </c>
      <c r="AK152" s="26">
        <f>AH147</f>
        <v>0</v>
      </c>
      <c r="AL152" t="s" s="44">
        <f>AH150</f>
        <v>408</v>
      </c>
      <c r="AM152" t="s" s="44">
        <f>AI150</f>
        <v>409</v>
      </c>
      <c r="AN152" t="s" s="44">
        <f>AN107</f>
        <v>85</v>
      </c>
      <c r="AO152" s="17"/>
      <c r="AP152" s="17"/>
      <c r="AQ152" s="17"/>
      <c r="AR152" s="17"/>
      <c r="AS152" s="17"/>
      <c r="AT152" s="17"/>
      <c r="AU152" s="17"/>
      <c r="AV152" s="17"/>
    </row>
    <row r="153" ht="20.05" customHeight="1">
      <c r="AC153" s="36"/>
      <c r="AD153" s="38"/>
      <c r="AE153" t="s" s="44">
        <f>AE108</f>
        <v>14</v>
      </c>
      <c r="AF153" t="s" s="44">
        <f>AF108</f>
        <v>108</v>
      </c>
      <c r="AG153" t="s" s="44">
        <f>AG108</f>
        <v>86</v>
      </c>
      <c r="AH153" t="s" s="44">
        <f>AH108</f>
        <v>108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f>AE109</f>
        <v>70</v>
      </c>
      <c r="AF154" t="s" s="44">
        <f>AF109</f>
        <v>88</v>
      </c>
      <c r="AG154" t="s" s="44">
        <f>AG109</f>
        <v>372</v>
      </c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0.096140640021975</v>
      </c>
      <c r="AF155" s="16">
        <f>AF110</f>
        <v>0.106306825194388</v>
      </c>
      <c r="AG155" s="16">
        <f>AG110</f>
        <v>0.07274036730284481</v>
      </c>
      <c r="AH155" s="16">
        <f>AH110</f>
        <v>0.0800964817433253</v>
      </c>
      <c r="AI155" s="16">
        <f>AI110</f>
        <v>0.087905850298948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20.05" customHeight="1">
      <c r="AC156" s="36"/>
      <c r="AD156" s="38"/>
      <c r="AE156" s="15">
        <f>AE111</f>
        <v>138</v>
      </c>
      <c r="AF156" t="s" s="44">
        <f>AF111</f>
        <v>72</v>
      </c>
      <c r="AG156" s="15">
        <f>AG111</f>
        <v>122.1</v>
      </c>
      <c r="AH156" t="s" s="44">
        <f>AH111</f>
        <v>72</v>
      </c>
      <c r="AI156" s="15">
        <f>AI111</f>
        <v>114</v>
      </c>
      <c r="AJ156" t="s" s="44">
        <f>AJ111</f>
        <v>72</v>
      </c>
      <c r="AK156" s="15">
        <f>AK111</f>
        <v>99.59999999999999</v>
      </c>
      <c r="AL156" t="s" s="44">
        <f>AL111</f>
        <v>72</v>
      </c>
      <c r="AM156" s="15">
        <f>AM111</f>
        <v>143.6</v>
      </c>
      <c r="AN156" s="17"/>
      <c r="AO156" s="17"/>
      <c r="AP156" s="17"/>
      <c r="AQ156" s="17"/>
      <c r="AR156" s="17"/>
      <c r="AS156" s="17"/>
      <c r="AT156" s="17"/>
      <c r="AU156" s="17"/>
      <c r="AV156" s="17"/>
    </row>
    <row r="157" ht="44.05" customHeight="1">
      <c r="AC157" s="36"/>
      <c r="AD157" s="38"/>
      <c r="AE157" t="s" s="44">
        <f>AE112</f>
        <v>89</v>
      </c>
      <c r="AF157" s="16">
        <f>AF112</f>
        <v>0.0800964817433253</v>
      </c>
      <c r="AG157" t="s" s="44">
        <f>AG112</f>
        <v>76</v>
      </c>
      <c r="AH157" s="16">
        <f>AH112</f>
        <v>0.087905850298948</v>
      </c>
      <c r="AI157" t="s" s="44">
        <f>AI112</f>
        <v>90</v>
      </c>
      <c r="AJ157" s="15">
        <f>AJ112</f>
        <v>99.59999999999999</v>
      </c>
      <c r="AK157" t="s" s="44">
        <f>AK112</f>
        <v>76</v>
      </c>
      <c r="AL157" s="15">
        <f>AL112</f>
        <v>143.6</v>
      </c>
      <c r="AM157" t="s" s="44">
        <f>AM112</f>
        <v>372</v>
      </c>
      <c r="AN157" t="s" s="44">
        <f>AN112</f>
        <v>73</v>
      </c>
      <c r="AO157" t="s" s="44">
        <f>AO112</f>
        <v>74</v>
      </c>
      <c r="AP157" t="s" s="44">
        <f>AP112</f>
        <v>91</v>
      </c>
      <c r="AQ157" s="17"/>
      <c r="AR157" s="17"/>
      <c r="AS157" s="17"/>
      <c r="AT157" s="17"/>
      <c r="AU157" s="17"/>
      <c r="AV157" s="17"/>
    </row>
    <row r="158" ht="68.05" customHeight="1">
      <c r="AC158" s="36"/>
      <c r="AD158" s="38"/>
      <c r="AE158" t="s" s="44">
        <f>AE113</f>
        <v>92</v>
      </c>
      <c r="AF158" s="16">
        <f>AF113</f>
        <v>0.0867623811348765</v>
      </c>
      <c r="AG158" t="s" s="44">
        <f>AG113</f>
        <v>78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44.05" customHeight="1">
      <c r="AC159" s="36"/>
      <c r="AD159" s="38"/>
      <c r="AE159" t="s" s="44">
        <f>AE114</f>
        <v>93</v>
      </c>
      <c r="AF159" s="35">
        <f>AF114</f>
        <v>0.0867623811348765</v>
      </c>
      <c r="AG159" t="s" s="44">
        <f>AG114</f>
        <v>94</v>
      </c>
      <c r="AH159" s="15">
        <f>AH114</f>
        <v>158.425652244584</v>
      </c>
      <c r="AI159" t="s" s="44">
        <f>AI114</f>
        <v>372</v>
      </c>
      <c r="AJ159" t="s" s="44">
        <f>AJ114</f>
        <v>95</v>
      </c>
      <c r="AK159" t="s" s="44">
        <f>AK114</f>
        <v>74</v>
      </c>
      <c r="AL159" t="s" s="44">
        <f>AL114</f>
        <v>75</v>
      </c>
      <c r="AM159" t="s" s="44">
        <f>AM114</f>
        <v>85</v>
      </c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524</v>
      </c>
      <c r="AG160" t="s" s="44">
        <f>IF(AG161&lt;AF161,"berkurang","lebih")</f>
        <v>544</v>
      </c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37.6</v>
      </c>
      <c r="AG161" s="15">
        <f>ABS(AH165)</f>
        <v>8.300000000000001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t="s" s="44">
        <f>AG147</f>
        <v>542</v>
      </c>
      <c r="AH162" s="26">
        <f>AH147</f>
        <v>0</v>
      </c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20.05" customHeight="1">
      <c r="AC163" s="36"/>
      <c r="AD163" s="38"/>
      <c r="AE163" s="15">
        <f>AE118</f>
        <v>247</v>
      </c>
      <c r="AF163" t="s" s="44">
        <f>AF118</f>
        <v>72</v>
      </c>
      <c r="AG163" s="15">
        <f>AG118</f>
        <v>134</v>
      </c>
      <c r="AH163" t="s" s="44">
        <f>AH118</f>
        <v>72</v>
      </c>
      <c r="AI163" s="15">
        <f>AI118</f>
        <v>48.2</v>
      </c>
      <c r="AJ163" t="s" s="44">
        <f>AJ118</f>
        <v>72</v>
      </c>
      <c r="AK163" s="15">
        <f>AK118</f>
        <v>77.3</v>
      </c>
      <c r="AL163" t="s" s="44">
        <f>AL118</f>
        <v>72</v>
      </c>
      <c r="AM163" s="15">
        <f>AM118</f>
        <v>127</v>
      </c>
      <c r="AN163" s="17"/>
      <c r="AO163" s="17"/>
      <c r="AP163" s="17"/>
      <c r="AQ163" s="17"/>
      <c r="AR163" s="17"/>
      <c r="AS163" s="17"/>
      <c r="AT163" s="17"/>
      <c r="AU163" s="17"/>
      <c r="AV163" s="17"/>
    </row>
    <row r="164" ht="20.05" customHeight="1">
      <c r="AC164" s="36"/>
      <c r="AD164" s="38"/>
      <c r="AE164" s="15">
        <f>AE119</f>
        <v>-212.1</v>
      </c>
      <c r="AF164" t="s" s="44">
        <f>AF119</f>
        <v>72</v>
      </c>
      <c r="AG164" s="15">
        <f>AG119</f>
        <v>-62.4</v>
      </c>
      <c r="AH164" t="s" s="44">
        <f>AH119</f>
        <v>72</v>
      </c>
      <c r="AI164" s="15">
        <f>AI119</f>
        <v>-36.5</v>
      </c>
      <c r="AJ164" t="s" s="44">
        <f>AJ119</f>
        <v>72</v>
      </c>
      <c r="AK164" s="15">
        <f>AK119</f>
        <v>-39.7</v>
      </c>
      <c r="AL164" t="s" s="44">
        <f>AL119</f>
        <v>72</v>
      </c>
      <c r="AM164" s="15">
        <f>AM119</f>
        <v>-135.3</v>
      </c>
      <c r="AN164" s="17"/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545</v>
      </c>
      <c r="AF165" s="15">
        <f>AF120</f>
        <v>37.6</v>
      </c>
      <c r="AG165" t="s" s="44">
        <v>410</v>
      </c>
      <c r="AH165" s="15">
        <f>AH120</f>
        <v>-8.300000000000001</v>
      </c>
      <c r="AI165" t="s" s="44">
        <f>AG147</f>
        <v>542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-135.3</v>
      </c>
      <c r="AN165" t="s" s="44">
        <f>AG147</f>
        <v>542</v>
      </c>
      <c r="AO165" s="17"/>
      <c r="AP165" s="26">
        <f>AH147</f>
        <v>0</v>
      </c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28.15</v>
      </c>
      <c r="AG166" t="s" s="44">
        <f>AG147</f>
        <v>542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-68.47499999999999</v>
      </c>
      <c r="AG167" t="s" s="44">
        <f>AG147</f>
        <v>542</v>
      </c>
      <c r="AH167" t="s" s="85">
        <v>435</v>
      </c>
      <c r="AI167" s="15">
        <f>AL122</f>
        <v>192.751211829735</v>
      </c>
      <c r="AJ167" t="s" s="44">
        <f>AG147</f>
        <v>542</v>
      </c>
      <c r="AK167" s="44"/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20.05" customHeight="1">
      <c r="AC168" s="36"/>
      <c r="AD168" s="38"/>
      <c r="AE168" t="s" s="44">
        <f>AE123</f>
        <v>18</v>
      </c>
      <c r="AF168" t="s" s="44">
        <f>AF123</f>
        <v>108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f>AE124</f>
        <v>70</v>
      </c>
      <c r="AF169" t="s" s="44">
        <f>AF124</f>
        <v>109</v>
      </c>
      <c r="AG169" t="s" s="44">
        <f>AG124</f>
        <v>372</v>
      </c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20.05" customHeight="1">
      <c r="AC170" s="36"/>
      <c r="AD170" s="38"/>
      <c r="AE170" s="15">
        <f>AE125</f>
        <v>808</v>
      </c>
      <c r="AF170" t="s" s="44">
        <f>AF125</f>
        <v>72</v>
      </c>
      <c r="AG170" s="15">
        <f>AG125</f>
        <v>904</v>
      </c>
      <c r="AH170" t="s" s="44">
        <f>AH125</f>
        <v>72</v>
      </c>
      <c r="AI170" s="15">
        <f>AI125</f>
        <v>841.3</v>
      </c>
      <c r="AJ170" t="s" s="44">
        <f>AJ125</f>
        <v>72</v>
      </c>
      <c r="AK170" s="15">
        <f>AK125</f>
        <v>611</v>
      </c>
      <c r="AL170" t="s" s="44">
        <f>AL125</f>
        <v>72</v>
      </c>
      <c r="AM170" s="15">
        <f>AM125</f>
        <v>609</v>
      </c>
      <c r="AN170" s="17"/>
      <c r="AO170" s="17"/>
      <c r="AP170" s="17"/>
      <c r="AQ170" s="17"/>
      <c r="AR170" s="17"/>
      <c r="AS170" s="17"/>
      <c r="AT170" s="17"/>
      <c r="AU170" s="17"/>
      <c r="AV170" s="17"/>
    </row>
    <row r="171" ht="20.05" customHeight="1">
      <c r="AC171" s="36"/>
      <c r="AD171" s="38"/>
      <c r="AE171" s="15">
        <f>AE126</f>
        <v>3640</v>
      </c>
      <c r="AF171" t="s" s="44">
        <f>AF126</f>
        <v>72</v>
      </c>
      <c r="AG171" s="15">
        <f>AG126</f>
        <v>3736</v>
      </c>
      <c r="AH171" t="s" s="44">
        <f>AH126</f>
        <v>72</v>
      </c>
      <c r="AI171" s="15">
        <f>AI126</f>
        <v>4134</v>
      </c>
      <c r="AJ171" t="s" s="44">
        <f>AJ126</f>
        <v>72</v>
      </c>
      <c r="AK171" s="15">
        <f>AK126</f>
        <v>3627</v>
      </c>
      <c r="AL171" t="s" s="44">
        <f>AL126</f>
        <v>72</v>
      </c>
      <c r="AM171" s="15">
        <f>AM126</f>
        <v>3598</v>
      </c>
      <c r="AN171" s="17"/>
      <c r="AO171" s="17"/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f>AE127</f>
        <v>110</v>
      </c>
      <c r="AF172" t="s" s="44">
        <f>AF127</f>
        <v>370</v>
      </c>
      <c r="AG172" s="15">
        <f>AG127</f>
        <v>611</v>
      </c>
      <c r="AH172" t="s" s="44">
        <f>AH127</f>
        <v>76</v>
      </c>
      <c r="AI172" s="15">
        <f>AI127</f>
        <v>609</v>
      </c>
      <c r="AJ172" t="s" s="44">
        <f>AJ127</f>
        <v>372</v>
      </c>
      <c r="AK172" t="s" s="44">
        <f>AK127</f>
        <v>84</v>
      </c>
      <c r="AL172" t="s" s="44">
        <f>AL127</f>
        <v>74</v>
      </c>
      <c r="AM172" t="s" s="44">
        <f>AM127</f>
        <v>91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f>AE128</f>
        <v>112</v>
      </c>
      <c r="AF173" t="s" s="44">
        <f>AF128</f>
        <v>370</v>
      </c>
      <c r="AG173" s="15">
        <f>AG128</f>
        <v>3627</v>
      </c>
      <c r="AH173" t="s" s="44">
        <f>AH128</f>
        <v>76</v>
      </c>
      <c r="AI173" s="15">
        <f>AI128</f>
        <v>3598</v>
      </c>
      <c r="AJ173" t="s" s="44">
        <f>AJ128</f>
        <v>372</v>
      </c>
      <c r="AK173" t="s" s="44">
        <f>AK128</f>
        <v>113</v>
      </c>
      <c r="AL173" t="s" s="44">
        <f>AL128</f>
        <v>114</v>
      </c>
      <c r="AM173" t="s" s="44">
        <f>AM128</f>
        <v>108</v>
      </c>
      <c r="AN173" s="15">
        <f>AN128</f>
        <v>-3016</v>
      </c>
      <c r="AO173" t="s" s="44">
        <f>AO128</f>
        <v>76</v>
      </c>
      <c r="AP173" s="15">
        <f>AP128</f>
        <v>-2989</v>
      </c>
      <c r="AQ173" t="s" s="44">
        <f>AQ128</f>
        <v>372</v>
      </c>
      <c r="AR173" s="44"/>
      <c r="AS173" s="17"/>
      <c r="AT173" s="17"/>
      <c r="AU173" s="17"/>
      <c r="AV173" s="17"/>
    </row>
    <row r="174" ht="56.05" customHeight="1">
      <c r="AC174" s="36"/>
      <c r="AD174" s="38"/>
      <c r="AE174" t="s" s="44">
        <f>AE129</f>
        <v>116</v>
      </c>
      <c r="AF174" s="15">
        <f>AF129</f>
        <v>0</v>
      </c>
      <c r="AG174" t="s" s="44">
        <f>AG129</f>
        <v>372</v>
      </c>
      <c r="AH174" t="s" s="44">
        <f>AH129</f>
        <v>117</v>
      </c>
      <c r="AI174" t="s" s="44">
        <f>AI129</f>
      </c>
      <c r="AJ174" s="15">
        <f>AJ129</f>
        <v>-667.4065125</v>
      </c>
      <c r="AK174" t="s" s="44">
        <f>AK129</f>
        <v>372</v>
      </c>
      <c r="AL174" t="s" s="44">
        <f>AL129</f>
        <v>118</v>
      </c>
      <c r="AM174" t="s" s="44">
        <f>AM129</f>
        <v>119</v>
      </c>
      <c r="AN174" s="15">
        <f>AN129</f>
        <v>-2217.995152681060</v>
      </c>
      <c r="AO174" t="s" s="44">
        <f>AO129</f>
        <v>372</v>
      </c>
      <c r="AP174" t="s" s="44">
        <f>AP129</f>
        <v>120</v>
      </c>
      <c r="AQ174" s="17"/>
      <c r="AR174" s="17"/>
      <c r="AS174" s="17"/>
      <c r="AT174" s="17"/>
      <c r="AU174" s="17"/>
      <c r="AV174" s="17"/>
    </row>
    <row r="175" ht="20.05" customHeight="1">
      <c r="AC175" s="36"/>
      <c r="AD175" s="38"/>
      <c r="AE175" t="s" s="44">
        <f>AE130</f>
        <v>17</v>
      </c>
      <c r="AF175" t="s" s="44">
        <f>AF130</f>
        <v>121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68.05" customHeight="1">
      <c r="AC176" s="36"/>
      <c r="AD176" s="38"/>
      <c r="AE176" t="s" s="44">
        <f>AE131</f>
        <v>70</v>
      </c>
      <c r="AF176" t="s" s="44">
        <f>AF131</f>
        <v>122</v>
      </c>
      <c r="AG176" t="s" s="44">
        <f>AG131</f>
        <v>372</v>
      </c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20.05" customHeight="1">
      <c r="AC177" s="36"/>
      <c r="AD177" s="38"/>
      <c r="AE177" s="15">
        <f>AE132</f>
        <v>83.5</v>
      </c>
      <c r="AF177" t="s" s="44">
        <f>AF132</f>
        <v>72</v>
      </c>
      <c r="AG177" s="15">
        <f>AG132</f>
        <v>-36.4</v>
      </c>
      <c r="AH177" t="s" s="44">
        <f>AH132</f>
        <v>72</v>
      </c>
      <c r="AI177" s="15">
        <f>AI132</f>
        <v>60</v>
      </c>
      <c r="AJ177" t="s" s="44">
        <f>AJ132</f>
        <v>72</v>
      </c>
      <c r="AK177" s="15">
        <f>AK132</f>
        <v>60.5</v>
      </c>
      <c r="AL177" t="s" s="44">
        <f>AL132</f>
        <v>72</v>
      </c>
      <c r="AM177" s="15">
        <f>AM132</f>
        <v>-6.7</v>
      </c>
      <c r="AN177" s="17"/>
      <c r="AO177" s="17"/>
      <c r="AP177" s="17"/>
      <c r="AQ177" s="17"/>
      <c r="AR177" s="17"/>
      <c r="AS177" s="17"/>
      <c r="AT177" s="17"/>
      <c r="AU177" s="17"/>
      <c r="AV177" s="17"/>
    </row>
    <row r="178" ht="20.05" customHeight="1">
      <c r="AC178" s="36"/>
      <c r="AD178" s="38"/>
      <c r="AE178" s="15">
        <f>AE133</f>
        <v>157.2</v>
      </c>
      <c r="AF178" t="s" s="44">
        <f>AF133</f>
        <v>72</v>
      </c>
      <c r="AG178" s="15">
        <f>AG133</f>
        <v>11.4</v>
      </c>
      <c r="AH178" t="s" s="44">
        <f>AH133</f>
        <v>72</v>
      </c>
      <c r="AI178" s="15">
        <f>AI133</f>
        <v>0.3</v>
      </c>
      <c r="AJ178" t="s" s="44">
        <f>AJ133</f>
        <v>72</v>
      </c>
      <c r="AK178" s="15">
        <f>AK133</f>
        <v>221.5</v>
      </c>
      <c r="AL178" t="s" s="44">
        <f>AL133</f>
        <v>72</v>
      </c>
      <c r="AM178" s="15">
        <f>AM133</f>
        <v>0.8</v>
      </c>
      <c r="AN178" s="17"/>
      <c r="AO178" s="17"/>
      <c r="AP178" s="17"/>
      <c r="AQ178" s="17"/>
      <c r="AR178" s="17"/>
      <c r="AS178" s="17"/>
      <c r="AT178" s="17"/>
      <c r="AU178" s="17"/>
      <c r="AV178" s="17"/>
    </row>
    <row r="179" ht="44.05" customHeight="1">
      <c r="AC179" s="36"/>
      <c r="AD179" s="38"/>
      <c r="AE179" t="s" s="44">
        <f>AE134</f>
        <v>598</v>
      </c>
      <c r="AF179" t="s" s="44">
        <f>AF134</f>
        <v>121</v>
      </c>
      <c r="AG179" s="15">
        <f>AG134</f>
        <v>-5.9</v>
      </c>
      <c r="AH179" t="s" s="44">
        <f>AH134</f>
        <v>372</v>
      </c>
      <c r="AI179" t="s" s="44">
        <f>AI134</f>
        <v>73</v>
      </c>
      <c r="AJ179" t="s" s="44">
        <f>AJ134</f>
        <v>74</v>
      </c>
      <c r="AK179" t="s" s="44">
        <f>AK134</f>
        <v>75</v>
      </c>
      <c r="AL179" s="15">
        <f>AL134</f>
        <v>-6.7</v>
      </c>
      <c r="AM179" t="s" s="44">
        <f>AM134</f>
        <v>372</v>
      </c>
      <c r="AN179" t="s" s="44">
        <f>AN134</f>
        <v>123</v>
      </c>
      <c r="AO179" s="15">
        <f>AO134</f>
        <v>0.8</v>
      </c>
      <c r="AP179" t="s" s="44">
        <f>AP134</f>
        <v>372</v>
      </c>
      <c r="AQ179" t="s" s="44">
        <f>AQ134</f>
        <v>124</v>
      </c>
      <c r="AR179" t="s" s="44">
        <f>AR134</f>
        <v>125</v>
      </c>
      <c r="AS179" t="s" s="44">
        <f>AS134</f>
        <v>364</v>
      </c>
      <c r="AT179" s="15">
        <f>AT134</f>
        <v>667.4065125</v>
      </c>
      <c r="AU179" t="s" s="44">
        <f>AU134</f>
        <v>372</v>
      </c>
      <c r="AV179" t="s" s="44">
        <f>AV134</f>
        <v>126</v>
      </c>
    </row>
    <row r="180" ht="20.05" customHeight="1">
      <c r="AC180" s="36"/>
      <c r="AD180" s="34"/>
      <c r="AE180" s="17"/>
      <c r="AF180" s="17"/>
      <c r="AG180" s="17"/>
      <c r="AH180" s="17"/>
      <c r="AI180" s="15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  <c r="AV180" s="17"/>
    </row>
    <row r="181" ht="20.05" customHeight="1">
      <c r="AC181" t="s" s="33">
        <v>28</v>
      </c>
      <c r="AD181" s="14">
        <f>AE104</f>
        <v>2184.3</v>
      </c>
      <c r="AE181" s="15">
        <f>AG104</f>
        <v>2430.7</v>
      </c>
      <c r="AF181" s="15">
        <f>AI104</f>
        <v>2777</v>
      </c>
      <c r="AG181" s="15">
        <f>AK104</f>
        <v>2404.6</v>
      </c>
      <c r="AH181" s="15">
        <f>AM104</f>
        <v>2642.6</v>
      </c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  <c r="AV181" s="17"/>
    </row>
    <row r="182" ht="20.05" customHeight="1">
      <c r="AC182" t="s" s="33">
        <v>144</v>
      </c>
      <c r="AD182" s="14">
        <f>SUM(AE118:AE119)</f>
        <v>34.9</v>
      </c>
      <c r="AE182" s="15">
        <f>SUM(AG118:AG119)</f>
        <v>71.59999999999999</v>
      </c>
      <c r="AF182" s="15">
        <f>SUM(AI118:AI119)</f>
        <v>11.7</v>
      </c>
      <c r="AG182" s="15">
        <f>SUM(AK118:AK119)</f>
        <v>37.6</v>
      </c>
      <c r="AH182" s="15">
        <f>SUM(AM118:AM119)</f>
        <v>-8.300000000000001</v>
      </c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145</v>
      </c>
      <c r="AD183" s="14">
        <f>SUM(AE132:AE133)</f>
        <v>240.7</v>
      </c>
      <c r="AE183" s="15">
        <f>SUM(AG132:AG133)</f>
        <v>-25</v>
      </c>
      <c r="AF183" s="15">
        <f>SUM(AI132:AI133)</f>
        <v>60.3</v>
      </c>
      <c r="AG183" s="15">
        <f>SUM(AK132:AK133)</f>
        <v>282</v>
      </c>
      <c r="AH183" s="15">
        <f>SUM(AM132:AM133)</f>
        <v>-5.9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146</v>
      </c>
      <c r="AD184" s="14">
        <f>(AE125-AE126)</f>
        <v>-2832</v>
      </c>
      <c r="AE184" s="15">
        <f>(AG125-AG126)</f>
        <v>-2832</v>
      </c>
      <c r="AF184" s="15">
        <f>(AI125-AI126)</f>
        <v>-3292.7</v>
      </c>
      <c r="AG184" s="15">
        <f>(AK125-AK126)</f>
        <v>-3016</v>
      </c>
      <c r="AH184" s="15">
        <f>(AM125-AM126)</f>
        <v>-2989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s="36"/>
      <c r="AD185" s="34"/>
      <c r="AE185" s="17"/>
      <c r="AF185" s="17"/>
      <c r="AG185" s="17"/>
      <c r="AH185" s="15">
        <f>AT136</f>
        <v>548.732366364755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s="36"/>
      <c r="AD186" s="34"/>
      <c r="AE186" s="17"/>
      <c r="AF186" s="17"/>
      <c r="AG186" s="17"/>
      <c r="AH186" s="17"/>
      <c r="AI186" s="15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7"/>
      <c r="AI187" s="15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39" customWidth="1"/>
    <col min="2" max="28" width="10.4844" style="239" customWidth="1"/>
    <col min="29" max="29" width="18.9766" style="240" customWidth="1"/>
    <col min="30" max="48" width="9" style="240" customWidth="1"/>
    <col min="49" max="16384" width="16.3516" style="240" customWidth="1"/>
  </cols>
  <sheetData>
    <row r="1" ht="11.65" customHeight="1"/>
    <row r="2" ht="27.65" customHeight="1">
      <c r="B2" t="s" s="2">
        <v>599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331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59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66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26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6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26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69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26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69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5"/>
      <c r="AA8" s="22"/>
      <c r="AB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F9-G9</f>
        <v>0</v>
      </c>
      <c r="Y9" s="24"/>
      <c r="Z9" s="15"/>
      <c r="AA9" s="22"/>
      <c r="AB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5"/>
      <c r="AA10" s="22"/>
      <c r="AB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5"/>
      <c r="AA11" s="22"/>
      <c r="AB11" s="20">
        <v>14.38</v>
      </c>
    </row>
    <row r="12" ht="20.05" customHeight="1">
      <c r="B12" s="21">
        <v>2019</v>
      </c>
      <c r="C12" s="14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>
        <f>SUM(C9:C12)/4</f>
        <v>0</v>
      </c>
      <c r="O12" s="23"/>
      <c r="P12" s="16"/>
      <c r="Q12" s="16"/>
      <c r="R12" s="16"/>
      <c r="S12" s="17"/>
      <c r="T12" s="15">
        <f>SUM(J9:K12)/4</f>
        <v>0</v>
      </c>
      <c r="U12" s="25"/>
      <c r="V12" s="15">
        <f>-(L12+M12)+V11</f>
        <v>0</v>
      </c>
      <c r="W12" s="17"/>
      <c r="X12" s="15">
        <f>F12-G12</f>
        <v>0</v>
      </c>
      <c r="Y12" s="24"/>
      <c r="Z12" s="15"/>
      <c r="AA12" s="22"/>
      <c r="AB12" s="20">
        <v>14.24</v>
      </c>
    </row>
    <row r="13" ht="20.05" customHeight="1">
      <c r="B13" s="13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>
        <f>SUM(C10:C13)/4</f>
        <v>0</v>
      </c>
      <c r="O13" s="23"/>
      <c r="P13" s="16"/>
      <c r="Q13" s="16"/>
      <c r="R13" s="16"/>
      <c r="S13" s="17"/>
      <c r="T13" s="15">
        <f>SUM(J10:K13)/4</f>
        <v>0</v>
      </c>
      <c r="U13" s="25"/>
      <c r="V13" s="15">
        <f>-(L13+M13)+V12</f>
        <v>0</v>
      </c>
      <c r="W13" s="17"/>
      <c r="X13" s="15">
        <f>F13-G13</f>
        <v>0</v>
      </c>
      <c r="Y13" s="24"/>
      <c r="Z13" s="15"/>
      <c r="AA13" s="24"/>
      <c r="AB13" s="15">
        <v>14.127</v>
      </c>
    </row>
    <row r="14" ht="20.05" customHeight="1">
      <c r="B14" s="13"/>
      <c r="C14" s="14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>
        <f>SUM(C11:C14)/4</f>
        <v>0</v>
      </c>
      <c r="O14" s="23"/>
      <c r="P14" s="16"/>
      <c r="Q14" s="16"/>
      <c r="R14" s="16"/>
      <c r="S14" s="17"/>
      <c r="T14" s="15">
        <f>SUM(J11:K14)/4</f>
        <v>0</v>
      </c>
      <c r="U14" s="25"/>
      <c r="V14" s="15">
        <f>-(L14+M14)+V13</f>
        <v>0</v>
      </c>
      <c r="W14" s="17"/>
      <c r="X14" s="15">
        <f>F14-G14</f>
        <v>0</v>
      </c>
      <c r="Y14" s="24"/>
      <c r="Z14" s="15"/>
      <c r="AA14" s="24"/>
      <c r="AB14" s="15">
        <v>14.195</v>
      </c>
    </row>
    <row r="15" ht="20.05" customHeight="1">
      <c r="B15" s="13"/>
      <c r="C15" s="14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>
        <f>SUM(C12:C15)/4</f>
        <v>0</v>
      </c>
      <c r="O15" s="15"/>
      <c r="P15" s="16"/>
      <c r="Q15" s="16"/>
      <c r="R15" s="16"/>
      <c r="S15" s="17"/>
      <c r="T15" s="15">
        <f>SUM(J12:K15)/4</f>
        <v>0</v>
      </c>
      <c r="U15" s="25"/>
      <c r="V15" s="15">
        <f>-(L15+M15)+V14</f>
        <v>0</v>
      </c>
      <c r="W15" s="17"/>
      <c r="X15" s="15">
        <f>F15-G15</f>
        <v>0</v>
      </c>
      <c r="Y15" s="24"/>
      <c r="Z15" s="15"/>
      <c r="AA15" s="24"/>
      <c r="AB15" s="15">
        <v>13.882</v>
      </c>
    </row>
    <row r="16" ht="20.05" customHeight="1">
      <c r="B16" s="21">
        <v>2020</v>
      </c>
      <c r="C16" s="14">
        <v>832</v>
      </c>
      <c r="D16" s="15">
        <v>311.75</v>
      </c>
      <c r="E16" s="15">
        <v>-1045.9375</v>
      </c>
      <c r="F16" s="15"/>
      <c r="G16" s="15"/>
      <c r="H16" s="15"/>
      <c r="I16" s="15"/>
      <c r="J16" s="15"/>
      <c r="K16" s="15"/>
      <c r="L16" s="15"/>
      <c r="M16" s="15"/>
      <c r="N16" s="15">
        <f>SUM(C13:C16)/4</f>
        <v>208</v>
      </c>
      <c r="O16" s="15"/>
      <c r="P16" s="16"/>
      <c r="Q16" s="16"/>
      <c r="R16" s="16"/>
      <c r="S16" s="17"/>
      <c r="T16" s="15">
        <f>SUM(J13:K16)/4</f>
        <v>0</v>
      </c>
      <c r="U16" s="25"/>
      <c r="V16" s="15">
        <f>-(L16+M16)+V15</f>
        <v>0</v>
      </c>
      <c r="W16" s="17"/>
      <c r="X16" s="15">
        <f>F16-G16</f>
        <v>0</v>
      </c>
      <c r="Y16" s="24"/>
      <c r="Z16" s="15"/>
      <c r="AA16" s="24"/>
      <c r="AB16" s="15">
        <v>16.31</v>
      </c>
    </row>
    <row r="17" ht="20.05" customHeight="1">
      <c r="B17" s="13"/>
      <c r="C17" s="14">
        <v>832</v>
      </c>
      <c r="D17" s="15">
        <v>311.75</v>
      </c>
      <c r="E17" s="15">
        <v>-1045.9375</v>
      </c>
      <c r="F17" s="15"/>
      <c r="G17" s="15"/>
      <c r="H17" s="15"/>
      <c r="I17" s="15"/>
      <c r="J17" s="15"/>
      <c r="K17" s="15"/>
      <c r="L17" s="15"/>
      <c r="M17" s="15"/>
      <c r="N17" s="15">
        <f>SUM(C14:C17)/4</f>
        <v>416</v>
      </c>
      <c r="O17" s="15"/>
      <c r="P17" s="16">
        <f>C17/C16-1</f>
        <v>0</v>
      </c>
      <c r="Q17" s="16"/>
      <c r="R17" s="16"/>
      <c r="S17" s="17"/>
      <c r="T17" s="15">
        <f>SUM(J14:K17)/4</f>
        <v>0</v>
      </c>
      <c r="U17" s="25"/>
      <c r="V17" s="15">
        <f>-(L17+M17)+V16</f>
        <v>0</v>
      </c>
      <c r="W17" s="17"/>
      <c r="X17" s="15">
        <f>F17-G17</f>
        <v>0</v>
      </c>
      <c r="Y17" s="24"/>
      <c r="Z17" s="15"/>
      <c r="AA17" s="24"/>
      <c r="AB17" s="15">
        <v>14.255</v>
      </c>
    </row>
    <row r="18" ht="20.05" customHeight="1">
      <c r="B18" s="13"/>
      <c r="C18" s="14">
        <v>832</v>
      </c>
      <c r="D18" s="15">
        <v>311.75</v>
      </c>
      <c r="E18" s="15">
        <v>-1045.9375</v>
      </c>
      <c r="F18" s="15"/>
      <c r="G18" s="15"/>
      <c r="H18" s="15"/>
      <c r="I18" s="15"/>
      <c r="J18" s="15"/>
      <c r="K18" s="15"/>
      <c r="L18" s="15"/>
      <c r="M18" s="15"/>
      <c r="N18" s="15">
        <f>SUM(C15:C18)/4</f>
        <v>624</v>
      </c>
      <c r="O18" s="15"/>
      <c r="P18" s="16">
        <f>C18/C17-1</f>
        <v>0</v>
      </c>
      <c r="Q18" s="16"/>
      <c r="R18" s="16"/>
      <c r="S18" s="17"/>
      <c r="T18" s="15">
        <f>SUM(J15:K18)/4</f>
        <v>0</v>
      </c>
      <c r="U18" s="25"/>
      <c r="V18" s="15">
        <f>-(L18+M18)+V17</f>
        <v>0</v>
      </c>
      <c r="W18" s="17"/>
      <c r="X18" s="15">
        <f>F18-G18</f>
        <v>0</v>
      </c>
      <c r="Y18" s="24"/>
      <c r="Z18" s="15"/>
      <c r="AA18" s="24"/>
      <c r="AB18" s="15">
        <v>14.79</v>
      </c>
    </row>
    <row r="19" ht="20.05" customHeight="1">
      <c r="B19" s="13"/>
      <c r="C19" s="14">
        <v>832</v>
      </c>
      <c r="D19" s="15">
        <v>311.75</v>
      </c>
      <c r="E19" s="15">
        <v>-1045.9375</v>
      </c>
      <c r="F19" s="15"/>
      <c r="G19" s="15"/>
      <c r="H19" s="15"/>
      <c r="I19" s="15"/>
      <c r="J19" s="15"/>
      <c r="K19" s="15"/>
      <c r="L19" s="15"/>
      <c r="M19" s="15"/>
      <c r="N19" s="15">
        <f>SUM(C16:C19)/4</f>
        <v>832</v>
      </c>
      <c r="O19" s="15"/>
      <c r="P19" s="16">
        <f>C19/C18-1</f>
        <v>0</v>
      </c>
      <c r="Q19" s="16"/>
      <c r="R19" s="16"/>
      <c r="S19" s="17"/>
      <c r="T19" s="15">
        <f>SUM(J16:K19)/4</f>
        <v>0</v>
      </c>
      <c r="U19" s="25"/>
      <c r="V19" s="15">
        <f>-(L19+M19)+V18</f>
        <v>0</v>
      </c>
      <c r="W19" s="17"/>
      <c r="X19" s="15">
        <f>F19-G19</f>
        <v>0</v>
      </c>
      <c r="Y19" s="24"/>
      <c r="Z19" s="15"/>
      <c r="AA19" s="24"/>
      <c r="AB19" s="15">
        <v>14.1</v>
      </c>
    </row>
    <row r="20" ht="20.05" customHeight="1">
      <c r="B20" s="21">
        <v>2021</v>
      </c>
      <c r="C20" s="14">
        <v>905</v>
      </c>
      <c r="D20" s="15">
        <v>604.25</v>
      </c>
      <c r="E20" s="15">
        <v>-1957.5</v>
      </c>
      <c r="F20" s="15"/>
      <c r="G20" s="15"/>
      <c r="H20" s="15"/>
      <c r="I20" s="15">
        <v>2087</v>
      </c>
      <c r="J20" s="15">
        <v>-1224</v>
      </c>
      <c r="K20" s="15">
        <v>-2073</v>
      </c>
      <c r="L20" s="15">
        <v>695</v>
      </c>
      <c r="M20" s="15">
        <v>-146</v>
      </c>
      <c r="N20" s="15">
        <f>SUM(C17:C20)/4</f>
        <v>850.25</v>
      </c>
      <c r="O20" s="15"/>
      <c r="P20" s="16">
        <f>C20/C19-1</f>
        <v>0.0877403846153846</v>
      </c>
      <c r="Q20" s="16">
        <f>J20/I20</f>
        <v>-0.5864877815045521</v>
      </c>
      <c r="R20" s="16">
        <f>AVERAGE(Q17:Q20)</f>
        <v>-0.5864877815045521</v>
      </c>
      <c r="S20" s="17"/>
      <c r="T20" s="15">
        <f>SUM(J17:K20)/4</f>
        <v>-824.25</v>
      </c>
      <c r="U20" s="25"/>
      <c r="V20" s="15">
        <f>-(L20+M20)+V19</f>
        <v>-549</v>
      </c>
      <c r="W20" s="17"/>
      <c r="X20" s="15">
        <f>F20-G20</f>
        <v>0</v>
      </c>
      <c r="Y20" s="15"/>
      <c r="Z20" s="15"/>
      <c r="AA20" s="15"/>
      <c r="AB20" s="15">
        <v>14.606</v>
      </c>
    </row>
    <row r="21" ht="20.05" customHeight="1">
      <c r="B21" s="13"/>
      <c r="C21" s="14">
        <v>1057</v>
      </c>
      <c r="D21" s="15">
        <v>604.25</v>
      </c>
      <c r="E21" s="15">
        <v>-6823.833333333330</v>
      </c>
      <c r="F21" s="15"/>
      <c r="G21" s="15"/>
      <c r="H21" s="15"/>
      <c r="I21" s="15">
        <v>3162</v>
      </c>
      <c r="J21" s="15">
        <v>-2487</v>
      </c>
      <c r="K21" s="15">
        <v>-91268</v>
      </c>
      <c r="L21" s="15">
        <v>-2215</v>
      </c>
      <c r="M21" s="15">
        <v>104531</v>
      </c>
      <c r="N21" s="15">
        <f>SUM(C18:C21)/4</f>
        <v>906.5</v>
      </c>
      <c r="O21" s="15"/>
      <c r="P21" s="16">
        <f>C21/C20-1</f>
        <v>0.167955801104972</v>
      </c>
      <c r="Q21" s="16">
        <f>J21/I21</f>
        <v>-0.786527514231499</v>
      </c>
      <c r="R21" s="16">
        <f>AVERAGE(Q18:Q21)</f>
        <v>-0.686507647868026</v>
      </c>
      <c r="S21" s="17"/>
      <c r="T21" s="15">
        <f>SUM(J18:K21)/4</f>
        <v>-24263</v>
      </c>
      <c r="U21" s="25"/>
      <c r="V21" s="15">
        <f>-(L21+M21)+V20</f>
        <v>-102865</v>
      </c>
      <c r="W21" s="17"/>
      <c r="X21" s="15">
        <f>F21-G21</f>
        <v>0</v>
      </c>
      <c r="Y21" s="15"/>
      <c r="Z21" s="17"/>
      <c r="AA21" s="17"/>
      <c r="AB21" s="15">
        <v>14.45</v>
      </c>
    </row>
    <row r="22" ht="20.05" customHeight="1">
      <c r="B22" s="13"/>
      <c r="C22" s="14">
        <v>1287</v>
      </c>
      <c r="D22" s="15">
        <v>604.25</v>
      </c>
      <c r="E22" s="15">
        <v>-6823.833333333330</v>
      </c>
      <c r="F22" s="15"/>
      <c r="G22" s="15"/>
      <c r="H22" s="15"/>
      <c r="I22" s="15">
        <v>5113.5</v>
      </c>
      <c r="J22" s="15">
        <v>-5600.5</v>
      </c>
      <c r="K22" s="15">
        <v>1045</v>
      </c>
      <c r="L22" s="15">
        <v>-1049</v>
      </c>
      <c r="M22" s="15">
        <v>15492.5</v>
      </c>
      <c r="N22" s="15">
        <f>SUM(C19:C22)/4</f>
        <v>1020.25</v>
      </c>
      <c r="O22" s="15"/>
      <c r="P22" s="16">
        <f>C22/C21-1</f>
        <v>0.21759697256386</v>
      </c>
      <c r="Q22" s="16">
        <f>J22/I22</f>
        <v>-1.0952380952381</v>
      </c>
      <c r="R22" s="16">
        <f>AVERAGE(Q19:Q22)</f>
        <v>-0.822751130324717</v>
      </c>
      <c r="S22" s="17"/>
      <c r="T22" s="15">
        <f>SUM(J19:K22)/4</f>
        <v>-25401.875</v>
      </c>
      <c r="U22" s="25"/>
      <c r="V22" s="15">
        <f>-(L22+M22)+V21</f>
        <v>-117308.5</v>
      </c>
      <c r="W22" s="17"/>
      <c r="X22" s="15">
        <f>F22-G22</f>
        <v>0</v>
      </c>
      <c r="Y22" s="15"/>
      <c r="Z22" s="15"/>
      <c r="AA22" s="17"/>
      <c r="AB22" s="15">
        <v>14.328</v>
      </c>
    </row>
    <row r="23" ht="20.05" customHeight="1">
      <c r="B23" s="13"/>
      <c r="C23" s="14">
        <v>1287</v>
      </c>
      <c r="D23" s="15">
        <v>604.25</v>
      </c>
      <c r="E23" s="15">
        <v>-6823.833333333330</v>
      </c>
      <c r="F23" s="15">
        <v>31152</v>
      </c>
      <c r="G23" s="15">
        <v>16113</v>
      </c>
      <c r="H23" s="15">
        <v>155137</v>
      </c>
      <c r="I23" s="15">
        <v>5113.5</v>
      </c>
      <c r="J23" s="15">
        <v>-5600.5</v>
      </c>
      <c r="K23" s="15">
        <v>1045</v>
      </c>
      <c r="L23" s="15">
        <v>-1049</v>
      </c>
      <c r="M23" s="15">
        <v>15492.5</v>
      </c>
      <c r="N23" s="15">
        <f>SUM(C20:C23)/4</f>
        <v>1134</v>
      </c>
      <c r="O23" s="15"/>
      <c r="P23" s="16">
        <f>C23/C22-1</f>
        <v>0</v>
      </c>
      <c r="Q23" s="16">
        <f>J23/I23</f>
        <v>-1.0952380952381</v>
      </c>
      <c r="R23" s="16">
        <f>AVERAGE(Q20:Q23)</f>
        <v>-0.8908728715530631</v>
      </c>
      <c r="S23" s="17"/>
      <c r="T23" s="15">
        <f>SUM(J20:K23)/4</f>
        <v>-26540.75</v>
      </c>
      <c r="U23" s="25"/>
      <c r="V23" s="15">
        <f>-(L23+M23)+V22</f>
        <v>-131752</v>
      </c>
      <c r="W23" s="17"/>
      <c r="X23" s="15">
        <f>F23-G23</f>
        <v>15039</v>
      </c>
      <c r="Y23" s="15"/>
      <c r="Z23" s="15"/>
      <c r="AA23" s="15"/>
      <c r="AB23" s="15">
        <v>14.275</v>
      </c>
    </row>
    <row r="24" ht="20.05" customHeight="1">
      <c r="B24" s="21">
        <v>2022</v>
      </c>
      <c r="C24" s="14">
        <v>1497</v>
      </c>
      <c r="D24" s="15">
        <v>761.5</v>
      </c>
      <c r="E24" s="15">
        <v>-6614</v>
      </c>
      <c r="F24" s="15">
        <v>27073</v>
      </c>
      <c r="G24" s="15">
        <v>16615</v>
      </c>
      <c r="H24" s="15">
        <v>151138</v>
      </c>
      <c r="I24" s="15">
        <v>5197</v>
      </c>
      <c r="J24" s="15">
        <v>-3373</v>
      </c>
      <c r="K24" s="15">
        <v>-879</v>
      </c>
      <c r="L24" s="15">
        <v>-9</v>
      </c>
      <c r="M24" s="15">
        <v>0</v>
      </c>
      <c r="N24" s="15">
        <f>SUM(C21:C24)/4</f>
        <v>1282</v>
      </c>
      <c r="O24" s="15"/>
      <c r="P24" s="16">
        <f>C24/C23-1</f>
        <v>0.163170163170163</v>
      </c>
      <c r="Q24" s="16">
        <f>J24/I24</f>
        <v>-0.649028285549355</v>
      </c>
      <c r="R24" s="16">
        <f>AVERAGE(Q21:Q24)</f>
        <v>-0.906507997564264</v>
      </c>
      <c r="S24" s="35"/>
      <c r="T24" s="15">
        <f>SUM(J21:K24)/4</f>
        <v>-26779.5</v>
      </c>
      <c r="U24" s="15"/>
      <c r="V24" s="15">
        <f>-(L24+M24)+V23</f>
        <v>-131743</v>
      </c>
      <c r="W24" s="15"/>
      <c r="X24" s="15">
        <f>F24-G24</f>
        <v>10458</v>
      </c>
      <c r="Y24" s="15">
        <v>-22524.49186</v>
      </c>
      <c r="Z24" s="15">
        <v>394</v>
      </c>
      <c r="AA24" s="15"/>
      <c r="AB24" s="15">
        <v>14.327</v>
      </c>
    </row>
    <row r="25" ht="20.05" customHeight="1">
      <c r="B25" s="13"/>
      <c r="C25" s="14">
        <v>1903</v>
      </c>
      <c r="D25" s="15">
        <v>777.5</v>
      </c>
      <c r="E25" s="15">
        <v>-7556</v>
      </c>
      <c r="F25" s="15">
        <v>35278</v>
      </c>
      <c r="G25" s="15">
        <v>15787</v>
      </c>
      <c r="H25" s="15">
        <v>158921</v>
      </c>
      <c r="I25" s="15">
        <v>5388</v>
      </c>
      <c r="J25" s="15">
        <v>-7167</v>
      </c>
      <c r="K25" s="15">
        <v>1405</v>
      </c>
      <c r="L25" s="15">
        <v>-116</v>
      </c>
      <c r="M25" s="15">
        <v>13728</v>
      </c>
      <c r="N25" s="15">
        <f>SUM(C22:C25)/4</f>
        <v>1493.5</v>
      </c>
      <c r="O25" s="15"/>
      <c r="P25" s="16">
        <f>C25/C24-1</f>
        <v>0.271209084836339</v>
      </c>
      <c r="Q25" s="16">
        <f>J25/I25</f>
        <v>-1.33017817371938</v>
      </c>
      <c r="R25" s="16">
        <f>AVERAGE(Q22:Q25)</f>
        <v>-1.04242066243623</v>
      </c>
      <c r="S25" s="35"/>
      <c r="T25" s="15">
        <f>SUM(J22:K25)/4</f>
        <v>-4781.25</v>
      </c>
      <c r="U25" s="15">
        <v>-4178.80348</v>
      </c>
      <c r="V25" s="15">
        <f>-(L25+M25)+V24</f>
        <v>-145355</v>
      </c>
      <c r="W25" s="15"/>
      <c r="X25" s="15">
        <f>F25-G25</f>
        <v>19491</v>
      </c>
      <c r="Y25" s="15">
        <v>-20575.3163972509</v>
      </c>
      <c r="Z25" s="15">
        <v>388</v>
      </c>
      <c r="AA25" s="15"/>
      <c r="AB25" s="15">
        <v>14.66</v>
      </c>
    </row>
    <row r="26" ht="20.05" customHeight="1">
      <c r="B26" s="13"/>
      <c r="C26" s="14">
        <f>C42-C25-C24</f>
        <v>4569</v>
      </c>
      <c r="D26" s="15">
        <f>D42-D25-D24</f>
        <v>-1539</v>
      </c>
      <c r="E26" s="15">
        <f>E42-E25-E24</f>
        <v>-6742</v>
      </c>
      <c r="F26" s="15">
        <v>31617</v>
      </c>
      <c r="G26" s="15">
        <v>15797</v>
      </c>
      <c r="H26" s="15">
        <v>154796</v>
      </c>
      <c r="I26" s="15">
        <f>I42-I25-I24</f>
        <v>5922</v>
      </c>
      <c r="J26" s="15">
        <f>J42-J25-J24</f>
        <v>-3442</v>
      </c>
      <c r="K26" s="15">
        <f>K42-K25-K24</f>
        <v>-175</v>
      </c>
      <c r="L26" s="15">
        <f>L42-L25-L24</f>
        <v>-139</v>
      </c>
      <c r="M26" s="15">
        <f>M42-M25-M24</f>
        <v>0</v>
      </c>
      <c r="N26" s="15">
        <f>SUM(C23:C26)/4</f>
        <v>2314</v>
      </c>
      <c r="O26" s="15"/>
      <c r="P26" s="16">
        <f>C26/C25-1</f>
        <v>1.40094587493431</v>
      </c>
      <c r="Q26" s="16">
        <f>J26/I26</f>
        <v>-0.5812225599459639</v>
      </c>
      <c r="R26" s="16">
        <f>AVERAGE(Q23:Q26)</f>
        <v>-0.9139167786132</v>
      </c>
      <c r="S26" s="35">
        <f>S27</f>
        <v>-0.576510598178359</v>
      </c>
      <c r="T26" s="15">
        <f>SUM(J23:K26)/4</f>
        <v>-4546.625</v>
      </c>
      <c r="U26" s="15">
        <v>-4320.9928</v>
      </c>
      <c r="V26" s="15">
        <f>-(L26+M26)+V25</f>
        <v>-145216</v>
      </c>
      <c r="W26" s="15">
        <f>W27</f>
        <v>-154637.8523</v>
      </c>
      <c r="X26" s="15">
        <f>F26-G26</f>
        <v>15820</v>
      </c>
      <c r="Y26" s="15">
        <v>-20954.9779068575</v>
      </c>
      <c r="Z26" s="15">
        <v>246</v>
      </c>
      <c r="AA26" s="15">
        <v>281.240295504513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6891.536925</v>
      </c>
      <c r="P27" s="17"/>
      <c r="Q27" s="17"/>
      <c r="R27" s="17"/>
      <c r="S27" s="35">
        <f>AE54</f>
        <v>-0.576510598178359</v>
      </c>
      <c r="T27" s="15"/>
      <c r="U27" s="15">
        <f>SUM(AE56:AH56)/4</f>
        <v>-2355.463075</v>
      </c>
      <c r="V27" s="17"/>
      <c r="W27" s="15">
        <f>-SUM(AE77:AH77)+V26</f>
        <v>-154637.8523</v>
      </c>
      <c r="X27" s="17"/>
      <c r="Y27" s="15">
        <f>AH76</f>
        <v>6398.1477</v>
      </c>
      <c r="Z27" s="15">
        <v>105</v>
      </c>
      <c r="AA27" s="15">
        <v>278.961229574831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SUM(N26)</f>
        <v>2314</v>
      </c>
      <c r="O28" s="15">
        <f>SUM(O19:O26)</f>
        <v>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AH90</f>
        <v>133.990568431438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>
        <v>7969</v>
      </c>
      <c r="D42" s="15"/>
      <c r="E42" s="15">
        <v>-20912</v>
      </c>
      <c r="F42" s="15"/>
      <c r="G42" s="15"/>
      <c r="H42" s="15"/>
      <c r="I42" s="15">
        <v>16507</v>
      </c>
      <c r="J42" s="15">
        <v>-13982</v>
      </c>
      <c r="K42" s="15">
        <v>351</v>
      </c>
      <c r="L42" s="15">
        <v>-264</v>
      </c>
      <c r="M42" s="15">
        <v>13728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331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0.458831280735203</v>
      </c>
      <c r="AF49" s="35"/>
      <c r="AG49" s="35"/>
      <c r="AH49" s="35">
        <f>AVERAGE(AE51:AH51)</f>
        <v>0.15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</v>
      </c>
      <c r="AF50" s="35">
        <f>P24</f>
        <v>0.163170163170163</v>
      </c>
      <c r="AG50" s="35">
        <f>P25</f>
        <v>0.271209084836339</v>
      </c>
      <c r="AH50" s="35">
        <f>P26</f>
        <v>1.40094587493431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0.3</v>
      </c>
      <c r="AF51" s="35">
        <v>0.1</v>
      </c>
      <c r="AG51" s="35">
        <v>0.1</v>
      </c>
      <c r="AH51" s="35">
        <v>0.1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4569</v>
      </c>
      <c r="AE52" s="23">
        <f>AD52*(1+AE51)</f>
        <v>5939.7</v>
      </c>
      <c r="AF52" s="23">
        <f>AE52*(1+AF51)</f>
        <v>6533.67</v>
      </c>
      <c r="AG52" s="23">
        <f>AF52*(1+AG51)</f>
        <v>7187.037</v>
      </c>
      <c r="AH52" s="23">
        <f>AG52*(1+AH51)</f>
        <v>7905.7407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600</v>
      </c>
      <c r="AD53" s="37"/>
      <c r="AE53" s="26">
        <f>J26-I26</f>
        <v>-9364</v>
      </c>
      <c r="AF53" s="25">
        <f>AE53</f>
        <v>-9364</v>
      </c>
      <c r="AG53" s="25">
        <f>AF53</f>
        <v>-9364</v>
      </c>
      <c r="AH53" s="25">
        <f>AG53</f>
        <v>-9364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14</v>
      </c>
      <c r="AD54" s="37"/>
      <c r="AE54" s="35">
        <f>(AE52+AE53)/AE52</f>
        <v>-0.576510598178359</v>
      </c>
      <c r="AF54" s="35">
        <f>(AF52+AF53)/AF52</f>
        <v>-0.433191452889417</v>
      </c>
      <c r="AG54" s="35">
        <f>(AG52+AG53)/AG52</f>
        <v>-0.302901320808561</v>
      </c>
      <c r="AH54" s="35">
        <f>(AH52+AH53)/AH52</f>
        <v>-0.184455746189601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ht="20.05" customHeight="1">
      <c r="AC55" t="s" s="33">
        <v>29</v>
      </c>
      <c r="AD55" s="14"/>
      <c r="AE55" s="26">
        <f>AVERAGE(K24:K26)</f>
        <v>117</v>
      </c>
      <c r="AF55" s="26">
        <f>AE55</f>
        <v>117</v>
      </c>
      <c r="AG55" s="26">
        <f>AF55</f>
        <v>117</v>
      </c>
      <c r="AH55" s="26">
        <f>AG55</f>
        <v>117</v>
      </c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15"/>
    </row>
    <row r="56" ht="20.05" customHeight="1">
      <c r="AC56" t="s" s="33">
        <v>30</v>
      </c>
      <c r="AD56" s="14"/>
      <c r="AE56" s="26">
        <f>(AE52*AE54)+AE55</f>
        <v>-3307.3</v>
      </c>
      <c r="AF56" s="26">
        <f>(AF52*AF54)+AF55</f>
        <v>-2713.33</v>
      </c>
      <c r="AG56" s="26">
        <f>(AG52*AG54)+AG55</f>
        <v>-2059.963</v>
      </c>
      <c r="AH56" s="26">
        <f>(AH52*AH54)+AH55</f>
        <v>-1341.2593</v>
      </c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15"/>
    </row>
    <row r="57" ht="20.05" customHeight="1">
      <c r="AC57" t="s" s="33">
        <v>31</v>
      </c>
      <c r="AD57" s="14"/>
      <c r="AE57" s="26">
        <f>-G26/20</f>
        <v>-789.85</v>
      </c>
      <c r="AF57" s="26">
        <f>-AE72/20</f>
        <v>-750.3575</v>
      </c>
      <c r="AG57" s="26">
        <f>-AF72/20</f>
        <v>-712.839625</v>
      </c>
      <c r="AH57" s="26">
        <f>-AG72/20</f>
        <v>-677.19764375</v>
      </c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15"/>
    </row>
    <row r="58" ht="20.05" customHeight="1">
      <c r="AC58" t="s" s="33">
        <v>32</v>
      </c>
      <c r="AD58" s="39"/>
      <c r="AE58" s="40">
        <v>0</v>
      </c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15"/>
    </row>
    <row r="59" ht="20.05" customHeight="1">
      <c r="AC59" t="s" s="33">
        <v>33</v>
      </c>
      <c r="AD59" s="14"/>
      <c r="AE59" s="26">
        <f>IF(AE67&gt;0,AE67*$AE$58,0)</f>
        <v>0</v>
      </c>
      <c r="AF59" s="26">
        <f>IF(AF67&gt;0,AF67*$AE$58,0)</f>
        <v>0</v>
      </c>
      <c r="AG59" s="26">
        <f>IF(AG67&gt;0,AG67*$AE$58,0)</f>
        <v>0</v>
      </c>
      <c r="AH59" s="26">
        <f>IF(AH67&gt;0,AH67*$AE$58,0)</f>
        <v>0</v>
      </c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15"/>
    </row>
    <row r="60" ht="20.05" customHeight="1">
      <c r="AC60" t="s" s="33">
        <v>34</v>
      </c>
      <c r="AD60" s="14"/>
      <c r="AE60" s="26">
        <f>AE56+AE57+AE59</f>
        <v>-4097.15</v>
      </c>
      <c r="AF60" s="26">
        <f>AF56+AF57+AF59</f>
        <v>-3463.6875</v>
      </c>
      <c r="AG60" s="26">
        <f>AG56+AG57+AG59</f>
        <v>-2772.802625</v>
      </c>
      <c r="AH60" s="26">
        <f>AH56+AH57+AH59</f>
        <v>-2018.45694375</v>
      </c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15"/>
    </row>
    <row r="61" ht="20.05" customHeight="1">
      <c r="AC61" t="s" s="33">
        <v>35</v>
      </c>
      <c r="AD61" s="14"/>
      <c r="AE61" s="26">
        <f>-MIN(0,AE60)</f>
        <v>4097.15</v>
      </c>
      <c r="AF61" s="26">
        <f>-MIN(AE73,AF60)</f>
        <v>3463.6875</v>
      </c>
      <c r="AG61" s="26">
        <f>-MIN(AF73,AG60)</f>
        <v>2772.802625</v>
      </c>
      <c r="AH61" s="26">
        <f>-MIN(AG73,AH60)</f>
        <v>2018.45694375</v>
      </c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15"/>
    </row>
    <row r="62" ht="20.05" customHeight="1">
      <c r="AC62" t="s" s="33">
        <v>36</v>
      </c>
      <c r="AD62" s="14"/>
      <c r="AE62" s="26">
        <f>F26</f>
        <v>31617</v>
      </c>
      <c r="AF62" s="26">
        <f>AE64</f>
        <v>31617</v>
      </c>
      <c r="AG62" s="26">
        <f>AF64</f>
        <v>31617</v>
      </c>
      <c r="AH62" s="26">
        <f>AG64</f>
        <v>31617</v>
      </c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15"/>
    </row>
    <row r="63" ht="20.05" customHeight="1">
      <c r="AC63" t="s" s="33">
        <v>37</v>
      </c>
      <c r="AD63" s="14"/>
      <c r="AE63" s="26">
        <f>AE56+AE57+AE59+AE61</f>
        <v>0</v>
      </c>
      <c r="AF63" s="26">
        <f>AF56+AF57+AF59+AF61</f>
        <v>0</v>
      </c>
      <c r="AG63" s="26">
        <f>AG56+AG57+AG59+AG61</f>
        <v>0</v>
      </c>
      <c r="AH63" s="26">
        <f>AH56+AH57+AH59+AH61</f>
        <v>0</v>
      </c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15"/>
    </row>
    <row r="64" ht="20.05" customHeight="1">
      <c r="AC64" t="s" s="33">
        <v>38</v>
      </c>
      <c r="AD64" s="14"/>
      <c r="AE64" s="26">
        <f>AE62+AE63</f>
        <v>31617</v>
      </c>
      <c r="AF64" s="26">
        <f>AF62+AF63</f>
        <v>31617</v>
      </c>
      <c r="AG64" s="26">
        <f>AG62+AG63</f>
        <v>31617</v>
      </c>
      <c r="AH64" s="26">
        <f>AH62+AH63</f>
        <v>31617</v>
      </c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15"/>
    </row>
    <row r="65" ht="20.05" customHeight="1">
      <c r="AC65" t="s" s="41">
        <v>4</v>
      </c>
      <c r="AD65" s="14"/>
      <c r="AE65" s="26"/>
      <c r="AF65" s="26"/>
      <c r="AG65" s="26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</row>
    <row r="66" ht="20.05" customHeight="1">
      <c r="AC66" t="s" s="33">
        <v>3</v>
      </c>
      <c r="AD66" s="14"/>
      <c r="AE66" s="26">
        <f>-AVERAGE(D24:D26)</f>
        <v>0</v>
      </c>
      <c r="AF66" s="26">
        <f>AE66</f>
        <v>0</v>
      </c>
      <c r="AG66" s="26">
        <f>AF66</f>
        <v>0</v>
      </c>
      <c r="AH66" s="26">
        <f>AG66</f>
        <v>0</v>
      </c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15"/>
    </row>
    <row r="67" ht="20.05" customHeight="1">
      <c r="AC67" t="s" s="33">
        <v>4</v>
      </c>
      <c r="AD67" s="14"/>
      <c r="AE67" s="26">
        <f>(AE52*AE54)+AE66</f>
        <v>-3424.3</v>
      </c>
      <c r="AF67" s="26">
        <f>(AF52*AF54)+AF66</f>
        <v>-2830.33</v>
      </c>
      <c r="AG67" s="26">
        <f>(AG52*AG54)+AG66</f>
        <v>-2176.963</v>
      </c>
      <c r="AH67" s="26">
        <f>(AH52*AH54)+AH66</f>
        <v>-1458.2593</v>
      </c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15"/>
    </row>
    <row r="68" ht="20.05" customHeight="1">
      <c r="AC68" t="s" s="41">
        <v>39</v>
      </c>
      <c r="AD68" s="14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15"/>
    </row>
    <row r="69" ht="20.05" customHeight="1">
      <c r="AC69" t="s" s="33">
        <v>40</v>
      </c>
      <c r="AD69" s="14"/>
      <c r="AE69" s="26">
        <f>H26-F26-AE55</f>
        <v>123062</v>
      </c>
      <c r="AF69" s="26">
        <f>AE69-AF55</f>
        <v>122945</v>
      </c>
      <c r="AG69" s="26">
        <f>AF69-AG55</f>
        <v>122828</v>
      </c>
      <c r="AH69" s="26">
        <f>AG69-AH55</f>
        <v>122711</v>
      </c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15"/>
    </row>
    <row r="70" ht="20.05" customHeight="1">
      <c r="AC70" t="s" s="33">
        <v>41</v>
      </c>
      <c r="AD70" s="14"/>
      <c r="AE70" s="26">
        <f>0-AE66</f>
        <v>0</v>
      </c>
      <c r="AF70" s="26">
        <f>AE70-AF66</f>
        <v>0</v>
      </c>
      <c r="AG70" s="26">
        <f>AF70-AG66</f>
        <v>0</v>
      </c>
      <c r="AH70" s="26">
        <f>AG70-AH66</f>
        <v>0</v>
      </c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15"/>
    </row>
    <row r="71" ht="20.05" customHeight="1">
      <c r="AC71" t="s" s="33">
        <v>42</v>
      </c>
      <c r="AD71" s="14"/>
      <c r="AE71" s="26">
        <f>AE69-AE70</f>
        <v>123062</v>
      </c>
      <c r="AF71" s="26">
        <f>AF69-AF70</f>
        <v>122945</v>
      </c>
      <c r="AG71" s="26">
        <f>AG69-AG70</f>
        <v>122828</v>
      </c>
      <c r="AH71" s="26">
        <f>AH69-AH70</f>
        <v>122711</v>
      </c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15"/>
    </row>
    <row r="72" ht="20.05" customHeight="1">
      <c r="AC72" t="s" s="33">
        <v>6</v>
      </c>
      <c r="AD72" s="14"/>
      <c r="AE72" s="26">
        <f>G26+AE57</f>
        <v>15007.15</v>
      </c>
      <c r="AF72" s="26">
        <f>AE72+AF57</f>
        <v>14256.7925</v>
      </c>
      <c r="AG72" s="26">
        <f>AF72+AG57</f>
        <v>13543.952875</v>
      </c>
      <c r="AH72" s="26">
        <f>AG72+AH57</f>
        <v>12866.75523125</v>
      </c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15"/>
    </row>
    <row r="73" ht="20.05" customHeight="1">
      <c r="AC73" t="s" s="33">
        <v>35</v>
      </c>
      <c r="AD73" s="14"/>
      <c r="AE73" s="26">
        <f>AE61</f>
        <v>4097.15</v>
      </c>
      <c r="AF73" s="26">
        <f>AE73+AF61</f>
        <v>7560.8375</v>
      </c>
      <c r="AG73" s="26">
        <f>AF73+AG61</f>
        <v>10333.640125</v>
      </c>
      <c r="AH73" s="26">
        <f>AG73+AH61</f>
        <v>12352.09706875</v>
      </c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15"/>
    </row>
    <row r="74" ht="20.05" customHeight="1">
      <c r="AC74" t="s" s="33">
        <v>11</v>
      </c>
      <c r="AD74" s="14"/>
      <c r="AE74" s="26">
        <f>(H26-G26)+AE67+AE59</f>
        <v>135574.7</v>
      </c>
      <c r="AF74" s="26">
        <f>AE74+AF67+AF59</f>
        <v>132744.37</v>
      </c>
      <c r="AG74" s="26">
        <f>AF74+AG67+AG59</f>
        <v>130567.407</v>
      </c>
      <c r="AH74" s="26">
        <f>AG74+AH67+AH59</f>
        <v>129109.1477</v>
      </c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15"/>
    </row>
    <row r="75" ht="20.05" customHeight="1">
      <c r="AC75" t="s" s="33">
        <v>43</v>
      </c>
      <c r="AD75" s="14"/>
      <c r="AE75" s="26">
        <f>AE72+AE73+AE74-AE64-AE71</f>
        <v>0</v>
      </c>
      <c r="AF75" s="26">
        <f>AF72+AF73+AF74-AF64-AF71</f>
        <v>0</v>
      </c>
      <c r="AG75" s="26">
        <f>AG72+AG73+AG74-AG64-AG71</f>
        <v>0</v>
      </c>
      <c r="AH75" s="26">
        <f>AH72+AH73+AH74-AH64-AH71</f>
        <v>0</v>
      </c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15"/>
    </row>
    <row r="76" ht="20.05" customHeight="1">
      <c r="AC76" t="s" s="33">
        <v>18</v>
      </c>
      <c r="AD76" s="14"/>
      <c r="AE76" s="26">
        <f>AE64-AE72-AE73</f>
        <v>12512.7</v>
      </c>
      <c r="AF76" s="26">
        <f>AF64-AF72-AF73</f>
        <v>9799.370000000001</v>
      </c>
      <c r="AG76" s="26">
        <f>AG64-AG72-AG73</f>
        <v>7739.407</v>
      </c>
      <c r="AH76" s="26">
        <f>AH64-AH72-AH73</f>
        <v>6398.1477</v>
      </c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15"/>
    </row>
    <row r="77" ht="20.05" customHeight="1">
      <c r="AC77" t="s" s="33">
        <v>44</v>
      </c>
      <c r="AD77" s="14"/>
      <c r="AE77" s="26">
        <f>AE57+AE59+AE61</f>
        <v>3307.3</v>
      </c>
      <c r="AF77" s="26">
        <f>AF57+AF59+AF61</f>
        <v>2713.33</v>
      </c>
      <c r="AG77" s="26">
        <f>AG57+AG59+AG61</f>
        <v>2059.963</v>
      </c>
      <c r="AH77" s="26">
        <f>AH57+AH59+AH61</f>
        <v>1341.2593</v>
      </c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15"/>
    </row>
    <row r="78" ht="20.05" customHeight="1">
      <c r="AC78" t="s" s="33">
        <v>45</v>
      </c>
      <c r="AD78" s="14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15"/>
    </row>
    <row r="79" ht="20.05" customHeight="1">
      <c r="AC79" t="s" s="33">
        <f>Z$3</f>
        <v>601</v>
      </c>
      <c r="AD79" s="14"/>
      <c r="AE79" s="26"/>
      <c r="AF79" s="26"/>
      <c r="AG79" s="26"/>
      <c r="AH79" s="26">
        <v>105</v>
      </c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15"/>
    </row>
    <row r="80" ht="20.05" customHeight="1">
      <c r="AC80" t="s" s="33">
        <f>$AC79</f>
        <v>601</v>
      </c>
      <c r="AD80" s="14"/>
      <c r="AE80" s="26"/>
      <c r="AF80" s="26"/>
      <c r="AG80" s="26"/>
      <c r="AH80" s="26">
        <v>108009300295680</v>
      </c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15"/>
    </row>
    <row r="81" ht="20.05" customHeight="1">
      <c r="AC81" t="s" s="33">
        <v>46</v>
      </c>
      <c r="AD81" s="14"/>
      <c r="AE81" s="26"/>
      <c r="AF81" s="26"/>
      <c r="AG81" s="26"/>
      <c r="AH81" s="26">
        <f>AH80/1000000000</f>
        <v>108009.30029568</v>
      </c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15"/>
    </row>
    <row r="82" ht="20.05" customHeight="1">
      <c r="AC82" t="s" s="33">
        <v>47</v>
      </c>
      <c r="AD82" s="14"/>
      <c r="AE82" s="26"/>
      <c r="AF82" s="26"/>
      <c r="AG82" s="26"/>
      <c r="AH82" s="26">
        <f>AH81/AH79</f>
        <v>1028.660002816</v>
      </c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15"/>
    </row>
    <row r="83" ht="20.05" customHeight="1">
      <c r="AC83" t="s" s="33">
        <v>48</v>
      </c>
      <c r="AD83" s="14"/>
      <c r="AE83" s="26"/>
      <c r="AF83" s="26"/>
      <c r="AG83" s="26"/>
      <c r="AH83" s="43">
        <f>AH81/(AH64+AH71)</f>
        <v>0.6998684638930071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</row>
    <row r="84" ht="20.05" customHeight="1">
      <c r="AC84" t="s" s="33">
        <v>49</v>
      </c>
      <c r="AD84" s="14"/>
      <c r="AE84" s="26"/>
      <c r="AF84" s="26"/>
      <c r="AG84" s="26"/>
      <c r="AH84" s="16">
        <f>-(AE59+AF59+AG59+AH59)/AH81</f>
        <v>0</v>
      </c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</row>
    <row r="85" ht="20.05" customHeight="1">
      <c r="AC85" t="s" s="33">
        <v>50</v>
      </c>
      <c r="AD85" s="14"/>
      <c r="AE85" s="26"/>
      <c r="AF85" s="26"/>
      <c r="AG85" s="26"/>
      <c r="AH85" s="26">
        <f>SUM(AE56:AH56)</f>
        <v>-9421.8523</v>
      </c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15"/>
    </row>
    <row r="86" ht="20.05" customHeight="1">
      <c r="AC86" t="s" s="33">
        <v>51</v>
      </c>
      <c r="AD86" s="14"/>
      <c r="AE86" s="26"/>
      <c r="AF86" s="26"/>
      <c r="AG86" s="26"/>
      <c r="AH86" s="26">
        <f>AH71/AH85</f>
        <v>-13.0240844467494</v>
      </c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15"/>
    </row>
    <row r="87" ht="20.05" customHeight="1">
      <c r="AC87" t="s" s="33">
        <v>28</v>
      </c>
      <c r="AD87" s="14"/>
      <c r="AE87" s="26"/>
      <c r="AF87" s="26"/>
      <c r="AG87" s="26"/>
      <c r="AH87" s="26">
        <f>SUM(AE52:AH52)</f>
        <v>27566.1477</v>
      </c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15"/>
    </row>
    <row r="88" ht="20.05" customHeight="1">
      <c r="AC88" t="s" s="33">
        <v>52</v>
      </c>
      <c r="AD88" s="14"/>
      <c r="AE88" s="26"/>
      <c r="AF88" s="26"/>
      <c r="AG88" s="26">
        <f>AH81/AH87</f>
        <v>3.91818622867206</v>
      </c>
      <c r="AH88" s="26">
        <v>5</v>
      </c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15"/>
    </row>
    <row r="89" ht="20.05" customHeight="1">
      <c r="AC89" t="s" s="33">
        <v>53</v>
      </c>
      <c r="AD89" s="14"/>
      <c r="AE89" s="26"/>
      <c r="AF89" s="26"/>
      <c r="AG89" s="26"/>
      <c r="AH89" s="26">
        <f>AH87*AH88</f>
        <v>137830.7385</v>
      </c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15"/>
    </row>
    <row r="90" ht="20.05" customHeight="1">
      <c r="AC90" t="s" s="33">
        <v>54</v>
      </c>
      <c r="AD90" s="14"/>
      <c r="AE90" s="26"/>
      <c r="AF90" s="26"/>
      <c r="AG90" s="26"/>
      <c r="AH90" s="26">
        <f>(AH89/AH82)</f>
        <v>133.990568431438</v>
      </c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15"/>
    </row>
    <row r="91" ht="20.05" customHeight="1">
      <c r="AC91" t="s" s="33">
        <v>55</v>
      </c>
      <c r="AD91" s="38"/>
      <c r="AE91" s="23"/>
      <c r="AF91" s="23"/>
      <c r="AG91" s="23"/>
      <c r="AH91" s="16">
        <f>AH90/AH79-1</f>
        <v>0.276100651727981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56</v>
      </c>
      <c r="AD92" s="38"/>
      <c r="AE92" s="23"/>
      <c r="AF92" s="23"/>
      <c r="AG92" s="23"/>
      <c r="AH92" s="16">
        <f>C26/C22-1</f>
        <v>2.55011655011655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t="s" s="33">
        <v>57</v>
      </c>
      <c r="AD93" s="38"/>
      <c r="AE93" s="23"/>
      <c r="AF93" s="23"/>
      <c r="AG93" s="23"/>
      <c r="AH93" s="16">
        <f>O28/N28-1</f>
        <v>-1</v>
      </c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38"/>
      <c r="AE94" s="23"/>
      <c r="AF94" s="23"/>
      <c r="AG94" s="23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38"/>
      <c r="AE95" s="23"/>
      <c r="AF95" s="23"/>
      <c r="AG95" s="23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</row>
    <row r="96" ht="20.05" customHeight="1">
      <c r="AC96" s="36"/>
      <c r="AD96" s="45"/>
      <c r="AE96" t="s" s="44">
        <f>$AC79</f>
        <v>601</v>
      </c>
      <c r="AF96" t="s" s="44">
        <v>60</v>
      </c>
      <c r="AG96" s="26">
        <f>AH79</f>
        <v>105</v>
      </c>
      <c r="AH96" t="s" s="44">
        <v>61</v>
      </c>
      <c r="AI96" s="26">
        <f>AH90</f>
        <v>133.990568431438</v>
      </c>
      <c r="AJ96" t="s" s="44">
        <f>IF(AK96&gt;0,"+","")</f>
        <v>361</v>
      </c>
      <c r="AK96" s="16">
        <f>AI96/AG96-1</f>
        <v>0.276100651727981</v>
      </c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20.05" customHeight="1">
      <c r="AC97" s="36"/>
      <c r="AD97" s="46"/>
      <c r="AE97" s="47">
        <f>TODAY()</f>
        <v>44942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62</v>
      </c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64</v>
      </c>
      <c r="AG99" t="s" s="44">
        <f>IF(AH99&gt;0,"+","")</f>
        <v>361</v>
      </c>
      <c r="AH99" s="16">
        <f>AI106/AE106-1</f>
        <v>2.55011655011655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63</v>
      </c>
      <c r="AF100" t="s" s="44">
        <v>65</v>
      </c>
      <c r="AG100" t="s" s="44">
        <f>IF(AH100&gt;0,"+","")</f>
      </c>
      <c r="AH100" s="16">
        <f>SUM(AF119:AI120)/AF136</f>
        <v>-0.168379018753142</v>
      </c>
      <c r="AI100" t="s" s="44"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63</v>
      </c>
      <c r="AF101" t="s" s="44">
        <v>17</v>
      </c>
      <c r="AG101" t="s" s="44">
        <f>IF(AH101&gt;0,"+","")</f>
      </c>
      <c r="AH101" s="16">
        <f>SUM(AF133:AI134)/AF136</f>
        <v>-0.258380527636065</v>
      </c>
      <c r="AI101" t="s" s="44">
        <f>AI100</f>
        <v>66</v>
      </c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68</v>
      </c>
      <c r="AF102" t="s" s="44">
        <v>369</v>
      </c>
      <c r="AG102" s="16">
        <f>AP129/AF136</f>
        <v>0.146468868483474</v>
      </c>
      <c r="AH102" t="s" s="44">
        <f>AI101</f>
        <v>66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t="s" s="44">
        <v>28</v>
      </c>
      <c r="AF103" t="s" s="44">
        <f>AF107</f>
        <v>362</v>
      </c>
      <c r="AG103" s="16">
        <f>AG107</f>
        <v>1.40094587493431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t="s" s="44">
        <v>70</v>
      </c>
      <c r="AF104" t="s" s="44">
        <v>371</v>
      </c>
      <c r="AG104" t="s" s="44">
        <f>AM107</f>
        <v>372</v>
      </c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20.05" customHeight="1">
      <c r="AC105" s="36"/>
      <c r="AD105" s="71"/>
      <c r="AE105" s="16">
        <f>P22</f>
        <v>0.21759697256386</v>
      </c>
      <c r="AF105" s="16">
        <f>P23</f>
        <v>0</v>
      </c>
      <c r="AG105" s="16">
        <f>P24</f>
        <v>0.163170163170163</v>
      </c>
      <c r="AH105" s="16">
        <f>P25</f>
        <v>0.271209084836339</v>
      </c>
      <c r="AI105" s="16">
        <f>P26</f>
        <v>1.40094587493431</v>
      </c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20.05" customHeight="1">
      <c r="AC106" s="36"/>
      <c r="AD106" s="34"/>
      <c r="AE106" s="26">
        <f>C22</f>
        <v>1287</v>
      </c>
      <c r="AF106" s="26">
        <f>C23</f>
        <v>1287</v>
      </c>
      <c r="AG106" s="26">
        <f>C24</f>
        <v>1497</v>
      </c>
      <c r="AH106" s="26">
        <f>C25</f>
        <v>1903</v>
      </c>
      <c r="AI106" s="26">
        <f>C26</f>
        <v>4569</v>
      </c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44.05" customHeight="1">
      <c r="AC107" s="36"/>
      <c r="AD107" s="34"/>
      <c r="AE107" t="s" s="44">
        <v>2</v>
      </c>
      <c r="AF107" t="s" s="44">
        <f>IF(AG107&lt;0,"declined","grew")</f>
        <v>362</v>
      </c>
      <c r="AG107" s="16">
        <f>AI106/AH106-1</f>
        <v>1.40094587493431</v>
      </c>
      <c r="AH107" t="s" s="44">
        <v>73</v>
      </c>
      <c r="AI107" t="s" s="44">
        <v>74</v>
      </c>
      <c r="AJ107" t="s" s="44">
        <v>75</v>
      </c>
      <c r="AK107" t="s" s="44">
        <v>76</v>
      </c>
      <c r="AL107" s="26">
        <f>AI106</f>
        <v>4569</v>
      </c>
      <c r="AM107" t="s" s="44">
        <v>372</v>
      </c>
      <c r="AN107" t="s" s="44">
        <v>378</v>
      </c>
      <c r="AO107" s="16">
        <f>AH93</f>
        <v>-1</v>
      </c>
      <c r="AP107" t="s" s="44">
        <v>78</v>
      </c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79</v>
      </c>
      <c r="AF108" s="16">
        <f>AVERAGE(AF105:AI105)</f>
        <v>0.458831280735203</v>
      </c>
      <c r="AG108" t="s" s="44">
        <v>80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56.05" customHeight="1">
      <c r="AC109" s="36"/>
      <c r="AD109" s="34"/>
      <c r="AE109" t="s" s="44">
        <v>81</v>
      </c>
      <c r="AF109" s="35">
        <f>AH49</f>
        <v>0.15</v>
      </c>
      <c r="AG109" t="s" s="44">
        <v>82</v>
      </c>
      <c r="AH109" t="s" s="44">
        <v>83</v>
      </c>
      <c r="AI109" s="23">
        <f>AH52</f>
        <v>7905.7407</v>
      </c>
      <c r="AJ109" t="s" s="44">
        <f>AM107</f>
        <v>372</v>
      </c>
      <c r="AK109" t="s" s="44">
        <v>84</v>
      </c>
      <c r="AL109" t="s" s="44">
        <f>AI107</f>
        <v>74</v>
      </c>
      <c r="AM109" t="s" s="44">
        <f>AJ107</f>
        <v>75</v>
      </c>
      <c r="AN109" t="s" s="44">
        <v>85</v>
      </c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t="s" s="44">
        <v>14</v>
      </c>
      <c r="AF110" t="s" s="44">
        <f>IF(AH114&lt;AF114,"down","up")</f>
        <v>108</v>
      </c>
      <c r="AG110" t="s" s="44">
        <v>86</v>
      </c>
      <c r="AH110" t="s" s="44">
        <f>IF(AL114&gt;AJ114,"up","down")</f>
        <v>108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44.05" customHeight="1">
      <c r="AC111" s="36"/>
      <c r="AD111" s="34"/>
      <c r="AE111" t="s" s="44">
        <f>AE104</f>
        <v>70</v>
      </c>
      <c r="AF111" t="s" s="44">
        <v>88</v>
      </c>
      <c r="AG111" t="s" s="44">
        <f>AM107</f>
        <v>372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20.05" customHeight="1">
      <c r="AC112" s="36"/>
      <c r="AD112" s="71"/>
      <c r="AE112" s="16">
        <f>(D22+E22)/C22</f>
        <v>-4.83262108262108</v>
      </c>
      <c r="AF112" s="16">
        <f>(D23+E23)/C23</f>
        <v>-4.83262108262108</v>
      </c>
      <c r="AG112" s="16">
        <f>((E24+D24)/C24)</f>
        <v>-3.90948563794255</v>
      </c>
      <c r="AH112" s="16">
        <f>(D25+E25)/C25</f>
        <v>-3.56200735680504</v>
      </c>
      <c r="AI112" s="16">
        <f>(D26+E26)/C26</f>
        <v>-1.81243160428978</v>
      </c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20.05" customHeight="1">
      <c r="AC113" s="36"/>
      <c r="AD113" s="34"/>
      <c r="AE113" s="26">
        <f>E22</f>
        <v>-6823.833333333330</v>
      </c>
      <c r="AF113" s="26">
        <f>E23</f>
        <v>-6823.833333333330</v>
      </c>
      <c r="AG113" s="26">
        <f>E24</f>
        <v>-6614</v>
      </c>
      <c r="AH113" s="26">
        <f>E25</f>
        <v>-7556</v>
      </c>
      <c r="AI113" s="26">
        <f>E26</f>
        <v>-6742</v>
      </c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89</v>
      </c>
      <c r="AF114" s="16">
        <f>AH112</f>
        <v>-3.56200735680504</v>
      </c>
      <c r="AG114" t="s" s="44">
        <v>76</v>
      </c>
      <c r="AH114" s="16">
        <f>AI112</f>
        <v>-1.81243160428978</v>
      </c>
      <c r="AI114" t="s" s="44">
        <v>90</v>
      </c>
      <c r="AJ114" s="26">
        <f>AH113</f>
        <v>-7556</v>
      </c>
      <c r="AK114" t="s" s="44">
        <v>76</v>
      </c>
      <c r="AL114" s="26">
        <f>AI113</f>
        <v>-6742</v>
      </c>
      <c r="AM114" t="s" s="44">
        <f>AJ109</f>
        <v>372</v>
      </c>
      <c r="AN114" t="s" s="44">
        <v>73</v>
      </c>
      <c r="AO114" t="s" s="44">
        <f>AL109</f>
        <v>74</v>
      </c>
      <c r="AP114" t="s" s="44">
        <v>91</v>
      </c>
      <c r="AQ114" s="17"/>
      <c r="AR114" s="17"/>
      <c r="AS114" s="17"/>
      <c r="AT114" s="17"/>
      <c r="AU114" s="17"/>
      <c r="AV114" s="17"/>
    </row>
    <row r="115" ht="68.05" customHeight="1">
      <c r="AC115" s="36"/>
      <c r="AD115" s="34"/>
      <c r="AE115" t="s" s="44">
        <v>92</v>
      </c>
      <c r="AF115" s="16">
        <f>AVERAGE(AF112:AI112)</f>
        <v>-3.52913642041461</v>
      </c>
      <c r="AG115" t="s" s="44">
        <v>78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44.05" customHeight="1">
      <c r="AC116" s="36"/>
      <c r="AD116" s="34"/>
      <c r="AE116" t="s" s="44">
        <v>93</v>
      </c>
      <c r="AF116" s="35">
        <f>AE54</f>
        <v>-0.576510598178359</v>
      </c>
      <c r="AG116" t="s" s="44">
        <v>94</v>
      </c>
      <c r="AH116" s="26">
        <f>AH67</f>
        <v>-1458.2593</v>
      </c>
      <c r="AI116" t="s" s="44">
        <f>AM114</f>
        <v>372</v>
      </c>
      <c r="AJ116" t="s" s="44">
        <v>95</v>
      </c>
      <c r="AK116" t="s" s="44">
        <f>AO114</f>
        <v>74</v>
      </c>
      <c r="AL116" t="s" s="44">
        <f>AJ107</f>
        <v>75</v>
      </c>
      <c r="AM116" t="s" s="44">
        <f>AN109</f>
        <v>85</v>
      </c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t="s" s="44">
        <v>15</v>
      </c>
      <c r="AF117" t="s" s="44">
        <f>IF(AH121&lt;AF121,"lower","higher")</f>
        <v>363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56.05" customHeight="1">
      <c r="AC118" s="36"/>
      <c r="AD118" s="34"/>
      <c r="AE118" t="s" s="44">
        <f>AE111</f>
        <v>70</v>
      </c>
      <c r="AF118" t="s" s="44">
        <v>96</v>
      </c>
      <c r="AG118" t="s" s="44">
        <f>AM107</f>
        <v>372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26">
        <f>J22</f>
        <v>-5600.5</v>
      </c>
      <c r="AF119" s="26">
        <f>J23</f>
        <v>-5600.5</v>
      </c>
      <c r="AG119" s="26">
        <f>J24</f>
        <v>-3373</v>
      </c>
      <c r="AH119" s="26">
        <f>J25</f>
        <v>-7167</v>
      </c>
      <c r="AI119" s="26">
        <f>J26</f>
        <v>-3442</v>
      </c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20.05" customHeight="1">
      <c r="AC120" s="36"/>
      <c r="AD120" s="34"/>
      <c r="AE120" s="26">
        <f>K22</f>
        <v>1045</v>
      </c>
      <c r="AF120" s="26">
        <f>K23</f>
        <v>1045</v>
      </c>
      <c r="AG120" s="26">
        <f>K24</f>
        <v>-879</v>
      </c>
      <c r="AH120" s="26">
        <f>K25</f>
        <v>1405</v>
      </c>
      <c r="AI120" s="26">
        <f>K26</f>
        <v>-175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97</v>
      </c>
      <c r="AF121" s="26">
        <f>AH119+AH120</f>
        <v>-5762</v>
      </c>
      <c r="AG121" t="s" s="44">
        <v>76</v>
      </c>
      <c r="AH121" s="26">
        <f>AI119+AI120</f>
        <v>-3617</v>
      </c>
      <c r="AI121" t="s" s="44">
        <f>AI116</f>
        <v>372</v>
      </c>
      <c r="AJ121" t="s" s="44">
        <v>84</v>
      </c>
      <c r="AK121" t="s" s="44">
        <f>AK116</f>
        <v>74</v>
      </c>
      <c r="AL121" t="s" s="44">
        <v>98</v>
      </c>
      <c r="AM121" s="26">
        <f>AI120</f>
        <v>-175</v>
      </c>
      <c r="AN121" t="s" s="44">
        <f>AM107</f>
        <v>372</v>
      </c>
      <c r="AO121" t="s" s="44">
        <v>99</v>
      </c>
      <c r="AP121" s="17"/>
      <c r="AQ121" s="17"/>
      <c r="AR121" s="17"/>
      <c r="AS121" s="17"/>
      <c r="AT121" s="17"/>
      <c r="AU121" s="17"/>
      <c r="AV121" s="17"/>
    </row>
    <row r="122" ht="56.05" customHeight="1">
      <c r="AC122" s="36"/>
      <c r="AD122" s="34"/>
      <c r="AE122" t="s" s="44">
        <v>100</v>
      </c>
      <c r="AF122" s="26">
        <f>SUM(AF119:AI120)/4</f>
        <v>-4546.625</v>
      </c>
      <c r="AG122" t="s" s="44">
        <f>AM107</f>
        <v>372</v>
      </c>
      <c r="AH122" t="s" s="44">
        <v>78</v>
      </c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44.05" customHeight="1">
      <c r="AC123" s="36"/>
      <c r="AD123" s="34"/>
      <c r="AE123" t="s" s="44">
        <v>101</v>
      </c>
      <c r="AF123" s="26">
        <f>AE55</f>
        <v>117</v>
      </c>
      <c r="AG123" t="s" s="44">
        <f>AG122</f>
        <v>372</v>
      </c>
      <c r="AH123" t="s" s="44">
        <v>102</v>
      </c>
      <c r="AI123" t="s" s="44">
        <v>103</v>
      </c>
      <c r="AJ123" t="s" s="44">
        <f>IF(AI109&gt;AL107,"higher","lower")</f>
        <v>363</v>
      </c>
      <c r="AK123" t="s" s="44">
        <v>105</v>
      </c>
      <c r="AL123" s="26">
        <f>SUM(AE56:AH56)/4</f>
        <v>-2355.463075</v>
      </c>
      <c r="AM123" t="s" s="44">
        <f>AG123</f>
        <v>372</v>
      </c>
      <c r="AN123" t="s" s="44">
        <v>106</v>
      </c>
      <c r="AO123" t="s" s="44">
        <v>107</v>
      </c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t="s" s="44">
        <v>18</v>
      </c>
      <c r="AF124" t="s" s="44">
        <f>AM129</f>
        <v>87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t="s" s="44">
        <f>AE104</f>
        <v>70</v>
      </c>
      <c r="AF125" t="s" s="44">
        <v>109</v>
      </c>
      <c r="AG125" t="s" s="44">
        <f>AM107</f>
        <v>372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26">
        <f>F22</f>
        <v>0</v>
      </c>
      <c r="AF126" s="26">
        <f>F23</f>
        <v>31152</v>
      </c>
      <c r="AG126" s="26">
        <f>F24</f>
        <v>27073</v>
      </c>
      <c r="AH126" s="26">
        <f>F25</f>
        <v>35278</v>
      </c>
      <c r="AI126" s="26">
        <f>F26</f>
        <v>31617</v>
      </c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20.05" customHeight="1">
      <c r="AC127" s="36"/>
      <c r="AD127" s="34"/>
      <c r="AE127" s="26">
        <f>G22</f>
        <v>0</v>
      </c>
      <c r="AF127" s="26">
        <f>G23</f>
        <v>16113</v>
      </c>
      <c r="AG127" s="26">
        <f>G24</f>
        <v>16615</v>
      </c>
      <c r="AH127" s="26">
        <f>G25</f>
        <v>15787</v>
      </c>
      <c r="AI127" s="26">
        <f>G26</f>
        <v>15797</v>
      </c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110</v>
      </c>
      <c r="AF128" t="s" s="44">
        <f>IF(AI128&lt;AG128,"declined","increased")</f>
        <v>370</v>
      </c>
      <c r="AG128" s="26">
        <f>AH126</f>
        <v>35278</v>
      </c>
      <c r="AH128" t="s" s="44">
        <v>76</v>
      </c>
      <c r="AI128" s="26">
        <f>AI126</f>
        <v>31617</v>
      </c>
      <c r="AJ128" t="s" s="44">
        <f>AM123</f>
        <v>372</v>
      </c>
      <c r="AK128" t="s" s="44">
        <v>84</v>
      </c>
      <c r="AL128" t="s" s="44">
        <f>AI107</f>
        <v>74</v>
      </c>
      <c r="AM128" t="s" s="44">
        <f>AP114</f>
        <v>91</v>
      </c>
      <c r="AN128" s="17"/>
      <c r="AO128" s="17"/>
      <c r="AP128" s="17"/>
      <c r="AQ128" s="17"/>
      <c r="AR128" s="17"/>
      <c r="AS128" s="17"/>
      <c r="AT128" s="17"/>
      <c r="AU128" s="17"/>
      <c r="AV128" s="17"/>
    </row>
    <row r="129" ht="32.05" customHeight="1">
      <c r="AC129" s="36"/>
      <c r="AD129" s="34"/>
      <c r="AE129" t="s" s="44">
        <v>112</v>
      </c>
      <c r="AF129" t="s" s="44">
        <f>IF(AI129&lt;AG129,"declined","increased")</f>
        <v>111</v>
      </c>
      <c r="AG129" s="26">
        <f>AH127</f>
        <v>15787</v>
      </c>
      <c r="AH129" t="s" s="44">
        <v>76</v>
      </c>
      <c r="AI129" s="26">
        <f>AI127</f>
        <v>15797</v>
      </c>
      <c r="AJ129" t="s" s="44">
        <f>AJ128</f>
        <v>372</v>
      </c>
      <c r="AK129" t="s" s="44">
        <v>113</v>
      </c>
      <c r="AL129" t="s" s="44">
        <v>114</v>
      </c>
      <c r="AM129" t="s" s="44">
        <f>IF(AP129&lt;AN129,"down","up")</f>
        <v>87</v>
      </c>
      <c r="AN129" s="26">
        <f>AG128-AG129</f>
        <v>19491</v>
      </c>
      <c r="AO129" t="s" s="44">
        <v>76</v>
      </c>
      <c r="AP129" s="26">
        <f>AI128-AI129</f>
        <v>15820</v>
      </c>
      <c r="AQ129" t="s" s="44">
        <f>AJ129</f>
        <v>372</v>
      </c>
      <c r="AR129" t="s" s="44">
        <v>115</v>
      </c>
      <c r="AS129" s="17"/>
      <c r="AT129" s="17"/>
      <c r="AU129" s="17"/>
      <c r="AV129" s="17"/>
    </row>
    <row r="130" ht="56.05" customHeight="1">
      <c r="AC130" s="36"/>
      <c r="AD130" s="34"/>
      <c r="AE130" t="s" s="44">
        <v>116</v>
      </c>
      <c r="AF130" s="26">
        <f>SUM(AE59:AH59)</f>
        <v>0</v>
      </c>
      <c r="AG130" t="s" s="44">
        <f>AJ129</f>
        <v>372</v>
      </c>
      <c r="AH130" t="s" s="44">
        <v>117</v>
      </c>
      <c r="AI130" t="s" s="44">
        <f>IF(AJ130&gt;0,"+","")</f>
        <v>361</v>
      </c>
      <c r="AJ130" s="26">
        <f>AE57+AF57+AG57+AH57+AE61+AF61+AG61+AH61</f>
        <v>9421.8523</v>
      </c>
      <c r="AK130" t="s" s="44">
        <f>AQ129</f>
        <v>372</v>
      </c>
      <c r="AL130" t="s" s="44">
        <v>118</v>
      </c>
      <c r="AM130" t="s" s="44">
        <v>119</v>
      </c>
      <c r="AN130" s="26">
        <f>AH76</f>
        <v>6398.1477</v>
      </c>
      <c r="AO130" t="s" s="44">
        <f>AJ129</f>
        <v>372</v>
      </c>
      <c r="AP130" t="s" s="44">
        <v>120</v>
      </c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t="s" s="44">
        <v>17</v>
      </c>
      <c r="AF131" t="s" s="44">
        <f>AF135</f>
        <v>374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56.05" customHeight="1">
      <c r="AC132" s="36"/>
      <c r="AD132" s="34"/>
      <c r="AE132" t="s" s="44">
        <f>AE104</f>
        <v>70</v>
      </c>
      <c r="AF132" t="s" s="44">
        <v>379</v>
      </c>
      <c r="AG132" t="s" s="44">
        <f>AM107</f>
        <v>372</v>
      </c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26">
        <f>-L22</f>
        <v>1049</v>
      </c>
      <c r="AF133" s="26">
        <f>-L23</f>
        <v>1049</v>
      </c>
      <c r="AG133" s="26">
        <f>-L24</f>
        <v>9</v>
      </c>
      <c r="AH133" s="26">
        <f>-L25</f>
        <v>116</v>
      </c>
      <c r="AI133" s="26">
        <f>-L26</f>
        <v>139</v>
      </c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20.05" customHeight="1">
      <c r="AC134" s="36"/>
      <c r="AD134" s="34"/>
      <c r="AE134" s="26">
        <f>-M22</f>
        <v>-15492.5</v>
      </c>
      <c r="AF134" s="26">
        <f>-M23</f>
        <v>-15492.5</v>
      </c>
      <c r="AG134" s="26">
        <f>-M24</f>
        <v>0</v>
      </c>
      <c r="AH134" s="26">
        <f>-M25</f>
        <v>-13728</v>
      </c>
      <c r="AI134" s="26">
        <f>-M26</f>
        <v>0</v>
      </c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</row>
    <row r="135" ht="44.05" customHeight="1">
      <c r="AC135" s="36"/>
      <c r="AD135" s="34"/>
      <c r="AE135" t="s" s="44">
        <f>AE96</f>
        <v>601</v>
      </c>
      <c r="AF135" t="s" s="44">
        <f>IF(AG135&gt;0,"paid","(raised)")</f>
        <v>374</v>
      </c>
      <c r="AG135" s="26">
        <f>SUM(AI133:AI134)</f>
        <v>139</v>
      </c>
      <c r="AH135" t="s" s="44">
        <f>AM107</f>
        <v>372</v>
      </c>
      <c r="AI135" t="s" s="44">
        <f>AH107</f>
        <v>73</v>
      </c>
      <c r="AJ135" t="s" s="44">
        <f>AI107</f>
        <v>74</v>
      </c>
      <c r="AK135" t="s" s="44">
        <f>AJ107</f>
        <v>75</v>
      </c>
      <c r="AL135" s="26">
        <f>AI133</f>
        <v>139</v>
      </c>
      <c r="AM135" t="s" s="44">
        <f>AM107</f>
        <v>372</v>
      </c>
      <c r="AN135" t="s" s="44">
        <v>123</v>
      </c>
      <c r="AO135" s="26">
        <f>AI134</f>
        <v>0</v>
      </c>
      <c r="AP135" t="s" s="44">
        <f>AM107</f>
        <v>372</v>
      </c>
      <c r="AQ135" t="s" s="44">
        <v>124</v>
      </c>
      <c r="AR135" t="s" s="44">
        <v>125</v>
      </c>
      <c r="AS135" t="s" s="44">
        <f>IF(AT135&gt;0,"pay","raise")</f>
        <v>383</v>
      </c>
      <c r="AT135" s="26">
        <f>-SUM(AE77:AH77)</f>
        <v>-9421.8523</v>
      </c>
      <c r="AU135" t="s" s="44">
        <f>AM107</f>
        <v>372</v>
      </c>
      <c r="AV135" t="s" s="44">
        <v>126</v>
      </c>
    </row>
    <row r="136" ht="56.05" customHeight="1">
      <c r="AC136" s="36"/>
      <c r="AD136" s="34"/>
      <c r="AE136" t="s" s="44">
        <v>375</v>
      </c>
      <c r="AF136" s="26">
        <f>AH81</f>
        <v>108009.30029568</v>
      </c>
      <c r="AG136" t="s" s="44">
        <f>AM107</f>
        <v>372</v>
      </c>
      <c r="AH136" t="s" s="44">
        <v>128</v>
      </c>
      <c r="AI136" t="s" s="44">
        <v>129</v>
      </c>
      <c r="AJ136" s="43">
        <f>AH83</f>
        <v>0.6998684638930071</v>
      </c>
      <c r="AK136" t="s" s="44">
        <v>130</v>
      </c>
      <c r="AL136" t="s" s="44">
        <v>131</v>
      </c>
      <c r="AM136" t="s" s="44">
        <v>132</v>
      </c>
      <c r="AN136" s="26">
        <f>AH86</f>
        <v>-13.0240844467494</v>
      </c>
      <c r="AO136" t="s" s="44">
        <v>133</v>
      </c>
      <c r="AP136" s="16">
        <f>-AF130/AF136</f>
        <v>0</v>
      </c>
      <c r="AQ136" t="s" s="44">
        <v>134</v>
      </c>
      <c r="AR136" s="17"/>
      <c r="AS136" s="17"/>
      <c r="AT136" s="17"/>
      <c r="AU136" s="17"/>
      <c r="AV136" s="17"/>
    </row>
    <row r="137" ht="56.05" customHeight="1">
      <c r="AC137" s="36"/>
      <c r="AD137" s="34"/>
      <c r="AE137" t="s" s="44">
        <v>135</v>
      </c>
      <c r="AF137" s="26">
        <f>AH85</f>
        <v>-9421.8523</v>
      </c>
      <c r="AG137" t="s" s="44">
        <f>AG136</f>
        <v>372</v>
      </c>
      <c r="AH137" t="s" s="44">
        <v>136</v>
      </c>
      <c r="AI137" s="26">
        <f>AF136/AF137</f>
        <v>-11.4637012825684</v>
      </c>
      <c r="AJ137" t="s" s="44">
        <v>130</v>
      </c>
      <c r="AK137" t="s" s="44">
        <v>137</v>
      </c>
      <c r="AL137" t="s" s="44">
        <v>138</v>
      </c>
      <c r="AM137" s="26">
        <f>AH88</f>
        <v>5</v>
      </c>
      <c r="AN137" t="s" s="44">
        <v>139</v>
      </c>
      <c r="AO137" t="s" s="44">
        <v>140</v>
      </c>
      <c r="AP137" t="s" s="44">
        <v>141</v>
      </c>
      <c r="AQ137" s="16">
        <f>AK96</f>
        <v>0.276100651727981</v>
      </c>
      <c r="AR137" t="s" s="44">
        <f>IF(AQ137&gt;0,"higher","lower")</f>
        <v>363</v>
      </c>
      <c r="AS137" t="s" s="44">
        <v>142</v>
      </c>
      <c r="AT137" s="26">
        <f>AI96</f>
        <v>133.990568431438</v>
      </c>
      <c r="AU137" t="s" s="44">
        <v>143</v>
      </c>
      <c r="AV137" s="17"/>
    </row>
    <row r="138" ht="20.05" customHeight="1">
      <c r="AC138" s="36"/>
      <c r="AD138" s="34"/>
      <c r="AE138" s="17"/>
      <c r="AF138" s="17"/>
      <c r="AG138" s="17"/>
      <c r="AH138" s="17"/>
      <c r="AI138" s="26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28</v>
      </c>
      <c r="AD139" s="14">
        <f>AE106</f>
        <v>1287</v>
      </c>
      <c r="AE139" s="26">
        <f>AF106</f>
        <v>1287</v>
      </c>
      <c r="AF139" s="26">
        <f>AG106</f>
        <v>1497</v>
      </c>
      <c r="AG139" s="26">
        <f>AH106</f>
        <v>1903</v>
      </c>
      <c r="AH139" s="26">
        <f>AI106</f>
        <v>4569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144</v>
      </c>
      <c r="AD140" s="14">
        <f>SUM(AE119:AE120)</f>
        <v>-4555.5</v>
      </c>
      <c r="AE140" s="26">
        <f>SUM(AF119:AF120)</f>
        <v>-4555.5</v>
      </c>
      <c r="AF140" s="26">
        <f>SUM(AG119:AG120)</f>
        <v>-4252</v>
      </c>
      <c r="AG140" s="26">
        <f>SUM(AH119:AH120)</f>
        <v>-5762</v>
      </c>
      <c r="AH140" s="26">
        <f>SUM(AI119:AI120)</f>
        <v>-3617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145</v>
      </c>
      <c r="AD141" s="14">
        <f>SUM(AE133:AE134)</f>
        <v>-14443.5</v>
      </c>
      <c r="AE141" s="26">
        <f>SUM(AF133:AF134)</f>
        <v>-14443.5</v>
      </c>
      <c r="AF141" s="26">
        <f>SUM(AG133:AG134)</f>
        <v>9</v>
      </c>
      <c r="AG141" s="26">
        <f>SUM(AH133:AH134)</f>
        <v>-13612</v>
      </c>
      <c r="AH141" s="26">
        <f>SUM(AI133:AI134)</f>
        <v>139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t="s" s="33">
        <v>146</v>
      </c>
      <c r="AD142" s="14">
        <f>(AE126-AE127)</f>
        <v>0</v>
      </c>
      <c r="AE142" s="26">
        <f>(AF126-AF127)</f>
        <v>15039</v>
      </c>
      <c r="AF142" s="26">
        <f>(AG126-AG127)</f>
        <v>10458</v>
      </c>
      <c r="AG142" s="26">
        <f>(AH126-AH127)</f>
        <v>19491</v>
      </c>
      <c r="AH142" s="26">
        <f>(AI126-AI127)</f>
        <v>15820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26">
        <f>AT137</f>
        <v>133.990568431438</v>
      </c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26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26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26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26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26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26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  <row r="150" ht="20.05" customHeight="1">
      <c r="AC150" s="36"/>
      <c r="AD150" s="34"/>
      <c r="AE150" s="17"/>
      <c r="AF150" s="17"/>
      <c r="AG150" s="17"/>
      <c r="AH150" s="17"/>
      <c r="AI150" s="15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72" customWidth="1"/>
    <col min="2" max="28" width="10.4844" style="72" customWidth="1"/>
    <col min="29" max="29" width="18.9766" style="74" customWidth="1"/>
    <col min="30" max="48" width="9" style="74" customWidth="1"/>
    <col min="49" max="16384" width="16.3516" style="74" customWidth="1"/>
  </cols>
  <sheetData>
    <row r="1" ht="11.65" customHeight="1"/>
    <row r="2" ht="27.65" customHeight="1">
      <c r="B2" t="s" s="2">
        <v>326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326</v>
      </c>
      <c r="AA3" t="s" s="3">
        <v>19</v>
      </c>
      <c r="AB3" t="s" s="3">
        <v>20</v>
      </c>
    </row>
    <row r="4" ht="20.25" customHeight="1">
      <c r="B4" s="6">
        <v>2017</v>
      </c>
      <c r="C4" s="7">
        <v>2248.8</v>
      </c>
      <c r="D4" s="8">
        <v>21.2</v>
      </c>
      <c r="E4" s="8">
        <v>19.2</v>
      </c>
      <c r="F4" s="8"/>
      <c r="G4" s="8"/>
      <c r="H4" s="8"/>
      <c r="I4" s="8">
        <v>1828.3</v>
      </c>
      <c r="J4" s="8">
        <v>-997</v>
      </c>
      <c r="K4" s="8">
        <v>-7.9</v>
      </c>
      <c r="L4" s="8">
        <v>1045.25</v>
      </c>
      <c r="M4" s="8">
        <v>-23.5</v>
      </c>
      <c r="N4" s="8"/>
      <c r="O4" s="9"/>
      <c r="P4" s="9"/>
      <c r="Q4" s="9"/>
      <c r="R4" s="9"/>
      <c r="S4" s="9"/>
      <c r="T4" s="9"/>
      <c r="U4" s="9"/>
      <c r="V4" s="8">
        <f>-(L4+M4)</f>
        <v>-1021.75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>
        <v>2935.6</v>
      </c>
      <c r="D5" s="15">
        <v>20.8</v>
      </c>
      <c r="E5" s="15">
        <v>112.3</v>
      </c>
      <c r="F5" s="15"/>
      <c r="G5" s="15"/>
      <c r="H5" s="15"/>
      <c r="I5" s="15">
        <v>2271</v>
      </c>
      <c r="J5" s="15">
        <v>-1215.9</v>
      </c>
      <c r="K5" s="15">
        <v>-16.1</v>
      </c>
      <c r="L5" s="15">
        <v>1045.25</v>
      </c>
      <c r="M5" s="15">
        <v>-23.5</v>
      </c>
      <c r="N5" s="15"/>
      <c r="O5" s="17"/>
      <c r="P5" s="16"/>
      <c r="Q5" s="17"/>
      <c r="R5" s="17"/>
      <c r="S5" s="17"/>
      <c r="T5" s="17"/>
      <c r="U5" s="17"/>
      <c r="V5" s="15">
        <f>-(L5+M5)+V4</f>
        <v>-2043.5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>
        <v>3530.5</v>
      </c>
      <c r="D6" s="15">
        <v>22.6</v>
      </c>
      <c r="E6" s="15">
        <v>73.90000000000001</v>
      </c>
      <c r="F6" s="15"/>
      <c r="G6" s="15"/>
      <c r="H6" s="15"/>
      <c r="I6" s="15">
        <v>2423</v>
      </c>
      <c r="J6" s="15">
        <v>-807.2</v>
      </c>
      <c r="K6" s="15">
        <v>-5</v>
      </c>
      <c r="L6" s="15">
        <v>1045.25</v>
      </c>
      <c r="M6" s="15">
        <v>-23.5</v>
      </c>
      <c r="N6" s="15"/>
      <c r="O6" s="17"/>
      <c r="P6" s="16"/>
      <c r="Q6" s="17"/>
      <c r="R6" s="17"/>
      <c r="S6" s="17"/>
      <c r="T6" s="17"/>
      <c r="U6" s="17"/>
      <c r="V6" s="15">
        <f>-(L6+M6)+V5</f>
        <v>-3065.25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>
        <v>6441.3</v>
      </c>
      <c r="D7" s="15">
        <v>61.1</v>
      </c>
      <c r="E7" s="15">
        <v>311.7</v>
      </c>
      <c r="F7" s="15"/>
      <c r="G7" s="15"/>
      <c r="H7" s="15"/>
      <c r="I7" s="15">
        <v>3961.9</v>
      </c>
      <c r="J7" s="15">
        <v>-372.9</v>
      </c>
      <c r="K7" s="15">
        <v>-75.59999999999999</v>
      </c>
      <c r="L7" s="15">
        <v>1045.25</v>
      </c>
      <c r="M7" s="15">
        <v>-23.5</v>
      </c>
      <c r="N7" s="15"/>
      <c r="O7" s="17"/>
      <c r="P7" s="16"/>
      <c r="Q7" s="17"/>
      <c r="R7" s="17"/>
      <c r="S7" s="17"/>
      <c r="T7" s="17"/>
      <c r="U7" s="17"/>
      <c r="V7" s="15">
        <f>-(L7+M7)+V6</f>
        <v>-4087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3141.9</v>
      </c>
      <c r="D8" s="15">
        <v>36.9</v>
      </c>
      <c r="E8" s="15">
        <v>73.40000000000001</v>
      </c>
      <c r="F8" s="15">
        <v>4304</v>
      </c>
      <c r="G8" s="15">
        <v>21311</v>
      </c>
      <c r="H8" s="15">
        <v>27254</v>
      </c>
      <c r="I8" s="15">
        <v>5617.9</v>
      </c>
      <c r="J8" s="15">
        <v>2013.8</v>
      </c>
      <c r="K8" s="15">
        <v>-60.2</v>
      </c>
      <c r="L8" s="15">
        <v>24.75</v>
      </c>
      <c r="M8" s="15">
        <v>-25.75</v>
      </c>
      <c r="N8" s="15">
        <f>SUM(C5:C8)/4</f>
        <v>4012.325</v>
      </c>
      <c r="O8" s="17"/>
      <c r="P8" s="16"/>
      <c r="Q8" s="16">
        <f>(E8+D8)/C8</f>
        <v>0.0351061459626341</v>
      </c>
      <c r="R8" s="16"/>
      <c r="S8" s="17"/>
      <c r="T8" s="15">
        <f>SUM(J5:K8)/4</f>
        <v>-134.775</v>
      </c>
      <c r="U8" s="25"/>
      <c r="V8" s="15">
        <f>-(L8+M8)+V7</f>
        <v>-4086</v>
      </c>
      <c r="W8" s="17"/>
      <c r="X8" s="15">
        <f>F8-G8</f>
        <v>-17007</v>
      </c>
      <c r="Y8" s="24"/>
      <c r="Z8" s="15">
        <v>1929.355347</v>
      </c>
      <c r="AA8" s="22"/>
      <c r="AB8" s="20">
        <v>13.761</v>
      </c>
    </row>
    <row r="9" ht="20.05" customHeight="1">
      <c r="B9" s="13"/>
      <c r="C9" s="14">
        <v>2940.8</v>
      </c>
      <c r="D9" s="15">
        <v>43.8</v>
      </c>
      <c r="E9" s="15">
        <v>139.7</v>
      </c>
      <c r="F9" s="15">
        <v>1607</v>
      </c>
      <c r="G9" s="15">
        <v>20555</v>
      </c>
      <c r="H9" s="15">
        <v>26504</v>
      </c>
      <c r="I9" s="15">
        <v>1205.7</v>
      </c>
      <c r="J9" s="15">
        <v>-2344.6</v>
      </c>
      <c r="K9" s="15">
        <v>-76.3</v>
      </c>
      <c r="L9" s="15">
        <v>24.75</v>
      </c>
      <c r="M9" s="15">
        <v>-25.75</v>
      </c>
      <c r="N9" s="15">
        <f>SUM(C6:C9)/4</f>
        <v>4013.625</v>
      </c>
      <c r="O9" s="17"/>
      <c r="P9" s="16"/>
      <c r="Q9" s="16">
        <f>(E9+D9)/C9</f>
        <v>0.0623979869423286</v>
      </c>
      <c r="R9" s="16"/>
      <c r="S9" s="17"/>
      <c r="T9" s="15">
        <f>SUM(J6:K9)/4</f>
        <v>-432</v>
      </c>
      <c r="U9" s="25"/>
      <c r="V9" s="15">
        <f>-(L9+M9)+V8</f>
        <v>-4085</v>
      </c>
      <c r="W9" s="17"/>
      <c r="X9" s="15">
        <f>F13-G9</f>
        <v>-18321</v>
      </c>
      <c r="Y9" s="24"/>
      <c r="Z9" s="15">
        <v>1691.150635</v>
      </c>
      <c r="AA9" s="22"/>
      <c r="AB9" s="20">
        <v>14</v>
      </c>
    </row>
    <row r="10" ht="20.05" customHeight="1">
      <c r="B10" s="13"/>
      <c r="C10" s="14">
        <v>3349.4</v>
      </c>
      <c r="D10" s="15">
        <v>51.6</v>
      </c>
      <c r="E10" s="15">
        <v>123.1</v>
      </c>
      <c r="F10" s="15">
        <v>1503</v>
      </c>
      <c r="G10" s="15">
        <v>22237</v>
      </c>
      <c r="H10" s="15">
        <v>28340</v>
      </c>
      <c r="I10" s="15">
        <v>3062</v>
      </c>
      <c r="J10" s="15">
        <v>-1766.3</v>
      </c>
      <c r="K10" s="15">
        <v>-27.4</v>
      </c>
      <c r="L10" s="15">
        <v>24.75</v>
      </c>
      <c r="M10" s="15">
        <v>-25.75</v>
      </c>
      <c r="N10" s="15">
        <f>SUM(C7:C10)/4</f>
        <v>3968.35</v>
      </c>
      <c r="O10" s="17"/>
      <c r="P10" s="16">
        <f>C10/C9-1</f>
        <v>0.138941784548422</v>
      </c>
      <c r="Q10" s="16">
        <f>(E10+D10)/C10</f>
        <v>0.0521585955693557</v>
      </c>
      <c r="R10" s="16"/>
      <c r="S10" s="17"/>
      <c r="T10" s="15">
        <f>SUM(J7:K10)/4</f>
        <v>-677.375</v>
      </c>
      <c r="U10" s="25"/>
      <c r="V10" s="15">
        <f>-(L10+M10)+V9</f>
        <v>-4084</v>
      </c>
      <c r="W10" s="17"/>
      <c r="X10" s="15">
        <f>F10-G10</f>
        <v>-20734</v>
      </c>
      <c r="Y10" s="24"/>
      <c r="Z10" s="15">
        <v>1313.239868</v>
      </c>
      <c r="AA10" s="22"/>
      <c r="AB10" s="20">
        <v>14.902</v>
      </c>
    </row>
    <row r="11" ht="20.05" customHeight="1">
      <c r="B11" s="13"/>
      <c r="C11" s="14">
        <v>6223.4</v>
      </c>
      <c r="D11" s="15">
        <v>51.3</v>
      </c>
      <c r="E11" s="15">
        <v>308.8</v>
      </c>
      <c r="F11" s="15">
        <v>3263</v>
      </c>
      <c r="G11" s="15">
        <v>23807</v>
      </c>
      <c r="H11" s="15">
        <v>30092</v>
      </c>
      <c r="I11" s="15">
        <v>6331.2</v>
      </c>
      <c r="J11" s="15">
        <v>2419.9</v>
      </c>
      <c r="K11" s="15">
        <v>-1023.1</v>
      </c>
      <c r="L11" s="15">
        <v>24.75</v>
      </c>
      <c r="M11" s="15">
        <v>-25.75</v>
      </c>
      <c r="N11" s="15">
        <f>SUM(C8:C11)/4</f>
        <v>3913.875</v>
      </c>
      <c r="O11" s="17"/>
      <c r="P11" s="16">
        <f>C11/C10-1</f>
        <v>0.858064130889114</v>
      </c>
      <c r="Q11" s="16">
        <f>(E11+D11)/C11</f>
        <v>0.0578622617861619</v>
      </c>
      <c r="R11" s="16"/>
      <c r="S11" s="17"/>
      <c r="T11" s="15">
        <f>SUM(J8:K11)/4</f>
        <v>-216.05</v>
      </c>
      <c r="U11" s="25"/>
      <c r="V11" s="15">
        <f>-(L11+M11)+V10</f>
        <v>-4083</v>
      </c>
      <c r="W11" s="17"/>
      <c r="X11" s="15">
        <f>F11-G11</f>
        <v>-20544</v>
      </c>
      <c r="Y11" s="24"/>
      <c r="Z11" s="15">
        <v>1497.471313</v>
      </c>
      <c r="AA11" s="22"/>
      <c r="AB11" s="20">
        <v>14.38</v>
      </c>
    </row>
    <row r="12" ht="20.05" customHeight="1">
      <c r="B12" s="21">
        <v>2019</v>
      </c>
      <c r="C12" s="14">
        <v>2328</v>
      </c>
      <c r="D12" s="15">
        <v>47.4</v>
      </c>
      <c r="E12" s="15">
        <v>75.59999999999999</v>
      </c>
      <c r="F12" s="15">
        <v>1998</v>
      </c>
      <c r="G12" s="15">
        <v>23465</v>
      </c>
      <c r="H12" s="15">
        <v>29826</v>
      </c>
      <c r="I12" s="15">
        <v>1962.5</v>
      </c>
      <c r="J12" s="15">
        <v>-975.3</v>
      </c>
      <c r="K12" s="15">
        <v>-156.3</v>
      </c>
      <c r="L12" s="15">
        <v>492.25</v>
      </c>
      <c r="M12" s="15">
        <v>-32.25</v>
      </c>
      <c r="N12" s="15">
        <f>SUM(C9:C12)/4</f>
        <v>3710.4</v>
      </c>
      <c r="O12" s="17"/>
      <c r="P12" s="16">
        <f>C12/C11-1</f>
        <v>-0.625927949352444</v>
      </c>
      <c r="Q12" s="16">
        <f>(E12+D12)/C12</f>
        <v>0.0528350515463918</v>
      </c>
      <c r="R12" s="16">
        <f>AVERAGE(Q9:Q12)</f>
        <v>0.0563134739610595</v>
      </c>
      <c r="S12" s="17"/>
      <c r="T12" s="15">
        <f>SUM(J9:K12)/4</f>
        <v>-987.35</v>
      </c>
      <c r="U12" s="25"/>
      <c r="V12" s="15">
        <f>-(L12+M12)+V11</f>
        <v>-4543</v>
      </c>
      <c r="W12" s="17"/>
      <c r="X12" s="15">
        <f>F12-G12</f>
        <v>-21467</v>
      </c>
      <c r="Y12" s="24"/>
      <c r="Z12" s="15">
        <v>1554.157959</v>
      </c>
      <c r="AA12" s="22"/>
      <c r="AB12" s="20">
        <v>14.24</v>
      </c>
    </row>
    <row r="13" ht="20.05" customHeight="1">
      <c r="B13" s="13"/>
      <c r="C13" s="14">
        <v>3098.2</v>
      </c>
      <c r="D13" s="15">
        <v>40.9</v>
      </c>
      <c r="E13" s="15">
        <v>139.6</v>
      </c>
      <c r="F13" s="15">
        <v>2234</v>
      </c>
      <c r="G13" s="15">
        <v>25013</v>
      </c>
      <c r="H13" s="15">
        <v>31397</v>
      </c>
      <c r="I13" s="15">
        <v>3148.9</v>
      </c>
      <c r="J13" s="15">
        <v>-1177.6</v>
      </c>
      <c r="K13" s="15">
        <v>-637.2</v>
      </c>
      <c r="L13" s="15">
        <v>492.25</v>
      </c>
      <c r="M13" s="15">
        <v>-32.25</v>
      </c>
      <c r="N13" s="15">
        <f>SUM(C10:C13)/4</f>
        <v>3749.75</v>
      </c>
      <c r="O13" s="17"/>
      <c r="P13" s="16">
        <f>C13/C12-1</f>
        <v>0.330841924398625</v>
      </c>
      <c r="Q13" s="16">
        <f>(E13+D13)/C13</f>
        <v>0.0582596346265574</v>
      </c>
      <c r="R13" s="16">
        <f>AVERAGE(Q10:Q13)</f>
        <v>0.0552788858821167</v>
      </c>
      <c r="S13" s="17"/>
      <c r="T13" s="15">
        <f>SUM(J10:K13)/4</f>
        <v>-835.825</v>
      </c>
      <c r="U13" s="25"/>
      <c r="V13" s="15">
        <f>-(L13+M13)+V12</f>
        <v>-5003</v>
      </c>
      <c r="W13" s="17"/>
      <c r="X13" s="15">
        <f>F13-G13</f>
        <v>-22779</v>
      </c>
      <c r="Y13" s="24"/>
      <c r="Z13" s="15">
        <v>1634.336304</v>
      </c>
      <c r="AA13" s="24"/>
      <c r="AB13" s="15">
        <v>14.127</v>
      </c>
    </row>
    <row r="14" ht="20.05" customHeight="1">
      <c r="B14" s="13"/>
      <c r="C14" s="14">
        <v>3515.4</v>
      </c>
      <c r="D14" s="15">
        <v>41.9</v>
      </c>
      <c r="E14" s="15">
        <v>136.7</v>
      </c>
      <c r="F14" s="15">
        <v>1459</v>
      </c>
      <c r="G14" s="15">
        <v>26149</v>
      </c>
      <c r="H14" s="15">
        <v>32669</v>
      </c>
      <c r="I14" s="15">
        <v>2201.2</v>
      </c>
      <c r="J14" s="15">
        <v>-1020.4</v>
      </c>
      <c r="K14" s="15">
        <v>-261.5</v>
      </c>
      <c r="L14" s="15">
        <v>492.25</v>
      </c>
      <c r="M14" s="15">
        <v>-32.25</v>
      </c>
      <c r="N14" s="15">
        <f>SUM(C11:C14)/4</f>
        <v>3791.25</v>
      </c>
      <c r="O14" s="17"/>
      <c r="P14" s="16">
        <f>C14/C13-1</f>
        <v>0.134658834161771</v>
      </c>
      <c r="Q14" s="16">
        <f>(E14+D14)/C14</f>
        <v>0.050805029299653</v>
      </c>
      <c r="R14" s="16">
        <f>AVERAGE(Q11:Q14)</f>
        <v>0.054940494314691</v>
      </c>
      <c r="S14" s="17"/>
      <c r="T14" s="15">
        <f>SUM(J11:K14)/4</f>
        <v>-707.875</v>
      </c>
      <c r="U14" s="25"/>
      <c r="V14" s="15">
        <f>-(L14+M14)+V13</f>
        <v>-5463</v>
      </c>
      <c r="W14" s="17"/>
      <c r="X14" s="15">
        <f>F14-G14</f>
        <v>-24690</v>
      </c>
      <c r="Y14" s="24"/>
      <c r="Z14" s="15">
        <v>1294.859985</v>
      </c>
      <c r="AA14" s="24"/>
      <c r="AB14" s="15">
        <v>14.195</v>
      </c>
    </row>
    <row r="15" ht="20.05" customHeight="1">
      <c r="B15" s="13"/>
      <c r="C15" s="14">
        <v>6366.3</v>
      </c>
      <c r="D15" s="15">
        <v>46.3</v>
      </c>
      <c r="E15" s="15">
        <v>313.1</v>
      </c>
      <c r="F15" s="15">
        <v>3255</v>
      </c>
      <c r="G15" s="15">
        <v>29682</v>
      </c>
      <c r="H15" s="15">
        <v>36516</v>
      </c>
      <c r="I15" s="15">
        <v>6144.4</v>
      </c>
      <c r="J15" s="15">
        <v>2883</v>
      </c>
      <c r="K15" s="15">
        <v>-502.9</v>
      </c>
      <c r="L15" s="15">
        <v>492.25</v>
      </c>
      <c r="M15" s="15">
        <v>-32.25</v>
      </c>
      <c r="N15" s="15">
        <f>SUM(C12:C15)/4</f>
        <v>3826.975</v>
      </c>
      <c r="O15" s="17"/>
      <c r="P15" s="16">
        <f>C15/C14-1</f>
        <v>0.810974569039085</v>
      </c>
      <c r="Q15" s="16">
        <f>(E15+D15)/C15</f>
        <v>0.0564535130295462</v>
      </c>
      <c r="R15" s="16">
        <f>AVERAGE(Q12:Q15)</f>
        <v>0.0545883071255371</v>
      </c>
      <c r="S15" s="17"/>
      <c r="T15" s="15">
        <f>SUM(J12:K15)/4</f>
        <v>-462.05</v>
      </c>
      <c r="U15" s="25"/>
      <c r="V15" s="15">
        <f>-(L15+M15)+V14</f>
        <v>-5923</v>
      </c>
      <c r="W15" s="17"/>
      <c r="X15" s="15">
        <f>F15-G15</f>
        <v>-26427</v>
      </c>
      <c r="Y15" s="24"/>
      <c r="Z15" s="15">
        <v>1139.670776</v>
      </c>
      <c r="AA15" s="24"/>
      <c r="AB15" s="15">
        <v>13.882</v>
      </c>
    </row>
    <row r="16" ht="20.05" customHeight="1">
      <c r="B16" s="21">
        <v>2020</v>
      </c>
      <c r="C16" s="14">
        <v>3066.3</v>
      </c>
      <c r="D16" s="15">
        <v>44</v>
      </c>
      <c r="E16" s="15">
        <v>9.199999999999999</v>
      </c>
      <c r="F16" s="15">
        <v>1175</v>
      </c>
      <c r="G16" s="15">
        <v>30938</v>
      </c>
      <c r="H16" s="15">
        <v>36578</v>
      </c>
      <c r="I16" s="15">
        <v>2391.5</v>
      </c>
      <c r="J16" s="15">
        <v>-1461.2</v>
      </c>
      <c r="K16" s="15">
        <v>-57</v>
      </c>
      <c r="L16" s="15">
        <v>-567.7</v>
      </c>
      <c r="M16" s="15">
        <v>0</v>
      </c>
      <c r="N16" s="15">
        <f>SUM(C13:C16)/4</f>
        <v>4011.55</v>
      </c>
      <c r="O16" s="15"/>
      <c r="P16" s="16">
        <f>C16/C15-1</f>
        <v>-0.518354460204514</v>
      </c>
      <c r="Q16" s="16">
        <f>(E16+D16)/C16</f>
        <v>0.0173499005315853</v>
      </c>
      <c r="R16" s="16">
        <f>AVERAGE(Q13:Q16)</f>
        <v>0.0457170193718355</v>
      </c>
      <c r="S16" s="17"/>
      <c r="T16" s="15">
        <f>SUM(J13:K16)/4</f>
        <v>-558.7</v>
      </c>
      <c r="U16" s="25"/>
      <c r="V16" s="15">
        <f>-(L16+M16)+V15</f>
        <v>-5355.3</v>
      </c>
      <c r="W16" s="17"/>
      <c r="X16" s="15">
        <f>F16-G16</f>
        <v>-29763</v>
      </c>
      <c r="Y16" s="24"/>
      <c r="Z16" s="15">
        <v>518.91394</v>
      </c>
      <c r="AA16" s="24"/>
      <c r="AB16" s="15">
        <v>16.31</v>
      </c>
    </row>
    <row r="17" ht="20.05" customHeight="1">
      <c r="B17" s="13"/>
      <c r="C17" s="14">
        <v>2460.8</v>
      </c>
      <c r="D17" s="15">
        <v>53.8</v>
      </c>
      <c r="E17" s="15">
        <v>2.1</v>
      </c>
      <c r="F17" s="15">
        <v>886</v>
      </c>
      <c r="G17" s="15">
        <v>32066</v>
      </c>
      <c r="H17" s="15">
        <v>37691</v>
      </c>
      <c r="I17" s="15">
        <v>974.3</v>
      </c>
      <c r="J17" s="15">
        <v>-433.1</v>
      </c>
      <c r="K17" s="15">
        <v>-253.8</v>
      </c>
      <c r="L17" s="15">
        <v>451.4</v>
      </c>
      <c r="M17" s="15">
        <v>0</v>
      </c>
      <c r="N17" s="15">
        <f>SUM(C14:C17)/4</f>
        <v>3852.2</v>
      </c>
      <c r="O17" s="15"/>
      <c r="P17" s="16">
        <f>C17/C16-1</f>
        <v>-0.197469262629227</v>
      </c>
      <c r="Q17" s="16">
        <f>(E17+D17)/C17</f>
        <v>0.0227161898569571</v>
      </c>
      <c r="R17" s="16">
        <f>AVERAGE(Q14:Q17)</f>
        <v>0.0368311581794354</v>
      </c>
      <c r="S17" s="17"/>
      <c r="T17" s="25">
        <f>SUM(J14:K17)/4</f>
        <v>-276.725</v>
      </c>
      <c r="U17" s="25"/>
      <c r="V17" s="15">
        <f>-(L17+M17)+V16</f>
        <v>-5806.7</v>
      </c>
      <c r="W17" s="17"/>
      <c r="X17" s="15">
        <f>F17-G17</f>
        <v>-31180</v>
      </c>
      <c r="Y17" s="24"/>
      <c r="Z17" s="15">
        <v>591.658875</v>
      </c>
      <c r="AA17" s="24"/>
      <c r="AB17" s="15">
        <v>14.255</v>
      </c>
    </row>
    <row r="18" ht="20.05" customHeight="1">
      <c r="B18" s="13"/>
      <c r="C18" s="14">
        <v>2930.6</v>
      </c>
      <c r="D18" s="15">
        <v>61.3</v>
      </c>
      <c r="E18" s="15">
        <v>4.3</v>
      </c>
      <c r="F18" s="15">
        <v>2046</v>
      </c>
      <c r="G18" s="15">
        <v>31965</v>
      </c>
      <c r="H18" s="15">
        <v>37552</v>
      </c>
      <c r="I18" s="15">
        <v>5066</v>
      </c>
      <c r="J18" s="15">
        <v>2114.9</v>
      </c>
      <c r="K18" s="15">
        <v>-80.40000000000001</v>
      </c>
      <c r="L18" s="15">
        <v>-855.7</v>
      </c>
      <c r="M18" s="15">
        <v>-66.40000000000001</v>
      </c>
      <c r="N18" s="15">
        <f>SUM(C15:C18)/4</f>
        <v>3706</v>
      </c>
      <c r="O18" s="15"/>
      <c r="P18" s="16">
        <f>C18/C17-1</f>
        <v>0.190913524057217</v>
      </c>
      <c r="Q18" s="16">
        <f>(E18+D18)/C18</f>
        <v>0.0223844946427353</v>
      </c>
      <c r="R18" s="16">
        <f>AVERAGE(Q15:Q18)</f>
        <v>0.029726024515206</v>
      </c>
      <c r="S18" s="17"/>
      <c r="T18" s="25">
        <f>SUM(J15:K18)/4</f>
        <v>552.375</v>
      </c>
      <c r="U18" s="25"/>
      <c r="V18" s="15">
        <f>-(L18+M18)+V17</f>
        <v>-4884.6</v>
      </c>
      <c r="W18" s="17"/>
      <c r="X18" s="15">
        <f>F18-G18</f>
        <v>-29919</v>
      </c>
      <c r="Y18" s="24"/>
      <c r="Z18" s="15">
        <v>500</v>
      </c>
      <c r="AA18" s="24"/>
      <c r="AB18" s="15">
        <v>14.79</v>
      </c>
    </row>
    <row r="19" ht="20.05" customHeight="1">
      <c r="B19" s="13"/>
      <c r="C19" s="14">
        <v>2370</v>
      </c>
      <c r="D19" s="15">
        <v>50.5</v>
      </c>
      <c r="E19" s="15">
        <v>8.1</v>
      </c>
      <c r="F19" s="15">
        <v>2364</v>
      </c>
      <c r="G19" s="15">
        <v>32519</v>
      </c>
      <c r="H19" s="15">
        <v>38094</v>
      </c>
      <c r="I19" s="15">
        <v>4433.8</v>
      </c>
      <c r="J19" s="15">
        <v>248</v>
      </c>
      <c r="K19" s="15">
        <v>-127.3</v>
      </c>
      <c r="L19" s="15">
        <v>197</v>
      </c>
      <c r="M19" s="15">
        <v>-3.3</v>
      </c>
      <c r="N19" s="15">
        <f>SUM(C16:C19)/4</f>
        <v>2706.925</v>
      </c>
      <c r="O19" s="15"/>
      <c r="P19" s="16">
        <f>C19/C18-1</f>
        <v>-0.191291885620692</v>
      </c>
      <c r="Q19" s="16">
        <f>(E19+D19)/C19</f>
        <v>0.0247257383966245</v>
      </c>
      <c r="R19" s="16">
        <f>AVERAGE(Q16:Q19)</f>
        <v>0.0217940808569756</v>
      </c>
      <c r="S19" s="17"/>
      <c r="T19" s="25">
        <f>SUM(J16:K19)/4</f>
        <v>-12.475</v>
      </c>
      <c r="U19" s="25"/>
      <c r="V19" s="15">
        <f>-(L19+M19)+V18</f>
        <v>-5078.3</v>
      </c>
      <c r="W19" s="17"/>
      <c r="X19" s="15">
        <f>F19-G19</f>
        <v>-30155</v>
      </c>
      <c r="Y19" s="24"/>
      <c r="Z19" s="15">
        <v>1535</v>
      </c>
      <c r="AA19" s="24"/>
      <c r="AB19" s="15">
        <v>14.1</v>
      </c>
    </row>
    <row r="20" ht="20.05" customHeight="1">
      <c r="B20" s="21">
        <v>2021</v>
      </c>
      <c r="C20" s="14">
        <v>2118.2</v>
      </c>
      <c r="D20" s="15">
        <v>47.3</v>
      </c>
      <c r="E20" s="15">
        <v>5.8</v>
      </c>
      <c r="F20" s="15">
        <v>786</v>
      </c>
      <c r="G20" s="15">
        <v>31963</v>
      </c>
      <c r="H20" s="15">
        <v>37544</v>
      </c>
      <c r="I20" s="15">
        <v>2404.3</v>
      </c>
      <c r="J20" s="15">
        <v>-1726.9</v>
      </c>
      <c r="K20" s="15">
        <v>-14.6</v>
      </c>
      <c r="L20" s="15">
        <v>164.149</v>
      </c>
      <c r="M20" s="15">
        <v>0</v>
      </c>
      <c r="N20" s="15">
        <f>SUM(C17:C20)/4</f>
        <v>2469.9</v>
      </c>
      <c r="O20" s="15"/>
      <c r="P20" s="16">
        <f>C20/C19-1</f>
        <v>-0.106244725738397</v>
      </c>
      <c r="Q20" s="16">
        <f>(E20+D20)/C20</f>
        <v>0.0250684543480313</v>
      </c>
      <c r="R20" s="16">
        <f>AVERAGE(Q17:Q20)</f>
        <v>0.0237237193110871</v>
      </c>
      <c r="S20" s="17"/>
      <c r="T20" s="25">
        <f>SUM(J17:K20)/4</f>
        <v>-68.3</v>
      </c>
      <c r="U20" s="25"/>
      <c r="V20" s="15">
        <f>-(L20+M20)+V19</f>
        <v>-5242.449</v>
      </c>
      <c r="W20" s="17"/>
      <c r="X20" s="15">
        <f>F20-G20</f>
        <v>-31177</v>
      </c>
      <c r="Y20" s="15"/>
      <c r="Z20" s="15">
        <v>1095</v>
      </c>
      <c r="AA20" s="17"/>
      <c r="AB20" s="15">
        <v>14.606</v>
      </c>
    </row>
    <row r="21" ht="20.05" customHeight="1">
      <c r="B21" s="13"/>
      <c r="C21" s="14">
        <v>2326.5</v>
      </c>
      <c r="D21" s="15">
        <v>46.8</v>
      </c>
      <c r="E21" s="15">
        <v>2.3</v>
      </c>
      <c r="F21" s="15">
        <v>671</v>
      </c>
      <c r="G21" s="15">
        <v>33348</v>
      </c>
      <c r="H21" s="15">
        <v>38931</v>
      </c>
      <c r="I21" s="15">
        <v>2006.9</v>
      </c>
      <c r="J21" s="15">
        <v>-995.7</v>
      </c>
      <c r="K21" s="15">
        <v>-141.6</v>
      </c>
      <c r="L21" s="15">
        <v>1021.934</v>
      </c>
      <c r="M21" s="15">
        <v>0</v>
      </c>
      <c r="N21" s="15">
        <f>SUM(C18:C21)/4</f>
        <v>2436.325</v>
      </c>
      <c r="O21" s="15"/>
      <c r="P21" s="16">
        <f>C21/C20-1</f>
        <v>0.0983382116891701</v>
      </c>
      <c r="Q21" s="16">
        <f>(E21+D21)/C21</f>
        <v>0.0211046636578551</v>
      </c>
      <c r="R21" s="16">
        <f>AVERAGE(Q18:Q21)</f>
        <v>0.0233208377613116</v>
      </c>
      <c r="S21" s="17"/>
      <c r="T21" s="25">
        <f>SUM(J18:K21)/4</f>
        <v>-180.9</v>
      </c>
      <c r="U21" s="25"/>
      <c r="V21" s="15">
        <f>-(L21+M21)+V20</f>
        <v>-6264.383</v>
      </c>
      <c r="W21" s="17"/>
      <c r="X21" s="15">
        <f>F21-G21</f>
        <v>-32677</v>
      </c>
      <c r="Y21" s="15"/>
      <c r="Z21" s="15">
        <v>755</v>
      </c>
      <c r="AA21" s="17"/>
      <c r="AB21" s="15">
        <v>14.45</v>
      </c>
    </row>
    <row r="22" ht="20.05" customHeight="1">
      <c r="B22" s="13"/>
      <c r="C22" s="14">
        <v>2906.1</v>
      </c>
      <c r="D22" s="15">
        <v>48.2</v>
      </c>
      <c r="E22" s="15">
        <v>14.9</v>
      </c>
      <c r="F22" s="15">
        <v>1625</v>
      </c>
      <c r="G22" s="15">
        <v>35161</v>
      </c>
      <c r="H22" s="15">
        <v>40759</v>
      </c>
      <c r="I22" s="15">
        <v>4090</v>
      </c>
      <c r="J22" s="15">
        <v>498.4</v>
      </c>
      <c r="K22" s="15">
        <v>36.9</v>
      </c>
      <c r="L22" s="15">
        <v>419.039</v>
      </c>
      <c r="M22" s="15">
        <v>0</v>
      </c>
      <c r="N22" s="15">
        <f>SUM(C19:C22)/4</f>
        <v>2430.2</v>
      </c>
      <c r="O22" s="23"/>
      <c r="P22" s="16">
        <f>C22/C21-1</f>
        <v>0.249129593810445</v>
      </c>
      <c r="Q22" s="16">
        <f>(E22+D22)/C22</f>
        <v>0.0217129486253054</v>
      </c>
      <c r="R22" s="16">
        <f>AVERAGE(Q19:Q22)</f>
        <v>0.0231529512569541</v>
      </c>
      <c r="S22" s="17"/>
      <c r="T22" s="25">
        <f>SUM(J19:K22)/4</f>
        <v>-555.7</v>
      </c>
      <c r="U22" s="25"/>
      <c r="V22" s="15">
        <f>-(L22+M22)+V21</f>
        <v>-6683.422</v>
      </c>
      <c r="W22" s="17"/>
      <c r="X22" s="15">
        <f>F22-G22</f>
        <v>-33536</v>
      </c>
      <c r="Y22" s="15"/>
      <c r="Z22" s="15">
        <v>1060</v>
      </c>
      <c r="AA22" s="17"/>
      <c r="AB22" s="15">
        <v>14.328</v>
      </c>
    </row>
    <row r="23" ht="20.05" customHeight="1">
      <c r="B23" s="13"/>
      <c r="C23" s="14">
        <v>4179.7</v>
      </c>
      <c r="D23" s="15">
        <v>63.1</v>
      </c>
      <c r="E23" s="15">
        <v>63.5</v>
      </c>
      <c r="F23" s="15">
        <v>3152</v>
      </c>
      <c r="G23" s="15">
        <v>34242</v>
      </c>
      <c r="H23" s="15">
        <v>39900</v>
      </c>
      <c r="I23" s="15">
        <v>6841.7</v>
      </c>
      <c r="J23" s="15">
        <v>2773.2</v>
      </c>
      <c r="K23" s="15">
        <v>-410</v>
      </c>
      <c r="L23" s="15">
        <v>-836.222</v>
      </c>
      <c r="M23" s="15">
        <v>-0.03</v>
      </c>
      <c r="N23" s="15">
        <f>SUM(C20:C23)/4</f>
        <v>2882.625</v>
      </c>
      <c r="O23" s="23">
        <v>3055.0725</v>
      </c>
      <c r="P23" s="16">
        <f>C23/C22-1</f>
        <v>0.438250576373834</v>
      </c>
      <c r="Q23" s="16">
        <f>(E23+D23)/C23</f>
        <v>0.030289255209704</v>
      </c>
      <c r="R23" s="16">
        <f>AVERAGE(Q20:Q23)</f>
        <v>0.024543830460224</v>
      </c>
      <c r="S23" s="17"/>
      <c r="T23" s="25">
        <f>SUM(J20:K23)/4</f>
        <v>4.925</v>
      </c>
      <c r="U23" s="25"/>
      <c r="V23" s="15">
        <f>-(L23+M23)+V22</f>
        <v>-5847.17</v>
      </c>
      <c r="W23" s="17"/>
      <c r="X23" s="15">
        <f>F23-G23</f>
        <v>-31090</v>
      </c>
      <c r="Y23" s="15"/>
      <c r="Z23" s="15">
        <v>895</v>
      </c>
      <c r="AA23" s="15">
        <v>905.216156029543</v>
      </c>
      <c r="AB23" s="15">
        <v>14.275</v>
      </c>
    </row>
    <row r="24" ht="20.05" customHeight="1">
      <c r="B24" s="21">
        <v>2022</v>
      </c>
      <c r="C24" s="14">
        <v>3787.3</v>
      </c>
      <c r="D24" s="15">
        <v>79.90000000000001</v>
      </c>
      <c r="E24" s="15">
        <v>17.2</v>
      </c>
      <c r="F24" s="15">
        <v>1335</v>
      </c>
      <c r="G24" s="15">
        <v>32904</v>
      </c>
      <c r="H24" s="15">
        <v>38950</v>
      </c>
      <c r="I24" s="15">
        <v>2241.4</v>
      </c>
      <c r="J24" s="15">
        <v>-2034</v>
      </c>
      <c r="K24" s="15">
        <v>-126</v>
      </c>
      <c r="L24" s="15">
        <v>0</v>
      </c>
      <c r="M24" s="15">
        <v>345.4</v>
      </c>
      <c r="N24" s="15">
        <f>SUM(C21:C24)/4</f>
        <v>3299.9</v>
      </c>
      <c r="O24" s="23">
        <v>3332.422</v>
      </c>
      <c r="P24" s="16">
        <f>C24/C23-1</f>
        <v>-0.0938823360528268</v>
      </c>
      <c r="Q24" s="16">
        <f>(E24+D24)/C24</f>
        <v>0.0256383175349193</v>
      </c>
      <c r="R24" s="16">
        <f>AVERAGE(Q21:Q24)</f>
        <v>0.024686296256946</v>
      </c>
      <c r="S24" s="35"/>
      <c r="T24" s="25">
        <f>SUM(J21:K24)/4</f>
        <v>-99.7</v>
      </c>
      <c r="U24" s="35">
        <v>-0.969710744790296</v>
      </c>
      <c r="V24" s="15">
        <f>-(L24+M24)+V23</f>
        <v>-6192.57</v>
      </c>
      <c r="W24" s="15"/>
      <c r="X24" s="15">
        <f>F24-G24</f>
        <v>-31569</v>
      </c>
      <c r="Y24" s="15">
        <v>-30698.36852778</v>
      </c>
      <c r="Z24" s="26">
        <v>740</v>
      </c>
      <c r="AA24" s="15">
        <v>939.404268956255</v>
      </c>
      <c r="AB24" s="15">
        <v>14.327</v>
      </c>
    </row>
    <row r="25" ht="20.05" customHeight="1">
      <c r="B25" s="13"/>
      <c r="C25" s="14">
        <v>2539.5</v>
      </c>
      <c r="D25" s="15">
        <v>49.8</v>
      </c>
      <c r="E25" s="15">
        <v>18.2</v>
      </c>
      <c r="F25" s="15">
        <v>2516</v>
      </c>
      <c r="G25" s="15">
        <v>33145</v>
      </c>
      <c r="H25" s="15">
        <v>39209</v>
      </c>
      <c r="I25" s="15">
        <v>4758.9</v>
      </c>
      <c r="J25" s="15">
        <v>235.3</v>
      </c>
      <c r="K25" s="15">
        <v>-111.8</v>
      </c>
      <c r="L25" s="15">
        <v>1057.3</v>
      </c>
      <c r="M25" s="15">
        <v>0</v>
      </c>
      <c r="N25" s="15">
        <f>SUM(C22:C25)/4</f>
        <v>3353.15</v>
      </c>
      <c r="O25" s="23">
        <v>3119.629</v>
      </c>
      <c r="P25" s="16">
        <f>C25/C24-1</f>
        <v>-0.329469542946162</v>
      </c>
      <c r="Q25" s="16">
        <f>(E25+D25)/C25</f>
        <v>0.026776924591455</v>
      </c>
      <c r="R25" s="16">
        <f>AVERAGE(Q22:Q25)</f>
        <v>0.0261043614903459</v>
      </c>
      <c r="S25" s="35"/>
      <c r="T25" s="25">
        <f>SUM(J22:K25)/4</f>
        <v>215.5</v>
      </c>
      <c r="U25" s="35">
        <v>-0.969710744790296</v>
      </c>
      <c r="V25" s="15">
        <f>-(L25+M25)+V24</f>
        <v>-7249.87</v>
      </c>
      <c r="W25" s="15"/>
      <c r="X25" s="15">
        <f>F25-G25</f>
        <v>-30629</v>
      </c>
      <c r="Y25" s="15">
        <v>-30828.4318907972</v>
      </c>
      <c r="Z25" s="15">
        <v>770</v>
      </c>
      <c r="AA25" s="15">
        <v>1216.649682881330</v>
      </c>
      <c r="AB25" s="15">
        <v>14.66</v>
      </c>
    </row>
    <row r="26" ht="20.05" customHeight="1">
      <c r="B26" s="13"/>
      <c r="C26" s="14">
        <v>2806.3</v>
      </c>
      <c r="D26" s="15">
        <v>52.2</v>
      </c>
      <c r="E26" s="15">
        <v>36.6</v>
      </c>
      <c r="F26" s="15">
        <v>753</v>
      </c>
      <c r="G26" s="15">
        <v>31582</v>
      </c>
      <c r="H26" s="15">
        <v>37683</v>
      </c>
      <c r="I26" s="15">
        <v>3556.4</v>
      </c>
      <c r="J26" s="15">
        <v>-818.1</v>
      </c>
      <c r="K26" s="15">
        <v>-45.4</v>
      </c>
      <c r="L26" s="15">
        <v>-899.7</v>
      </c>
      <c r="M26" s="15">
        <v>0</v>
      </c>
      <c r="N26" s="15">
        <f>SUM(C23:C26)/4</f>
        <v>3328.2</v>
      </c>
      <c r="O26" s="23">
        <v>3548.316375</v>
      </c>
      <c r="P26" s="16">
        <f>C26/C25-1</f>
        <v>0.105060051191179</v>
      </c>
      <c r="Q26" s="16">
        <f>(E26+D26)/C26</f>
        <v>0.0316430887645654</v>
      </c>
      <c r="R26" s="16">
        <f>AVERAGE(Q23:Q26)</f>
        <v>0.0285868965251609</v>
      </c>
      <c r="S26" s="35">
        <f>S27</f>
        <v>0.0285868965251609</v>
      </c>
      <c r="T26" s="25">
        <f>SUM(J23:K26)/4</f>
        <v>-134.2</v>
      </c>
      <c r="U26" s="35">
        <v>-0.969710744790296</v>
      </c>
      <c r="V26" s="15">
        <f>-(L26+M26)+V25</f>
        <v>-6350.17</v>
      </c>
      <c r="W26" s="15">
        <f>W27</f>
        <v>-6352.080271879890</v>
      </c>
      <c r="X26" s="15">
        <f>F26-G26</f>
        <v>-30829</v>
      </c>
      <c r="Y26" s="15">
        <v>-30257.4965590114</v>
      </c>
      <c r="Z26" s="15">
        <v>715</v>
      </c>
      <c r="AA26" s="15">
        <v>1513.475918145170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3285.506418906250</v>
      </c>
      <c r="P27" s="17"/>
      <c r="Q27" s="17"/>
      <c r="R27" s="17"/>
      <c r="S27" s="35">
        <f>AE53</f>
        <v>0.0285868965251609</v>
      </c>
      <c r="T27" s="25"/>
      <c r="U27" s="15">
        <f>SUM(AE55:AH55)/4</f>
        <v>-0.47756796997509</v>
      </c>
      <c r="V27" s="17"/>
      <c r="W27" s="15">
        <f>-SUM(AE76:AH76)+V26</f>
        <v>-6352.080271879890</v>
      </c>
      <c r="X27" s="26"/>
      <c r="Y27" s="15">
        <f>AH75</f>
        <v>-30830.9102718799</v>
      </c>
      <c r="Z27" s="15">
        <v>428</v>
      </c>
      <c r="AA27" s="15">
        <v>1513.475918145170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17730.4</v>
      </c>
      <c r="O28" s="15">
        <f>SUM(O21:O26)</f>
        <v>13055.439875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AH89</f>
        <v>580.898322972956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380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0.0299896871415061</v>
      </c>
      <c r="AF49" s="35"/>
      <c r="AG49" s="35"/>
      <c r="AH49" s="35">
        <f>AVERAGE(AE51:AH51)</f>
        <v>0.055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0.438250576373834</v>
      </c>
      <c r="AF50" s="35">
        <f>P24</f>
        <v>-0.0938823360528268</v>
      </c>
      <c r="AG50" s="35">
        <f>P25</f>
        <v>-0.329469542946162</v>
      </c>
      <c r="AH50" s="35">
        <f>P26</f>
        <v>0.105060051191179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0.25</v>
      </c>
      <c r="AF51" s="35">
        <v>-0.15</v>
      </c>
      <c r="AG51" s="35">
        <v>0.11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2806.3</v>
      </c>
      <c r="AE52" s="23">
        <f>C26*(1+AE51)</f>
        <v>3507.875</v>
      </c>
      <c r="AF52" s="23">
        <f>AE52*(1+AF51)</f>
        <v>2981.69375</v>
      </c>
      <c r="AG52" s="23">
        <f>AF52*(1+AG51)</f>
        <v>3309.6800625</v>
      </c>
      <c r="AH52" s="23">
        <f>AG52*(1+AH51)</f>
        <v>3342.776863125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0.0285868965251609</v>
      </c>
      <c r="AF53" s="35">
        <f>AE53</f>
        <v>0.0285868965251609</v>
      </c>
      <c r="AG53" s="35">
        <f>AF53</f>
        <v>0.0285868965251609</v>
      </c>
      <c r="AH53" s="35">
        <f>AG53</f>
        <v>0.0285868965251609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-94.40000000000001</v>
      </c>
      <c r="AF54" s="15">
        <f>AE54</f>
        <v>-94.40000000000001</v>
      </c>
      <c r="AG54" s="15">
        <f>AF54</f>
        <v>-94.40000000000001</v>
      </c>
      <c r="AH54" s="15">
        <f>AG54</f>
        <v>-94.40000000000001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5.87925964819879</v>
      </c>
      <c r="AF55" s="15">
        <f>(AF52*AF53)+AF54</f>
        <v>-9.16262929903103</v>
      </c>
      <c r="AG55" s="15">
        <f>(AG52*AG53)+AG54</f>
        <v>0.21348147807556</v>
      </c>
      <c r="AH55" s="15">
        <f>(AH52*AH53)+AH54</f>
        <v>1.15961629285632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-1579.1</v>
      </c>
      <c r="AF56" s="15">
        <f>-AE71/20</f>
        <v>-1500.145</v>
      </c>
      <c r="AG56" s="15">
        <f>-AF71/20</f>
        <v>-1425.13775</v>
      </c>
      <c r="AH56" s="15">
        <f>-AG71/20</f>
        <v>-1353.8808625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-1573.2207403518</v>
      </c>
      <c r="AF59" s="15">
        <f>AF55+AF56+AF58</f>
        <v>-1509.307629299030</v>
      </c>
      <c r="AG59" s="15">
        <f>AG55+AG56+AG58</f>
        <v>-1424.924268521920</v>
      </c>
      <c r="AH59" s="15">
        <f>AH55+AH56+AH58</f>
        <v>-1352.721246207140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1573.2207403518</v>
      </c>
      <c r="AF60" s="15">
        <f>-MIN(AE72,AF59)</f>
        <v>1509.307629299030</v>
      </c>
      <c r="AG60" s="15">
        <f>-MIN(AF72,AG59)</f>
        <v>1424.924268521920</v>
      </c>
      <c r="AH60" s="15">
        <f>-MIN(AG72,AH59)</f>
        <v>1352.721246207140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753</v>
      </c>
      <c r="AF61" s="15">
        <f>AE63</f>
        <v>752.999999999999</v>
      </c>
      <c r="AG61" s="15">
        <f>AF63</f>
        <v>752.999999999998</v>
      </c>
      <c r="AH61" s="15">
        <f>AG63</f>
        <v>752.999999999994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-1.21e-12</v>
      </c>
      <c r="AF62" s="15">
        <f>AF55+AF56+AF58+AF60</f>
        <v>-1.03e-12</v>
      </c>
      <c r="AG62" s="15">
        <f>AG55+AG56+AG58+AG60</f>
        <v>-4.44e-12</v>
      </c>
      <c r="AH62" s="15">
        <f>AH55+AH56+AH58+AH60</f>
        <v>-3.68e-12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752.999999999999</v>
      </c>
      <c r="AF63" s="15">
        <f>AF61+AF62</f>
        <v>752.999999999998</v>
      </c>
      <c r="AG63" s="15">
        <f>AG61+AG62</f>
        <v>752.999999999994</v>
      </c>
      <c r="AH63" s="15">
        <f>AH61+AH62</f>
        <v>752.999999999990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-60.6333333333333</v>
      </c>
      <c r="AF65" s="15">
        <f>AE65</f>
        <v>-60.6333333333333</v>
      </c>
      <c r="AG65" s="15">
        <f>AF65</f>
        <v>-60.6333333333333</v>
      </c>
      <c r="AH65" s="15">
        <f>AG65</f>
        <v>-60.6333333333333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39.6459263148655</v>
      </c>
      <c r="AF66" s="15">
        <f>(AF52*AF53)+AF65</f>
        <v>24.6040373676357</v>
      </c>
      <c r="AG66" s="15">
        <f>(AG52*AG53)+AG65</f>
        <v>33.9801481447423</v>
      </c>
      <c r="AH66" s="15">
        <f>(AH52*AH53)+AH65</f>
        <v>34.926282959523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37024.4</v>
      </c>
      <c r="AF68" s="15">
        <f>AE68-AF54</f>
        <v>37118.8</v>
      </c>
      <c r="AG68" s="15">
        <f>AF68-AG54</f>
        <v>37213.2</v>
      </c>
      <c r="AH68" s="15">
        <f>AG68-AH54</f>
        <v>37307.6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60.6333333333333</v>
      </c>
      <c r="AF69" s="15">
        <f>AE69-AF65</f>
        <v>121.266666666667</v>
      </c>
      <c r="AG69" s="15">
        <f>AF69-AG65</f>
        <v>181.9</v>
      </c>
      <c r="AH69" s="15">
        <f>AG69-AH65</f>
        <v>242.533333333333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36963.7666666667</v>
      </c>
      <c r="AF70" s="15">
        <f>AF68-AF69</f>
        <v>36997.5333333333</v>
      </c>
      <c r="AG70" s="15">
        <f>AG68-AG69</f>
        <v>37031.3</v>
      </c>
      <c r="AH70" s="15">
        <f>AH68-AH69</f>
        <v>37065.0666666667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30002.9</v>
      </c>
      <c r="AF71" s="15">
        <f>AE71+AF56</f>
        <v>28502.755</v>
      </c>
      <c r="AG71" s="15">
        <f>AF71+AG56</f>
        <v>27077.61725</v>
      </c>
      <c r="AH71" s="15">
        <f>AG71+AH56</f>
        <v>25723.7363875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1573.2207403518</v>
      </c>
      <c r="AF72" s="15">
        <f>AE72+AF60</f>
        <v>3082.528369650830</v>
      </c>
      <c r="AG72" s="15">
        <f>AF72+AG60</f>
        <v>4507.452638172750</v>
      </c>
      <c r="AH72" s="15">
        <f>AG72+AH60</f>
        <v>5860.173884379890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6140.645926314870</v>
      </c>
      <c r="AF73" s="15">
        <f>AE73+AF66+AF58</f>
        <v>6165.249963682510</v>
      </c>
      <c r="AG73" s="15">
        <f>AF73+AG66+AG58</f>
        <v>6199.230111827250</v>
      </c>
      <c r="AH73" s="15">
        <f>AG73+AH66+AH58</f>
        <v>6234.156394786770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-2.9e-11</v>
      </c>
      <c r="AF74" s="15">
        <f>AF71+AF72+AF73-AF63-AF70</f>
        <v>4.2e-11</v>
      </c>
      <c r="AG74" s="15">
        <f>AG71+AG72+AG73-AG63-AG70</f>
        <v>6e-12</v>
      </c>
      <c r="AH74" s="15">
        <f>AH71+AH72+AH73-AH63-AH70</f>
        <v>-3e-11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-30823.1207403518</v>
      </c>
      <c r="AF75" s="15">
        <f>AF63-AF71-AF72</f>
        <v>-30832.2833696508</v>
      </c>
      <c r="AG75" s="15">
        <f>AG63-AG71-AG72</f>
        <v>-30832.0698881728</v>
      </c>
      <c r="AH75" s="15">
        <f>AH63-AH71-AH72</f>
        <v>-30830.9102718799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-5.8792596482</v>
      </c>
      <c r="AF76" s="15">
        <f>AF56+AF58+AF60</f>
        <v>9.162629299030</v>
      </c>
      <c r="AG76" s="15">
        <f>AG56+AG58+AG60</f>
        <v>-0.213481478080</v>
      </c>
      <c r="AH76" s="15">
        <f>AH56+AH58+AH60</f>
        <v>-1.159616292860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381</v>
      </c>
      <c r="AD78" s="14"/>
      <c r="AE78" s="15"/>
      <c r="AF78" s="15"/>
      <c r="AG78" s="15"/>
      <c r="AH78" s="15">
        <v>428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381</v>
      </c>
      <c r="AD79" s="14"/>
      <c r="AE79" s="15"/>
      <c r="AF79" s="15"/>
      <c r="AG79" s="15"/>
      <c r="AH79" s="15">
        <v>3598457018368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3598.457018368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8.407609856000001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0.09515179742225489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-1.91027187990036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382</v>
      </c>
      <c r="AD85" s="14"/>
      <c r="AE85" s="15"/>
      <c r="AF85" s="15"/>
      <c r="AG85" s="15"/>
      <c r="AH85" s="15">
        <f>AH84-(AE54+AF54+AG54+AH54)</f>
        <v>375.6897281201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51</v>
      </c>
      <c r="AD86" s="14"/>
      <c r="AE86" s="15"/>
      <c r="AF86" s="15"/>
      <c r="AG86" s="15"/>
      <c r="AH86" s="15">
        <f>AH70/AH84</f>
        <v>-19403.0321320544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52</v>
      </c>
      <c r="AD87" s="14"/>
      <c r="AE87" s="15"/>
      <c r="AF87" s="15"/>
      <c r="AG87" s="15">
        <f>AH80/AH85</f>
        <v>9.578268312988451</v>
      </c>
      <c r="AH87" s="15">
        <v>13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53</v>
      </c>
      <c r="AD88" s="14"/>
      <c r="AE88" s="15"/>
      <c r="AF88" s="15"/>
      <c r="AG88" s="15"/>
      <c r="AH88" s="15">
        <f>AH85*AH87</f>
        <v>4883.9664655613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54</v>
      </c>
      <c r="AD89" s="14"/>
      <c r="AE89" s="15"/>
      <c r="AF89" s="15"/>
      <c r="AG89" s="15"/>
      <c r="AH89" s="15">
        <f>(AH88/AH81)</f>
        <v>580.898322972956</v>
      </c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ht="20.05" customHeight="1">
      <c r="AC90" t="s" s="33">
        <v>55</v>
      </c>
      <c r="AD90" s="38"/>
      <c r="AE90" s="23"/>
      <c r="AF90" s="23"/>
      <c r="AG90" s="23"/>
      <c r="AH90" s="16">
        <f>AH89/AH78-1</f>
        <v>0.35723907236672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56</v>
      </c>
      <c r="AD91" s="38"/>
      <c r="AE91" s="23"/>
      <c r="AF91" s="23"/>
      <c r="AG91" s="23"/>
      <c r="AH91" s="16">
        <f>C26/C22-1</f>
        <v>-0.034341557413716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57</v>
      </c>
      <c r="AD92" s="38"/>
      <c r="AE92" s="23"/>
      <c r="AF92" s="23"/>
      <c r="AG92" s="23"/>
      <c r="AH92" s="16">
        <f>O28/N28-1</f>
        <v>-0.263669185410369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38"/>
      <c r="AE94" s="23"/>
      <c r="AF94" s="23"/>
      <c r="AG94" s="23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45"/>
      <c r="AE95" t="s" s="44">
        <f>$AC78</f>
        <v>381</v>
      </c>
      <c r="AF95" t="s" s="44">
        <v>60</v>
      </c>
      <c r="AG95" s="15">
        <f>AH78</f>
        <v>428</v>
      </c>
      <c r="AH95" t="s" s="44">
        <v>61</v>
      </c>
      <c r="AI95" s="15">
        <f>AH89</f>
        <v>580.898322972956</v>
      </c>
      <c r="AJ95" t="s" s="44">
        <f>IF(AK95&gt;0,"+","")</f>
        <v>361</v>
      </c>
      <c r="AK95" s="16">
        <f>AI95/AG95-1</f>
        <v>0.35723907236672</v>
      </c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20.05" customHeight="1">
      <c r="AC96" s="36"/>
      <c r="AD96" s="46"/>
      <c r="AE96" s="47">
        <f>TODAY()</f>
        <v>44942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64</v>
      </c>
      <c r="AG98" t="s" s="44">
        <f>IF(AH98&gt;0,"+","")</f>
      </c>
      <c r="AH98" s="16">
        <f>AM105/AE105-1</f>
        <v>-0.034341557413716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65</v>
      </c>
      <c r="AG99" t="s" s="44">
        <f>IF(AH99&gt;0,"+","")</f>
      </c>
      <c r="AH99" s="16">
        <f>(AG118+AG119+AI118+AI119+AK118+AK119+AM118+AM119)/AF135</f>
        <v>-0.149175048433246</v>
      </c>
      <c r="AI99" t="s" s="44"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63</v>
      </c>
      <c r="AF100" t="s" s="44">
        <v>17</v>
      </c>
      <c r="AG100" t="s" s="44">
        <f>IF(AH100&gt;0,"+","")</f>
        <v>361</v>
      </c>
      <c r="AH100" s="16">
        <f>(AG132+AG133+AI132+AI133+AK132+AK133+AM132+AM133)/AF135</f>
        <v>0.0926096930709316</v>
      </c>
      <c r="AI100" t="s" s="44">
        <f>AI99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68</v>
      </c>
      <c r="AF101" t="s" s="44">
        <v>369</v>
      </c>
      <c r="AG101" s="16">
        <f>AP128/AF135</f>
        <v>-8.56728310012768</v>
      </c>
      <c r="AH101" t="s" s="44">
        <f>AI100</f>
        <v>66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t="s" s="44">
        <v>28</v>
      </c>
      <c r="AF102" t="s" s="44">
        <f>AF106</f>
        <v>362</v>
      </c>
      <c r="AG102" s="16">
        <f>AG106</f>
        <v>0.105060051191179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32.05" customHeight="1">
      <c r="AC103" s="36"/>
      <c r="AD103" s="34"/>
      <c r="AE103" t="s" s="44">
        <v>70</v>
      </c>
      <c r="AF103" t="s" s="44">
        <v>371</v>
      </c>
      <c r="AG103" t="s" s="44">
        <f>AM106</f>
        <v>372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6">
        <f>P22</f>
        <v>0.249129593810445</v>
      </c>
      <c r="AF104" s="16">
        <f>P23</f>
        <v>0.438250576373834</v>
      </c>
      <c r="AG104" s="16">
        <f>P24</f>
        <v>-0.0938823360528268</v>
      </c>
      <c r="AH104" s="16">
        <f>P25</f>
        <v>-0.329469542946162</v>
      </c>
      <c r="AI104" s="16">
        <f>P26</f>
        <v>0.105060051191179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20.05" customHeight="1">
      <c r="AC105" s="36"/>
      <c r="AD105" s="34"/>
      <c r="AE105" s="15">
        <f>C22</f>
        <v>2906.1</v>
      </c>
      <c r="AF105" t="s" s="44">
        <v>72</v>
      </c>
      <c r="AG105" s="15">
        <f>C23</f>
        <v>4179.7</v>
      </c>
      <c r="AH105" t="s" s="44">
        <v>72</v>
      </c>
      <c r="AI105" s="15">
        <f>C24</f>
        <v>3787.3</v>
      </c>
      <c r="AJ105" t="s" s="44">
        <v>72</v>
      </c>
      <c r="AK105" s="15">
        <f>C25</f>
        <v>2539.5</v>
      </c>
      <c r="AL105" t="s" s="44">
        <v>72</v>
      </c>
      <c r="AM105" s="15">
        <f>C26</f>
        <v>2806.3</v>
      </c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44.05" customHeight="1">
      <c r="AC106" s="36"/>
      <c r="AD106" s="34"/>
      <c r="AE106" t="s" s="44">
        <v>2</v>
      </c>
      <c r="AF106" t="s" s="44">
        <f>IF(AG106&lt;0,"declined","grew")</f>
        <v>362</v>
      </c>
      <c r="AG106" s="16">
        <f>AM105/AK105-1</f>
        <v>0.105060051191179</v>
      </c>
      <c r="AH106" t="s" s="44">
        <v>73</v>
      </c>
      <c r="AI106" t="s" s="44">
        <v>74</v>
      </c>
      <c r="AJ106" t="s" s="44">
        <v>75</v>
      </c>
      <c r="AK106" t="s" s="44">
        <v>76</v>
      </c>
      <c r="AL106" s="15">
        <f>AM105</f>
        <v>2806.3</v>
      </c>
      <c r="AM106" t="s" s="44">
        <v>372</v>
      </c>
      <c r="AN106" t="s" s="44">
        <v>373</v>
      </c>
      <c r="AO106" s="16">
        <f>AH92</f>
        <v>-0.263669185410369</v>
      </c>
      <c r="AP106" t="s" s="44">
        <v>78</v>
      </c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79</v>
      </c>
      <c r="AF107" s="16">
        <f>AVERAGE(AF104:AI104)</f>
        <v>0.0299896871415061</v>
      </c>
      <c r="AG107" t="s" s="44">
        <v>80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81</v>
      </c>
      <c r="AF108" s="35">
        <f>AH49</f>
        <v>0.055</v>
      </c>
      <c r="AG108" t="s" s="44">
        <v>82</v>
      </c>
      <c r="AH108" t="s" s="44">
        <v>83</v>
      </c>
      <c r="AI108" s="23">
        <f>AH52</f>
        <v>3342.776863125</v>
      </c>
      <c r="AJ108" t="s" s="44">
        <f>AM106</f>
        <v>372</v>
      </c>
      <c r="AK108" t="s" s="44">
        <v>84</v>
      </c>
      <c r="AL108" t="s" s="44">
        <f>AI106</f>
        <v>74</v>
      </c>
      <c r="AM108" t="s" s="44">
        <f>AJ106</f>
        <v>75</v>
      </c>
      <c r="AN108" t="s" s="44">
        <v>85</v>
      </c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t="s" s="44">
        <v>14</v>
      </c>
      <c r="AF109" t="s" s="44">
        <f>IF(AH113&lt;AF113,"down","up")</f>
        <v>108</v>
      </c>
      <c r="AG109" t="s" s="44">
        <v>86</v>
      </c>
      <c r="AH109" t="s" s="44">
        <f>IF(AL113&gt;AJ113,"up","down")</f>
        <v>108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44.05" customHeight="1">
      <c r="AC110" s="36"/>
      <c r="AD110" s="34"/>
      <c r="AE110" t="s" s="44">
        <f>AE103</f>
        <v>70</v>
      </c>
      <c r="AF110" t="s" s="44">
        <v>88</v>
      </c>
      <c r="AG110" t="s" s="44">
        <f>AM106</f>
        <v>372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6">
        <f>(D22+E22)/C22</f>
        <v>0.0217129486253054</v>
      </c>
      <c r="AF111" s="16">
        <f>(D23+E23)/C23</f>
        <v>0.030289255209704</v>
      </c>
      <c r="AG111" s="16">
        <f>((E24+D24)/C24)</f>
        <v>0.0256383175349193</v>
      </c>
      <c r="AH111" s="16">
        <f>(D25+E25)/C25</f>
        <v>0.026776924591455</v>
      </c>
      <c r="AI111" s="16">
        <f>(D26+E26)/C26</f>
        <v>0.0316430887645654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20.05" customHeight="1">
      <c r="AC112" s="36"/>
      <c r="AD112" s="34"/>
      <c r="AE112" s="15">
        <f>E22</f>
        <v>14.9</v>
      </c>
      <c r="AF112" t="s" s="44">
        <v>72</v>
      </c>
      <c r="AG112" s="15">
        <f>E23</f>
        <v>63.5</v>
      </c>
      <c r="AH112" t="s" s="44">
        <v>72</v>
      </c>
      <c r="AI112" s="15">
        <f>E24</f>
        <v>17.2</v>
      </c>
      <c r="AJ112" t="s" s="44">
        <v>72</v>
      </c>
      <c r="AK112" s="15">
        <f>E25</f>
        <v>18.2</v>
      </c>
      <c r="AL112" t="s" s="44">
        <v>72</v>
      </c>
      <c r="AM112" s="15">
        <f>E26</f>
        <v>36.6</v>
      </c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89</v>
      </c>
      <c r="AF113" s="16">
        <f>AH111</f>
        <v>0.026776924591455</v>
      </c>
      <c r="AG113" t="s" s="44">
        <v>76</v>
      </c>
      <c r="AH113" s="16">
        <f>AI111</f>
        <v>0.0316430887645654</v>
      </c>
      <c r="AI113" t="s" s="44">
        <v>90</v>
      </c>
      <c r="AJ113" s="15">
        <f>AK112</f>
        <v>18.2</v>
      </c>
      <c r="AK113" t="s" s="44">
        <v>76</v>
      </c>
      <c r="AL113" s="15">
        <f>AM112</f>
        <v>36.6</v>
      </c>
      <c r="AM113" t="s" s="44">
        <f>AJ108</f>
        <v>372</v>
      </c>
      <c r="AN113" t="s" s="44">
        <v>73</v>
      </c>
      <c r="AO113" t="s" s="44">
        <f>AL108</f>
        <v>74</v>
      </c>
      <c r="AP113" t="s" s="44">
        <v>91</v>
      </c>
      <c r="AQ113" s="17"/>
      <c r="AR113" s="17"/>
      <c r="AS113" s="17"/>
      <c r="AT113" s="17"/>
      <c r="AU113" s="17"/>
      <c r="AV113" s="17"/>
    </row>
    <row r="114" ht="68.05" customHeight="1">
      <c r="AC114" s="36"/>
      <c r="AD114" s="34"/>
      <c r="AE114" t="s" s="44">
        <v>92</v>
      </c>
      <c r="AF114" s="16">
        <f>AVERAGE(AF111:AI111)</f>
        <v>0.0285868965251609</v>
      </c>
      <c r="AG114" t="s" s="44">
        <v>78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44.05" customHeight="1">
      <c r="AC115" s="36"/>
      <c r="AD115" s="34"/>
      <c r="AE115" t="s" s="44">
        <v>93</v>
      </c>
      <c r="AF115" s="35">
        <f>AE53</f>
        <v>0.0285868965251609</v>
      </c>
      <c r="AG115" t="s" s="44">
        <v>94</v>
      </c>
      <c r="AH115" s="15">
        <f>AH66</f>
        <v>34.926282959523</v>
      </c>
      <c r="AI115" t="s" s="44">
        <f>AM113</f>
        <v>372</v>
      </c>
      <c r="AJ115" t="s" s="44">
        <v>95</v>
      </c>
      <c r="AK115" t="s" s="44">
        <f>AO113</f>
        <v>74</v>
      </c>
      <c r="AL115" t="s" s="44">
        <f>AJ106</f>
        <v>75</v>
      </c>
      <c r="AM115" t="s" s="44">
        <f>AN108</f>
        <v>85</v>
      </c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t="s" s="44">
        <v>15</v>
      </c>
      <c r="AF116" t="s" s="44">
        <f>IF(AH120&lt;AF120,"lower","higher")</f>
        <v>104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AE110</f>
        <v>70</v>
      </c>
      <c r="AF117" t="s" s="44">
        <v>96</v>
      </c>
      <c r="AG117" t="s" s="44">
        <f>AM106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498.4</v>
      </c>
      <c r="AF118" t="s" s="44">
        <v>72</v>
      </c>
      <c r="AG118" s="15">
        <f>J23</f>
        <v>2773.2</v>
      </c>
      <c r="AH118" t="s" s="44">
        <v>72</v>
      </c>
      <c r="AI118" s="15">
        <f>J24</f>
        <v>-2034</v>
      </c>
      <c r="AJ118" t="s" s="44">
        <v>72</v>
      </c>
      <c r="AK118" s="15">
        <f>J25</f>
        <v>235.3</v>
      </c>
      <c r="AL118" t="s" s="44">
        <v>72</v>
      </c>
      <c r="AM118" s="15">
        <f>J26</f>
        <v>-818.1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36.9</v>
      </c>
      <c r="AF119" t="s" s="44">
        <v>72</v>
      </c>
      <c r="AG119" s="15">
        <f>K23</f>
        <v>-410</v>
      </c>
      <c r="AH119" t="s" s="44">
        <v>72</v>
      </c>
      <c r="AI119" s="15">
        <f>K24</f>
        <v>-126</v>
      </c>
      <c r="AJ119" t="s" s="44">
        <v>72</v>
      </c>
      <c r="AK119" s="15">
        <f>K25</f>
        <v>-111.8</v>
      </c>
      <c r="AL119" t="s" s="44">
        <v>72</v>
      </c>
      <c r="AM119" s="15">
        <f>K26</f>
        <v>-45.4</v>
      </c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123.5</v>
      </c>
      <c r="AG120" t="s" s="44">
        <v>76</v>
      </c>
      <c r="AH120" s="15">
        <f>AM118+AM119</f>
        <v>-863.5</v>
      </c>
      <c r="AI120" t="s" s="44">
        <f>AI115</f>
        <v>372</v>
      </c>
      <c r="AJ120" t="s" s="44">
        <v>84</v>
      </c>
      <c r="AK120" t="s" s="44">
        <f>AK115</f>
        <v>74</v>
      </c>
      <c r="AL120" t="s" s="44">
        <v>98</v>
      </c>
      <c r="AM120" s="15">
        <f>AM119</f>
        <v>-45.4</v>
      </c>
      <c r="AN120" t="s" s="44">
        <f>AM106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-134.2</v>
      </c>
      <c r="AG121" t="s" s="44">
        <f>AM106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-94.40000000000001</v>
      </c>
      <c r="AG122" t="s" s="44">
        <f>AG121</f>
        <v>372</v>
      </c>
      <c r="AH122" t="s" s="44">
        <v>102</v>
      </c>
      <c r="AI122" t="s" s="44">
        <v>103</v>
      </c>
      <c r="AJ122" t="s" s="44">
        <f>IF(AI108&gt;AL106,"higher","lower")</f>
        <v>363</v>
      </c>
      <c r="AK122" t="s" s="44">
        <v>105</v>
      </c>
      <c r="AL122" s="15">
        <f>SUM(AE55:AH55)/4</f>
        <v>-0.47756796997509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AE103</f>
        <v>70</v>
      </c>
      <c r="AF124" t="s" s="44">
        <v>109</v>
      </c>
      <c r="AG124" t="s" s="44">
        <f>AM106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1625</v>
      </c>
      <c r="AF125" t="s" s="44">
        <v>72</v>
      </c>
      <c r="AG125" s="15">
        <f>F23</f>
        <v>3152</v>
      </c>
      <c r="AH125" t="s" s="44">
        <v>72</v>
      </c>
      <c r="AI125" s="15">
        <f>F24</f>
        <v>1335</v>
      </c>
      <c r="AJ125" t="s" s="44">
        <v>72</v>
      </c>
      <c r="AK125" s="15">
        <f>F25</f>
        <v>2516</v>
      </c>
      <c r="AL125" t="s" s="44">
        <v>72</v>
      </c>
      <c r="AM125" s="15">
        <f>F26</f>
        <v>753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35161</v>
      </c>
      <c r="AF126" t="s" s="44">
        <v>72</v>
      </c>
      <c r="AG126" s="15">
        <f>G23</f>
        <v>34242</v>
      </c>
      <c r="AH126" t="s" s="44">
        <v>72</v>
      </c>
      <c r="AI126" s="15">
        <f>G24</f>
        <v>32904</v>
      </c>
      <c r="AJ126" t="s" s="44">
        <v>72</v>
      </c>
      <c r="AK126" s="15">
        <f>G25</f>
        <v>33145</v>
      </c>
      <c r="AL126" t="s" s="44">
        <v>72</v>
      </c>
      <c r="AM126" s="15">
        <f>G26</f>
        <v>31582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2516</v>
      </c>
      <c r="AH127" t="s" s="44">
        <v>76</v>
      </c>
      <c r="AI127" s="15">
        <f>AM125</f>
        <v>753</v>
      </c>
      <c r="AJ127" t="s" s="44">
        <f>AM122</f>
        <v>372</v>
      </c>
      <c r="AK127" t="s" s="44">
        <v>84</v>
      </c>
      <c r="AL127" t="s" s="44">
        <f>AI106</f>
        <v>74</v>
      </c>
      <c r="AM127" t="s" s="44">
        <f>AP113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370</v>
      </c>
      <c r="AG128" s="15">
        <f>AK126</f>
        <v>33145</v>
      </c>
      <c r="AH128" t="s" s="44">
        <v>76</v>
      </c>
      <c r="AI128" s="15">
        <f>AM126</f>
        <v>31582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-30629</v>
      </c>
      <c r="AO128" t="s" s="44">
        <v>76</v>
      </c>
      <c r="AP128" s="15">
        <f>AI127-AI128</f>
        <v>-30829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0</v>
      </c>
      <c r="AG129" t="s" s="44">
        <f>AJ128</f>
        <v>372</v>
      </c>
      <c r="AH129" t="s" s="44">
        <v>117</v>
      </c>
      <c r="AI129" t="s" s="44">
        <f>IF(AJ129&gt;0,"+","")</f>
        <v>361</v>
      </c>
      <c r="AJ129" s="15">
        <f>AE56+AF56+AG56+AH56+AE60+AF60+AG60+AH60</f>
        <v>1.910271879890</v>
      </c>
      <c r="AK129" t="s" s="44">
        <f>AQ128</f>
        <v>372</v>
      </c>
      <c r="AL129" t="s" s="44">
        <v>118</v>
      </c>
      <c r="AM129" t="s" s="44">
        <v>119</v>
      </c>
      <c r="AN129" s="15">
        <f>AH75</f>
        <v>-30830.9102718799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AE103</f>
        <v>70</v>
      </c>
      <c r="AF131" t="s" s="44">
        <v>122</v>
      </c>
      <c r="AG131" t="s" s="44">
        <f>AM106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-419.039</v>
      </c>
      <c r="AF132" t="s" s="44">
        <v>72</v>
      </c>
      <c r="AG132" s="15">
        <f>-L23</f>
        <v>836.222</v>
      </c>
      <c r="AH132" t="s" s="44">
        <v>72</v>
      </c>
      <c r="AI132" s="15">
        <f>-L24</f>
        <v>0</v>
      </c>
      <c r="AJ132" t="s" s="44">
        <v>72</v>
      </c>
      <c r="AK132" s="15">
        <f>-L25</f>
        <v>-1057.3</v>
      </c>
      <c r="AL132" t="s" s="44">
        <v>72</v>
      </c>
      <c r="AM132" s="15">
        <f>-L26</f>
        <v>899.7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0</v>
      </c>
      <c r="AF133" t="s" s="44">
        <v>72</v>
      </c>
      <c r="AG133" s="15">
        <f>-M23</f>
        <v>0.03</v>
      </c>
      <c r="AH133" t="s" s="44">
        <v>72</v>
      </c>
      <c r="AI133" s="15">
        <f>-M24</f>
        <v>-345.4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AE95</f>
        <v>381</v>
      </c>
      <c r="AF134" t="s" s="44">
        <f>IF(AG134&gt;0,"paid","(raised)")</f>
        <v>374</v>
      </c>
      <c r="AG134" s="15">
        <f>SUM(AM132:AM133)</f>
        <v>899.7</v>
      </c>
      <c r="AH134" t="s" s="44">
        <f>AM106</f>
        <v>372</v>
      </c>
      <c r="AI134" t="s" s="44">
        <f>AH106</f>
        <v>73</v>
      </c>
      <c r="AJ134" t="s" s="44">
        <f>AI106</f>
        <v>74</v>
      </c>
      <c r="AK134" t="s" s="44">
        <f>AJ106</f>
        <v>75</v>
      </c>
      <c r="AL134" s="15">
        <f>AM132</f>
        <v>899.7</v>
      </c>
      <c r="AM134" t="s" s="44">
        <f>AM106</f>
        <v>372</v>
      </c>
      <c r="AN134" t="s" s="44">
        <v>123</v>
      </c>
      <c r="AO134" s="15">
        <f>AM133</f>
        <v>0</v>
      </c>
      <c r="AP134" t="s" s="44">
        <f>AM106</f>
        <v>372</v>
      </c>
      <c r="AQ134" t="s" s="44">
        <v>124</v>
      </c>
      <c r="AR134" t="s" s="44">
        <v>125</v>
      </c>
      <c r="AS134" t="s" s="44">
        <f>IF(AT134&gt;0,"pay","raise")</f>
        <v>383</v>
      </c>
      <c r="AT134" s="15">
        <f>-SUM(AE76:AH76)</f>
        <v>-1.910271879890</v>
      </c>
      <c r="AU134" t="s" s="44">
        <f>AM106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AH80</f>
        <v>3598.457018368</v>
      </c>
      <c r="AG135" t="s" s="44">
        <f>AM106</f>
        <v>372</v>
      </c>
      <c r="AH135" t="s" s="44">
        <v>128</v>
      </c>
      <c r="AI135" t="s" s="44">
        <v>129</v>
      </c>
      <c r="AJ135" s="43">
        <f>AH82</f>
        <v>0.09515179742225489</v>
      </c>
      <c r="AK135" t="s" s="44">
        <v>130</v>
      </c>
      <c r="AL135" t="s" s="44">
        <v>131</v>
      </c>
      <c r="AM135" t="s" s="44">
        <v>132</v>
      </c>
      <c r="AN135" s="15">
        <f>AH86</f>
        <v>-19403.0321320544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-1.91027187990036</v>
      </c>
      <c r="AG136" t="s" s="44">
        <f>AG135</f>
        <v>372</v>
      </c>
      <c r="AH136" t="s" s="44">
        <v>136</v>
      </c>
      <c r="AI136" s="15">
        <f>AF135/AF136</f>
        <v>-1883.740768123380</v>
      </c>
      <c r="AJ136" t="s" s="44">
        <v>130</v>
      </c>
      <c r="AK136" t="s" s="44">
        <v>137</v>
      </c>
      <c r="AL136" t="s" s="44">
        <v>138</v>
      </c>
      <c r="AM136" s="15">
        <f>AH87</f>
        <v>13</v>
      </c>
      <c r="AN136" t="s" s="44">
        <v>139</v>
      </c>
      <c r="AO136" t="s" s="44">
        <v>140</v>
      </c>
      <c r="AP136" t="s" s="44">
        <v>141</v>
      </c>
      <c r="AQ136" s="16">
        <f>AK95</f>
        <v>0.35723907236672</v>
      </c>
      <c r="AR136" t="s" s="44">
        <f>IF(AQ136&gt;0,"higher","lower")</f>
        <v>363</v>
      </c>
      <c r="AS136" t="s" s="44">
        <v>142</v>
      </c>
      <c r="AT136" s="15">
        <f>AI95</f>
        <v>580.898322972956</v>
      </c>
      <c r="AU136" t="s" s="44">
        <v>143</v>
      </c>
      <c r="AV136" s="17"/>
    </row>
    <row r="137" ht="20.05" customHeight="1">
      <c r="AC137" s="36"/>
      <c r="AD137" s="34"/>
      <c r="AE137" s="17"/>
      <c r="AF137" s="17"/>
      <c r="AG137" s="17"/>
      <c r="AH137" s="17"/>
      <c r="AI137" s="15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28</v>
      </c>
      <c r="AD138" s="14">
        <f>AE105</f>
        <v>2906.1</v>
      </c>
      <c r="AE138" s="15">
        <f>AG105</f>
        <v>4179.7</v>
      </c>
      <c r="AF138" s="15">
        <f>AI105</f>
        <v>3787.3</v>
      </c>
      <c r="AG138" s="15">
        <f>AK105</f>
        <v>2539.5</v>
      </c>
      <c r="AH138" s="15">
        <f>AM105</f>
        <v>2806.3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144</v>
      </c>
      <c r="AD139" s="14">
        <f>SUM(AE118:AE119)</f>
        <v>535.3</v>
      </c>
      <c r="AE139" s="15">
        <f>SUM(AG118:AG119)</f>
        <v>2363.2</v>
      </c>
      <c r="AF139" s="15">
        <f>SUM(AI118:AI119)</f>
        <v>-2160</v>
      </c>
      <c r="AG139" s="15">
        <f>SUM(AK118:AK119)</f>
        <v>123.5</v>
      </c>
      <c r="AH139" s="15">
        <f>SUM(AM118:AM119)</f>
        <v>-863.5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145</v>
      </c>
      <c r="AD140" s="14">
        <f>SUM(AE132:AE133)</f>
        <v>-419.039</v>
      </c>
      <c r="AE140" s="15">
        <f>SUM(AG132:AG133)</f>
        <v>836.252</v>
      </c>
      <c r="AF140" s="15">
        <f>SUM(AI132:AI133)</f>
        <v>-345.4</v>
      </c>
      <c r="AG140" s="15">
        <f>SUM(AK132:AK133)</f>
        <v>-1057.3</v>
      </c>
      <c r="AH140" s="15">
        <f>SUM(AM132:AM133)</f>
        <v>899.7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146</v>
      </c>
      <c r="AD141" s="14">
        <f>(AE125-AE126)</f>
        <v>-33536</v>
      </c>
      <c r="AE141" s="15">
        <f>(AG125-AG126)</f>
        <v>-31090</v>
      </c>
      <c r="AF141" s="15">
        <f>(AI125-AI126)</f>
        <v>-31569</v>
      </c>
      <c r="AG141" s="15">
        <f>(AK125-AK126)</f>
        <v>-30629</v>
      </c>
      <c r="AH141" s="15">
        <f>(AM125-AM126)</f>
        <v>-30829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5">
        <f>AT136</f>
        <v>580.898322972956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41" customWidth="1"/>
    <col min="2" max="26" width="10.4844" style="241" customWidth="1"/>
    <col min="27" max="27" width="18.9766" style="242" customWidth="1"/>
    <col min="28" max="46" width="9" style="242" customWidth="1"/>
    <col min="47" max="16384" width="16.3516" style="242" customWidth="1"/>
  </cols>
  <sheetData>
    <row r="1" ht="11.65" customHeight="1"/>
    <row r="2" ht="27.65" customHeight="1">
      <c r="B2" t="s" s="2">
        <v>602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603</v>
      </c>
      <c r="W3" t="s" s="3">
        <v>18</v>
      </c>
      <c r="X3" t="s" s="3">
        <v>350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79.34217804799999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5">
        <f>V4</f>
        <v>79.34217804799999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5">
        <f>V5</f>
        <v>79.34217804799999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5">
        <f>V6</f>
        <v>79.34217804799999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f>C9</f>
        <v>10.64475</v>
      </c>
      <c r="D8" s="15">
        <f>D9</f>
        <v>0.05875</v>
      </c>
      <c r="E8" s="15">
        <f>E9</f>
        <v>3.0645</v>
      </c>
      <c r="F8" s="15"/>
      <c r="G8" s="15"/>
      <c r="H8" s="15"/>
      <c r="I8" s="15">
        <f>I9</f>
        <v>10.0895</v>
      </c>
      <c r="J8" s="15">
        <f>J9</f>
        <v>3.39825</v>
      </c>
      <c r="K8" s="15">
        <f>K9</f>
        <v>-0.61175</v>
      </c>
      <c r="L8" s="15">
        <f>L9</f>
        <v>-2.76725</v>
      </c>
      <c r="M8" s="15">
        <f>M9</f>
        <v>0</v>
      </c>
      <c r="N8" s="15">
        <f>SUM(C5:C8)/4</f>
        <v>2.6611875</v>
      </c>
      <c r="O8" s="15"/>
      <c r="P8" s="16"/>
      <c r="Q8" s="16"/>
      <c r="R8" s="16"/>
      <c r="S8" s="15">
        <f>SUM(J5:K8)/4</f>
        <v>0.696625</v>
      </c>
      <c r="T8" s="15">
        <f>J8+K8+T7</f>
        <v>2.7865</v>
      </c>
      <c r="U8" s="15">
        <f>-(L8+M8)+U7</f>
        <v>2.76725</v>
      </c>
      <c r="V8" s="15">
        <f>V7</f>
        <v>79.34217804799999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>
        <f>C10</f>
        <v>10.64475</v>
      </c>
      <c r="D9" s="15">
        <f>D10</f>
        <v>0.05875</v>
      </c>
      <c r="E9" s="15">
        <f>E10</f>
        <v>3.0645</v>
      </c>
      <c r="F9" s="15"/>
      <c r="G9" s="15"/>
      <c r="H9" s="15"/>
      <c r="I9" s="15">
        <f>I10</f>
        <v>10.0895</v>
      </c>
      <c r="J9" s="15">
        <f>J10</f>
        <v>3.39825</v>
      </c>
      <c r="K9" s="15">
        <f>K10</f>
        <v>-0.61175</v>
      </c>
      <c r="L9" s="15">
        <f>L10</f>
        <v>-2.76725</v>
      </c>
      <c r="M9" s="15">
        <f>M10</f>
        <v>0</v>
      </c>
      <c r="N9" s="15">
        <f>SUM(C6:C9)/4</f>
        <v>5.322375</v>
      </c>
      <c r="O9" s="15"/>
      <c r="P9" s="16"/>
      <c r="Q9" s="16"/>
      <c r="R9" s="16"/>
      <c r="S9" s="15">
        <f>SUM(J6:K9)/4</f>
        <v>1.39325</v>
      </c>
      <c r="T9" s="15">
        <f>J9+K9+T8</f>
        <v>5.573</v>
      </c>
      <c r="U9" s="15">
        <f>-(L9+M9)+U8</f>
        <v>5.5345</v>
      </c>
      <c r="V9" s="15">
        <f>V8</f>
        <v>79.34217804799999</v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>
        <f>C11</f>
        <v>10.64475</v>
      </c>
      <c r="D10" s="15">
        <f>D11</f>
        <v>0.05875</v>
      </c>
      <c r="E10" s="15">
        <f>E11</f>
        <v>3.0645</v>
      </c>
      <c r="F10" s="15"/>
      <c r="G10" s="15"/>
      <c r="H10" s="15"/>
      <c r="I10" s="15">
        <f>I11</f>
        <v>10.0895</v>
      </c>
      <c r="J10" s="15">
        <f>J11</f>
        <v>3.39825</v>
      </c>
      <c r="K10" s="15">
        <f>K11</f>
        <v>-0.61175</v>
      </c>
      <c r="L10" s="15">
        <f>L11</f>
        <v>-2.76725</v>
      </c>
      <c r="M10" s="15">
        <f>M11</f>
        <v>0</v>
      </c>
      <c r="N10" s="15">
        <f>SUM(C7:C10)/4</f>
        <v>7.9835625</v>
      </c>
      <c r="O10" s="15"/>
      <c r="P10" s="16"/>
      <c r="Q10" s="16"/>
      <c r="R10" s="16"/>
      <c r="S10" s="15">
        <f>SUM(J7:K10)/4</f>
        <v>2.089875</v>
      </c>
      <c r="T10" s="15">
        <f>J10+K10+T9</f>
        <v>8.359500000000001</v>
      </c>
      <c r="U10" s="15">
        <f>-(L10+M10)+U9</f>
        <v>8.30175</v>
      </c>
      <c r="V10" s="15">
        <f>V9</f>
        <v>79.34217804799999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>
        <v>10.64475</v>
      </c>
      <c r="D11" s="15">
        <v>0.05875</v>
      </c>
      <c r="E11" s="15">
        <v>3.0645</v>
      </c>
      <c r="F11" s="15"/>
      <c r="G11" s="15"/>
      <c r="H11" s="15"/>
      <c r="I11" s="15">
        <v>10.0895</v>
      </c>
      <c r="J11" s="15">
        <v>3.39825</v>
      </c>
      <c r="K11" s="15">
        <v>-0.61175</v>
      </c>
      <c r="L11" s="15">
        <v>-2.76725</v>
      </c>
      <c r="M11" s="15">
        <v>0</v>
      </c>
      <c r="N11" s="15">
        <f>SUM(C8:C11)/4</f>
        <v>10.64475</v>
      </c>
      <c r="O11" s="15"/>
      <c r="P11" s="16"/>
      <c r="Q11" s="16"/>
      <c r="R11" s="16"/>
      <c r="S11" s="15">
        <f>SUM(J8:K11)/4</f>
        <v>2.7865</v>
      </c>
      <c r="T11" s="15">
        <f>J11+K11+T10</f>
        <v>11.146</v>
      </c>
      <c r="U11" s="15">
        <f>-(L11+M11)+U10</f>
        <v>11.069</v>
      </c>
      <c r="V11" s="15">
        <f>V10</f>
        <v>79.34217804799999</v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>
        <f>C13</f>
        <v>17.0965</v>
      </c>
      <c r="D12" s="15">
        <f>D13</f>
        <v>0.05125</v>
      </c>
      <c r="E12" s="15">
        <f>E13</f>
        <v>3.25525</v>
      </c>
      <c r="F12" s="15"/>
      <c r="G12" s="15"/>
      <c r="H12" s="15"/>
      <c r="I12" s="15">
        <f>I13</f>
        <v>16.19475</v>
      </c>
      <c r="J12" s="15">
        <f>J13</f>
        <v>2.444</v>
      </c>
      <c r="K12" s="15">
        <f>K13</f>
        <v>-4.2625</v>
      </c>
      <c r="L12" s="15">
        <f>L13</f>
        <v>0</v>
      </c>
      <c r="M12" s="15">
        <f>M13</f>
        <v>2.24425</v>
      </c>
      <c r="N12" s="15">
        <f>SUM(C9:C12)/4</f>
        <v>12.2576875</v>
      </c>
      <c r="O12" s="23"/>
      <c r="P12" s="16"/>
      <c r="Q12" s="16">
        <f>J12/I12</f>
        <v>0.150913104555489</v>
      </c>
      <c r="R12" s="16">
        <f>AVERAGE(Q9:Q12)</f>
        <v>0.150913104555489</v>
      </c>
      <c r="S12" s="15">
        <f>SUM(J9:K12)/4</f>
        <v>1.63525</v>
      </c>
      <c r="T12" s="15">
        <f>J12+K12+T11</f>
        <v>9.327500000000001</v>
      </c>
      <c r="U12" s="15">
        <f>-(L12+M12)+U11</f>
        <v>8.82475</v>
      </c>
      <c r="V12" s="15">
        <f>V11</f>
        <v>79.34217804799999</v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>
        <f>C14</f>
        <v>17.0965</v>
      </c>
      <c r="D13" s="15">
        <f>D14</f>
        <v>0.05125</v>
      </c>
      <c r="E13" s="15">
        <f>E14</f>
        <v>3.25525</v>
      </c>
      <c r="F13" s="15"/>
      <c r="G13" s="15"/>
      <c r="H13" s="15"/>
      <c r="I13" s="15">
        <f>I14</f>
        <v>16.19475</v>
      </c>
      <c r="J13" s="15">
        <f>J14</f>
        <v>2.444</v>
      </c>
      <c r="K13" s="15">
        <f>K14</f>
        <v>-4.2625</v>
      </c>
      <c r="L13" s="15">
        <f>L14</f>
        <v>0</v>
      </c>
      <c r="M13" s="15">
        <f>M14</f>
        <v>2.24425</v>
      </c>
      <c r="N13" s="15">
        <f>SUM(C10:C13)/4</f>
        <v>13.870625</v>
      </c>
      <c r="O13" s="23"/>
      <c r="P13" s="16">
        <f>C13/C12-1</f>
        <v>0</v>
      </c>
      <c r="Q13" s="16">
        <f>J13/I13</f>
        <v>0.150913104555489</v>
      </c>
      <c r="R13" s="16">
        <f>AVERAGE(Q10:Q13)</f>
        <v>0.150913104555489</v>
      </c>
      <c r="S13" s="15">
        <f>SUM(J10:K13)/4</f>
        <v>0.484</v>
      </c>
      <c r="T13" s="15">
        <f>J13+K13+T12</f>
        <v>7.509</v>
      </c>
      <c r="U13" s="15">
        <f>-(L13+M13)+U12</f>
        <v>6.5805</v>
      </c>
      <c r="V13" s="15">
        <f>V12</f>
        <v>79.34217804799999</v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>
        <f>C15</f>
        <v>17.0965</v>
      </c>
      <c r="D14" s="15">
        <f>D15</f>
        <v>0.05125</v>
      </c>
      <c r="E14" s="15">
        <f>E15</f>
        <v>3.25525</v>
      </c>
      <c r="F14" s="15"/>
      <c r="G14" s="15"/>
      <c r="H14" s="15"/>
      <c r="I14" s="15">
        <f>I15</f>
        <v>16.19475</v>
      </c>
      <c r="J14" s="15">
        <f>J15</f>
        <v>2.444</v>
      </c>
      <c r="K14" s="15">
        <f>K15</f>
        <v>-4.2625</v>
      </c>
      <c r="L14" s="15">
        <f>L15</f>
        <v>0</v>
      </c>
      <c r="M14" s="15">
        <f>M15</f>
        <v>2.24425</v>
      </c>
      <c r="N14" s="15">
        <f>SUM(C11:C14)/4</f>
        <v>15.4835625</v>
      </c>
      <c r="O14" s="23"/>
      <c r="P14" s="16">
        <f>C14/C13-1</f>
        <v>0</v>
      </c>
      <c r="Q14" s="16">
        <f>J14/I14</f>
        <v>0.150913104555489</v>
      </c>
      <c r="R14" s="16">
        <f>AVERAGE(Q11:Q14)</f>
        <v>0.150913104555489</v>
      </c>
      <c r="S14" s="15">
        <f>SUM(J11:K14)/4</f>
        <v>-0.66725</v>
      </c>
      <c r="T14" s="15">
        <f>J14+K14+T13</f>
        <v>5.6905</v>
      </c>
      <c r="U14" s="15">
        <f>-(L14+M14)+U13</f>
        <v>4.33625</v>
      </c>
      <c r="V14" s="15">
        <f>V13</f>
        <v>79.34217804799999</v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>
        <v>17.0965</v>
      </c>
      <c r="D15" s="15">
        <v>0.05125</v>
      </c>
      <c r="E15" s="15">
        <v>3.25525</v>
      </c>
      <c r="F15" s="15"/>
      <c r="G15" s="15"/>
      <c r="H15" s="15"/>
      <c r="I15" s="15">
        <v>16.19475</v>
      </c>
      <c r="J15" s="15">
        <v>2.444</v>
      </c>
      <c r="K15" s="15">
        <v>-4.2625</v>
      </c>
      <c r="L15" s="15">
        <v>0</v>
      </c>
      <c r="M15" s="15">
        <v>2.24425</v>
      </c>
      <c r="N15" s="15">
        <f>SUM(C12:C15)/4</f>
        <v>17.0965</v>
      </c>
      <c r="O15" s="15"/>
      <c r="P15" s="16">
        <f>C15/C14-1</f>
        <v>0</v>
      </c>
      <c r="Q15" s="16">
        <f>J15/I15</f>
        <v>0.150913104555489</v>
      </c>
      <c r="R15" s="16">
        <f>AVERAGE(Q12:Q15)</f>
        <v>0.150913104555489</v>
      </c>
      <c r="S15" s="15">
        <f>SUM(J12:K15)/4</f>
        <v>-1.8185</v>
      </c>
      <c r="T15" s="15">
        <f>J15+K15+T14</f>
        <v>3.872</v>
      </c>
      <c r="U15" s="15">
        <f>-(L15+M15)+U14</f>
        <v>2.092</v>
      </c>
      <c r="V15" s="15">
        <f>V14</f>
        <v>79.34217804799999</v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>
        <v>5.564</v>
      </c>
      <c r="D16" s="15">
        <v>0.06</v>
      </c>
      <c r="E16" s="15">
        <v>0.284666666666667</v>
      </c>
      <c r="F16" s="15"/>
      <c r="G16" s="15"/>
      <c r="H16" s="15"/>
      <c r="I16" s="15">
        <v>6.48333333333333</v>
      </c>
      <c r="J16" s="15">
        <v>1.41966666666667</v>
      </c>
      <c r="K16" s="15">
        <v>-2.45633333333333</v>
      </c>
      <c r="L16" s="15">
        <v>0</v>
      </c>
      <c r="M16" s="15">
        <v>2.25733333333333</v>
      </c>
      <c r="N16" s="15">
        <f>SUM(C13:C16)/4</f>
        <v>14.213375</v>
      </c>
      <c r="O16" s="15"/>
      <c r="P16" s="16">
        <f>C16/C15-1</f>
        <v>-0.674553271137367</v>
      </c>
      <c r="Q16" s="16">
        <f>J16/I16</f>
        <v>0.218971722365039</v>
      </c>
      <c r="R16" s="16">
        <f>AVERAGE(Q13:Q16)</f>
        <v>0.167927759007877</v>
      </c>
      <c r="S16" s="15">
        <f>SUM(J13:K16)/4</f>
        <v>-1.62304166666667</v>
      </c>
      <c r="T16" s="15">
        <f>J16+K16+T15</f>
        <v>2.83533333333334</v>
      </c>
      <c r="U16" s="15">
        <f>-(L16+M16)+U15</f>
        <v>-0.16533333333333</v>
      </c>
      <c r="V16" s="15">
        <f>V15</f>
        <v>79.34217804799999</v>
      </c>
      <c r="W16" s="15">
        <f>F16-G16</f>
        <v>0</v>
      </c>
      <c r="X16" s="18"/>
      <c r="Y16" s="24"/>
      <c r="Z16" s="15">
        <v>16.31</v>
      </c>
    </row>
    <row r="17" ht="20.05" customHeight="1">
      <c r="B17" s="13"/>
      <c r="C17" s="14">
        <v>5.564</v>
      </c>
      <c r="D17" s="15">
        <v>0.06</v>
      </c>
      <c r="E17" s="15">
        <v>0.284666666666667</v>
      </c>
      <c r="F17" s="15"/>
      <c r="G17" s="15"/>
      <c r="H17" s="15"/>
      <c r="I17" s="15">
        <v>6.48333333333333</v>
      </c>
      <c r="J17" s="15">
        <v>1.41966666666667</v>
      </c>
      <c r="K17" s="15">
        <v>-2.45633333333333</v>
      </c>
      <c r="L17" s="15">
        <v>0</v>
      </c>
      <c r="M17" s="15">
        <v>2.25733333333333</v>
      </c>
      <c r="N17" s="15">
        <f>SUM(C14:C17)/4</f>
        <v>11.33025</v>
      </c>
      <c r="O17" s="15"/>
      <c r="P17" s="16">
        <f>C17/C16-1</f>
        <v>0</v>
      </c>
      <c r="Q17" s="16">
        <f>J17/I17</f>
        <v>0.218971722365039</v>
      </c>
      <c r="R17" s="16">
        <f>AVERAGE(Q14:Q17)</f>
        <v>0.184942413460264</v>
      </c>
      <c r="S17" s="25">
        <f>SUM(J14:K17)/4</f>
        <v>-1.42758333333333</v>
      </c>
      <c r="T17" s="15">
        <f>J17+K17+T16</f>
        <v>1.79866666666668</v>
      </c>
      <c r="U17" s="15">
        <f>-(L17+M17)+U16</f>
        <v>-2.42266666666666</v>
      </c>
      <c r="V17" s="15">
        <f>V16</f>
        <v>79.34217804799999</v>
      </c>
      <c r="W17" s="15">
        <f>F17-G17</f>
        <v>0</v>
      </c>
      <c r="X17" s="18"/>
      <c r="Y17" s="24"/>
      <c r="Z17" s="15">
        <v>14.255</v>
      </c>
    </row>
    <row r="18" ht="20.05" customHeight="1">
      <c r="B18" s="13"/>
      <c r="C18" s="14">
        <v>5.564</v>
      </c>
      <c r="D18" s="15">
        <v>0.06</v>
      </c>
      <c r="E18" s="15">
        <v>0.284666666666667</v>
      </c>
      <c r="F18" s="15"/>
      <c r="G18" s="15"/>
      <c r="H18" s="15"/>
      <c r="I18" s="15">
        <v>6.48333333333333</v>
      </c>
      <c r="J18" s="15">
        <v>1.41966666666667</v>
      </c>
      <c r="K18" s="15">
        <v>-2.45633333333333</v>
      </c>
      <c r="L18" s="15">
        <v>0</v>
      </c>
      <c r="M18" s="15">
        <v>2.25733333333333</v>
      </c>
      <c r="N18" s="15">
        <f>SUM(C15:C18)/4</f>
        <v>8.447125</v>
      </c>
      <c r="O18" s="15"/>
      <c r="P18" s="16">
        <f>C18/C17-1</f>
        <v>0</v>
      </c>
      <c r="Q18" s="16">
        <f>J18/I18</f>
        <v>0.218971722365039</v>
      </c>
      <c r="R18" s="16">
        <f>AVERAGE(Q15:Q18)</f>
        <v>0.201957067912652</v>
      </c>
      <c r="S18" s="25">
        <f>SUM(J15:K18)/4</f>
        <v>-1.232125</v>
      </c>
      <c r="T18" s="15">
        <f>J18+K18+T17</f>
        <v>0.76200000000002</v>
      </c>
      <c r="U18" s="15">
        <f>-(L18+M18)+U17</f>
        <v>-4.67999999999999</v>
      </c>
      <c r="V18" s="15">
        <f>V17</f>
        <v>79.34217804799999</v>
      </c>
      <c r="W18" s="15">
        <f>F18-G18</f>
        <v>0</v>
      </c>
      <c r="X18" s="18"/>
      <c r="Y18" s="24"/>
      <c r="Z18" s="15">
        <v>14.79</v>
      </c>
    </row>
    <row r="19" ht="20.05" customHeight="1">
      <c r="B19" s="13"/>
      <c r="C19" s="14">
        <v>3.106</v>
      </c>
      <c r="D19" s="15">
        <v>0.06900000000000001</v>
      </c>
      <c r="E19" s="15">
        <v>-2.118</v>
      </c>
      <c r="F19" s="15"/>
      <c r="G19" s="15"/>
      <c r="H19" s="15"/>
      <c r="I19" s="15">
        <v>2.69</v>
      </c>
      <c r="J19" s="15">
        <v>-4.379</v>
      </c>
      <c r="K19" s="15">
        <v>0.656</v>
      </c>
      <c r="L19" s="15">
        <v>0</v>
      </c>
      <c r="M19" s="15">
        <v>0</v>
      </c>
      <c r="N19" s="15">
        <f>SUM(C16:C19)/4</f>
        <v>4.9495</v>
      </c>
      <c r="O19" s="15"/>
      <c r="P19" s="16">
        <f>C19/C18-1</f>
        <v>-0.44176851186197</v>
      </c>
      <c r="Q19" s="16">
        <f>J19/I19</f>
        <v>-1.62788104089219</v>
      </c>
      <c r="R19" s="16">
        <f>AVERAGE(Q16:Q19)</f>
        <v>-0.242741468449268</v>
      </c>
      <c r="S19" s="25">
        <f>SUM(J16:K19)/4</f>
        <v>-1.70825</v>
      </c>
      <c r="T19" s="15">
        <f>J19+K19+T18</f>
        <v>-2.96099999999998</v>
      </c>
      <c r="U19" s="15">
        <f>-(L19+M19)+U18</f>
        <v>-4.67999999999999</v>
      </c>
      <c r="V19" s="15">
        <f>V18</f>
        <v>79.34217804799999</v>
      </c>
      <c r="W19" s="15">
        <f>F19-G19</f>
        <v>0</v>
      </c>
      <c r="X19" s="15"/>
      <c r="Y19" s="24"/>
      <c r="Z19" s="15">
        <v>14.1</v>
      </c>
    </row>
    <row r="20" ht="20.05" customHeight="1">
      <c r="B20" s="21">
        <v>2021</v>
      </c>
      <c r="C20" s="14">
        <v>1.949</v>
      </c>
      <c r="D20" s="15">
        <v>0.226</v>
      </c>
      <c r="E20" s="15">
        <v>-0.243</v>
      </c>
      <c r="F20" s="15"/>
      <c r="G20" s="15"/>
      <c r="H20" s="15"/>
      <c r="I20" s="15">
        <v>1.715</v>
      </c>
      <c r="J20" s="15">
        <v>0.744</v>
      </c>
      <c r="K20" s="15">
        <v>0</v>
      </c>
      <c r="L20" s="15">
        <v>0</v>
      </c>
      <c r="M20" s="15">
        <v>0</v>
      </c>
      <c r="N20" s="15">
        <f>SUM(C17:C20)/4</f>
        <v>4.04575</v>
      </c>
      <c r="O20" s="15"/>
      <c r="P20" s="16">
        <f>C20/C19-1</f>
        <v>-0.372504829362524</v>
      </c>
      <c r="Q20" s="16">
        <f>J20/I20</f>
        <v>0.433819241982507</v>
      </c>
      <c r="R20" s="16">
        <f>AVERAGE(Q17:Q20)</f>
        <v>-0.189029588544901</v>
      </c>
      <c r="S20" s="25">
        <f>SUM(J17:K20)/4</f>
        <v>-1.26308333333333</v>
      </c>
      <c r="T20" s="15">
        <f>J20+K20+T19</f>
        <v>-2.21699999999998</v>
      </c>
      <c r="U20" s="15">
        <f>-(L20+M20)+U19</f>
        <v>-4.67999999999999</v>
      </c>
      <c r="V20" s="15">
        <f>V19</f>
        <v>79.34217804799999</v>
      </c>
      <c r="W20" s="15">
        <f>F20-G20</f>
        <v>0</v>
      </c>
      <c r="X20" s="15"/>
      <c r="Y20" s="15"/>
      <c r="Z20" s="15">
        <v>14.606</v>
      </c>
    </row>
    <row r="21" ht="20.05" customHeight="1">
      <c r="B21" s="13"/>
      <c r="C21" s="14">
        <v>2.255</v>
      </c>
      <c r="D21" s="15">
        <v>0.324</v>
      </c>
      <c r="E21" s="15">
        <v>0.022</v>
      </c>
      <c r="F21" s="15"/>
      <c r="G21" s="15"/>
      <c r="H21" s="15"/>
      <c r="I21" s="15">
        <v>3.156</v>
      </c>
      <c r="J21" s="15">
        <v>11.671</v>
      </c>
      <c r="K21" s="15">
        <v>0.081</v>
      </c>
      <c r="L21" s="15">
        <v>0</v>
      </c>
      <c r="M21" s="15">
        <v>-14</v>
      </c>
      <c r="N21" s="15">
        <f>SUM(C18:C21)/4</f>
        <v>3.2185</v>
      </c>
      <c r="O21" s="15"/>
      <c r="P21" s="16">
        <f>C21/C20-1</f>
        <v>0.157003591585428</v>
      </c>
      <c r="Q21" s="16">
        <f>J21/I21</f>
        <v>3.69803548795944</v>
      </c>
      <c r="R21" s="16">
        <f>AVERAGE(Q18:Q21)</f>
        <v>0.680736352853699</v>
      </c>
      <c r="S21" s="25">
        <f>SUM(J18:K21)/4</f>
        <v>1.93408333333334</v>
      </c>
      <c r="T21" s="15">
        <f>J21+K21+T20</f>
        <v>9.53500000000002</v>
      </c>
      <c r="U21" s="15">
        <f>-(L21+M21)+U20</f>
        <v>9.320000000000009</v>
      </c>
      <c r="V21" s="15">
        <f>V20</f>
        <v>79.34217804799999</v>
      </c>
      <c r="W21" s="15">
        <f>F21-G21</f>
        <v>0</v>
      </c>
      <c r="X21" s="15">
        <v>242</v>
      </c>
      <c r="Y21" s="15"/>
      <c r="Z21" s="15">
        <v>14.45</v>
      </c>
    </row>
    <row r="22" ht="20.05" customHeight="1">
      <c r="B22" s="13"/>
      <c r="C22" s="14">
        <v>2.77966666666667</v>
      </c>
      <c r="D22" s="15">
        <v>0.147</v>
      </c>
      <c r="E22" s="15">
        <v>-1.54466666666667</v>
      </c>
      <c r="F22" s="15">
        <v>1.138</v>
      </c>
      <c r="G22" s="15">
        <v>15.141</v>
      </c>
      <c r="H22" s="15">
        <v>64.396</v>
      </c>
      <c r="I22" s="15">
        <v>2.54566666666667</v>
      </c>
      <c r="J22" s="15">
        <v>3.198</v>
      </c>
      <c r="K22" s="15">
        <v>-7.132</v>
      </c>
      <c r="L22" s="15">
        <v>0</v>
      </c>
      <c r="M22" s="15">
        <v>3.55566666666667</v>
      </c>
      <c r="N22" s="15">
        <f>SUM(C19:C22)/4</f>
        <v>2.52241666666667</v>
      </c>
      <c r="O22" s="15"/>
      <c r="P22" s="16">
        <f>C22/C21-1</f>
        <v>0.232668144863268</v>
      </c>
      <c r="Q22" s="16">
        <f>J22/I22</f>
        <v>1.25625245515255</v>
      </c>
      <c r="R22" s="16">
        <f>AVERAGE(Q19:Q22)</f>
        <v>0.940056536050577</v>
      </c>
      <c r="S22" s="25">
        <f>SUM(J19:K22)/4</f>
        <v>1.20975</v>
      </c>
      <c r="T22" s="15">
        <f>J22+K22+T21</f>
        <v>5.60100000000002</v>
      </c>
      <c r="U22" s="15">
        <f>-(L22+M22)+U21</f>
        <v>5.76433333333334</v>
      </c>
      <c r="V22" s="15">
        <f>V21</f>
        <v>79.34217804799999</v>
      </c>
      <c r="W22" s="15">
        <f>F22-G22</f>
        <v>-14.003</v>
      </c>
      <c r="X22" s="15">
        <v>165</v>
      </c>
      <c r="Y22" s="15"/>
      <c r="Z22" s="15">
        <v>14.328</v>
      </c>
    </row>
    <row r="23" ht="20.05" customHeight="1">
      <c r="B23" s="13"/>
      <c r="C23" s="14">
        <v>4.30833333333333</v>
      </c>
      <c r="D23" s="15">
        <v>-0.08799999999999999</v>
      </c>
      <c r="E23" s="15">
        <v>-2.04433333333333</v>
      </c>
      <c r="F23" s="15">
        <v>1.454</v>
      </c>
      <c r="G23" s="15">
        <v>13.454</v>
      </c>
      <c r="H23" s="15">
        <v>63.234</v>
      </c>
      <c r="I23" s="15">
        <v>4.62133333333333</v>
      </c>
      <c r="J23" s="15">
        <v>-22.503</v>
      </c>
      <c r="K23" s="15">
        <v>-14.448</v>
      </c>
      <c r="L23" s="15">
        <v>17.829</v>
      </c>
      <c r="M23" s="15">
        <v>20.2113333333333</v>
      </c>
      <c r="N23" s="15">
        <f>SUM(C20:C23)/4</f>
        <v>2.823</v>
      </c>
      <c r="O23" s="15"/>
      <c r="P23" s="16">
        <f>C23/C22-1</f>
        <v>0.549946036695044</v>
      </c>
      <c r="Q23" s="16">
        <f>J23/I23</f>
        <v>-4.86937391806117</v>
      </c>
      <c r="R23" s="16">
        <f>AVERAGE(Q20:Q23)</f>
        <v>0.129683316758332</v>
      </c>
      <c r="S23" s="25">
        <f>SUM(J20:K23)/4</f>
        <v>-7.09725</v>
      </c>
      <c r="T23" s="15">
        <f>J23+K23+T22</f>
        <v>-31.35</v>
      </c>
      <c r="U23" s="15">
        <f>-(L23+M23)+U22</f>
        <v>-32.276</v>
      </c>
      <c r="V23" s="15">
        <f>V22</f>
        <v>79.34217804799999</v>
      </c>
      <c r="W23" s="15">
        <f>F23-G23</f>
        <v>-12</v>
      </c>
      <c r="X23" s="15">
        <v>130</v>
      </c>
      <c r="Y23" s="15"/>
      <c r="Z23" s="15">
        <v>14.275</v>
      </c>
    </row>
    <row r="24" ht="20.05" customHeight="1">
      <c r="B24" s="21">
        <v>2022</v>
      </c>
      <c r="C24" s="14">
        <v>4.246</v>
      </c>
      <c r="D24" s="15">
        <v>0.287</v>
      </c>
      <c r="E24" s="15">
        <v>1.09</v>
      </c>
      <c r="F24" s="15">
        <v>0.128</v>
      </c>
      <c r="G24" s="15">
        <v>11.464</v>
      </c>
      <c r="H24" s="15">
        <v>62.334</v>
      </c>
      <c r="I24" s="15">
        <v>2.8</v>
      </c>
      <c r="J24" s="15">
        <v>-1.3</v>
      </c>
      <c r="K24" s="15">
        <v>-0.2</v>
      </c>
      <c r="L24" s="15">
        <v>0</v>
      </c>
      <c r="M24" s="15">
        <v>0</v>
      </c>
      <c r="N24" s="15">
        <f>SUM(C21:C24)/4</f>
        <v>3.39725</v>
      </c>
      <c r="O24" s="15">
        <v>2.91865</v>
      </c>
      <c r="P24" s="16">
        <f>C24/C23-1</f>
        <v>-0.0144680851063822</v>
      </c>
      <c r="Q24" s="16">
        <f>J24/I24</f>
        <v>-0.464285714285714</v>
      </c>
      <c r="R24" s="16">
        <f>AVERAGE(Q21:Q24)</f>
        <v>-0.0948429223087235</v>
      </c>
      <c r="S24" s="25">
        <f>SUM(J21:K24)/4</f>
        <v>-7.65825</v>
      </c>
      <c r="T24" s="15">
        <f>J24+K24+T23</f>
        <v>-32.85</v>
      </c>
      <c r="U24" s="15">
        <f>-(L24+M24)+U23</f>
        <v>-32.276</v>
      </c>
      <c r="V24" s="15">
        <f>V23</f>
        <v>79.34217804799999</v>
      </c>
      <c r="W24" s="15">
        <f>F24-G24</f>
        <v>-11.336</v>
      </c>
      <c r="X24" s="15">
        <v>100</v>
      </c>
      <c r="Y24" s="15"/>
      <c r="Z24" s="15">
        <v>14.327</v>
      </c>
    </row>
    <row r="25" ht="20.05" customHeight="1">
      <c r="B25" s="13"/>
      <c r="C25" s="14">
        <v>1.374</v>
      </c>
      <c r="D25" s="15">
        <v>0.28</v>
      </c>
      <c r="E25" s="15">
        <v>-1.015</v>
      </c>
      <c r="F25" s="15">
        <v>0.517</v>
      </c>
      <c r="G25" s="15">
        <v>12.731</v>
      </c>
      <c r="H25" s="15">
        <v>63.124</v>
      </c>
      <c r="I25" s="15">
        <v>2.734</v>
      </c>
      <c r="J25" s="15">
        <v>0.38</v>
      </c>
      <c r="K25" s="15">
        <v>0.183</v>
      </c>
      <c r="L25" s="15">
        <v>0</v>
      </c>
      <c r="M25" s="15">
        <v>0</v>
      </c>
      <c r="N25" s="15">
        <f>SUM(C22:C25)/4</f>
        <v>3.177</v>
      </c>
      <c r="O25" s="15">
        <v>2.91865</v>
      </c>
      <c r="P25" s="16">
        <f>C25/C24-1</f>
        <v>-0.676401318888366</v>
      </c>
      <c r="Q25" s="16">
        <f>J25/I25</f>
        <v>0.13899049012436</v>
      </c>
      <c r="R25" s="16">
        <f>AVERAGE(Q22:Q25)</f>
        <v>-0.984604171767494</v>
      </c>
      <c r="S25" s="25">
        <f>SUM(J22:K25)/4</f>
        <v>-10.4555</v>
      </c>
      <c r="T25" s="15">
        <f>J25+K25+T24</f>
        <v>-32.287</v>
      </c>
      <c r="U25" s="15">
        <f>-(L25+M25)+U24</f>
        <v>-32.276</v>
      </c>
      <c r="V25" s="15">
        <f>V24</f>
        <v>79.34217804799999</v>
      </c>
      <c r="W25" s="15">
        <f>F25-G25</f>
        <v>-12.214</v>
      </c>
      <c r="X25" s="15">
        <v>115</v>
      </c>
      <c r="Y25" s="15"/>
      <c r="Z25" s="15">
        <v>14.66</v>
      </c>
    </row>
    <row r="26" ht="20.05" customHeight="1">
      <c r="B26" s="13"/>
      <c r="C26" s="14">
        <v>1.957</v>
      </c>
      <c r="D26" s="15">
        <v>0.008</v>
      </c>
      <c r="E26" s="15">
        <v>-0.5649999999999999</v>
      </c>
      <c r="F26" s="15">
        <v>0.734</v>
      </c>
      <c r="G26" s="15">
        <v>11.125</v>
      </c>
      <c r="H26" s="15">
        <v>60.982</v>
      </c>
      <c r="I26" s="15">
        <v>3.199</v>
      </c>
      <c r="J26" s="15">
        <v>0.194</v>
      </c>
      <c r="K26" s="15">
        <v>0.005</v>
      </c>
      <c r="L26" s="15">
        <v>0</v>
      </c>
      <c r="M26" s="15">
        <v>0.019</v>
      </c>
      <c r="N26" s="15">
        <f>SUM(C23:C26)/4</f>
        <v>2.97133333333333</v>
      </c>
      <c r="O26" s="15">
        <v>2.91865</v>
      </c>
      <c r="P26" s="16">
        <f>C26/C25-1</f>
        <v>0.424308588064047</v>
      </c>
      <c r="Q26" s="16">
        <f>J26/I26</f>
        <v>0.0606439512347609</v>
      </c>
      <c r="R26" s="16">
        <f>AVERAGE(Q23:Q26)</f>
        <v>-1.28350629774694</v>
      </c>
      <c r="S26" s="25">
        <f>SUM(J23:K26)/4</f>
        <v>-9.42225</v>
      </c>
      <c r="T26" s="15">
        <f>J26+K26+T25</f>
        <v>-32.088</v>
      </c>
      <c r="U26" s="15">
        <f>-(L26+M26)+U25</f>
        <v>-32.295</v>
      </c>
      <c r="V26" s="15">
        <f>V25</f>
        <v>79.34217804799999</v>
      </c>
      <c r="W26" s="15">
        <f>F26-G26</f>
        <v>-10.391</v>
      </c>
      <c r="X26" s="15">
        <v>121</v>
      </c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2.174169953450</v>
      </c>
      <c r="P27" s="17"/>
      <c r="Q27" s="17"/>
      <c r="R27" s="17"/>
      <c r="S27" s="25"/>
      <c r="T27" s="17"/>
      <c r="U27" s="17"/>
      <c r="V27" s="17"/>
      <c r="W27" s="26"/>
      <c r="X27" s="26">
        <v>163</v>
      </c>
      <c r="Y27" s="15">
        <v>55.2147975377347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9.54558333333333</v>
      </c>
      <c r="O28" s="15">
        <f>SUM(O24:O26)</f>
        <v>8.75595</v>
      </c>
      <c r="P28" s="17"/>
      <c r="Q28" s="17"/>
      <c r="R28" s="17"/>
      <c r="S28" s="17"/>
      <c r="T28" s="17"/>
      <c r="U28" s="17"/>
      <c r="V28" s="17"/>
      <c r="W28" s="26"/>
      <c r="X28" s="15">
        <v>119</v>
      </c>
      <c r="Y28" s="17"/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AF87</f>
        <v>82.1010007034961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350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0.0708463051910857</v>
      </c>
      <c r="AD49" s="35"/>
      <c r="AE49" s="35"/>
      <c r="AF49" s="35">
        <f>AVERAGE(AC51:AF51)</f>
        <v>0.035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0.549946036695044</v>
      </c>
      <c r="AD50" s="35">
        <f>P24</f>
        <v>-0.0144680851063822</v>
      </c>
      <c r="AE50" s="35">
        <f>P25</f>
        <v>-0.676401318888366</v>
      </c>
      <c r="AF50" s="35">
        <f>P26</f>
        <v>0.424308588064047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0.1</v>
      </c>
      <c r="AD51" s="35">
        <v>-0.01</v>
      </c>
      <c r="AE51" s="35">
        <v>0.02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1.957</v>
      </c>
      <c r="AC52" s="23">
        <f>C26*(1+AC51)</f>
        <v>2.1527</v>
      </c>
      <c r="AD52" s="23">
        <f>AC52*(1+AD51)</f>
        <v>2.131173</v>
      </c>
      <c r="AE52" s="23">
        <f>AD52*(1+AE51)</f>
        <v>2.17379646</v>
      </c>
      <c r="AF52" s="23">
        <f>AE52*(1+AF51)</f>
        <v>2.2390103538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AVERAGE(Q26)</f>
        <v>0.0606439512347609</v>
      </c>
      <c r="AD53" s="35">
        <f>AC53</f>
        <v>0.0606439512347609</v>
      </c>
      <c r="AE53" s="35">
        <f>AD53</f>
        <v>0.0606439512347609</v>
      </c>
      <c r="AF53" s="35">
        <f>AE53</f>
        <v>0.0606439512347609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0.005</v>
      </c>
      <c r="AD54" s="15">
        <f>AC54</f>
        <v>0.005</v>
      </c>
      <c r="AE54" s="15">
        <f>AD54</f>
        <v>0.005</v>
      </c>
      <c r="AF54" s="15">
        <f>AE54</f>
        <v>0.005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0.13554823382307</v>
      </c>
      <c r="AD55" s="15">
        <f>(AD52*AD53)+AD54</f>
        <v>0.134242751484839</v>
      </c>
      <c r="AE55" s="15">
        <f>(AE52*AE53)+AE54</f>
        <v>0.136827606514536</v>
      </c>
      <c r="AF55" s="15">
        <f>(AF52*AF53)+AF54</f>
        <v>0.140782434709972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-0.55625</v>
      </c>
      <c r="AD56" s="15">
        <f>-AC71/20</f>
        <v>-0.5284375</v>
      </c>
      <c r="AE56" s="15">
        <f>-AD71/20</f>
        <v>-0.502015625</v>
      </c>
      <c r="AF56" s="15">
        <f>-AE71/20</f>
        <v>-0.476914843750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-0.42070176617693</v>
      </c>
      <c r="AD59" s="15">
        <f>AD55+AD56+AD58</f>
        <v>-0.394194748515161</v>
      </c>
      <c r="AE59" s="15">
        <f>AE55+AE56+AE58</f>
        <v>-0.365188018485464</v>
      </c>
      <c r="AF59" s="15">
        <f>AF55+AF56+AF58</f>
        <v>-0.336132409040028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0.42070176617693</v>
      </c>
      <c r="AD60" s="15">
        <f>-MIN(AC72,AD59)</f>
        <v>0.394194748515161</v>
      </c>
      <c r="AE60" s="15">
        <f>-MIN(AD72,AE59)</f>
        <v>0.365188018485464</v>
      </c>
      <c r="AF60" s="15">
        <f>-MIN(AE72,AF59)</f>
        <v>0.336132409040028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0.734</v>
      </c>
      <c r="AD61" s="15">
        <f>AC63</f>
        <v>0.734</v>
      </c>
      <c r="AE61" s="15">
        <f>AD63</f>
        <v>0.734</v>
      </c>
      <c r="AF61" s="15">
        <f>AE63</f>
        <v>0.734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0.734</v>
      </c>
      <c r="AD63" s="15">
        <f>AD61+AD62</f>
        <v>0.734</v>
      </c>
      <c r="AE63" s="15">
        <f>AE61+AE62</f>
        <v>0.734</v>
      </c>
      <c r="AF63" s="15">
        <f>AF61+AF62</f>
        <v>0.734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-0.191666666666667</v>
      </c>
      <c r="AD65" s="15">
        <f>AC65</f>
        <v>-0.191666666666667</v>
      </c>
      <c r="AE65" s="15">
        <f>AD65</f>
        <v>-0.191666666666667</v>
      </c>
      <c r="AF65" s="15">
        <f>AE65</f>
        <v>-0.191666666666667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-0.0611184328435972</v>
      </c>
      <c r="AD66" s="15">
        <f>(AD52*AD53)+AD65</f>
        <v>-0.0624239151818279</v>
      </c>
      <c r="AE66" s="15">
        <f>(AE52*AE53)+AE65</f>
        <v>-0.0598390601521311</v>
      </c>
      <c r="AF66" s="15">
        <f>(AF52*AF53)+AF65</f>
        <v>-0.0558842319566951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60.243</v>
      </c>
      <c r="AD68" s="15">
        <f>AC68-AD54</f>
        <v>60.238</v>
      </c>
      <c r="AE68" s="15">
        <f>AD68-AE54</f>
        <v>60.233</v>
      </c>
      <c r="AF68" s="15">
        <f>AE68-AF54</f>
        <v>60.228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0.191666666666667</v>
      </c>
      <c r="AD69" s="15">
        <f>AC69-AD65</f>
        <v>0.383333333333334</v>
      </c>
      <c r="AE69" s="15">
        <f>AD69-AE65</f>
        <v>0.575000000000001</v>
      </c>
      <c r="AF69" s="15">
        <f>AE69-AF65</f>
        <v>0.7666666666666681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60.0513333333333</v>
      </c>
      <c r="AD70" s="15">
        <f>AD68-AD69</f>
        <v>59.8546666666667</v>
      </c>
      <c r="AE70" s="15">
        <f>AE68-AE69</f>
        <v>59.658</v>
      </c>
      <c r="AF70" s="15">
        <f>AF68-AF69</f>
        <v>59.4613333333333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10.56875</v>
      </c>
      <c r="AD71" s="15">
        <f>AC71+AD56</f>
        <v>10.0403125</v>
      </c>
      <c r="AE71" s="15">
        <f>AD71+AE56</f>
        <v>9.538296875</v>
      </c>
      <c r="AF71" s="15">
        <f>AE71+AF56</f>
        <v>9.061382031250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0.42070176617693</v>
      </c>
      <c r="AD72" s="15">
        <f>AC72+AD60</f>
        <v>0.814896514692091</v>
      </c>
      <c r="AE72" s="15">
        <f>AD72+AE60</f>
        <v>1.18008453317756</v>
      </c>
      <c r="AF72" s="15">
        <f>AE72+AF60</f>
        <v>1.51621694221759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49.7958815671564</v>
      </c>
      <c r="AD73" s="15">
        <f>AC73+AD66+AD58</f>
        <v>49.7334576519746</v>
      </c>
      <c r="AE73" s="15">
        <f>AD73+AE66+AE58</f>
        <v>49.6736185918225</v>
      </c>
      <c r="AF73" s="15">
        <f>AE73+AF66+AF58</f>
        <v>49.6177343598658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3e-14</v>
      </c>
      <c r="AD74" s="15">
        <f>AD71+AD72+AD73-AD63-AD70</f>
        <v>-9e-15</v>
      </c>
      <c r="AE74" s="15">
        <f>AE71+AE72+AE73-AE63-AE70</f>
        <v>6e-14</v>
      </c>
      <c r="AF74" s="15">
        <f>AF71+AF72+AF73-AF63-AF70</f>
        <v>9e-14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-10.2554517661769</v>
      </c>
      <c r="AD75" s="15">
        <f>AD63-AD71-AD72</f>
        <v>-10.1212090146921</v>
      </c>
      <c r="AE75" s="15">
        <f>AE63-AE71-AE72</f>
        <v>-9.98438140817756</v>
      </c>
      <c r="AF75" s="15">
        <f>AF63-AF71-AF72</f>
        <v>-9.843598973467589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-0.13554823382307</v>
      </c>
      <c r="AD76" s="15">
        <f>AD56+AD58+AD60</f>
        <v>-0.134242751484839</v>
      </c>
      <c r="AE76" s="15">
        <f>AE56+AE58+AE60</f>
        <v>-0.136827606514536</v>
      </c>
      <c r="AF76" s="15">
        <f>AF56+AF58+AF60</f>
        <v>-0.140782434709972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604</v>
      </c>
      <c r="AB78" s="14"/>
      <c r="AC78" s="15"/>
      <c r="AD78" s="15"/>
      <c r="AE78" s="15"/>
      <c r="AF78" s="15">
        <v>119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79.34217804799999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0.666740992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1.31807855616715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-37.689</v>
      </c>
      <c r="AF83" s="15">
        <f>SUM(AC55:AF55)</f>
        <v>0.547401026532417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108.624811520722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144.943422102445</v>
      </c>
      <c r="AF85" s="15">
        <v>100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54.7401026532417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82.1010007034961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-0.310075624340369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-0.295958748051326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-0.082722375967943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604</v>
      </c>
      <c r="AD92" t="s" s="44">
        <f>AC114</f>
        <v>15</v>
      </c>
      <c r="AE92" t="s" s="44">
        <f>AD114</f>
        <v>58</v>
      </c>
      <c r="AF92" t="s" s="44">
        <f>AE114</f>
        <v>59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119</v>
      </c>
      <c r="AE93" t="s" s="44">
        <v>61</v>
      </c>
      <c r="AF93" s="15">
        <f>AF87</f>
        <v>82.1010007034961</v>
      </c>
      <c r="AG93" t="s" s="44">
        <f>IF(AH93&gt;0,"+","")</f>
      </c>
      <c r="AH93" s="16">
        <f>AF93/AD93-1</f>
        <v>-0.310075624340369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</c>
      <c r="AF96" s="16">
        <f>AK103/AC103-1</f>
        <v>-0.295958748051326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</c>
      <c r="AF97" s="16">
        <f>(AE118+AE119+AG118+AG119+AI118+AI119+AK118+AK119)/AD135</f>
        <v>-0.475018469712277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</c>
      <c r="AF98" s="16">
        <f>(AE132+AE133+AG132+AG133+AI132+AI133+AK132+AK133)/AD135</f>
        <v>-0.479686016563704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-0.130964390638655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0.424308588064047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0.232668144863268</v>
      </c>
      <c r="AD102" s="16">
        <f>P23</f>
        <v>0.549946036695044</v>
      </c>
      <c r="AE102" s="16">
        <f>P24</f>
        <v>-0.0144680851063822</v>
      </c>
      <c r="AF102" s="16">
        <f>P25</f>
        <v>-0.676401318888366</v>
      </c>
      <c r="AG102" s="16">
        <f>P26</f>
        <v>0.424308588064047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2.77966666666667</v>
      </c>
      <c r="AD103" t="s" s="44">
        <v>72</v>
      </c>
      <c r="AE103" s="15">
        <f>C23</f>
        <v>4.30833333333333</v>
      </c>
      <c r="AF103" t="s" s="44">
        <v>72</v>
      </c>
      <c r="AG103" s="15">
        <f>C24</f>
        <v>4.246</v>
      </c>
      <c r="AH103" t="s" s="44">
        <v>72</v>
      </c>
      <c r="AI103" s="15">
        <f>C25</f>
        <v>1.374</v>
      </c>
      <c r="AJ103" t="s" s="44">
        <v>72</v>
      </c>
      <c r="AK103" s="15">
        <f>C26</f>
        <v>1.957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0.424308588064047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1.957</v>
      </c>
      <c r="AK104" t="s" s="48">
        <f>AL103</f>
        <v>22</v>
      </c>
      <c r="AL104" t="s" s="44">
        <v>77</v>
      </c>
      <c r="AM104" t="s" s="44">
        <f>IF(AN104&gt;0,"+","")</f>
      </c>
      <c r="AN104" s="16">
        <f>AF90</f>
        <v>-0.082722375967943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0.0708463051910857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0.035</v>
      </c>
      <c r="AE106" t="s" s="44">
        <v>82</v>
      </c>
      <c r="AF106" t="s" s="44">
        <v>83</v>
      </c>
      <c r="AG106" s="23">
        <f>AF52</f>
        <v>2.2390103538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108</v>
      </c>
      <c r="AE107" t="s" s="44">
        <v>86</v>
      </c>
      <c r="AF107" t="s" s="44">
        <f>IF(AJ111&gt;AH111,"up","down")</f>
        <v>108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-0.502818083703083</v>
      </c>
      <c r="AD109" s="16">
        <f>(D23+E23)/C23</f>
        <v>-0.494932301740812</v>
      </c>
      <c r="AE109" s="16">
        <f>((E24+D24)/C24)</f>
        <v>0.324305228450306</v>
      </c>
      <c r="AF109" s="16">
        <f>(D25+E25)/C25</f>
        <v>-0.534934497816594</v>
      </c>
      <c r="AG109" s="16">
        <f>(D26+E26)/C26</f>
        <v>-0.284619315278487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-1.54466666666667</v>
      </c>
      <c r="AD110" t="s" s="44">
        <v>72</v>
      </c>
      <c r="AE110" s="15">
        <f>E23</f>
        <v>-2.04433333333333</v>
      </c>
      <c r="AF110" t="s" s="44">
        <v>72</v>
      </c>
      <c r="AG110" s="15">
        <f>E24</f>
        <v>1.09</v>
      </c>
      <c r="AH110" t="s" s="44">
        <v>72</v>
      </c>
      <c r="AI110" s="15">
        <f>E25</f>
        <v>-1.015</v>
      </c>
      <c r="AJ110" t="s" s="44">
        <v>72</v>
      </c>
      <c r="AK110" s="15">
        <f>E26</f>
        <v>-0.5649999999999999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-0.534934497816594</v>
      </c>
      <c r="AE111" t="s" s="44">
        <v>76</v>
      </c>
      <c r="AF111" s="16">
        <f>AG109</f>
        <v>-0.284619315278487</v>
      </c>
      <c r="AG111" t="s" s="44">
        <v>90</v>
      </c>
      <c r="AH111" s="15">
        <f>AI110</f>
        <v>-1.015</v>
      </c>
      <c r="AI111" t="s" s="44">
        <v>76</v>
      </c>
      <c r="AJ111" s="15">
        <f>AK110</f>
        <v>-0.5649999999999999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-0.247545221596397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0.0606439512347609</v>
      </c>
      <c r="AE113" t="s" s="44">
        <v>94</v>
      </c>
      <c r="AF113" s="15">
        <f>AF66</f>
        <v>-0.0558842319566951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59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0.5629999999999999</v>
      </c>
      <c r="AE115" s="15">
        <f>ABS(AF120)</f>
        <v>0.199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0.5629999999999999</v>
      </c>
      <c r="AD116" s="15">
        <f>ABS(AF120)</f>
        <v>0.199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3.198</v>
      </c>
      <c r="AD118" t="s" s="44">
        <v>72</v>
      </c>
      <c r="AE118" s="15">
        <f>J23</f>
        <v>-22.503</v>
      </c>
      <c r="AF118" t="s" s="44">
        <v>72</v>
      </c>
      <c r="AG118" s="15">
        <f>J24</f>
        <v>-1.3</v>
      </c>
      <c r="AH118" t="s" s="44">
        <v>72</v>
      </c>
      <c r="AI118" s="15">
        <f>J25</f>
        <v>0.38</v>
      </c>
      <c r="AJ118" t="s" s="44">
        <v>72</v>
      </c>
      <c r="AK118" s="15">
        <f>J26</f>
        <v>0.194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-7.132</v>
      </c>
      <c r="AD119" t="s" s="44">
        <v>72</v>
      </c>
      <c r="AE119" s="15">
        <f>K23</f>
        <v>-14.448</v>
      </c>
      <c r="AF119" t="s" s="44">
        <v>72</v>
      </c>
      <c r="AG119" s="15">
        <f>K24</f>
        <v>-0.2</v>
      </c>
      <c r="AH119" t="s" s="44">
        <v>72</v>
      </c>
      <c r="AI119" s="15">
        <f>K25</f>
        <v>0.183</v>
      </c>
      <c r="AJ119" t="s" s="44">
        <v>72</v>
      </c>
      <c r="AK119" s="15">
        <f>K26</f>
        <v>0.005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0.5629999999999999</v>
      </c>
      <c r="AE120" t="s" s="44">
        <v>76</v>
      </c>
      <c r="AF120" s="15">
        <f>AK118+AK119</f>
        <v>0.199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0.005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-9.42225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0.005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0.136850256633104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108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1.138</v>
      </c>
      <c r="AD125" t="s" s="44">
        <v>72</v>
      </c>
      <c r="AE125" s="15">
        <f>F23</f>
        <v>1.454</v>
      </c>
      <c r="AF125" t="s" s="44">
        <v>72</v>
      </c>
      <c r="AG125" s="15">
        <f>F24</f>
        <v>0.128</v>
      </c>
      <c r="AH125" t="s" s="44">
        <v>72</v>
      </c>
      <c r="AI125" s="15">
        <f>F25</f>
        <v>0.517</v>
      </c>
      <c r="AJ125" t="s" s="44">
        <v>72</v>
      </c>
      <c r="AK125" s="15">
        <f>F26</f>
        <v>0.734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15.141</v>
      </c>
      <c r="AD126" t="s" s="44">
        <v>72</v>
      </c>
      <c r="AE126" s="15">
        <f>G23</f>
        <v>13.454</v>
      </c>
      <c r="AF126" t="s" s="44">
        <v>72</v>
      </c>
      <c r="AG126" s="15">
        <f>G24</f>
        <v>11.464</v>
      </c>
      <c r="AH126" t="s" s="44">
        <v>72</v>
      </c>
      <c r="AI126" s="15">
        <f>G25</f>
        <v>12.731</v>
      </c>
      <c r="AJ126" t="s" s="44">
        <v>72</v>
      </c>
      <c r="AK126" s="15">
        <f>G26</f>
        <v>11.125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111</v>
      </c>
      <c r="AE127" s="15">
        <f>AI125</f>
        <v>0.517</v>
      </c>
      <c r="AF127" t="s" s="44">
        <v>76</v>
      </c>
      <c r="AG127" s="15">
        <f>AK125</f>
        <v>0.734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370</v>
      </c>
      <c r="AE128" s="15">
        <f>AI126</f>
        <v>12.731</v>
      </c>
      <c r="AF128" t="s" s="44">
        <v>76</v>
      </c>
      <c r="AG128" s="15">
        <f>AK126</f>
        <v>11.125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108</v>
      </c>
      <c r="AL128" s="15">
        <f>AE127-AE128</f>
        <v>-12.214</v>
      </c>
      <c r="AM128" t="s" s="44">
        <v>76</v>
      </c>
      <c r="AN128" s="15">
        <f>AG127-AG128</f>
        <v>-10.391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-0.547401026532417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-9.843598973467589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121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0</v>
      </c>
      <c r="AD132" t="s" s="44">
        <v>72</v>
      </c>
      <c r="AE132" s="15">
        <f>-L23</f>
        <v>-17.829</v>
      </c>
      <c r="AF132" t="s" s="44">
        <v>72</v>
      </c>
      <c r="AG132" s="15">
        <f>-L24</f>
        <v>0</v>
      </c>
      <c r="AH132" t="s" s="44">
        <v>72</v>
      </c>
      <c r="AI132" s="15">
        <f>-L25</f>
        <v>0</v>
      </c>
      <c r="AJ132" t="s" s="44">
        <v>72</v>
      </c>
      <c r="AK132" s="15">
        <f>-L26</f>
        <v>0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-3.55566666666667</v>
      </c>
      <c r="AD133" t="s" s="44">
        <v>72</v>
      </c>
      <c r="AE133" s="15">
        <f>-M23</f>
        <v>-20.2113333333333</v>
      </c>
      <c r="AF133" t="s" s="44">
        <v>72</v>
      </c>
      <c r="AG133" s="15">
        <f>-M24</f>
        <v>0</v>
      </c>
      <c r="AH133" t="s" s="44">
        <v>72</v>
      </c>
      <c r="AI133" s="15">
        <f>-M25</f>
        <v>0</v>
      </c>
      <c r="AJ133" t="s" s="44">
        <v>72</v>
      </c>
      <c r="AK133" s="15">
        <f>-M26</f>
        <v>-0.019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604</v>
      </c>
      <c r="AD134" t="s" s="44">
        <f>IF(AE134&gt;0,"paid","(raised)")</f>
        <v>121</v>
      </c>
      <c r="AE134" s="15">
        <f>SUM(AK132:AK133)</f>
        <v>-0.019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0</v>
      </c>
      <c r="AK134" t="s" s="48">
        <f>AL103</f>
        <v>22</v>
      </c>
      <c r="AL134" t="s" s="44">
        <v>123</v>
      </c>
      <c r="AM134" s="15">
        <f>AK133</f>
        <v>-0.019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0.547401026532417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79.34217804799999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1.31807855616715</v>
      </c>
      <c r="AI135" t="s" s="44">
        <v>130</v>
      </c>
      <c r="AJ135" t="s" s="44">
        <v>131</v>
      </c>
      <c r="AK135" t="s" s="44">
        <v>132</v>
      </c>
      <c r="AL135" s="15">
        <f>AF84</f>
        <v>108.624811520722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0.547401026532417</v>
      </c>
      <c r="AE136" t="s" s="48">
        <f>AE135</f>
        <v>22</v>
      </c>
      <c r="AF136" t="s" s="44">
        <v>136</v>
      </c>
      <c r="AG136" s="15">
        <f>AD135/AD136</f>
        <v>144.943422102445</v>
      </c>
      <c r="AH136" t="s" s="44">
        <v>130</v>
      </c>
      <c r="AI136" t="s" s="44">
        <v>137</v>
      </c>
      <c r="AJ136" t="s" s="44">
        <v>138</v>
      </c>
      <c r="AK136" s="15">
        <f>AF85</f>
        <v>100</v>
      </c>
      <c r="AL136" t="s" s="44">
        <v>139</v>
      </c>
      <c r="AM136" t="s" s="44">
        <v>140</v>
      </c>
      <c r="AN136" t="s" s="44">
        <v>141</v>
      </c>
      <c r="AO136" s="16">
        <f>AH93</f>
        <v>-0.310075624340369</v>
      </c>
      <c r="AP136" t="s" s="44">
        <f>IF(AO136&gt;0,"higher","lower")</f>
        <v>104</v>
      </c>
      <c r="AQ136" t="s" s="44">
        <v>142</v>
      </c>
      <c r="AR136" s="15">
        <f>AF93</f>
        <v>82.1010007034961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2.77966666666667</v>
      </c>
      <c r="AC138" s="15">
        <f>AE103</f>
        <v>4.30833333333333</v>
      </c>
      <c r="AD138" s="15">
        <f>AG103</f>
        <v>4.246</v>
      </c>
      <c r="AE138" s="15">
        <f>AI103</f>
        <v>1.374</v>
      </c>
      <c r="AF138" s="15">
        <f>AK103</f>
        <v>1.957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-3.934</v>
      </c>
      <c r="AC139" s="15">
        <f>SUM(AE118:AE119)</f>
        <v>-36.951</v>
      </c>
      <c r="AD139" s="15">
        <f>SUM(AG118:AG119)</f>
        <v>-1.5</v>
      </c>
      <c r="AE139" s="15">
        <f>SUM(AI118:AI119)</f>
        <v>0.5629999999999999</v>
      </c>
      <c r="AF139" s="15">
        <f>SUM(AK118:AK119)</f>
        <v>0.199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-3.55566666666667</v>
      </c>
      <c r="AC140" s="15">
        <f>SUM(AE132:AE133)</f>
        <v>-38.0403333333333</v>
      </c>
      <c r="AD140" s="15">
        <f>SUM(AG132:AG133)</f>
        <v>0</v>
      </c>
      <c r="AE140" s="15">
        <f>SUM(AI132:AI133)</f>
        <v>0</v>
      </c>
      <c r="AF140" s="15">
        <f>SUM(AK132:AK133)</f>
        <v>-0.019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-14.003</v>
      </c>
      <c r="AC141" s="15">
        <f>(AE125-AE126)</f>
        <v>-12</v>
      </c>
      <c r="AD141" s="15">
        <f>(AG125-AG126)</f>
        <v>-11.336</v>
      </c>
      <c r="AE141" s="15">
        <f>(AI125-AI126)</f>
        <v>-12.214</v>
      </c>
      <c r="AF141" s="15">
        <f>(AK125-AK126)</f>
        <v>-10.391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82.1010007034961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43" customWidth="1"/>
    <col min="2" max="27" width="10.4844" style="243" customWidth="1"/>
    <col min="28" max="28" width="18.9766" style="244" customWidth="1"/>
    <col min="29" max="47" width="9" style="244" customWidth="1"/>
    <col min="48" max="16384" width="16.3516" style="244" customWidth="1"/>
  </cols>
  <sheetData>
    <row r="1" ht="11.65" customHeight="1"/>
    <row r="2" ht="27.65" customHeight="1">
      <c r="B2" t="s" s="2">
        <v>605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182</v>
      </c>
      <c r="AA3" t="s" s="3">
        <v>19</v>
      </c>
    </row>
    <row r="4" ht="20.25" customHeight="1">
      <c r="B4" s="6">
        <v>2017</v>
      </c>
      <c r="C4" s="7">
        <v>143.9</v>
      </c>
      <c r="D4" s="8">
        <v>59.1</v>
      </c>
      <c r="E4" s="8">
        <v>-38.8</v>
      </c>
      <c r="F4" s="8">
        <v>56</v>
      </c>
      <c r="G4" s="8">
        <v>1801</v>
      </c>
      <c r="H4" s="8">
        <v>2950</v>
      </c>
      <c r="I4" s="8">
        <v>150.2</v>
      </c>
      <c r="J4" s="8">
        <v>-107.6</v>
      </c>
      <c r="K4" s="8">
        <v>157.8</v>
      </c>
      <c r="L4" s="8">
        <v>0</v>
      </c>
      <c r="M4" s="8">
        <v>0</v>
      </c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-1745</v>
      </c>
      <c r="Y4" s="9"/>
      <c r="Z4" s="8">
        <v>91</v>
      </c>
      <c r="AA4" s="9"/>
    </row>
    <row r="5" ht="20.05" customHeight="1">
      <c r="B5" s="13"/>
      <c r="C5" s="14">
        <v>130.5</v>
      </c>
      <c r="D5" s="15">
        <v>54.6</v>
      </c>
      <c r="E5" s="15">
        <v>-86.09999999999999</v>
      </c>
      <c r="F5" s="15">
        <v>35</v>
      </c>
      <c r="G5" s="15">
        <v>1821</v>
      </c>
      <c r="H5" s="15">
        <v>2885</v>
      </c>
      <c r="I5" s="15">
        <v>153.6</v>
      </c>
      <c r="J5" s="15">
        <v>12.9</v>
      </c>
      <c r="K5" s="15">
        <v>-35.68</v>
      </c>
      <c r="L5" s="15">
        <v>0</v>
      </c>
      <c r="M5" s="15">
        <v>0</v>
      </c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-1786</v>
      </c>
      <c r="Y5" s="17"/>
      <c r="Z5" s="15">
        <v>70</v>
      </c>
      <c r="AA5" s="17"/>
    </row>
    <row r="6" ht="20.05" customHeight="1">
      <c r="B6" s="13"/>
      <c r="C6" s="14">
        <v>167.9</v>
      </c>
      <c r="D6" s="15">
        <v>55.6</v>
      </c>
      <c r="E6" s="15">
        <v>-22.8</v>
      </c>
      <c r="F6" s="15">
        <v>41</v>
      </c>
      <c r="G6" s="15">
        <v>1793</v>
      </c>
      <c r="H6" s="15">
        <v>2837</v>
      </c>
      <c r="I6" s="15">
        <v>159.8</v>
      </c>
      <c r="J6" s="15">
        <v>21.1</v>
      </c>
      <c r="K6" s="15">
        <v>-0.12</v>
      </c>
      <c r="L6" s="15">
        <v>0</v>
      </c>
      <c r="M6" s="15">
        <v>0</v>
      </c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-1752</v>
      </c>
      <c r="Y6" s="17"/>
      <c r="Z6" s="15">
        <v>71</v>
      </c>
      <c r="AA6" s="17"/>
    </row>
    <row r="7" ht="20.05" customHeight="1">
      <c r="B7" s="13"/>
      <c r="C7" s="14">
        <v>204.6</v>
      </c>
      <c r="D7" s="15">
        <v>58.1</v>
      </c>
      <c r="E7" s="15">
        <v>-27.8</v>
      </c>
      <c r="F7" s="15">
        <v>75</v>
      </c>
      <c r="G7" s="15">
        <v>1979</v>
      </c>
      <c r="H7" s="15">
        <v>3480</v>
      </c>
      <c r="I7" s="15">
        <v>252.1</v>
      </c>
      <c r="J7" s="15">
        <v>97.3</v>
      </c>
      <c r="K7" s="15">
        <v>-92.7</v>
      </c>
      <c r="L7" s="15">
        <v>0</v>
      </c>
      <c r="M7" s="15">
        <v>0</v>
      </c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-1904</v>
      </c>
      <c r="Y7" s="17"/>
      <c r="Z7" s="15">
        <v>62</v>
      </c>
      <c r="AA7" s="17"/>
    </row>
    <row r="8" ht="20.05" customHeight="1">
      <c r="B8" s="21">
        <v>2018</v>
      </c>
      <c r="C8" s="14">
        <v>138.5</v>
      </c>
      <c r="D8" s="15">
        <v>80.2</v>
      </c>
      <c r="E8" s="15">
        <v>-58.27</v>
      </c>
      <c r="F8" s="15">
        <v>41</v>
      </c>
      <c r="G8" s="15">
        <v>1925</v>
      </c>
      <c r="H8" s="15">
        <v>3363</v>
      </c>
      <c r="I8" s="15">
        <v>182.5</v>
      </c>
      <c r="J8" s="15">
        <v>25.9</v>
      </c>
      <c r="K8" s="15">
        <v>-18.6</v>
      </c>
      <c r="L8" s="15">
        <v>-27.75</v>
      </c>
      <c r="M8" s="15">
        <v>5.75</v>
      </c>
      <c r="N8" s="15">
        <f>SUM(C5:C8)/4</f>
        <v>160.375</v>
      </c>
      <c r="O8" s="17"/>
      <c r="P8" s="16"/>
      <c r="Q8" s="16">
        <f>((D8+E8)/C8)</f>
        <v>0.158339350180505</v>
      </c>
      <c r="R8" s="16"/>
      <c r="S8" s="17"/>
      <c r="T8" s="15">
        <f>SUM(J5:K8)/4</f>
        <v>2.525</v>
      </c>
      <c r="U8" s="17"/>
      <c r="V8" s="15">
        <f>-(L8+M8)+V7</f>
        <v>22</v>
      </c>
      <c r="W8" s="17"/>
      <c r="X8" s="15">
        <f>F8-G8</f>
        <v>-1884</v>
      </c>
      <c r="Y8" s="24"/>
      <c r="Z8" s="15">
        <v>67</v>
      </c>
      <c r="AA8" s="24"/>
    </row>
    <row r="9" ht="20.05" customHeight="1">
      <c r="B9" s="13"/>
      <c r="C9" s="14">
        <v>144.7</v>
      </c>
      <c r="D9" s="15">
        <v>80.2</v>
      </c>
      <c r="E9" s="15">
        <v>-68.43000000000001</v>
      </c>
      <c r="F9" s="15">
        <v>25</v>
      </c>
      <c r="G9" s="15">
        <v>1909</v>
      </c>
      <c r="H9" s="15">
        <v>3278</v>
      </c>
      <c r="I9" s="15">
        <v>147.1</v>
      </c>
      <c r="J9" s="15">
        <v>42</v>
      </c>
      <c r="K9" s="15">
        <v>-16.3</v>
      </c>
      <c r="L9" s="15">
        <v>-16.25</v>
      </c>
      <c r="M9" s="15">
        <v>0.25</v>
      </c>
      <c r="N9" s="15">
        <f>SUM(C6:C9)/4</f>
        <v>163.925</v>
      </c>
      <c r="O9" s="17"/>
      <c r="P9" s="16"/>
      <c r="Q9" s="16">
        <f>((D9+E9)/C9)</f>
        <v>0.0813407049067035</v>
      </c>
      <c r="R9" s="16"/>
      <c r="S9" s="17"/>
      <c r="T9" s="15">
        <f>SUM(J6:K9)/4</f>
        <v>14.645</v>
      </c>
      <c r="U9" s="17"/>
      <c r="V9" s="15">
        <f>-(L9+M9)+V8</f>
        <v>38</v>
      </c>
      <c r="W9" s="17"/>
      <c r="X9" s="15">
        <f>F9-G9</f>
        <v>-1884</v>
      </c>
      <c r="Y9" s="24"/>
      <c r="Z9" s="15">
        <v>59</v>
      </c>
      <c r="AA9" s="24"/>
    </row>
    <row r="10" ht="20.05" customHeight="1">
      <c r="B10" s="13"/>
      <c r="C10" s="14">
        <v>129.8</v>
      </c>
      <c r="D10" s="15">
        <v>12.2</v>
      </c>
      <c r="E10" s="15">
        <v>-40.1</v>
      </c>
      <c r="F10" s="15">
        <v>7</v>
      </c>
      <c r="G10" s="15">
        <v>1867</v>
      </c>
      <c r="H10" s="15">
        <v>3219</v>
      </c>
      <c r="I10" s="15">
        <v>134</v>
      </c>
      <c r="J10" s="15">
        <v>-23.9</v>
      </c>
      <c r="K10" s="15">
        <v>-4.5</v>
      </c>
      <c r="L10" s="15">
        <v>-27.75</v>
      </c>
      <c r="M10" s="15">
        <v>5.75</v>
      </c>
      <c r="N10" s="15">
        <f>SUM(C7:C10)/4</f>
        <v>154.4</v>
      </c>
      <c r="O10" s="17"/>
      <c r="P10" s="16"/>
      <c r="Q10" s="16">
        <f>((D10+E10)/C10)</f>
        <v>-0.214946070878274</v>
      </c>
      <c r="R10" s="16"/>
      <c r="S10" s="17"/>
      <c r="T10" s="15">
        <f>SUM(J7:K10)/4</f>
        <v>2.3</v>
      </c>
      <c r="U10" s="17"/>
      <c r="V10" s="15">
        <f>-(L10+M10)+V9</f>
        <v>60</v>
      </c>
      <c r="W10" s="17"/>
      <c r="X10" s="15">
        <f>F10-G10</f>
        <v>-1860</v>
      </c>
      <c r="Y10" s="24"/>
      <c r="Z10" s="15">
        <v>59</v>
      </c>
      <c r="AA10" s="24"/>
    </row>
    <row r="11" ht="20.05" customHeight="1">
      <c r="B11" s="13"/>
      <c r="C11" s="14">
        <v>152.4</v>
      </c>
      <c r="D11" s="15">
        <v>202.1</v>
      </c>
      <c r="E11" s="15">
        <v>-186.4</v>
      </c>
      <c r="F11" s="15">
        <v>7</v>
      </c>
      <c r="G11" s="15">
        <v>1840</v>
      </c>
      <c r="H11" s="15">
        <v>2911</v>
      </c>
      <c r="I11" s="15">
        <v>165.3</v>
      </c>
      <c r="J11" s="15">
        <v>94.59999999999999</v>
      </c>
      <c r="K11" s="15">
        <v>-76.59999999999999</v>
      </c>
      <c r="L11" s="15">
        <v>-27.75</v>
      </c>
      <c r="M11" s="15">
        <v>5.75</v>
      </c>
      <c r="N11" s="15">
        <f>SUM(C8:C11)/4</f>
        <v>141.35</v>
      </c>
      <c r="O11" s="17"/>
      <c r="P11" s="16"/>
      <c r="Q11" s="16">
        <f>((D11+E11)/C11)</f>
        <v>0.103018372703412</v>
      </c>
      <c r="R11" s="16"/>
      <c r="S11" s="17"/>
      <c r="T11" s="15">
        <f>SUM(J8:K11)/4</f>
        <v>5.65</v>
      </c>
      <c r="U11" s="17"/>
      <c r="V11" s="15">
        <f>-(L11+M11)+V10</f>
        <v>82</v>
      </c>
      <c r="W11" s="17"/>
      <c r="X11" s="15">
        <f>F11-G11</f>
        <v>-1833</v>
      </c>
      <c r="Y11" s="24"/>
      <c r="Z11" s="15">
        <v>50</v>
      </c>
      <c r="AA11" s="24"/>
    </row>
    <row r="12" ht="20.05" customHeight="1">
      <c r="B12" s="21">
        <v>2019</v>
      </c>
      <c r="C12" s="14">
        <v>88</v>
      </c>
      <c r="D12" s="15">
        <v>88.40000000000001</v>
      </c>
      <c r="E12" s="15">
        <v>-96.5</v>
      </c>
      <c r="F12" s="15">
        <v>17</v>
      </c>
      <c r="G12" s="15">
        <v>1887</v>
      </c>
      <c r="H12" s="15">
        <v>2861</v>
      </c>
      <c r="I12" s="15">
        <v>94.5</v>
      </c>
      <c r="J12" s="15">
        <v>-85.5</v>
      </c>
      <c r="K12" s="15">
        <v>111.2</v>
      </c>
      <c r="L12" s="15">
        <v>-16.25</v>
      </c>
      <c r="M12" s="15">
        <v>0.25</v>
      </c>
      <c r="N12" s="15">
        <f>SUM(C9:C12)/4</f>
        <v>128.725</v>
      </c>
      <c r="O12" s="23"/>
      <c r="P12" s="16"/>
      <c r="Q12" s="16">
        <f>((D12+E12)/C12)</f>
        <v>-0.0920454545454545</v>
      </c>
      <c r="R12" s="16">
        <f>AVERAGE(Q9:Q12)</f>
        <v>-0.0306581119534033</v>
      </c>
      <c r="S12" s="17"/>
      <c r="T12" s="15">
        <f>SUM(J9:K12)/4</f>
        <v>10.25</v>
      </c>
      <c r="U12" s="17"/>
      <c r="V12" s="15">
        <f>-(L12+M12)+V11</f>
        <v>98</v>
      </c>
      <c r="W12" s="17"/>
      <c r="X12" s="15">
        <f>F12-G12</f>
        <v>-1870</v>
      </c>
      <c r="Y12" s="24"/>
      <c r="Z12" s="15">
        <v>52</v>
      </c>
      <c r="AA12" s="24"/>
    </row>
    <row r="13" ht="20.05" customHeight="1">
      <c r="B13" s="13"/>
      <c r="C13" s="14">
        <v>64</v>
      </c>
      <c r="D13" s="15">
        <v>87.09999999999999</v>
      </c>
      <c r="E13" s="15">
        <v>-114.5</v>
      </c>
      <c r="F13" s="15">
        <v>36</v>
      </c>
      <c r="G13" s="15">
        <v>1916</v>
      </c>
      <c r="H13" s="15">
        <v>2777</v>
      </c>
      <c r="I13" s="15">
        <v>59.9</v>
      </c>
      <c r="J13" s="15">
        <v>22</v>
      </c>
      <c r="K13" s="15">
        <v>-3.7</v>
      </c>
      <c r="L13" s="15">
        <v>-16.25</v>
      </c>
      <c r="M13" s="15">
        <v>0.25</v>
      </c>
      <c r="N13" s="15">
        <f>SUM(C10:C13)/4</f>
        <v>108.55</v>
      </c>
      <c r="O13" s="23"/>
      <c r="P13" s="16"/>
      <c r="Q13" s="16">
        <f>((D13+E13)/C13)</f>
        <v>-0.428125</v>
      </c>
      <c r="R13" s="16">
        <f>AVERAGE(Q10:Q13)</f>
        <v>-0.158024538180079</v>
      </c>
      <c r="S13" s="17"/>
      <c r="T13" s="15">
        <f>SUM(J10:K13)/4</f>
        <v>8.4</v>
      </c>
      <c r="U13" s="17"/>
      <c r="V13" s="15">
        <f>-(L13+M13)+V12</f>
        <v>114</v>
      </c>
      <c r="W13" s="17"/>
      <c r="X13" s="15">
        <f>F13-G13</f>
        <v>-1880</v>
      </c>
      <c r="Y13" s="24"/>
      <c r="Z13" s="15">
        <v>50</v>
      </c>
      <c r="AA13" s="24"/>
    </row>
    <row r="14" ht="20.05" customHeight="1">
      <c r="B14" s="13"/>
      <c r="C14" s="14">
        <v>76.90000000000001</v>
      </c>
      <c r="D14" s="15">
        <v>17.4</v>
      </c>
      <c r="E14" s="15">
        <v>-192.3</v>
      </c>
      <c r="F14" s="15">
        <v>41</v>
      </c>
      <c r="G14" s="15">
        <v>1047</v>
      </c>
      <c r="H14" s="15">
        <v>1595</v>
      </c>
      <c r="I14" s="15">
        <v>6.6</v>
      </c>
      <c r="J14" s="15">
        <v>-97.5</v>
      </c>
      <c r="K14" s="15">
        <v>128.2</v>
      </c>
      <c r="L14" s="15">
        <v>-16.25</v>
      </c>
      <c r="M14" s="15">
        <v>0.25</v>
      </c>
      <c r="N14" s="15">
        <f>SUM(C11:C14)/4</f>
        <v>95.325</v>
      </c>
      <c r="O14" s="23"/>
      <c r="P14" s="16"/>
      <c r="Q14" s="16">
        <f>((D14+E14)/C14)</f>
        <v>-2.27438231469441</v>
      </c>
      <c r="R14" s="16">
        <f>AVERAGE(Q11:Q14)</f>
        <v>-0.672883599134113</v>
      </c>
      <c r="S14" s="17"/>
      <c r="T14" s="15">
        <f>SUM(J11:K14)/4</f>
        <v>23.175</v>
      </c>
      <c r="U14" s="17"/>
      <c r="V14" s="15">
        <f>-(L14+M14)+V13</f>
        <v>130</v>
      </c>
      <c r="W14" s="17"/>
      <c r="X14" s="15">
        <f>F14-G14</f>
        <v>-1006</v>
      </c>
      <c r="Y14" s="24"/>
      <c r="Z14" s="15">
        <v>50</v>
      </c>
      <c r="AA14" s="24"/>
    </row>
    <row r="15" ht="20.05" customHeight="1">
      <c r="B15" s="13"/>
      <c r="C15" s="14">
        <v>156.1</v>
      </c>
      <c r="D15" s="15">
        <v>-154.7</v>
      </c>
      <c r="E15" s="15">
        <v>-180.7</v>
      </c>
      <c r="F15" s="15">
        <v>137</v>
      </c>
      <c r="G15" s="15">
        <v>1125</v>
      </c>
      <c r="H15" s="15">
        <v>1946</v>
      </c>
      <c r="I15" s="15">
        <v>246</v>
      </c>
      <c r="J15" s="15">
        <v>75</v>
      </c>
      <c r="K15" s="15">
        <v>46.3</v>
      </c>
      <c r="L15" s="15">
        <v>-16.25</v>
      </c>
      <c r="M15" s="15">
        <v>0.25</v>
      </c>
      <c r="N15" s="15">
        <f>SUM(C12:C15)/4</f>
        <v>96.25</v>
      </c>
      <c r="O15" s="15"/>
      <c r="P15" s="16"/>
      <c r="Q15" s="16">
        <f>((D15+E15)/C15)</f>
        <v>-2.14862267777066</v>
      </c>
      <c r="R15" s="16">
        <f>AVERAGE(Q12:Q15)</f>
        <v>-1.23579386175263</v>
      </c>
      <c r="S15" s="17"/>
      <c r="T15" s="15">
        <f>SUM(J12:K15)/4</f>
        <v>49</v>
      </c>
      <c r="U15" s="17"/>
      <c r="V15" s="15">
        <f>-(L15+M15)+V14</f>
        <v>146</v>
      </c>
      <c r="W15" s="17"/>
      <c r="X15" s="15">
        <f>F15-G15</f>
        <v>-988</v>
      </c>
      <c r="Y15" s="24"/>
      <c r="Z15" s="15">
        <v>50</v>
      </c>
      <c r="AA15" s="24"/>
    </row>
    <row r="16" ht="20.05" customHeight="1">
      <c r="B16" s="21">
        <v>2020</v>
      </c>
      <c r="C16" s="14">
        <v>74.17</v>
      </c>
      <c r="D16" s="15">
        <v>62.2</v>
      </c>
      <c r="E16" s="15">
        <v>-53.57</v>
      </c>
      <c r="F16" s="15">
        <v>126</v>
      </c>
      <c r="G16" s="15">
        <v>1043</v>
      </c>
      <c r="H16" s="15">
        <v>1810</v>
      </c>
      <c r="I16" s="15">
        <v>80.55</v>
      </c>
      <c r="J16" s="15">
        <v>-45.99</v>
      </c>
      <c r="K16" s="15">
        <v>55.49</v>
      </c>
      <c r="L16" s="15">
        <v>-20.69</v>
      </c>
      <c r="M16" s="15">
        <v>0</v>
      </c>
      <c r="N16" s="15">
        <f>SUM(C13:C16)/4</f>
        <v>92.7925</v>
      </c>
      <c r="O16" s="15">
        <v>90.396</v>
      </c>
      <c r="P16" s="16"/>
      <c r="Q16" s="16">
        <f>((D16+E16)/C16)</f>
        <v>0.116354321154105</v>
      </c>
      <c r="R16" s="16">
        <f>AVERAGE(Q13:Q16)</f>
        <v>-1.18369391782774</v>
      </c>
      <c r="S16" s="17"/>
      <c r="T16" s="15">
        <f>SUM(J13:K16)/4</f>
        <v>44.95</v>
      </c>
      <c r="U16" s="17"/>
      <c r="V16" s="15">
        <f>-(L16+M16)+V15</f>
        <v>166.69</v>
      </c>
      <c r="W16" s="17"/>
      <c r="X16" s="15">
        <f>F16-G16</f>
        <v>-917</v>
      </c>
      <c r="Y16" s="24"/>
      <c r="Z16" s="15">
        <v>50</v>
      </c>
      <c r="AA16" s="24"/>
    </row>
    <row r="17" ht="20.05" customHeight="1">
      <c r="B17" s="13"/>
      <c r="C17" s="14">
        <v>55.83</v>
      </c>
      <c r="D17" s="15">
        <v>61.8</v>
      </c>
      <c r="E17" s="15">
        <v>-101.43</v>
      </c>
      <c r="F17" s="15">
        <v>93</v>
      </c>
      <c r="G17" s="15">
        <v>1016</v>
      </c>
      <c r="H17" s="15">
        <v>1657</v>
      </c>
      <c r="I17" s="15">
        <v>62.05</v>
      </c>
      <c r="J17" s="15">
        <v>-20.71</v>
      </c>
      <c r="K17" s="15">
        <v>9.15</v>
      </c>
      <c r="L17" s="15">
        <v>-21.868</v>
      </c>
      <c r="M17" s="15">
        <v>0</v>
      </c>
      <c r="N17" s="15">
        <f>SUM(C14:C17)/4</f>
        <v>90.75</v>
      </c>
      <c r="O17" s="15">
        <v>79.464</v>
      </c>
      <c r="P17" s="16"/>
      <c r="Q17" s="16">
        <f>((D17+E17)/C17)</f>
        <v>-0.709833422890919</v>
      </c>
      <c r="R17" s="16">
        <f>AVERAGE(Q14:Q17)</f>
        <v>-1.25412102355047</v>
      </c>
      <c r="S17" s="17"/>
      <c r="T17" s="15">
        <f>SUM(J14:K17)/4</f>
        <v>37.485</v>
      </c>
      <c r="U17" s="17"/>
      <c r="V17" s="15">
        <f>-(L17+M17)+V16</f>
        <v>188.558</v>
      </c>
      <c r="W17" s="17"/>
      <c r="X17" s="15">
        <f>F17-G17</f>
        <v>-923</v>
      </c>
      <c r="Y17" s="24"/>
      <c r="Z17" s="15">
        <v>50</v>
      </c>
      <c r="AA17" s="24"/>
    </row>
    <row r="18" ht="20.05" customHeight="1">
      <c r="B18" s="13"/>
      <c r="C18" s="14">
        <v>59.7</v>
      </c>
      <c r="D18" s="15">
        <v>62.8</v>
      </c>
      <c r="E18" s="15">
        <v>-9.5</v>
      </c>
      <c r="F18" s="15">
        <v>12</v>
      </c>
      <c r="G18" s="15">
        <v>997</v>
      </c>
      <c r="H18" s="15">
        <v>1628</v>
      </c>
      <c r="I18" s="15">
        <v>65.40000000000001</v>
      </c>
      <c r="J18" s="15">
        <v>-75.09999999999999</v>
      </c>
      <c r="K18" s="15">
        <v>19.26</v>
      </c>
      <c r="L18" s="15">
        <v>-24.842</v>
      </c>
      <c r="M18" s="15">
        <v>0</v>
      </c>
      <c r="N18" s="15">
        <f>SUM(C15:C18)/4</f>
        <v>86.45</v>
      </c>
      <c r="O18" s="15">
        <v>79.13849999999999</v>
      </c>
      <c r="P18" s="16"/>
      <c r="Q18" s="16">
        <f>((D18+E18)/C18)</f>
        <v>0.892797319932998</v>
      </c>
      <c r="R18" s="16">
        <f>AVERAGE(Q15:Q18)</f>
        <v>-0.462326114893619</v>
      </c>
      <c r="S18" s="17"/>
      <c r="T18" s="15">
        <f>SUM(J15:K18)/4</f>
        <v>15.85</v>
      </c>
      <c r="U18" s="17"/>
      <c r="V18" s="15">
        <f>-(L18+M18)+V17</f>
        <v>213.4</v>
      </c>
      <c r="W18" s="17"/>
      <c r="X18" s="15">
        <f>F18-G18</f>
        <v>-985</v>
      </c>
      <c r="Y18" s="24"/>
      <c r="Z18" s="25">
        <v>50</v>
      </c>
      <c r="AA18" s="24"/>
    </row>
    <row r="19" ht="20.05" customHeight="1">
      <c r="B19" s="13"/>
      <c r="C19" s="14">
        <v>217.2</v>
      </c>
      <c r="D19" s="15">
        <v>65.09999999999999</v>
      </c>
      <c r="E19" s="15">
        <v>-18.1</v>
      </c>
      <c r="F19" s="15">
        <v>147</v>
      </c>
      <c r="G19" s="15">
        <v>1119</v>
      </c>
      <c r="H19" s="15">
        <v>2143</v>
      </c>
      <c r="I19" s="15">
        <v>249.4</v>
      </c>
      <c r="J19" s="15">
        <v>151.8</v>
      </c>
      <c r="K19" s="15">
        <v>7.1</v>
      </c>
      <c r="L19" s="15">
        <v>-24.2</v>
      </c>
      <c r="M19" s="15">
        <v>0</v>
      </c>
      <c r="N19" s="15">
        <f>SUM(C16:C19)/4</f>
        <v>101.725</v>
      </c>
      <c r="O19" s="15">
        <v>76.54049999999999</v>
      </c>
      <c r="P19" s="16"/>
      <c r="Q19" s="16">
        <f>((D19+E19)/C19)</f>
        <v>0.216390423572744</v>
      </c>
      <c r="R19" s="16">
        <f>AVERAGE(Q16:Q19)</f>
        <v>0.128927160442232</v>
      </c>
      <c r="S19" s="17"/>
      <c r="T19" s="15">
        <f>SUM(J16:K19)/4</f>
        <v>25.25</v>
      </c>
      <c r="U19" s="17"/>
      <c r="V19" s="15">
        <f>-(L19+M19)+V18</f>
        <v>237.6</v>
      </c>
      <c r="W19" s="17"/>
      <c r="X19" s="15">
        <f>F19-G19</f>
        <v>-972</v>
      </c>
      <c r="Y19" s="24"/>
      <c r="Z19" s="25">
        <v>50</v>
      </c>
      <c r="AA19" s="24"/>
    </row>
    <row r="20" ht="20.05" customHeight="1">
      <c r="B20" s="21">
        <v>2021</v>
      </c>
      <c r="C20" s="14">
        <v>134.9</v>
      </c>
      <c r="D20" s="15">
        <v>60.2</v>
      </c>
      <c r="E20" s="15">
        <v>-42.1</v>
      </c>
      <c r="F20" s="15">
        <v>36</v>
      </c>
      <c r="G20" s="15">
        <v>972</v>
      </c>
      <c r="H20" s="15">
        <v>1955</v>
      </c>
      <c r="I20" s="15">
        <v>139.2</v>
      </c>
      <c r="J20" s="15">
        <v>-84.8</v>
      </c>
      <c r="K20" s="15">
        <v>6.3</v>
      </c>
      <c r="L20" s="15">
        <v>-32.6</v>
      </c>
      <c r="M20" s="15">
        <v>0</v>
      </c>
      <c r="N20" s="15">
        <f>SUM(C17:C20)/4</f>
        <v>116.9075</v>
      </c>
      <c r="O20" s="15">
        <v>75.9405</v>
      </c>
      <c r="P20" s="16"/>
      <c r="Q20" s="16">
        <f>((D20+E20)/C20)</f>
        <v>0.134173461823573</v>
      </c>
      <c r="R20" s="16">
        <f>AVERAGE(Q17:Q20)</f>
        <v>0.133381945609599</v>
      </c>
      <c r="S20" s="17"/>
      <c r="T20" s="15">
        <f>SUM(J17:K20)/4</f>
        <v>3.25</v>
      </c>
      <c r="U20" s="17"/>
      <c r="V20" s="15">
        <f>-(L20+M20)+V19</f>
        <v>270.2</v>
      </c>
      <c r="W20" s="17"/>
      <c r="X20" s="15">
        <f>F20-G20</f>
        <v>-936</v>
      </c>
      <c r="Y20" s="15"/>
      <c r="Z20" s="25">
        <v>50</v>
      </c>
      <c r="AA20" s="15"/>
    </row>
    <row r="21" ht="20.05" customHeight="1">
      <c r="B21" s="13"/>
      <c r="C21" s="14">
        <v>117.3</v>
      </c>
      <c r="D21" s="15">
        <v>60.6</v>
      </c>
      <c r="E21" s="15">
        <v>-23</v>
      </c>
      <c r="F21" s="15">
        <v>12</v>
      </c>
      <c r="G21" s="15">
        <v>937</v>
      </c>
      <c r="H21" s="15">
        <v>1897</v>
      </c>
      <c r="I21" s="15">
        <v>130.7</v>
      </c>
      <c r="J21" s="15">
        <v>8.699999999999999</v>
      </c>
      <c r="K21" s="15">
        <v>-1.7</v>
      </c>
      <c r="L21" s="15">
        <v>-31.1</v>
      </c>
      <c r="M21" s="15">
        <v>0</v>
      </c>
      <c r="N21" s="15">
        <f>SUM(C18:C21)/4</f>
        <v>132.275</v>
      </c>
      <c r="O21" s="15">
        <v>100.32425</v>
      </c>
      <c r="P21" s="16">
        <f>C21/C20-1</f>
        <v>-0.130467012601927</v>
      </c>
      <c r="Q21" s="16">
        <f>((D21+E21)/C21)</f>
        <v>0.320545609548167</v>
      </c>
      <c r="R21" s="16">
        <f>AVERAGE(Q18:Q21)</f>
        <v>0.390976703719371</v>
      </c>
      <c r="S21" s="17"/>
      <c r="T21" s="15">
        <f>SUM(J18:K21)/4</f>
        <v>7.89</v>
      </c>
      <c r="U21" s="17"/>
      <c r="V21" s="15">
        <f>-(L21+M21)+V20</f>
        <v>301.3</v>
      </c>
      <c r="W21" s="17"/>
      <c r="X21" s="15">
        <f>F21-G21</f>
        <v>-925</v>
      </c>
      <c r="Y21" s="15"/>
      <c r="Z21" s="25">
        <v>50</v>
      </c>
      <c r="AA21" s="17"/>
    </row>
    <row r="22" ht="20.05" customHeight="1">
      <c r="B22" s="13"/>
      <c r="C22" s="14">
        <v>207.4</v>
      </c>
      <c r="D22" s="15">
        <v>60.3</v>
      </c>
      <c r="E22" s="15">
        <v>27</v>
      </c>
      <c r="F22" s="15">
        <v>100</v>
      </c>
      <c r="G22" s="15">
        <v>935</v>
      </c>
      <c r="H22" s="15">
        <v>1921</v>
      </c>
      <c r="I22" s="15">
        <v>246.2</v>
      </c>
      <c r="J22" s="15">
        <v>129.5</v>
      </c>
      <c r="K22" s="15">
        <v>-10.2</v>
      </c>
      <c r="L22" s="15">
        <v>-31.1</v>
      </c>
      <c r="M22" s="15">
        <v>0</v>
      </c>
      <c r="N22" s="15">
        <f>SUM(C19:C22)/4</f>
        <v>169.2</v>
      </c>
      <c r="O22" s="15">
        <v>113.62775</v>
      </c>
      <c r="P22" s="16">
        <f>C22/C21-1</f>
        <v>0.768115942028986</v>
      </c>
      <c r="Q22" s="16">
        <f>((D22+E22)/C22)</f>
        <v>0.42092574734812</v>
      </c>
      <c r="R22" s="16">
        <f>AVERAGE(Q19:Q22)</f>
        <v>0.273008810573151</v>
      </c>
      <c r="S22" s="17"/>
      <c r="T22" s="15">
        <f>SUM(J19:K22)/4</f>
        <v>51.675</v>
      </c>
      <c r="U22" s="17"/>
      <c r="V22" s="15">
        <f>-(L22+M22)+V21</f>
        <v>332.4</v>
      </c>
      <c r="W22" s="17"/>
      <c r="X22" s="15">
        <f>F22-G22</f>
        <v>-835</v>
      </c>
      <c r="Y22" s="15"/>
      <c r="Z22" s="25">
        <v>52</v>
      </c>
      <c r="AA22" s="17"/>
    </row>
    <row r="23" ht="20.05" customHeight="1">
      <c r="B23" s="13"/>
      <c r="C23" s="14">
        <v>247.5</v>
      </c>
      <c r="D23" s="15">
        <v>62.2</v>
      </c>
      <c r="E23" s="15">
        <v>52.4</v>
      </c>
      <c r="F23" s="15">
        <v>113</v>
      </c>
      <c r="G23" s="15">
        <v>959</v>
      </c>
      <c r="H23" s="15">
        <v>2034</v>
      </c>
      <c r="I23" s="15">
        <v>267.9</v>
      </c>
      <c r="J23" s="15">
        <v>181.1</v>
      </c>
      <c r="K23" s="15">
        <v>-119.8</v>
      </c>
      <c r="L23" s="15">
        <v>-46.9</v>
      </c>
      <c r="M23" s="15">
        <v>-1.8</v>
      </c>
      <c r="N23" s="15">
        <f>SUM(C20:C23)/4</f>
        <v>176.775</v>
      </c>
      <c r="O23" s="15">
        <v>149.60725</v>
      </c>
      <c r="P23" s="16">
        <f>C23/C22-1</f>
        <v>0.193346190935391</v>
      </c>
      <c r="Q23" s="16">
        <f>((D23+E23)/C23)</f>
        <v>0.463030303030303</v>
      </c>
      <c r="R23" s="16">
        <f>AVERAGE(Q20:Q23)</f>
        <v>0.334668780437541</v>
      </c>
      <c r="S23" s="17"/>
      <c r="T23" s="15">
        <f>SUM(J20:K23)/4</f>
        <v>27.275</v>
      </c>
      <c r="U23" s="17"/>
      <c r="V23" s="15">
        <f>-(L23+M23)+V22</f>
        <v>381.1</v>
      </c>
      <c r="W23" s="17"/>
      <c r="X23" s="15">
        <f>F23-G23</f>
        <v>-846</v>
      </c>
      <c r="Y23" s="15"/>
      <c r="Z23" s="25">
        <v>69</v>
      </c>
      <c r="AA23" s="15">
        <v>150.059931094631</v>
      </c>
    </row>
    <row r="24" ht="20.05" customHeight="1">
      <c r="B24" s="21">
        <v>2022</v>
      </c>
      <c r="C24" s="14">
        <v>151.9</v>
      </c>
      <c r="D24" s="15">
        <v>42.1</v>
      </c>
      <c r="E24" s="15">
        <v>13.7</v>
      </c>
      <c r="F24" s="15">
        <v>45</v>
      </c>
      <c r="G24" s="15">
        <v>815</v>
      </c>
      <c r="H24" s="15">
        <v>1905</v>
      </c>
      <c r="I24" s="15">
        <v>152.4</v>
      </c>
      <c r="J24" s="15">
        <v>-48.7</v>
      </c>
      <c r="K24" s="15">
        <v>11.6</v>
      </c>
      <c r="L24" s="15">
        <v>-30.3</v>
      </c>
      <c r="M24" s="15">
        <v>0</v>
      </c>
      <c r="N24" s="15">
        <f>SUM(C21:C24)/4</f>
        <v>181.025</v>
      </c>
      <c r="O24" s="15">
        <v>182.58675</v>
      </c>
      <c r="P24" s="16">
        <f>C24/C23-1</f>
        <v>-0.386262626262626</v>
      </c>
      <c r="Q24" s="16">
        <f>((D24+E24)/C24)</f>
        <v>0.36734693877551</v>
      </c>
      <c r="R24" s="16">
        <f>AVERAGE(Q21:Q24)</f>
        <v>0.392962149675525</v>
      </c>
      <c r="S24" s="35"/>
      <c r="T24" s="15">
        <f>SUM(J21:K24)/4</f>
        <v>37.625</v>
      </c>
      <c r="U24" s="25">
        <v>57.872988533826</v>
      </c>
      <c r="V24" s="15">
        <f>-(L24+M24)+V23</f>
        <v>411.4</v>
      </c>
      <c r="W24" s="15"/>
      <c r="X24" s="15">
        <f>F24-G24</f>
        <v>-770</v>
      </c>
      <c r="Y24" s="15">
        <v>-617.077072350637</v>
      </c>
      <c r="Z24" s="25">
        <v>136</v>
      </c>
      <c r="AA24" s="15">
        <v>150.059931094631</v>
      </c>
    </row>
    <row r="25" ht="20.05" customHeight="1">
      <c r="B25" s="13"/>
      <c r="C25" s="14">
        <v>110.2</v>
      </c>
      <c r="D25" s="15">
        <v>42.2</v>
      </c>
      <c r="E25" s="15">
        <v>-27.6</v>
      </c>
      <c r="F25" s="15">
        <v>68</v>
      </c>
      <c r="G25" s="15">
        <v>756</v>
      </c>
      <c r="H25" s="15">
        <v>1818</v>
      </c>
      <c r="I25" s="15">
        <v>122.2</v>
      </c>
      <c r="J25" s="15">
        <v>-43.3</v>
      </c>
      <c r="K25" s="15">
        <v>99.7</v>
      </c>
      <c r="L25" s="15">
        <v>-33.8</v>
      </c>
      <c r="M25" s="15">
        <v>0</v>
      </c>
      <c r="N25" s="15">
        <f>SUM(C22:C25)/4</f>
        <v>179.25</v>
      </c>
      <c r="O25" s="15">
        <v>189.373</v>
      </c>
      <c r="P25" s="16">
        <f>C25/C24-1</f>
        <v>-0.274522712310731</v>
      </c>
      <c r="Q25" s="16">
        <f>((D25+E25)/C25)</f>
        <v>0.132486388384755</v>
      </c>
      <c r="R25" s="16">
        <f>AVERAGE(Q22:Q25)</f>
        <v>0.345947344384672</v>
      </c>
      <c r="S25" s="35"/>
      <c r="T25" s="15">
        <f>SUM(J22:K25)/4</f>
        <v>49.975</v>
      </c>
      <c r="U25" s="25">
        <v>40.896505536113</v>
      </c>
      <c r="V25" s="15">
        <f>-(L25+M25)+V24</f>
        <v>445.2</v>
      </c>
      <c r="W25" s="15"/>
      <c r="X25" s="15">
        <f>F25-G25</f>
        <v>-688</v>
      </c>
      <c r="Y25" s="15">
        <v>-617.613773413156</v>
      </c>
      <c r="Z25" s="25">
        <v>132</v>
      </c>
      <c r="AA25" s="15">
        <v>150.059931094631</v>
      </c>
    </row>
    <row r="26" ht="20.05" customHeight="1">
      <c r="B26" s="13"/>
      <c r="C26" s="14">
        <v>119.5</v>
      </c>
      <c r="D26" s="15">
        <v>42.3</v>
      </c>
      <c r="E26" s="15">
        <v>7.9</v>
      </c>
      <c r="F26" s="15">
        <v>49</v>
      </c>
      <c r="G26" s="15">
        <v>715</v>
      </c>
      <c r="H26" s="15">
        <v>1785</v>
      </c>
      <c r="I26" s="15">
        <v>151.6</v>
      </c>
      <c r="J26" s="15">
        <v>35.1</v>
      </c>
      <c r="K26" s="15">
        <v>-8.9</v>
      </c>
      <c r="L26" s="15">
        <v>-44.7</v>
      </c>
      <c r="M26" s="15">
        <v>0</v>
      </c>
      <c r="N26" s="15">
        <f>AVERAGE(C26)</f>
        <v>119.5</v>
      </c>
      <c r="O26" s="15">
        <v>184.3545</v>
      </c>
      <c r="P26" s="16">
        <f>C26/C25-1</f>
        <v>0.0843920145190563</v>
      </c>
      <c r="Q26" s="16">
        <f>((D26+E26)/C26)</f>
        <v>0.420083682008368</v>
      </c>
      <c r="R26" s="16">
        <f>AVERAGE(Q23:Q26)</f>
        <v>0.345736828049734</v>
      </c>
      <c r="S26" s="35">
        <f>S27</f>
        <v>0.382910255029051</v>
      </c>
      <c r="T26" s="15">
        <f>SUM(J23:K26)/4</f>
        <v>26.7</v>
      </c>
      <c r="U26" s="25">
        <v>31.6890064989012</v>
      </c>
      <c r="V26" s="15">
        <f>-(L26+M26)+V25</f>
        <v>489.9</v>
      </c>
      <c r="W26" s="15">
        <f>W27</f>
        <v>622.52803125</v>
      </c>
      <c r="X26" s="15">
        <f>F26-G26</f>
        <v>-666</v>
      </c>
      <c r="Y26" s="15">
        <v>-561.243974004395</v>
      </c>
      <c r="Z26" s="25">
        <v>110</v>
      </c>
      <c r="AA26" s="15">
        <v>211.260043326008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AVERAGE(AD52:AG52)</f>
        <v>131.75194065</v>
      </c>
      <c r="P27" s="17"/>
      <c r="Q27" s="17"/>
      <c r="R27" s="17"/>
      <c r="S27" s="35">
        <f>AD53</f>
        <v>0.382910255029051</v>
      </c>
      <c r="T27" s="17"/>
      <c r="U27" s="15">
        <f>SUM(AD55:AG55)/4</f>
        <v>41.5491691948639</v>
      </c>
      <c r="V27" s="17"/>
      <c r="W27" s="15">
        <f>-SUM(AD76:AG76)+V26</f>
        <v>622.52803125</v>
      </c>
      <c r="X27" s="17"/>
      <c r="Y27" s="15">
        <f>AG75</f>
        <v>-499.803323220544</v>
      </c>
      <c r="Z27" s="15">
        <v>77</v>
      </c>
      <c r="AA27" s="15">
        <v>211.260043326008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1446.65</v>
      </c>
      <c r="O28" s="15">
        <f>SUM(O16:O26)</f>
        <v>1321.353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AG88</f>
        <v>166.196676779456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6" ht="27.65" customHeight="1">
      <c r="AB46" t="s" s="2">
        <v>182</v>
      </c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</row>
    <row r="47" ht="20.25" customHeight="1">
      <c r="AB47" t="s" s="28">
        <v>366</v>
      </c>
      <c r="AC47" t="s" s="29">
        <v>23</v>
      </c>
      <c r="AD47" t="s" s="29">
        <v>24</v>
      </c>
      <c r="AE47" t="s" s="29">
        <v>25</v>
      </c>
      <c r="AF47" t="s" s="29">
        <v>26</v>
      </c>
      <c r="AG47" t="s" s="29">
        <v>23</v>
      </c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</row>
    <row r="48" ht="20.25" customHeight="1">
      <c r="AB48" t="s" s="31">
        <v>15</v>
      </c>
      <c r="AC48" s="32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</row>
    <row r="49" ht="20.05" customHeight="1">
      <c r="AB49" t="s" s="33">
        <v>27</v>
      </c>
      <c r="AC49" s="34"/>
      <c r="AD49" s="16">
        <f>AVERAGE(P23:P26)</f>
        <v>-0.0957617832797274</v>
      </c>
      <c r="AE49" s="35"/>
      <c r="AF49" s="35"/>
      <c r="AG49" s="35">
        <f>AVERAGE(AD51:AG51)</f>
        <v>0.0325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s="36"/>
      <c r="AC50" s="37"/>
      <c r="AD50" s="35">
        <f>P23</f>
        <v>0.193346190935391</v>
      </c>
      <c r="AE50" s="35">
        <f>P24</f>
        <v>-0.386262626262626</v>
      </c>
      <c r="AF50" s="35">
        <f>P25</f>
        <v>-0.274522712310731</v>
      </c>
      <c r="AG50" s="35">
        <f>P26</f>
        <v>0.0843920145190563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t="s" s="33">
        <v>13</v>
      </c>
      <c r="AC51" s="37"/>
      <c r="AD51" s="35">
        <v>0.1</v>
      </c>
      <c r="AE51" s="35">
        <v>-0.02</v>
      </c>
      <c r="AF51" s="35">
        <v>0.02</v>
      </c>
      <c r="AG51" s="35">
        <v>0.03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28</v>
      </c>
      <c r="AC52" s="38">
        <f>C26</f>
        <v>119.5</v>
      </c>
      <c r="AD52" s="23">
        <f>C26*(1+AD51)</f>
        <v>131.45</v>
      </c>
      <c r="AE52" s="23">
        <f>AD52*(1+AE51)</f>
        <v>128.821</v>
      </c>
      <c r="AF52" s="23">
        <f>AE52*(1+AF51)</f>
        <v>131.39742</v>
      </c>
      <c r="AG52" s="23">
        <f>AF52*(1+AG51)</f>
        <v>135.3393426</v>
      </c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</row>
    <row r="53" ht="20.05" customHeight="1">
      <c r="AB53" t="s" s="33">
        <v>14</v>
      </c>
      <c r="AC53" s="37"/>
      <c r="AD53" s="35">
        <f>AVERAGE(Q26:R26)</f>
        <v>0.382910255029051</v>
      </c>
      <c r="AE53" s="35">
        <f>AD53</f>
        <v>0.382910255029051</v>
      </c>
      <c r="AF53" s="35">
        <f>AE53</f>
        <v>0.382910255029051</v>
      </c>
      <c r="AG53" s="35">
        <f>AF53</f>
        <v>0.382910255029051</v>
      </c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</row>
    <row r="54" ht="20.05" customHeight="1">
      <c r="AB54" t="s" s="33">
        <v>29</v>
      </c>
      <c r="AC54" s="14"/>
      <c r="AD54" s="15">
        <f>AVERAGE(K26)</f>
        <v>-8.9</v>
      </c>
      <c r="AE54" s="15">
        <f>AD54</f>
        <v>-8.9</v>
      </c>
      <c r="AF54" s="15">
        <f>AE54</f>
        <v>-8.9</v>
      </c>
      <c r="AG54" s="15">
        <f>AF54</f>
        <v>-8.9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30</v>
      </c>
      <c r="AC55" s="14"/>
      <c r="AD55" s="15">
        <f>(AD52*AD53)+AD54</f>
        <v>41.4335530235688</v>
      </c>
      <c r="AE55" s="15">
        <f>(AE52*AE53)+AE54</f>
        <v>40.4268819630974</v>
      </c>
      <c r="AF55" s="15">
        <f>(AF52*AF53)+AF54</f>
        <v>41.4134196023593</v>
      </c>
      <c r="AG55" s="15">
        <f>(AG52*AG53)+AG54</f>
        <v>42.9228221904301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31</v>
      </c>
      <c r="AC56" s="14"/>
      <c r="AD56" s="15">
        <f>-G26/20</f>
        <v>-35.75</v>
      </c>
      <c r="AE56" s="15">
        <f>-AD71/20</f>
        <v>-33.9625</v>
      </c>
      <c r="AF56" s="15">
        <f>-AE71/20</f>
        <v>-32.264375</v>
      </c>
      <c r="AG56" s="15">
        <f>-AF71/20</f>
        <v>-30.65115625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32</v>
      </c>
      <c r="AC57" s="39"/>
      <c r="AD57" s="40">
        <v>0</v>
      </c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33</v>
      </c>
      <c r="AC58" s="14"/>
      <c r="AD58" s="15">
        <f>IF(AD66&gt;0,AD66*$AD$57,0)</f>
        <v>0</v>
      </c>
      <c r="AE58" s="15">
        <f>IF(AE66&gt;0,AE66*$AD$57,0)</f>
        <v>0</v>
      </c>
      <c r="AF58" s="15">
        <f>IF(AF66&gt;0,AF66*$AD$57,0)</f>
        <v>0</v>
      </c>
      <c r="AG58" s="15">
        <f>IF(AG66&gt;0,AG66*$AD$57,0)</f>
        <v>0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34</v>
      </c>
      <c r="AC59" s="14"/>
      <c r="AD59" s="15">
        <f>AD55+AD56+AD58</f>
        <v>5.6835530235688</v>
      </c>
      <c r="AE59" s="15">
        <f>AE55+AE56+AE58</f>
        <v>6.4643819630974</v>
      </c>
      <c r="AF59" s="15">
        <f>AF55+AF56+AF58</f>
        <v>9.1490446023593</v>
      </c>
      <c r="AG59" s="15">
        <f>AG55+AG56+AG58</f>
        <v>12.2716659404301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35</v>
      </c>
      <c r="AC60" s="14"/>
      <c r="AD60" s="15">
        <f>-MIN(0,AD59)</f>
        <v>0</v>
      </c>
      <c r="AE60" s="15">
        <f>-MIN(AD72,AE59)</f>
        <v>0</v>
      </c>
      <c r="AF60" s="15">
        <f>-MIN(AE72,AF59)</f>
        <v>0</v>
      </c>
      <c r="AG60" s="15">
        <f>-MIN(AF72,AG59)</f>
        <v>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36</v>
      </c>
      <c r="AC61" s="14"/>
      <c r="AD61" s="15">
        <f>F26</f>
        <v>49</v>
      </c>
      <c r="AE61" s="15">
        <f>AD63</f>
        <v>54.6835530235688</v>
      </c>
      <c r="AF61" s="15">
        <f>AE63</f>
        <v>61.1479349866662</v>
      </c>
      <c r="AG61" s="15">
        <f>AF63</f>
        <v>70.2969795890255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37</v>
      </c>
      <c r="AC62" s="14"/>
      <c r="AD62" s="15">
        <f>AD55+AD56+AD58+AD60</f>
        <v>5.6835530235688</v>
      </c>
      <c r="AE62" s="15">
        <f>AE55+AE56+AE58+AE60</f>
        <v>6.4643819630974</v>
      </c>
      <c r="AF62" s="15">
        <f>AF55+AF56+AF58+AF60</f>
        <v>9.1490446023593</v>
      </c>
      <c r="AG62" s="15">
        <f>AG55+AG56+AG58+AG60</f>
        <v>12.2716659404301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38</v>
      </c>
      <c r="AC63" s="14"/>
      <c r="AD63" s="15">
        <f>AD61+AD62</f>
        <v>54.6835530235688</v>
      </c>
      <c r="AE63" s="15">
        <f>AE61+AE62</f>
        <v>61.1479349866662</v>
      </c>
      <c r="AF63" s="15">
        <f>AF61+AF62</f>
        <v>70.2969795890255</v>
      </c>
      <c r="AG63" s="15">
        <f>AG61+AG62</f>
        <v>82.56864552945559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41">
        <v>4</v>
      </c>
      <c r="AC64" s="14"/>
      <c r="AD64" s="15"/>
      <c r="AE64" s="15"/>
      <c r="AF64" s="15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ht="20.05" customHeight="1">
      <c r="AB65" t="s" s="33">
        <v>3</v>
      </c>
      <c r="AC65" s="14"/>
      <c r="AD65" s="15">
        <f>-AVERAGE(D24:D26)</f>
        <v>-42.2</v>
      </c>
      <c r="AE65" s="15">
        <f>AD65</f>
        <v>-42.2</v>
      </c>
      <c r="AF65" s="15">
        <f>AE65</f>
        <v>-42.2</v>
      </c>
      <c r="AG65" s="15">
        <f>AF65</f>
        <v>-42.2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</v>
      </c>
      <c r="AC66" s="14"/>
      <c r="AD66" s="15">
        <f>(AD52*AD53)+AD65</f>
        <v>8.13355302356875</v>
      </c>
      <c r="AE66" s="15">
        <f>(AE52*AE53)+AE65</f>
        <v>7.12688196309738</v>
      </c>
      <c r="AF66" s="15">
        <f>(AF52*AF53)+AF65</f>
        <v>8.113419602359331</v>
      </c>
      <c r="AG66" s="15">
        <f>(AG52*AG53)+AG65</f>
        <v>9.62282219043011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41">
        <v>39</v>
      </c>
      <c r="AC67" s="14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40</v>
      </c>
      <c r="AC68" s="14"/>
      <c r="AD68" s="15">
        <f>H26-F26-AD54</f>
        <v>1744.9</v>
      </c>
      <c r="AE68" s="15">
        <f>AD68-AE54</f>
        <v>1753.8</v>
      </c>
      <c r="AF68" s="15">
        <f>AE68-AF54</f>
        <v>1762.7</v>
      </c>
      <c r="AG68" s="15">
        <f>AF68-AG54</f>
        <v>1771.6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41</v>
      </c>
      <c r="AC69" s="14"/>
      <c r="AD69" s="15">
        <f>0-AD65</f>
        <v>42.2</v>
      </c>
      <c r="AE69" s="15">
        <f>AD69-AE65</f>
        <v>84.40000000000001</v>
      </c>
      <c r="AF69" s="15">
        <f>AE69-AF65</f>
        <v>126.6</v>
      </c>
      <c r="AG69" s="15">
        <f>AF69-AG65</f>
        <v>168.8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42</v>
      </c>
      <c r="AC70" s="14"/>
      <c r="AD70" s="15">
        <f>AD68-AD69</f>
        <v>1702.7</v>
      </c>
      <c r="AE70" s="15">
        <f>AE68-AE69</f>
        <v>1669.4</v>
      </c>
      <c r="AF70" s="15">
        <f>AF68-AF69</f>
        <v>1636.1</v>
      </c>
      <c r="AG70" s="15">
        <f>AG68-AG69</f>
        <v>1602.8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6</v>
      </c>
      <c r="AC71" s="14"/>
      <c r="AD71" s="15">
        <f>G26+AD56</f>
        <v>679.25</v>
      </c>
      <c r="AE71" s="15">
        <f>AD71+AE56</f>
        <v>645.2875</v>
      </c>
      <c r="AF71" s="15">
        <f>AE71+AF56</f>
        <v>613.0231250000001</v>
      </c>
      <c r="AG71" s="15">
        <f>AF71+AG56</f>
        <v>582.37196875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35</v>
      </c>
      <c r="AC72" s="14"/>
      <c r="AD72" s="15">
        <f>AD60</f>
        <v>0</v>
      </c>
      <c r="AE72" s="15">
        <f>AD72+AE60</f>
        <v>0</v>
      </c>
      <c r="AF72" s="15">
        <f>AE72+AF60</f>
        <v>0</v>
      </c>
      <c r="AG72" s="15">
        <f>AF72+AG60</f>
        <v>0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11</v>
      </c>
      <c r="AC73" s="14"/>
      <c r="AD73" s="15">
        <f>(H26-G26)+AD66+AD58</f>
        <v>1078.133553023570</v>
      </c>
      <c r="AE73" s="15">
        <f>AD73+AE66+AE58</f>
        <v>1085.260434986670</v>
      </c>
      <c r="AF73" s="15">
        <f>AE73+AF66+AF58</f>
        <v>1093.373854589030</v>
      </c>
      <c r="AG73" s="15">
        <f>AF73+AG66+AG58</f>
        <v>1102.996676779460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43</v>
      </c>
      <c r="AC74" s="14"/>
      <c r="AD74" s="15">
        <f>AD71+AD72+AD73-AD63-AD70</f>
        <v>1.2e-12</v>
      </c>
      <c r="AE74" s="15">
        <f>AE71+AE72+AE73-AE63-AE70</f>
        <v>3.8e-12</v>
      </c>
      <c r="AF74" s="15">
        <f>AF71+AF72+AF73-AF63-AF70</f>
        <v>4.5e-12</v>
      </c>
      <c r="AG74" s="15">
        <f>AG71+AG72+AG73-AG63-AG70</f>
        <v>4.4e-12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18</v>
      </c>
      <c r="AC75" s="14"/>
      <c r="AD75" s="15">
        <f>AD63-AD71-AD72</f>
        <v>-624.5664469764311</v>
      </c>
      <c r="AE75" s="15">
        <f>AE63-AE71-AE72</f>
        <v>-584.139565013334</v>
      </c>
      <c r="AF75" s="15">
        <f>AF63-AF71-AF72</f>
        <v>-542.7261454109751</v>
      </c>
      <c r="AG75" s="15">
        <f>AG63-AG71-AG72</f>
        <v>-499.803323220544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44</v>
      </c>
      <c r="AC76" s="14"/>
      <c r="AD76" s="15">
        <f>AD56+AD58+AD60</f>
        <v>-35.75</v>
      </c>
      <c r="AE76" s="15">
        <f>AE56+AE58+AE60</f>
        <v>-33.9625</v>
      </c>
      <c r="AF76" s="15">
        <f>AF56+AF58+AF60</f>
        <v>-32.264375</v>
      </c>
      <c r="AG76" s="15">
        <f>AG56+AG58+AG60</f>
        <v>-30.65115625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45</v>
      </c>
      <c r="AC77" s="14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f>Z$3</f>
        <v>606</v>
      </c>
      <c r="AC78" s="14"/>
      <c r="AD78" s="15"/>
      <c r="AE78" s="15"/>
      <c r="AF78" s="15"/>
      <c r="AG78" s="15">
        <v>77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$AB78</f>
        <v>606</v>
      </c>
      <c r="AC79" s="14"/>
      <c r="AD79" s="15"/>
      <c r="AE79" s="15"/>
      <c r="AF79" s="15"/>
      <c r="AG79" s="15">
        <v>462000000000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46</v>
      </c>
      <c r="AC80" s="14"/>
      <c r="AD80" s="15"/>
      <c r="AE80" s="15"/>
      <c r="AF80" s="15"/>
      <c r="AG80" s="15">
        <f>AG79/1000000000</f>
        <v>462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47</v>
      </c>
      <c r="AC81" s="14"/>
      <c r="AD81" s="15"/>
      <c r="AE81" s="15"/>
      <c r="AF81" s="15"/>
      <c r="AG81" s="15">
        <f>AG80/AG78</f>
        <v>6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48</v>
      </c>
      <c r="AC82" s="14"/>
      <c r="AD82" s="15"/>
      <c r="AE82" s="15"/>
      <c r="AF82" s="15"/>
      <c r="AG82" s="43">
        <f>AG80/(AG63+AG70)</f>
        <v>0.274124003211691</v>
      </c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</row>
    <row r="83" ht="20.05" customHeight="1">
      <c r="AB83" t="s" s="33">
        <v>49</v>
      </c>
      <c r="AC83" s="14"/>
      <c r="AD83" s="15"/>
      <c r="AE83" s="15"/>
      <c r="AF83" s="15"/>
      <c r="AG83" s="16">
        <f>-(AD58+AE58+AF58+AG58)/AG80</f>
        <v>0</v>
      </c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</row>
    <row r="84" ht="20.05" customHeight="1">
      <c r="AB84" t="s" s="33">
        <v>50</v>
      </c>
      <c r="AC84" s="14"/>
      <c r="AD84" s="15"/>
      <c r="AE84" s="15"/>
      <c r="AF84" s="15"/>
      <c r="AG84" s="15">
        <f>SUM(AD55:AG55)</f>
        <v>166.196676779456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51</v>
      </c>
      <c r="AC85" s="14"/>
      <c r="AD85" s="15"/>
      <c r="AE85" s="15"/>
      <c r="AF85" s="15"/>
      <c r="AG85" s="15">
        <f>AG70/AG84</f>
        <v>9.64399548209334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52</v>
      </c>
      <c r="AC86" s="14"/>
      <c r="AD86" s="15"/>
      <c r="AE86" s="15"/>
      <c r="AF86" s="15">
        <f>AG80/AG84</f>
        <v>2.77983897724427</v>
      </c>
      <c r="AG86" s="15">
        <v>6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53</v>
      </c>
      <c r="AC87" s="14"/>
      <c r="AD87" s="15"/>
      <c r="AE87" s="15"/>
      <c r="AF87" s="15"/>
      <c r="AG87" s="15">
        <f>AG84*AG86</f>
        <v>997.180060676736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54</v>
      </c>
      <c r="AC88" s="14"/>
      <c r="AD88" s="15"/>
      <c r="AE88" s="15"/>
      <c r="AF88" s="15"/>
      <c r="AG88" s="15">
        <f>(AG87/AG81)</f>
        <v>166.196676779456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55</v>
      </c>
      <c r="AC89" s="38"/>
      <c r="AD89" s="23"/>
      <c r="AE89" s="23"/>
      <c r="AF89" s="23"/>
      <c r="AG89" s="16">
        <f>AG88/AG78-1</f>
        <v>1.15839839973319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56</v>
      </c>
      <c r="AC90" s="38"/>
      <c r="AD90" s="23"/>
      <c r="AE90" s="23"/>
      <c r="AF90" s="23"/>
      <c r="AG90" s="16">
        <f>C26/C22-1</f>
        <v>-0.423818707810993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57</v>
      </c>
      <c r="AC91" s="38"/>
      <c r="AD91" s="23"/>
      <c r="AE91" s="23"/>
      <c r="AF91" s="23"/>
      <c r="AG91" s="16">
        <f>O28/N28-1</f>
        <v>-0.08661182732519961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38"/>
      <c r="AD92" s="23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45"/>
      <c r="AD94" t="s" s="44">
        <f>$AB78</f>
        <v>606</v>
      </c>
      <c r="AE94" t="s" s="44">
        <v>60</v>
      </c>
      <c r="AF94" s="15">
        <f>AG78</f>
        <v>77</v>
      </c>
      <c r="AG94" t="s" s="44">
        <v>61</v>
      </c>
      <c r="AH94" s="15">
        <f>AG88</f>
        <v>166.196676779456</v>
      </c>
      <c r="AI94" t="s" s="44">
        <f>IF(AJ94&gt;0,"+","")</f>
        <v>361</v>
      </c>
      <c r="AJ94" s="16">
        <f>AH94/AF94-1</f>
        <v>1.15839839973319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20.05" customHeight="1">
      <c r="AB95" s="36"/>
      <c r="AC95" s="46"/>
      <c r="AD95" s="47">
        <f>TODAY()</f>
        <v>44942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64</v>
      </c>
      <c r="AF97" t="s" s="44">
        <f>IF(AG97&gt;0,"+","")</f>
      </c>
      <c r="AG97" s="16">
        <f>AH104/AD104-1</f>
        <v>-0.423818707810993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65</v>
      </c>
      <c r="AF98" t="s" s="44">
        <f>IF(AG98&gt;0,"+","")</f>
        <v>361</v>
      </c>
      <c r="AG98" s="16">
        <f>SUM(AE117:AH118)/AE134</f>
        <v>0.231168831168831</v>
      </c>
      <c r="AH98" t="s" s="44"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17</v>
      </c>
      <c r="AF99" t="s" s="44">
        <f>IF(AG99&gt;0,"+","")</f>
        <v>361</v>
      </c>
      <c r="AG99" s="16">
        <f>SUM(AE131:AH132)/AE134</f>
        <v>0.340909090909091</v>
      </c>
      <c r="AH99" t="s" s="44">
        <f>AH98</f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68</v>
      </c>
      <c r="AE100" t="s" s="44">
        <v>369</v>
      </c>
      <c r="AF100" s="16">
        <f>AO127/AE134</f>
        <v>-1.44155844155844</v>
      </c>
      <c r="AG100" t="s" s="44">
        <f>AH99</f>
        <v>66</v>
      </c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20.05" customHeight="1">
      <c r="AB101" s="36"/>
      <c r="AC101" s="34"/>
      <c r="AD101" t="s" s="44">
        <v>28</v>
      </c>
      <c r="AE101" t="s" s="44">
        <f>AE105</f>
        <v>362</v>
      </c>
      <c r="AF101" s="16">
        <f>AF105</f>
        <v>0.0843920145190563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32.05" customHeight="1">
      <c r="AB102" s="36"/>
      <c r="AC102" s="34"/>
      <c r="AD102" t="s" s="44">
        <v>70</v>
      </c>
      <c r="AE102" t="s" s="44">
        <v>371</v>
      </c>
      <c r="AF102" t="s" s="44">
        <f>AL105</f>
        <v>372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71"/>
      <c r="AD103" s="16">
        <f>P22</f>
        <v>0.768115942028986</v>
      </c>
      <c r="AE103" s="16">
        <f>P23</f>
        <v>0.193346190935391</v>
      </c>
      <c r="AF103" s="16">
        <f>P24</f>
        <v>-0.386262626262626</v>
      </c>
      <c r="AG103" s="16">
        <f>P25</f>
        <v>-0.274522712310731</v>
      </c>
      <c r="AH103" s="16">
        <f>P26</f>
        <v>0.0843920145190563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34"/>
      <c r="AD104" s="15">
        <f>C22</f>
        <v>207.4</v>
      </c>
      <c r="AE104" s="15">
        <f>C23</f>
        <v>247.5</v>
      </c>
      <c r="AF104" s="15">
        <f>C24</f>
        <v>151.9</v>
      </c>
      <c r="AG104" s="15">
        <f>C25</f>
        <v>110.2</v>
      </c>
      <c r="AH104" s="15">
        <f>C26</f>
        <v>119.5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44.05" customHeight="1">
      <c r="AB105" s="36"/>
      <c r="AC105" s="34"/>
      <c r="AD105" t="s" s="44">
        <v>2</v>
      </c>
      <c r="AE105" t="s" s="44">
        <f>IF(AF105&lt;0,"declined","grew")</f>
        <v>362</v>
      </c>
      <c r="AF105" s="16">
        <f>AH104/AG104-1</f>
        <v>0.0843920145190563</v>
      </c>
      <c r="AG105" t="s" s="44">
        <v>73</v>
      </c>
      <c r="AH105" t="s" s="44">
        <v>74</v>
      </c>
      <c r="AI105" t="s" s="44">
        <v>75</v>
      </c>
      <c r="AJ105" t="s" s="44">
        <v>76</v>
      </c>
      <c r="AK105" s="15">
        <f>AH104</f>
        <v>119.5</v>
      </c>
      <c r="AL105" t="s" s="44">
        <v>372</v>
      </c>
      <c r="AM105" t="s" s="44">
        <v>378</v>
      </c>
      <c r="AN105" s="16">
        <v>0.0297063450445726</v>
      </c>
      <c r="AO105" t="s" s="44">
        <v>78</v>
      </c>
      <c r="AP105" s="17"/>
      <c r="AQ105" s="17"/>
      <c r="AR105" s="17"/>
      <c r="AS105" s="17"/>
      <c r="AT105" s="17"/>
      <c r="AU105" s="17"/>
    </row>
    <row r="106" ht="56.05" customHeight="1">
      <c r="AB106" s="36"/>
      <c r="AC106" s="34"/>
      <c r="AD106" t="s" s="44">
        <v>79</v>
      </c>
      <c r="AE106" s="16">
        <f>AVERAGE(AE103:AH103)</f>
        <v>-0.0957617832797274</v>
      </c>
      <c r="AF106" t="s" s="44">
        <v>80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81</v>
      </c>
      <c r="AE107" s="35">
        <f>AG49</f>
        <v>0.0325</v>
      </c>
      <c r="AF107" t="s" s="44">
        <v>82</v>
      </c>
      <c r="AG107" t="s" s="44">
        <v>83</v>
      </c>
      <c r="AH107" s="23">
        <f>AG52</f>
        <v>135.3393426</v>
      </c>
      <c r="AI107" t="s" s="44">
        <f>AL105</f>
        <v>372</v>
      </c>
      <c r="AJ107" t="s" s="44">
        <v>84</v>
      </c>
      <c r="AK107" t="s" s="44">
        <f>AH105</f>
        <v>74</v>
      </c>
      <c r="AL107" t="s" s="44">
        <f>AI105</f>
        <v>75</v>
      </c>
      <c r="AM107" t="s" s="44">
        <v>85</v>
      </c>
      <c r="AN107" s="17"/>
      <c r="AO107" s="17"/>
      <c r="AP107" s="17"/>
      <c r="AQ107" s="17"/>
      <c r="AR107" s="17"/>
      <c r="AS107" s="17"/>
      <c r="AT107" s="17"/>
      <c r="AU107" s="17"/>
    </row>
    <row r="108" ht="20.05" customHeight="1">
      <c r="AB108" s="36"/>
      <c r="AC108" s="34"/>
      <c r="AD108" t="s" s="44">
        <v>14</v>
      </c>
      <c r="AE108" t="s" s="44">
        <f>IF(AG112&lt;AE112,"down","up")</f>
        <v>108</v>
      </c>
      <c r="AF108" t="s" s="44">
        <v>86</v>
      </c>
      <c r="AG108" t="s" s="44">
        <f>IF(AK112&gt;AI112,"up","down")</f>
        <v>108</v>
      </c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44.05" customHeight="1">
      <c r="AB109" s="36"/>
      <c r="AC109" s="34"/>
      <c r="AD109" t="s" s="44">
        <f>AD102</f>
        <v>70</v>
      </c>
      <c r="AE109" t="s" s="44">
        <v>88</v>
      </c>
      <c r="AF109" t="s" s="44">
        <f>AL105</f>
        <v>372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71"/>
      <c r="AD110" s="16">
        <f>(D22+E22)/C22</f>
        <v>0.42092574734812</v>
      </c>
      <c r="AE110" s="16">
        <f>(D23+E23)/C23</f>
        <v>0.463030303030303</v>
      </c>
      <c r="AF110" s="16">
        <f>((E24+D24)/C24)</f>
        <v>0.36734693877551</v>
      </c>
      <c r="AG110" s="16">
        <f>(D25+E25)/C25</f>
        <v>0.132486388384755</v>
      </c>
      <c r="AH110" s="16">
        <f>(D26+E26)/C26</f>
        <v>0.420083682008368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34"/>
      <c r="AD111" s="15">
        <f>E22</f>
        <v>27</v>
      </c>
      <c r="AE111" s="15">
        <f>E23</f>
        <v>52.4</v>
      </c>
      <c r="AF111" s="15">
        <f>E24</f>
        <v>13.7</v>
      </c>
      <c r="AG111" s="15">
        <f>E25</f>
        <v>-27.6</v>
      </c>
      <c r="AH111" s="15">
        <f>E26</f>
        <v>7.9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44.05" customHeight="1">
      <c r="AB112" s="36"/>
      <c r="AC112" s="34"/>
      <c r="AD112" t="s" s="44">
        <v>89</v>
      </c>
      <c r="AE112" s="16">
        <f>AG110</f>
        <v>0.132486388384755</v>
      </c>
      <c r="AF112" t="s" s="44">
        <v>76</v>
      </c>
      <c r="AG112" s="16">
        <f>AH110</f>
        <v>0.420083682008368</v>
      </c>
      <c r="AH112" t="s" s="44">
        <v>90</v>
      </c>
      <c r="AI112" s="15">
        <f>AG111</f>
        <v>-27.6</v>
      </c>
      <c r="AJ112" t="s" s="44">
        <v>76</v>
      </c>
      <c r="AK112" s="15">
        <f>AH111</f>
        <v>7.9</v>
      </c>
      <c r="AL112" t="s" s="44">
        <f>AI107</f>
        <v>372</v>
      </c>
      <c r="AM112" t="s" s="44">
        <v>73</v>
      </c>
      <c r="AN112" t="s" s="44">
        <f>AK107</f>
        <v>74</v>
      </c>
      <c r="AO112" t="s" s="44">
        <v>91</v>
      </c>
      <c r="AP112" s="17"/>
      <c r="AQ112" s="17"/>
      <c r="AR112" s="17"/>
      <c r="AS112" s="17"/>
      <c r="AT112" s="17"/>
      <c r="AU112" s="17"/>
    </row>
    <row r="113" ht="68.05" customHeight="1">
      <c r="AB113" s="36"/>
      <c r="AC113" s="34"/>
      <c r="AD113" t="s" s="44">
        <v>92</v>
      </c>
      <c r="AE113" s="16">
        <f>AVERAGE(AE110:AH110)</f>
        <v>0.345736828049734</v>
      </c>
      <c r="AF113" t="s" s="44">
        <v>78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44.05" customHeight="1">
      <c r="AB114" s="36"/>
      <c r="AC114" s="34"/>
      <c r="AD114" t="s" s="44">
        <v>93</v>
      </c>
      <c r="AE114" s="35">
        <f>AD53</f>
        <v>0.382910255029051</v>
      </c>
      <c r="AF114" t="s" s="44">
        <v>94</v>
      </c>
      <c r="AG114" s="15">
        <f>AG66</f>
        <v>9.62282219043011</v>
      </c>
      <c r="AH114" t="s" s="44">
        <f>AL112</f>
        <v>372</v>
      </c>
      <c r="AI114" t="s" s="44">
        <v>95</v>
      </c>
      <c r="AJ114" t="s" s="44">
        <f>AN112</f>
        <v>74</v>
      </c>
      <c r="AK114" t="s" s="44">
        <f>AI105</f>
        <v>75</v>
      </c>
      <c r="AL114" t="s" s="44">
        <f>AM107</f>
        <v>85</v>
      </c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20.05" customHeight="1">
      <c r="AB115" s="36"/>
      <c r="AC115" s="34"/>
      <c r="AD115" t="s" s="44">
        <v>15</v>
      </c>
      <c r="AE115" t="s" s="44">
        <f>IF(AG119&lt;AE119,"lower","higher")</f>
        <v>104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56.05" customHeight="1">
      <c r="AB116" s="36"/>
      <c r="AC116" s="34"/>
      <c r="AD116" t="s" s="44">
        <f>AD109</f>
        <v>70</v>
      </c>
      <c r="AE116" t="s" s="44">
        <v>96</v>
      </c>
      <c r="AF116" t="s" s="44">
        <f>AL105</f>
        <v>372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J22</f>
        <v>129.5</v>
      </c>
      <c r="AE117" s="15">
        <f>J23</f>
        <v>181.1</v>
      </c>
      <c r="AF117" s="15">
        <f>J24</f>
        <v>-48.7</v>
      </c>
      <c r="AG117" s="15">
        <f>J25</f>
        <v>-43.3</v>
      </c>
      <c r="AH117" s="15">
        <f>J26</f>
        <v>35.1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K22</f>
        <v>-10.2</v>
      </c>
      <c r="AE118" s="15">
        <f>K23</f>
        <v>-119.8</v>
      </c>
      <c r="AF118" s="15">
        <f>K24</f>
        <v>11.6</v>
      </c>
      <c r="AG118" s="15">
        <f>K25</f>
        <v>99.7</v>
      </c>
      <c r="AH118" s="15">
        <f>K26</f>
        <v>-8.9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44.05" customHeight="1">
      <c r="AB119" s="36"/>
      <c r="AC119" s="34"/>
      <c r="AD119" t="s" s="44">
        <v>97</v>
      </c>
      <c r="AE119" s="15">
        <f>AG117+AG118</f>
        <v>56.4</v>
      </c>
      <c r="AF119" t="s" s="44">
        <v>76</v>
      </c>
      <c r="AG119" s="15">
        <f>AH117+AH118</f>
        <v>26.2</v>
      </c>
      <c r="AH119" t="s" s="44">
        <f>AH114</f>
        <v>372</v>
      </c>
      <c r="AI119" t="s" s="44">
        <v>84</v>
      </c>
      <c r="AJ119" t="s" s="44">
        <f>AJ114</f>
        <v>74</v>
      </c>
      <c r="AK119" t="s" s="44">
        <v>98</v>
      </c>
      <c r="AL119" s="15">
        <f>AH118</f>
        <v>-8.9</v>
      </c>
      <c r="AM119" t="s" s="44">
        <f>AL105</f>
        <v>372</v>
      </c>
      <c r="AN119" t="s" s="44">
        <v>99</v>
      </c>
      <c r="AO119" s="17"/>
      <c r="AP119" s="17"/>
      <c r="AQ119" s="17"/>
      <c r="AR119" s="17"/>
      <c r="AS119" s="17"/>
      <c r="AT119" s="17"/>
      <c r="AU119" s="17"/>
    </row>
    <row r="120" ht="56.05" customHeight="1">
      <c r="AB120" s="36"/>
      <c r="AC120" s="34"/>
      <c r="AD120" t="s" s="44">
        <v>100</v>
      </c>
      <c r="AE120" s="15">
        <f>SUM(AE117:AH118)/4</f>
        <v>26.7</v>
      </c>
      <c r="AF120" t="s" s="44">
        <f>AL105</f>
        <v>372</v>
      </c>
      <c r="AG120" t="s" s="44">
        <v>78</v>
      </c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ht="44.05" customHeight="1">
      <c r="AB121" s="36"/>
      <c r="AC121" s="34"/>
      <c r="AD121" t="s" s="44">
        <v>101</v>
      </c>
      <c r="AE121" s="15">
        <f>AD54</f>
        <v>-8.9</v>
      </c>
      <c r="AF121" t="s" s="44">
        <f>AF120</f>
        <v>372</v>
      </c>
      <c r="AG121" t="s" s="44">
        <v>102</v>
      </c>
      <c r="AH121" t="s" s="44">
        <v>103</v>
      </c>
      <c r="AI121" t="s" s="44">
        <f>IF(AH107&gt;AK105,"higher","lower")</f>
        <v>363</v>
      </c>
      <c r="AJ121" t="s" s="44">
        <v>105</v>
      </c>
      <c r="AK121" s="15">
        <f>SUM(AD55:AG55)/4</f>
        <v>41.5491691948639</v>
      </c>
      <c r="AL121" t="s" s="44">
        <f>AF121</f>
        <v>372</v>
      </c>
      <c r="AM121" t="s" s="44">
        <v>106</v>
      </c>
      <c r="AN121" t="s" s="44">
        <v>107</v>
      </c>
      <c r="AO121" s="17"/>
      <c r="AP121" s="17"/>
      <c r="AQ121" s="17"/>
      <c r="AR121" s="17"/>
      <c r="AS121" s="17"/>
      <c r="AT121" s="17"/>
      <c r="AU121" s="17"/>
    </row>
    <row r="122" ht="20.05" customHeight="1">
      <c r="AB122" s="36"/>
      <c r="AC122" s="34"/>
      <c r="AD122" t="s" s="44">
        <v>18</v>
      </c>
      <c r="AE122" t="s" s="44">
        <f>AL127</f>
        <v>108</v>
      </c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32.05" customHeight="1">
      <c r="AB123" s="36"/>
      <c r="AC123" s="34"/>
      <c r="AD123" t="s" s="44">
        <f>AD102</f>
        <v>70</v>
      </c>
      <c r="AE123" t="s" s="44">
        <v>109</v>
      </c>
      <c r="AF123" t="s" s="44">
        <f>AL105</f>
        <v>372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s="36"/>
      <c r="AC124" s="34"/>
      <c r="AD124" s="15">
        <f>F22</f>
        <v>100</v>
      </c>
      <c r="AE124" s="15">
        <f>F23</f>
        <v>113</v>
      </c>
      <c r="AF124" s="15">
        <f>F24</f>
        <v>45</v>
      </c>
      <c r="AG124" s="15">
        <f>F25</f>
        <v>68</v>
      </c>
      <c r="AH124" s="15">
        <f>F26</f>
        <v>49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G22</f>
        <v>935</v>
      </c>
      <c r="AE125" s="15">
        <f>G23</f>
        <v>959</v>
      </c>
      <c r="AF125" s="15">
        <f>G24</f>
        <v>815</v>
      </c>
      <c r="AG125" s="15">
        <f>G25</f>
        <v>756</v>
      </c>
      <c r="AH125" s="15">
        <f>G26</f>
        <v>715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32.05" customHeight="1">
      <c r="AB126" s="36"/>
      <c r="AC126" s="34"/>
      <c r="AD126" t="s" s="44">
        <v>110</v>
      </c>
      <c r="AE126" t="s" s="44">
        <f>IF(AH126&lt;AF126,"declined","increased")</f>
        <v>370</v>
      </c>
      <c r="AF126" s="15">
        <f>AG124</f>
        <v>68</v>
      </c>
      <c r="AG126" t="s" s="44">
        <v>76</v>
      </c>
      <c r="AH126" s="15">
        <f>AH124</f>
        <v>49</v>
      </c>
      <c r="AI126" t="s" s="44">
        <f>AL121</f>
        <v>372</v>
      </c>
      <c r="AJ126" t="s" s="44">
        <v>84</v>
      </c>
      <c r="AK126" t="s" s="44">
        <f>AH105</f>
        <v>74</v>
      </c>
      <c r="AL126" t="s" s="44">
        <f>AO112</f>
        <v>91</v>
      </c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112</v>
      </c>
      <c r="AE127" t="s" s="44">
        <f>IF(AH127&lt;AF127,"declined","increased")</f>
        <v>370</v>
      </c>
      <c r="AF127" s="15">
        <f>AG125</f>
        <v>756</v>
      </c>
      <c r="AG127" t="s" s="44">
        <v>76</v>
      </c>
      <c r="AH127" s="15">
        <f>AH125</f>
        <v>715</v>
      </c>
      <c r="AI127" t="s" s="44">
        <f>AI126</f>
        <v>372</v>
      </c>
      <c r="AJ127" t="s" s="44">
        <v>113</v>
      </c>
      <c r="AK127" t="s" s="44">
        <v>114</v>
      </c>
      <c r="AL127" t="s" s="44">
        <f>IF(AO127&lt;AM127,"down","up")</f>
        <v>108</v>
      </c>
      <c r="AM127" s="15">
        <f>AF126-AF127</f>
        <v>-688</v>
      </c>
      <c r="AN127" t="s" s="44">
        <v>76</v>
      </c>
      <c r="AO127" s="15">
        <f>AH126-AH127</f>
        <v>-666</v>
      </c>
      <c r="AP127" t="s" s="44">
        <f>AI127</f>
        <v>372</v>
      </c>
      <c r="AQ127" t="s" s="44">
        <v>115</v>
      </c>
      <c r="AR127" s="17"/>
      <c r="AS127" s="17"/>
      <c r="AT127" s="17"/>
      <c r="AU127" s="17"/>
    </row>
    <row r="128" ht="56.05" customHeight="1">
      <c r="AB128" s="36"/>
      <c r="AC128" s="34"/>
      <c r="AD128" t="s" s="44">
        <v>116</v>
      </c>
      <c r="AE128" s="15">
        <f>SUM(AD58:AG58)</f>
        <v>0</v>
      </c>
      <c r="AF128" t="s" s="44">
        <f>AI127</f>
        <v>372</v>
      </c>
      <c r="AG128" t="s" s="44">
        <v>117</v>
      </c>
      <c r="AH128" t="s" s="44">
        <f>IF(AI128&gt;0,"+","")</f>
      </c>
      <c r="AI128" s="15">
        <f>AD56+AE56+AF56+AG56+AD60+AE60+AF60+AG60</f>
        <v>-132.62803125</v>
      </c>
      <c r="AJ128" t="s" s="44">
        <f>AP127</f>
        <v>372</v>
      </c>
      <c r="AK128" t="s" s="44">
        <v>118</v>
      </c>
      <c r="AL128" t="s" s="44">
        <v>119</v>
      </c>
      <c r="AM128" s="15">
        <f>AG75</f>
        <v>-499.803323220544</v>
      </c>
      <c r="AN128" t="s" s="44">
        <f>AI127</f>
        <v>372</v>
      </c>
      <c r="AO128" t="s" s="44">
        <v>120</v>
      </c>
      <c r="AP128" s="17"/>
      <c r="AQ128" s="17"/>
      <c r="AR128" s="17"/>
      <c r="AS128" s="17"/>
      <c r="AT128" s="17"/>
      <c r="AU128" s="17"/>
    </row>
    <row r="129" ht="20.05" customHeight="1">
      <c r="AB129" s="36"/>
      <c r="AC129" s="34"/>
      <c r="AD129" t="s" s="44">
        <v>17</v>
      </c>
      <c r="AE129" t="s" s="44">
        <f>AE133</f>
        <v>374</v>
      </c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56.05" customHeight="1">
      <c r="AB130" s="36"/>
      <c r="AC130" s="34"/>
      <c r="AD130" t="s" s="44">
        <f>AD102</f>
        <v>70</v>
      </c>
      <c r="AE130" t="s" s="44">
        <v>379</v>
      </c>
      <c r="AF130" t="s" s="44">
        <f>AL105</f>
        <v>372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5">
        <f>-L22</f>
        <v>31.1</v>
      </c>
      <c r="AE131" s="15">
        <f>-L23</f>
        <v>46.9</v>
      </c>
      <c r="AF131" s="15">
        <f>-L24</f>
        <v>30.3</v>
      </c>
      <c r="AG131" s="15">
        <f>-L25</f>
        <v>33.8</v>
      </c>
      <c r="AH131" s="15">
        <f>-L26</f>
        <v>44.7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-M22</f>
        <v>0</v>
      </c>
      <c r="AE132" s="15">
        <f>-M23</f>
        <v>1.8</v>
      </c>
      <c r="AF132" s="15">
        <f>-M24</f>
        <v>0</v>
      </c>
      <c r="AG132" s="15">
        <f>-M25</f>
        <v>0</v>
      </c>
      <c r="AH132" s="15">
        <f>-M26</f>
        <v>0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44.05" customHeight="1">
      <c r="AB133" s="36"/>
      <c r="AC133" s="34"/>
      <c r="AD133" t="s" s="44">
        <f>AD94</f>
        <v>606</v>
      </c>
      <c r="AE133" t="s" s="44">
        <f>IF(AF133&gt;0,"paid","(raised)")</f>
        <v>374</v>
      </c>
      <c r="AF133" s="15">
        <f>SUM(AH131:AH132)</f>
        <v>44.7</v>
      </c>
      <c r="AG133" t="s" s="44">
        <f>AL105</f>
        <v>372</v>
      </c>
      <c r="AH133" t="s" s="44">
        <f>AG105</f>
        <v>73</v>
      </c>
      <c r="AI133" t="s" s="44">
        <f>AH105</f>
        <v>74</v>
      </c>
      <c r="AJ133" t="s" s="44">
        <f>AI105</f>
        <v>75</v>
      </c>
      <c r="AK133" s="15">
        <f>AH131</f>
        <v>44.7</v>
      </c>
      <c r="AL133" t="s" s="44">
        <f>AL105</f>
        <v>372</v>
      </c>
      <c r="AM133" t="s" s="44">
        <v>123</v>
      </c>
      <c r="AN133" s="15">
        <f>AH132</f>
        <v>0</v>
      </c>
      <c r="AO133" t="s" s="44">
        <f>AL105</f>
        <v>372</v>
      </c>
      <c r="AP133" t="s" s="44">
        <v>124</v>
      </c>
      <c r="AQ133" t="s" s="44">
        <v>125</v>
      </c>
      <c r="AR133" t="s" s="44">
        <f>IF(AS133&gt;0,"pay","raise")</f>
        <v>364</v>
      </c>
      <c r="AS133" s="15">
        <f>-SUM(AD76:AG76)</f>
        <v>132.62803125</v>
      </c>
      <c r="AT133" t="s" s="44">
        <f>AL105</f>
        <v>372</v>
      </c>
      <c r="AU133" t="s" s="44">
        <v>126</v>
      </c>
    </row>
    <row r="134" ht="56.05" customHeight="1">
      <c r="AB134" s="36"/>
      <c r="AC134" s="34"/>
      <c r="AD134" t="s" s="44">
        <v>375</v>
      </c>
      <c r="AE134" s="15">
        <f>AG80</f>
        <v>462</v>
      </c>
      <c r="AF134" t="s" s="44">
        <f>AL105</f>
        <v>372</v>
      </c>
      <c r="AG134" t="s" s="44">
        <v>128</v>
      </c>
      <c r="AH134" t="s" s="44">
        <v>129</v>
      </c>
      <c r="AI134" s="43">
        <f>AG82</f>
        <v>0.274124003211691</v>
      </c>
      <c r="AJ134" t="s" s="44">
        <v>130</v>
      </c>
      <c r="AK134" t="s" s="44">
        <v>131</v>
      </c>
      <c r="AL134" t="s" s="44">
        <v>132</v>
      </c>
      <c r="AM134" s="15">
        <f>AG85</f>
        <v>9.64399548209334</v>
      </c>
      <c r="AN134" t="s" s="44">
        <v>133</v>
      </c>
      <c r="AO134" s="16">
        <f>-AE128/AE134</f>
        <v>0</v>
      </c>
      <c r="AP134" t="s" s="44">
        <v>134</v>
      </c>
      <c r="AQ134" s="17"/>
      <c r="AR134" s="17"/>
      <c r="AS134" s="17"/>
      <c r="AT134" s="17"/>
      <c r="AU134" s="17"/>
    </row>
    <row r="135" ht="56.05" customHeight="1">
      <c r="AB135" s="36"/>
      <c r="AC135" s="34"/>
      <c r="AD135" t="s" s="44">
        <v>135</v>
      </c>
      <c r="AE135" s="15">
        <f>AG84</f>
        <v>166.196676779456</v>
      </c>
      <c r="AF135" t="s" s="44">
        <f>AF134</f>
        <v>372</v>
      </c>
      <c r="AG135" t="s" s="44">
        <v>136</v>
      </c>
      <c r="AH135" s="15">
        <f>AE134/AE135</f>
        <v>2.77983897724427</v>
      </c>
      <c r="AI135" t="s" s="44">
        <v>130</v>
      </c>
      <c r="AJ135" t="s" s="44">
        <v>137</v>
      </c>
      <c r="AK135" t="s" s="44">
        <v>138</v>
      </c>
      <c r="AL135" s="15">
        <f>AG86</f>
        <v>6</v>
      </c>
      <c r="AM135" t="s" s="44">
        <v>139</v>
      </c>
      <c r="AN135" t="s" s="44">
        <v>140</v>
      </c>
      <c r="AO135" t="s" s="44">
        <v>141</v>
      </c>
      <c r="AP135" s="16">
        <f>AJ94</f>
        <v>1.15839839973319</v>
      </c>
      <c r="AQ135" t="s" s="44">
        <f>IF(AP135&gt;0,"higher","lower")</f>
        <v>363</v>
      </c>
      <c r="AR135" t="s" s="44">
        <v>142</v>
      </c>
      <c r="AS135" s="15">
        <f>AH94</f>
        <v>166.196676779456</v>
      </c>
      <c r="AT135" t="s" s="44">
        <v>143</v>
      </c>
      <c r="AU135" s="17"/>
    </row>
    <row r="136" ht="20.05" customHeight="1">
      <c r="AB136" s="36"/>
      <c r="AC136" s="34"/>
      <c r="AD136" s="17"/>
      <c r="AE136" s="17"/>
      <c r="AF136" s="17"/>
      <c r="AG136" s="17"/>
      <c r="AH136" s="15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28</v>
      </c>
      <c r="AC137" s="14">
        <f>AD104</f>
        <v>207.4</v>
      </c>
      <c r="AD137" s="15">
        <f>AE104</f>
        <v>247.5</v>
      </c>
      <c r="AE137" s="15">
        <f>AF104</f>
        <v>151.9</v>
      </c>
      <c r="AF137" s="15">
        <f>AG104</f>
        <v>110.2</v>
      </c>
      <c r="AG137" s="15">
        <f>AH104</f>
        <v>119.5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144</v>
      </c>
      <c r="AC138" s="14">
        <f>SUM(AD117:AD118)</f>
        <v>119.3</v>
      </c>
      <c r="AD138" s="15">
        <f>SUM(AE117:AE118)</f>
        <v>61.3</v>
      </c>
      <c r="AE138" s="15">
        <f>SUM(AF117:AF118)</f>
        <v>-37.1</v>
      </c>
      <c r="AF138" s="15">
        <f>SUM(AG117:AG118)</f>
        <v>56.4</v>
      </c>
      <c r="AG138" s="15">
        <f>SUM(AH117:AH118)</f>
        <v>26.2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145</v>
      </c>
      <c r="AC139" s="14">
        <f>SUM(AD131:AD132)</f>
        <v>31.1</v>
      </c>
      <c r="AD139" s="15">
        <f>SUM(AE131:AE132)</f>
        <v>48.7</v>
      </c>
      <c r="AE139" s="15">
        <f>SUM(AF131:AF132)</f>
        <v>30.3</v>
      </c>
      <c r="AF139" s="15">
        <f>SUM(AG131:AG132)</f>
        <v>33.8</v>
      </c>
      <c r="AG139" s="15">
        <f>SUM(AH131:AH132)</f>
        <v>44.7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146</v>
      </c>
      <c r="AC140" s="14">
        <f>(AD124-AD125)</f>
        <v>-835</v>
      </c>
      <c r="AD140" s="15">
        <f>(AE124-AE125)</f>
        <v>-846</v>
      </c>
      <c r="AE140" s="15">
        <f>(AF124-AF125)</f>
        <v>-770</v>
      </c>
      <c r="AF140" s="15">
        <f>(AG124-AG125)</f>
        <v>-688</v>
      </c>
      <c r="AG140" s="15">
        <f>(AH124-AH125)</f>
        <v>-666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5">
        <f>AS135</f>
        <v>166.196676779456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</sheetData>
  <mergeCells count="2">
    <mergeCell ref="B2:AA2"/>
    <mergeCell ref="AB46:AU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6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45" customWidth="1"/>
    <col min="2" max="28" width="10.4844" style="245" customWidth="1"/>
    <col min="29" max="29" width="18.9766" style="248" customWidth="1"/>
    <col min="30" max="48" width="9" style="248" customWidth="1"/>
    <col min="49" max="16384" width="16.3516" style="248" customWidth="1"/>
  </cols>
  <sheetData>
    <row r="1" ht="11.65" customHeight="1"/>
    <row r="2" ht="27.65" customHeight="1">
      <c r="B2" t="s" s="2">
        <v>607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312</v>
      </c>
      <c r="AA3" t="s" s="3">
        <v>19</v>
      </c>
      <c r="AB3" t="s" s="3">
        <v>20</v>
      </c>
    </row>
    <row r="4" ht="20.25" customHeight="1">
      <c r="B4" s="6">
        <v>2017</v>
      </c>
      <c r="C4" s="7">
        <v>22575.8</v>
      </c>
      <c r="D4" s="8">
        <v>200.458</v>
      </c>
      <c r="E4" s="8">
        <v>3291</v>
      </c>
      <c r="F4" s="8">
        <v>19952</v>
      </c>
      <c r="G4" s="8">
        <v>14310</v>
      </c>
      <c r="H4" s="8">
        <v>51792</v>
      </c>
      <c r="I4" s="8">
        <v>24911.8</v>
      </c>
      <c r="J4" s="8">
        <v>12650</v>
      </c>
      <c r="K4" s="8">
        <v>2230.5</v>
      </c>
      <c r="L4" s="8">
        <v>0</v>
      </c>
      <c r="M4" s="8">
        <v>-3132</v>
      </c>
      <c r="N4" s="8"/>
      <c r="O4" s="8"/>
      <c r="P4" s="9"/>
      <c r="Q4" s="9"/>
      <c r="R4" s="9"/>
      <c r="S4" s="9"/>
      <c r="T4" s="9"/>
      <c r="U4" s="9"/>
      <c r="V4" s="8">
        <f>-(L4+M4)</f>
        <v>3132</v>
      </c>
      <c r="W4" s="9"/>
      <c r="X4" s="8">
        <f>F4-G4</f>
        <v>5642</v>
      </c>
      <c r="Y4" s="9"/>
      <c r="Z4" s="8"/>
      <c r="AA4" s="11"/>
      <c r="AB4" s="12">
        <v>13.3</v>
      </c>
    </row>
    <row r="5" ht="20.05" customHeight="1">
      <c r="B5" s="13"/>
      <c r="C5" s="14">
        <v>24013.8</v>
      </c>
      <c r="D5" s="15">
        <v>205.162</v>
      </c>
      <c r="E5" s="15">
        <v>2758.9</v>
      </c>
      <c r="F5" s="15">
        <v>9822</v>
      </c>
      <c r="G5" s="15">
        <v>13631</v>
      </c>
      <c r="H5" s="15">
        <v>41281</v>
      </c>
      <c r="I5" s="15">
        <v>23983.4</v>
      </c>
      <c r="J5" s="15">
        <v>2050.5</v>
      </c>
      <c r="K5" s="15">
        <v>346.1</v>
      </c>
      <c r="L5" s="15">
        <v>0</v>
      </c>
      <c r="M5" s="15">
        <v>-3132</v>
      </c>
      <c r="N5" s="15"/>
      <c r="O5" s="15"/>
      <c r="P5" s="16"/>
      <c r="Q5" s="17"/>
      <c r="R5" s="17"/>
      <c r="S5" s="17"/>
      <c r="T5" s="17"/>
      <c r="U5" s="17"/>
      <c r="V5" s="15">
        <f>-(L5+M5)+V4</f>
        <v>6264</v>
      </c>
      <c r="W5" s="17"/>
      <c r="X5" s="15">
        <f>F5-G5</f>
        <v>-3809</v>
      </c>
      <c r="Y5" s="17"/>
      <c r="Z5" s="15"/>
      <c r="AA5" s="19"/>
      <c r="AB5" s="20">
        <v>13.327</v>
      </c>
    </row>
    <row r="6" ht="20.05" customHeight="1">
      <c r="B6" s="13"/>
      <c r="C6" s="14">
        <v>25704.3</v>
      </c>
      <c r="D6" s="15">
        <v>212.292</v>
      </c>
      <c r="E6" s="15">
        <v>3288</v>
      </c>
      <c r="F6" s="15">
        <v>17430</v>
      </c>
      <c r="G6" s="15">
        <v>15589</v>
      </c>
      <c r="H6" s="15">
        <v>46541</v>
      </c>
      <c r="I6" s="15">
        <v>30326.7</v>
      </c>
      <c r="J6" s="15">
        <v>7752.8</v>
      </c>
      <c r="K6" s="15">
        <v>-188.6</v>
      </c>
      <c r="L6" s="15">
        <v>0</v>
      </c>
      <c r="M6" s="15">
        <v>-3132</v>
      </c>
      <c r="N6" s="15"/>
      <c r="O6" s="15"/>
      <c r="P6" s="16"/>
      <c r="Q6" s="17"/>
      <c r="R6" s="17"/>
      <c r="S6" s="17"/>
      <c r="T6" s="17"/>
      <c r="U6" s="17"/>
      <c r="V6" s="15">
        <f>-(L6+M6)+V5</f>
        <v>9396</v>
      </c>
      <c r="W6" s="17"/>
      <c r="X6" s="15">
        <f>F6-G6</f>
        <v>1841</v>
      </c>
      <c r="Y6" s="17"/>
      <c r="Z6" s="15"/>
      <c r="AA6" s="19"/>
      <c r="AB6" s="20">
        <v>13.305</v>
      </c>
    </row>
    <row r="7" ht="20.35" customHeight="1">
      <c r="B7" s="13"/>
      <c r="C7" s="14">
        <v>26797.5</v>
      </c>
      <c r="D7" s="15">
        <v>267.747</v>
      </c>
      <c r="E7" s="15">
        <v>3332.6</v>
      </c>
      <c r="F7" s="15">
        <v>7502</v>
      </c>
      <c r="G7" s="15">
        <v>9028</v>
      </c>
      <c r="H7" s="15">
        <v>43141</v>
      </c>
      <c r="I7" s="15">
        <v>28812</v>
      </c>
      <c r="J7" s="15">
        <v>-7077</v>
      </c>
      <c r="K7" s="15">
        <v>-2769</v>
      </c>
      <c r="L7" s="15">
        <v>0</v>
      </c>
      <c r="M7" s="15">
        <v>-3132</v>
      </c>
      <c r="N7" s="15"/>
      <c r="O7" s="15"/>
      <c r="P7" s="16"/>
      <c r="Q7" s="17"/>
      <c r="R7" s="17"/>
      <c r="S7" s="17"/>
      <c r="T7" s="17"/>
      <c r="U7" s="17"/>
      <c r="V7" s="15">
        <f>-(L7+M7)+V6</f>
        <v>12528</v>
      </c>
      <c r="W7" s="17"/>
      <c r="X7" s="15">
        <f>F7-G7</f>
        <v>-1526</v>
      </c>
      <c r="Y7" s="17"/>
      <c r="Z7" s="246"/>
      <c r="AA7" s="19"/>
      <c r="AB7" s="20">
        <v>13.557</v>
      </c>
    </row>
    <row r="8" ht="20.7" customHeight="1">
      <c r="B8" s="21">
        <v>2018</v>
      </c>
      <c r="C8" s="14">
        <v>23136</v>
      </c>
      <c r="D8" s="15">
        <v>223.554</v>
      </c>
      <c r="E8" s="15">
        <v>3032.4</v>
      </c>
      <c r="F8" s="15">
        <v>21527</v>
      </c>
      <c r="G8" s="15">
        <v>15136</v>
      </c>
      <c r="H8" s="15">
        <v>52297</v>
      </c>
      <c r="I8" s="15">
        <v>26563</v>
      </c>
      <c r="J8" s="15">
        <v>13172</v>
      </c>
      <c r="K8" s="15">
        <v>859.6</v>
      </c>
      <c r="L8" s="15">
        <v>0</v>
      </c>
      <c r="M8" s="15">
        <v>-3120.25</v>
      </c>
      <c r="N8" s="15">
        <f>SUM(C5:C8)/4</f>
        <v>24912.9</v>
      </c>
      <c r="O8" s="15"/>
      <c r="P8" s="16"/>
      <c r="Q8" s="16">
        <f>(E8+D8)/C8</f>
        <v>0.14073106846473</v>
      </c>
      <c r="R8" s="16"/>
      <c r="S8" s="17"/>
      <c r="T8" s="15">
        <f>SUM(J5:K8)/4</f>
        <v>3536.6</v>
      </c>
      <c r="U8" s="25"/>
      <c r="V8" s="15">
        <f>-(L8+M8)+V7</f>
        <v>15648.25</v>
      </c>
      <c r="W8" s="17"/>
      <c r="X8" s="15">
        <f>F8-G8</f>
        <v>6391</v>
      </c>
      <c r="Y8" s="24"/>
      <c r="Z8" s="91">
        <v>3980</v>
      </c>
      <c r="AA8" s="22"/>
      <c r="AB8" s="20">
        <v>13.761</v>
      </c>
    </row>
    <row r="9" ht="20.7" customHeight="1">
      <c r="B9" s="13"/>
      <c r="C9" s="14">
        <v>26021.5</v>
      </c>
      <c r="D9" s="15">
        <v>227.293</v>
      </c>
      <c r="E9" s="15">
        <v>3080.5</v>
      </c>
      <c r="F9" s="15">
        <v>15277</v>
      </c>
      <c r="G9" s="15">
        <v>16160</v>
      </c>
      <c r="H9" s="15">
        <v>43879</v>
      </c>
      <c r="I9" s="15">
        <v>28376.9</v>
      </c>
      <c r="J9" s="15">
        <v>5017.6</v>
      </c>
      <c r="K9" s="15">
        <v>1125.4</v>
      </c>
      <c r="L9" s="15">
        <v>1.75</v>
      </c>
      <c r="M9" s="15">
        <v>-3408.25</v>
      </c>
      <c r="N9" s="15">
        <f>SUM(C6:C9)/4</f>
        <v>25414.825</v>
      </c>
      <c r="O9" s="15"/>
      <c r="P9" s="16"/>
      <c r="Q9" s="16">
        <f>(E9+D9)/C9</f>
        <v>0.127117691140019</v>
      </c>
      <c r="R9" s="16"/>
      <c r="S9" s="17"/>
      <c r="T9" s="15">
        <f>SUM(J6:K9)/4</f>
        <v>4473.2</v>
      </c>
      <c r="U9" s="25"/>
      <c r="V9" s="15">
        <f>-(L9+M9)+V8</f>
        <v>19054.75</v>
      </c>
      <c r="W9" s="17"/>
      <c r="X9" s="15">
        <f>F13-G9</f>
        <v>-2402</v>
      </c>
      <c r="Y9" s="24"/>
      <c r="Z9" s="247">
        <v>3580</v>
      </c>
      <c r="AA9" s="22"/>
      <c r="AB9" s="20">
        <v>14</v>
      </c>
    </row>
    <row r="10" ht="20.7" customHeight="1">
      <c r="B10" s="13"/>
      <c r="C10" s="14">
        <v>28377.3</v>
      </c>
      <c r="D10" s="15">
        <v>252.521</v>
      </c>
      <c r="E10" s="15">
        <v>3577.1</v>
      </c>
      <c r="F10" s="15">
        <v>21371</v>
      </c>
      <c r="G10" s="15">
        <v>17706</v>
      </c>
      <c r="H10" s="15">
        <v>49114</v>
      </c>
      <c r="I10" s="15">
        <v>30914.4</v>
      </c>
      <c r="J10" s="15">
        <v>6359.9</v>
      </c>
      <c r="K10" s="15">
        <v>-190.2</v>
      </c>
      <c r="L10" s="15">
        <v>-1.825</v>
      </c>
      <c r="M10" s="15">
        <v>-3483.75</v>
      </c>
      <c r="N10" s="15">
        <f>SUM(C7:C10)/4</f>
        <v>26083.075</v>
      </c>
      <c r="O10" s="15"/>
      <c r="P10" s="16">
        <f>C10/C9-1</f>
        <v>0.0905328286224853</v>
      </c>
      <c r="Q10" s="16">
        <f>(E10+D10)/C10</f>
        <v>0.134953677763565</v>
      </c>
      <c r="R10" s="16"/>
      <c r="S10" s="17"/>
      <c r="T10" s="15">
        <f>SUM(J7:K10)/4</f>
        <v>4124.575</v>
      </c>
      <c r="U10" s="25"/>
      <c r="V10" s="15">
        <f>-(L10+M10)+V9</f>
        <v>22540.325</v>
      </c>
      <c r="W10" s="17"/>
      <c r="X10" s="15">
        <f>F10-G10</f>
        <v>3665</v>
      </c>
      <c r="Y10" s="24"/>
      <c r="Z10" s="91">
        <v>3850</v>
      </c>
      <c r="AA10" s="22"/>
      <c r="AB10" s="20">
        <v>14.902</v>
      </c>
    </row>
    <row r="11" ht="20.7" customHeight="1">
      <c r="B11" s="13"/>
      <c r="C11" s="14">
        <v>29207</v>
      </c>
      <c r="D11" s="15">
        <v>270.518</v>
      </c>
      <c r="E11" s="15">
        <v>3848.4</v>
      </c>
      <c r="F11" s="15">
        <v>15516</v>
      </c>
      <c r="G11" s="15">
        <v>11244</v>
      </c>
      <c r="H11" s="15">
        <v>46602</v>
      </c>
      <c r="I11" s="15">
        <v>30884.7</v>
      </c>
      <c r="J11" s="15">
        <v>-4356.1</v>
      </c>
      <c r="K11" s="15">
        <v>-1461.3</v>
      </c>
      <c r="L11" s="15">
        <v>0</v>
      </c>
      <c r="M11" s="15">
        <v>-3120.25</v>
      </c>
      <c r="N11" s="15">
        <f>SUM(C8:C11)/4</f>
        <v>26685.45</v>
      </c>
      <c r="O11" s="15"/>
      <c r="P11" s="16">
        <f>C11/C10-1</f>
        <v>0.029238158669077</v>
      </c>
      <c r="Q11" s="16">
        <f>(E11+D11)/C11</f>
        <v>0.141025028246653</v>
      </c>
      <c r="R11" s="16"/>
      <c r="S11" s="17"/>
      <c r="T11" s="15">
        <f>SUM(J8:K11)/4</f>
        <v>5131.725</v>
      </c>
      <c r="U11" s="25"/>
      <c r="V11" s="15">
        <f>-(L11+M11)+V10</f>
        <v>25660.575</v>
      </c>
      <c r="W11" s="17"/>
      <c r="X11" s="15">
        <f>F11-G11</f>
        <v>4272</v>
      </c>
      <c r="Y11" s="24"/>
      <c r="Z11" s="91">
        <v>3710</v>
      </c>
      <c r="AA11" s="22"/>
      <c r="AB11" s="20">
        <v>14.38</v>
      </c>
    </row>
    <row r="12" ht="20.7" customHeight="1">
      <c r="B12" s="21">
        <v>2019</v>
      </c>
      <c r="C12" s="14">
        <v>23805.5</v>
      </c>
      <c r="D12" s="15">
        <v>343.5</v>
      </c>
      <c r="E12" s="15">
        <v>3285.6</v>
      </c>
      <c r="F12" s="15">
        <v>22308</v>
      </c>
      <c r="G12" s="15">
        <v>17927</v>
      </c>
      <c r="H12" s="15">
        <v>56587</v>
      </c>
      <c r="I12" s="15">
        <v>27201.8</v>
      </c>
      <c r="J12" s="15">
        <v>6911</v>
      </c>
      <c r="K12" s="15">
        <v>-78.7</v>
      </c>
      <c r="L12" s="15">
        <v>1.75</v>
      </c>
      <c r="M12" s="15">
        <v>-3408.25</v>
      </c>
      <c r="N12" s="15">
        <f>SUM(C9:C12)/4</f>
        <v>26852.825</v>
      </c>
      <c r="O12" s="23"/>
      <c r="P12" s="16">
        <f>C12/C11-1</f>
        <v>-0.184938542130311</v>
      </c>
      <c r="Q12" s="16">
        <f>(E12+D12)/C12</f>
        <v>0.152447963705866</v>
      </c>
      <c r="R12" s="16">
        <f>AVERAGE(Q9:Q12)</f>
        <v>0.138886090214026</v>
      </c>
      <c r="S12" s="17"/>
      <c r="T12" s="15">
        <f>SUM(J9:K12)/4</f>
        <v>3331.9</v>
      </c>
      <c r="U12" s="25"/>
      <c r="V12" s="15">
        <f>-(L12+M12)+V11</f>
        <v>29067.075</v>
      </c>
      <c r="W12" s="17"/>
      <c r="X12" s="15">
        <f>F12-G12</f>
        <v>4381</v>
      </c>
      <c r="Y12" s="24"/>
      <c r="Z12" s="91">
        <v>3750</v>
      </c>
      <c r="AA12" s="22"/>
      <c r="AB12" s="20">
        <v>14.24</v>
      </c>
    </row>
    <row r="13" ht="20.7" customHeight="1">
      <c r="B13" s="13"/>
      <c r="C13" s="14">
        <v>26914.2</v>
      </c>
      <c r="D13" s="15">
        <v>343.5</v>
      </c>
      <c r="E13" s="15">
        <v>3484.4</v>
      </c>
      <c r="F13" s="15">
        <v>13758</v>
      </c>
      <c r="G13" s="15">
        <v>14628</v>
      </c>
      <c r="H13" s="15">
        <v>43113</v>
      </c>
      <c r="I13" s="15">
        <v>29107.2</v>
      </c>
      <c r="J13" s="15">
        <v>4335.5</v>
      </c>
      <c r="K13" s="15">
        <v>740.7</v>
      </c>
      <c r="L13" s="15">
        <v>1.75</v>
      </c>
      <c r="M13" s="15">
        <v>-3408.25</v>
      </c>
      <c r="N13" s="15">
        <f>SUM(C10:C13)/4</f>
        <v>27076</v>
      </c>
      <c r="O13" s="23"/>
      <c r="P13" s="16">
        <f>C13/C12-1</f>
        <v>0.130587469282309</v>
      </c>
      <c r="Q13" s="16">
        <f>(E13+D13)/C13</f>
        <v>0.142226036813281</v>
      </c>
      <c r="R13" s="16">
        <f>AVERAGE(Q10:Q13)</f>
        <v>0.142663176632341</v>
      </c>
      <c r="S13" s="17"/>
      <c r="T13" s="15">
        <f>SUM(J10:K13)/4</f>
        <v>3065.2</v>
      </c>
      <c r="U13" s="25"/>
      <c r="V13" s="15">
        <f>-(L13+M13)+V12</f>
        <v>32473.575</v>
      </c>
      <c r="W13" s="17"/>
      <c r="X13" s="15">
        <f>F13-G13</f>
        <v>-870</v>
      </c>
      <c r="Y13" s="24"/>
      <c r="Z13" s="91">
        <v>3140</v>
      </c>
      <c r="AA13" s="24"/>
      <c r="AB13" s="15">
        <v>14.127</v>
      </c>
    </row>
    <row r="14" ht="20.7" customHeight="1">
      <c r="B14" s="13"/>
      <c r="C14" s="14">
        <v>26787.5</v>
      </c>
      <c r="D14" s="15">
        <v>343.5</v>
      </c>
      <c r="E14" s="15">
        <v>3430</v>
      </c>
      <c r="F14" s="15">
        <v>19514</v>
      </c>
      <c r="G14" s="15">
        <v>17017</v>
      </c>
      <c r="H14" s="15">
        <v>48949</v>
      </c>
      <c r="I14" s="15">
        <v>29852</v>
      </c>
      <c r="J14" s="15">
        <v>5943.5</v>
      </c>
      <c r="K14" s="15">
        <v>-147.4</v>
      </c>
      <c r="L14" s="15">
        <v>1.75</v>
      </c>
      <c r="M14" s="15">
        <v>-3408.25</v>
      </c>
      <c r="N14" s="15">
        <f>SUM(C11:C14)/4</f>
        <v>26678.55</v>
      </c>
      <c r="O14" s="23"/>
      <c r="P14" s="16">
        <f>C14/C13-1</f>
        <v>-0.00470755214719367</v>
      </c>
      <c r="Q14" s="16">
        <f>(E14+D14)/C14</f>
        <v>0.140867942137191</v>
      </c>
      <c r="R14" s="16">
        <f>AVERAGE(Q11:Q14)</f>
        <v>0.144141742725748</v>
      </c>
      <c r="S14" s="17"/>
      <c r="T14" s="15">
        <f>SUM(J11:K14)/4</f>
        <v>2971.8</v>
      </c>
      <c r="U14" s="25"/>
      <c r="V14" s="15">
        <f>-(L14+M14)+V13</f>
        <v>35880.075</v>
      </c>
      <c r="W14" s="17"/>
      <c r="X14" s="15">
        <f>F14-G14</f>
        <v>2497</v>
      </c>
      <c r="Y14" s="24"/>
      <c r="Z14" s="91">
        <v>2290</v>
      </c>
      <c r="AA14" s="24"/>
      <c r="AB14" s="15">
        <v>14.195</v>
      </c>
    </row>
    <row r="15" ht="20.35" customHeight="1">
      <c r="B15" s="13"/>
      <c r="C15" s="14">
        <v>28547.8</v>
      </c>
      <c r="D15" s="15">
        <v>343.5</v>
      </c>
      <c r="E15" s="15">
        <v>3521</v>
      </c>
      <c r="F15" s="15">
        <v>18821</v>
      </c>
      <c r="G15" s="15">
        <v>15223</v>
      </c>
      <c r="H15" s="15">
        <v>50903</v>
      </c>
      <c r="I15" s="15">
        <v>30133</v>
      </c>
      <c r="J15" s="15">
        <v>-44</v>
      </c>
      <c r="K15" s="15">
        <v>-571.6</v>
      </c>
      <c r="L15" s="15">
        <v>1.75</v>
      </c>
      <c r="M15" s="15">
        <v>-3408.25</v>
      </c>
      <c r="N15" s="15">
        <f>SUM(C12:C15)/4</f>
        <v>26513.75</v>
      </c>
      <c r="O15" s="15"/>
      <c r="P15" s="16">
        <f>C15/C14-1</f>
        <v>0.0657134857676155</v>
      </c>
      <c r="Q15" s="16">
        <f>(E15+D15)/C15</f>
        <v>0.135369450535593</v>
      </c>
      <c r="R15" s="16">
        <f>AVERAGE(Q12:Q15)</f>
        <v>0.142727848297983</v>
      </c>
      <c r="S15" s="17"/>
      <c r="T15" s="15">
        <f>SUM(J12:K15)/4</f>
        <v>4272.25</v>
      </c>
      <c r="U15" s="25"/>
      <c r="V15" s="15">
        <f>-(L15+M15)+V14</f>
        <v>39286.575</v>
      </c>
      <c r="W15" s="17"/>
      <c r="X15" s="15">
        <f>F15-G15</f>
        <v>3598</v>
      </c>
      <c r="Y15" s="24"/>
      <c r="Z15" s="92">
        <v>2100</v>
      </c>
      <c r="AA15" s="24"/>
      <c r="AB15" s="15">
        <v>13.882</v>
      </c>
    </row>
    <row r="16" ht="20.05" customHeight="1">
      <c r="B16" s="21">
        <v>2020</v>
      </c>
      <c r="C16" s="14">
        <v>23688.7</v>
      </c>
      <c r="D16" s="15">
        <v>332</v>
      </c>
      <c r="E16" s="15">
        <v>3321.6</v>
      </c>
      <c r="F16" s="15">
        <v>13025</v>
      </c>
      <c r="G16" s="15">
        <v>24233</v>
      </c>
      <c r="H16" s="15">
        <v>63300</v>
      </c>
      <c r="I16" s="15">
        <v>27296.6</v>
      </c>
      <c r="J16" s="15">
        <v>4922</v>
      </c>
      <c r="K16" s="15">
        <v>-10722.5</v>
      </c>
      <c r="L16" s="15">
        <v>-1.825</v>
      </c>
      <c r="M16" s="15">
        <v>-3483.75</v>
      </c>
      <c r="N16" s="15">
        <f>SUM(C13:C16)/4</f>
        <v>26484.55</v>
      </c>
      <c r="O16" s="23"/>
      <c r="P16" s="16">
        <f>C16/C15-1</f>
        <v>-0.170209263060551</v>
      </c>
      <c r="Q16" s="16">
        <f>(E16+D16)/C16</f>
        <v>0.154233875223208</v>
      </c>
      <c r="R16" s="16">
        <f>AVERAGE(Q13:Q16)</f>
        <v>0.143174326177318</v>
      </c>
      <c r="S16" s="17"/>
      <c r="T16" s="15">
        <f>SUM(J13:K16)/4</f>
        <v>1114.05</v>
      </c>
      <c r="U16" s="25"/>
      <c r="V16" s="15">
        <f>-(L16+M16)+V15</f>
        <v>42772.15</v>
      </c>
      <c r="W16" s="17"/>
      <c r="X16" s="15">
        <f>F16-G16</f>
        <v>-11208</v>
      </c>
      <c r="Y16" s="24"/>
      <c r="Z16" s="60">
        <v>1337</v>
      </c>
      <c r="AA16" s="15"/>
      <c r="AB16" s="15">
        <v>16.31</v>
      </c>
    </row>
    <row r="17" ht="20.05" customHeight="1">
      <c r="B17" s="13"/>
      <c r="C17" s="14">
        <v>21044.3</v>
      </c>
      <c r="D17" s="15">
        <v>332</v>
      </c>
      <c r="E17" s="15">
        <v>1564.4</v>
      </c>
      <c r="F17" s="15">
        <v>5110</v>
      </c>
      <c r="G17" s="15">
        <v>15293</v>
      </c>
      <c r="H17" s="15">
        <v>41905</v>
      </c>
      <c r="I17" s="15">
        <v>22072.4</v>
      </c>
      <c r="J17" s="15">
        <v>-4756</v>
      </c>
      <c r="K17" s="15">
        <v>10646.5</v>
      </c>
      <c r="L17" s="15">
        <v>-1.825</v>
      </c>
      <c r="M17" s="15">
        <v>-3483.75</v>
      </c>
      <c r="N17" s="15">
        <f>SUM(C14:C17)/4</f>
        <v>25017.075</v>
      </c>
      <c r="O17" s="15"/>
      <c r="P17" s="16">
        <f>C17/C16-1</f>
        <v>-0.111631284114367</v>
      </c>
      <c r="Q17" s="16">
        <f>(E17+D17)/C17</f>
        <v>0.0901146628778339</v>
      </c>
      <c r="R17" s="16">
        <f>AVERAGE(Q14:Q17)</f>
        <v>0.130146482693456</v>
      </c>
      <c r="S17" s="17"/>
      <c r="T17" s="25">
        <f>SUM(J14:K17)/4</f>
        <v>1317.625</v>
      </c>
      <c r="U17" s="25"/>
      <c r="V17" s="15">
        <f>-(L17+M17)+V16</f>
        <v>46257.725</v>
      </c>
      <c r="W17" s="17"/>
      <c r="X17" s="15">
        <f>F17-G17</f>
        <v>-10183</v>
      </c>
      <c r="Y17" s="24"/>
      <c r="Z17" s="60">
        <v>1645</v>
      </c>
      <c r="AA17" s="15"/>
      <c r="AB17" s="15">
        <v>14.255</v>
      </c>
    </row>
    <row r="18" ht="20.05" customHeight="1">
      <c r="B18" s="13"/>
      <c r="C18" s="14">
        <v>23046</v>
      </c>
      <c r="D18" s="15">
        <v>332</v>
      </c>
      <c r="E18" s="15">
        <v>2025</v>
      </c>
      <c r="F18" s="15">
        <v>14152</v>
      </c>
      <c r="G18" s="15">
        <v>16086</v>
      </c>
      <c r="H18" s="15">
        <v>44744</v>
      </c>
      <c r="I18" s="15">
        <v>26263</v>
      </c>
      <c r="J18" s="15">
        <v>8835</v>
      </c>
      <c r="K18" s="15">
        <v>-5</v>
      </c>
      <c r="L18" s="15">
        <v>-1.825</v>
      </c>
      <c r="M18" s="15">
        <v>-3483.75</v>
      </c>
      <c r="N18" s="15">
        <f>SUM(C15:C18)/4</f>
        <v>24081.7</v>
      </c>
      <c r="O18" s="15"/>
      <c r="P18" s="16">
        <f>C18/C17-1</f>
        <v>0.0951183931040709</v>
      </c>
      <c r="Q18" s="16">
        <f>(E18+D18)/C18</f>
        <v>0.10227371344268</v>
      </c>
      <c r="R18" s="16">
        <f>AVERAGE(Q15:Q18)</f>
        <v>0.120497925519829</v>
      </c>
      <c r="S18" s="17"/>
      <c r="T18" s="25">
        <f>SUM(J15:K18)/4</f>
        <v>2076.1</v>
      </c>
      <c r="U18" s="25"/>
      <c r="V18" s="15">
        <f>-(L18+M18)+V17</f>
        <v>49743.3</v>
      </c>
      <c r="W18" s="17"/>
      <c r="X18" s="15">
        <f>F18-G18</f>
        <v>-1934</v>
      </c>
      <c r="Y18" s="24"/>
      <c r="Z18" s="23">
        <v>1400</v>
      </c>
      <c r="AA18" s="15"/>
      <c r="AB18" s="15">
        <v>14.79</v>
      </c>
    </row>
    <row r="19" ht="20.05" customHeight="1">
      <c r="B19" s="13"/>
      <c r="C19" s="14">
        <v>22646</v>
      </c>
      <c r="D19" s="15">
        <v>332</v>
      </c>
      <c r="E19" s="15">
        <v>1670</v>
      </c>
      <c r="F19" s="15">
        <v>15804</v>
      </c>
      <c r="G19" s="15">
        <v>19433</v>
      </c>
      <c r="H19" s="15">
        <v>49674</v>
      </c>
      <c r="I19" s="15">
        <v>26630</v>
      </c>
      <c r="J19" s="15">
        <v>2952</v>
      </c>
      <c r="K19" s="15">
        <v>-783</v>
      </c>
      <c r="L19" s="15">
        <v>-1.825</v>
      </c>
      <c r="M19" s="15">
        <v>-3483.75</v>
      </c>
      <c r="N19" s="15">
        <f>SUM(C16:C19)/4</f>
        <v>22606.25</v>
      </c>
      <c r="O19" s="15">
        <v>24401.7366666667</v>
      </c>
      <c r="P19" s="16">
        <f>C19/C18-1</f>
        <v>-0.0173565911654951</v>
      </c>
      <c r="Q19" s="16">
        <f>(E19+D19)/C19</f>
        <v>0.0884041331802526</v>
      </c>
      <c r="R19" s="16">
        <f>AVERAGE(Q16:Q19)</f>
        <v>0.108756596180994</v>
      </c>
      <c r="S19" s="17"/>
      <c r="T19" s="25">
        <f>SUM(J16:K19)/4</f>
        <v>2772.25</v>
      </c>
      <c r="U19" s="25"/>
      <c r="V19" s="15">
        <f>-(L19+M19)+V18</f>
        <v>53228.875</v>
      </c>
      <c r="W19" s="17"/>
      <c r="X19" s="15">
        <f>F19-G19</f>
        <v>-3629</v>
      </c>
      <c r="Y19" s="24"/>
      <c r="Z19" s="23">
        <v>1505</v>
      </c>
      <c r="AA19" s="17"/>
      <c r="AB19" s="15">
        <v>14.1</v>
      </c>
    </row>
    <row r="20" ht="20.05" customHeight="1">
      <c r="B20" s="21">
        <v>2021</v>
      </c>
      <c r="C20" s="14">
        <v>23558</v>
      </c>
      <c r="D20" s="15">
        <v>289.5</v>
      </c>
      <c r="E20" s="15">
        <v>2586</v>
      </c>
      <c r="F20" s="15">
        <v>14021</v>
      </c>
      <c r="G20" s="15">
        <v>13072</v>
      </c>
      <c r="H20" s="15">
        <v>45920</v>
      </c>
      <c r="I20" s="15">
        <v>27651</v>
      </c>
      <c r="J20" s="15">
        <v>-1537.25</v>
      </c>
      <c r="K20" s="15">
        <v>-228</v>
      </c>
      <c r="L20" s="15">
        <v>0</v>
      </c>
      <c r="M20" s="15">
        <v>0</v>
      </c>
      <c r="N20" s="15">
        <f>SUM(C17:C20)/4</f>
        <v>22573.575</v>
      </c>
      <c r="O20" s="15">
        <v>23856.5333333333</v>
      </c>
      <c r="P20" s="16">
        <f>C20/C19-1</f>
        <v>0.0402720127174777</v>
      </c>
      <c r="Q20" s="16">
        <f>(E20+D20)/C20</f>
        <v>0.122060446557433</v>
      </c>
      <c r="R20" s="16">
        <f>AVERAGE(Q17:Q20)</f>
        <v>0.10071323901455</v>
      </c>
      <c r="S20" s="17"/>
      <c r="T20" s="25">
        <f>SUM(J17:K20)/4</f>
        <v>3781.0625</v>
      </c>
      <c r="U20" s="25"/>
      <c r="V20" s="15">
        <f>-(L20+M20)+V19</f>
        <v>53228.875</v>
      </c>
      <c r="W20" s="17"/>
      <c r="X20" s="15">
        <f>F20-G20</f>
        <v>949</v>
      </c>
      <c r="Y20" s="15"/>
      <c r="Z20" s="23">
        <v>1375</v>
      </c>
      <c r="AA20" s="15">
        <v>3882.296042989750</v>
      </c>
      <c r="AB20" s="15">
        <v>14.606</v>
      </c>
    </row>
    <row r="21" ht="20.05" customHeight="1">
      <c r="B21" s="13"/>
      <c r="C21" s="14">
        <v>24070.1</v>
      </c>
      <c r="D21" s="15">
        <v>289.5</v>
      </c>
      <c r="E21" s="15">
        <v>1548</v>
      </c>
      <c r="F21" s="15">
        <v>15673</v>
      </c>
      <c r="G21" s="15">
        <v>18789</v>
      </c>
      <c r="H21" s="15">
        <v>44700</v>
      </c>
      <c r="I21" s="15">
        <v>25878.8</v>
      </c>
      <c r="J21" s="15">
        <v>7629.85</v>
      </c>
      <c r="K21" s="15">
        <v>622.8</v>
      </c>
      <c r="L21" s="15">
        <v>0</v>
      </c>
      <c r="M21" s="15">
        <v>-8468</v>
      </c>
      <c r="N21" s="15">
        <f>SUM(C18:C21)/4</f>
        <v>23330.025</v>
      </c>
      <c r="O21" s="15">
        <v>24194.165</v>
      </c>
      <c r="P21" s="16">
        <f>C21/C20-1</f>
        <v>0.0217378385261907</v>
      </c>
      <c r="Q21" s="16">
        <f>(E21+D21)/C21</f>
        <v>0.07633952497081441</v>
      </c>
      <c r="R21" s="16">
        <f>AVERAGE(Q18:Q21)</f>
        <v>0.09726945453779499</v>
      </c>
      <c r="S21" s="17"/>
      <c r="T21" s="25">
        <f>SUM(J18:K21)/4</f>
        <v>4371.6</v>
      </c>
      <c r="U21" s="25"/>
      <c r="V21" s="15">
        <f>-(L21+M21)+V20</f>
        <v>61696.875</v>
      </c>
      <c r="W21" s="17"/>
      <c r="X21" s="15">
        <f>F21-G21</f>
        <v>-3116</v>
      </c>
      <c r="Y21" s="15"/>
      <c r="Z21" s="23">
        <v>1215</v>
      </c>
      <c r="AA21" s="15">
        <v>4302.247933884290</v>
      </c>
      <c r="AB21" s="15">
        <v>14.45</v>
      </c>
    </row>
    <row r="22" ht="20.05" customHeight="1">
      <c r="B22" s="13"/>
      <c r="C22" s="14">
        <v>24891.2</v>
      </c>
      <c r="D22" s="15">
        <v>289.5</v>
      </c>
      <c r="E22" s="15">
        <v>1420.5</v>
      </c>
      <c r="F22" s="15">
        <v>20556</v>
      </c>
      <c r="G22" s="15">
        <v>21454</v>
      </c>
      <c r="H22" s="15">
        <v>48853</v>
      </c>
      <c r="I22" s="15">
        <v>28177.4</v>
      </c>
      <c r="J22" s="15">
        <v>6383.05</v>
      </c>
      <c r="K22" s="15">
        <v>-3.6</v>
      </c>
      <c r="L22" s="15">
        <v>0</v>
      </c>
      <c r="M22" s="15">
        <v>0</v>
      </c>
      <c r="N22" s="15">
        <f>SUM(C19:C22)/4</f>
        <v>23791.325</v>
      </c>
      <c r="O22" s="15">
        <v>24559.141</v>
      </c>
      <c r="P22" s="16">
        <f>C22/C21-1</f>
        <v>0.0341128620155296</v>
      </c>
      <c r="Q22" s="16">
        <f>(E22+D22)/C22</f>
        <v>0.0686989779520473</v>
      </c>
      <c r="R22" s="16">
        <f>AVERAGE(Q19:Q22)</f>
        <v>0.0888757706651368</v>
      </c>
      <c r="S22" s="17"/>
      <c r="T22" s="25">
        <f>SUM(J19:K22)/4</f>
        <v>3758.9625</v>
      </c>
      <c r="U22" s="25"/>
      <c r="V22" s="15">
        <f>-(L22+M22)+V21</f>
        <v>61696.875</v>
      </c>
      <c r="W22" s="17"/>
      <c r="X22" s="15">
        <f>F22-G22</f>
        <v>-898</v>
      </c>
      <c r="Y22" s="15"/>
      <c r="Z22" s="23">
        <v>1020</v>
      </c>
      <c r="AA22" s="15">
        <v>3984.202883586670</v>
      </c>
      <c r="AB22" s="15">
        <v>14.328</v>
      </c>
    </row>
    <row r="23" ht="20.05" customHeight="1">
      <c r="B23" s="13"/>
      <c r="C23" s="14">
        <v>26355.7</v>
      </c>
      <c r="D23" s="15">
        <v>289.5</v>
      </c>
      <c r="E23" s="15">
        <v>1582.5</v>
      </c>
      <c r="F23" s="15">
        <v>17844</v>
      </c>
      <c r="G23" s="15">
        <v>23899</v>
      </c>
      <c r="H23" s="15">
        <v>53090</v>
      </c>
      <c r="I23" s="15">
        <v>29110.8</v>
      </c>
      <c r="J23" s="15">
        <v>-2382.65</v>
      </c>
      <c r="K23" s="15">
        <v>-57.2</v>
      </c>
      <c r="L23" s="15">
        <v>79</v>
      </c>
      <c r="M23" s="15">
        <v>0</v>
      </c>
      <c r="N23" s="15">
        <f>SUM(C20:C23)/4</f>
        <v>24718.75</v>
      </c>
      <c r="O23" s="15">
        <v>26068.2985</v>
      </c>
      <c r="P23" s="16">
        <f>C23/C22-1</f>
        <v>0.0588360545092241</v>
      </c>
      <c r="Q23" s="16">
        <f>(E23+D23)/C23</f>
        <v>0.07102827851280751</v>
      </c>
      <c r="R23" s="16">
        <f>AVERAGE(Q20:Q23)</f>
        <v>0.0845318069982756</v>
      </c>
      <c r="S23" s="17"/>
      <c r="T23" s="25">
        <f>SUM(J20:K23)/4</f>
        <v>2606.75</v>
      </c>
      <c r="U23" s="25"/>
      <c r="V23" s="15">
        <f>-(L23+M23)+V22</f>
        <v>61617.875</v>
      </c>
      <c r="W23" s="17"/>
      <c r="X23" s="15">
        <f>F23-G23</f>
        <v>-6055</v>
      </c>
      <c r="Y23" s="15"/>
      <c r="Z23" s="23">
        <v>965</v>
      </c>
      <c r="AA23" s="15">
        <v>3913.233088388420</v>
      </c>
      <c r="AB23" s="15">
        <v>14.275</v>
      </c>
    </row>
    <row r="24" ht="20.05" customHeight="1">
      <c r="B24" s="21">
        <v>2022</v>
      </c>
      <c r="C24" s="14">
        <v>26161</v>
      </c>
      <c r="D24" s="15">
        <v>277</v>
      </c>
      <c r="E24" s="15">
        <v>1915</v>
      </c>
      <c r="F24" s="15">
        <v>17217.6</v>
      </c>
      <c r="G24" s="15">
        <v>28710</v>
      </c>
      <c r="H24" s="15">
        <v>59835</v>
      </c>
      <c r="I24" s="15">
        <v>28804</v>
      </c>
      <c r="J24" s="15">
        <v>-432</v>
      </c>
      <c r="K24" s="15">
        <v>-143.5</v>
      </c>
      <c r="L24" s="15">
        <v>-51</v>
      </c>
      <c r="M24" s="15">
        <v>0</v>
      </c>
      <c r="N24" s="15">
        <f>SUM(C21:C24)/4</f>
        <v>25369.5</v>
      </c>
      <c r="O24" s="15">
        <v>26816.2825</v>
      </c>
      <c r="P24" s="16">
        <f>C24/C23-1</f>
        <v>-0.00738739627480962</v>
      </c>
      <c r="Q24" s="16">
        <f>(E24+D24)/C24</f>
        <v>0.0837888459921257</v>
      </c>
      <c r="R24" s="16">
        <f>AVERAGE(Q21:Q24)</f>
        <v>0.0749639068569487</v>
      </c>
      <c r="S24" s="35"/>
      <c r="T24" s="25">
        <f>SUM(J21:K24)/4</f>
        <v>2904.1875</v>
      </c>
      <c r="U24" s="15"/>
      <c r="V24" s="15">
        <f>-(L24+M24)+V23</f>
        <v>61668.875</v>
      </c>
      <c r="W24" s="15"/>
      <c r="X24" s="15">
        <f>F24-G24</f>
        <v>-11492.4</v>
      </c>
      <c r="Y24" s="15"/>
      <c r="Z24" s="26">
        <v>925</v>
      </c>
      <c r="AA24" s="15">
        <v>2523.754577530220</v>
      </c>
      <c r="AB24" s="15">
        <v>14.327</v>
      </c>
    </row>
    <row r="25" ht="20.05" customHeight="1">
      <c r="B25" s="13"/>
      <c r="C25" s="14">
        <v>27344.5</v>
      </c>
      <c r="D25" s="15">
        <v>281.5</v>
      </c>
      <c r="E25" s="15">
        <v>1133.1</v>
      </c>
      <c r="F25" s="15">
        <v>9615</v>
      </c>
      <c r="G25" s="15">
        <v>17667</v>
      </c>
      <c r="H25" s="15">
        <v>42498</v>
      </c>
      <c r="I25" s="15">
        <v>30648.5</v>
      </c>
      <c r="J25" s="15">
        <v>-304</v>
      </c>
      <c r="K25" s="15">
        <v>-142.5</v>
      </c>
      <c r="L25" s="15">
        <v>207.5</v>
      </c>
      <c r="M25" s="15">
        <v>-7362.9</v>
      </c>
      <c r="N25" s="15">
        <f>SUM(C22:C25)/4</f>
        <v>26188.1</v>
      </c>
      <c r="O25" s="15">
        <v>27235.221</v>
      </c>
      <c r="P25" s="16">
        <f>C25/C24-1</f>
        <v>0.0452390963648179</v>
      </c>
      <c r="Q25" s="16">
        <f>(E25+D25)/C25</f>
        <v>0.0517325239079157</v>
      </c>
      <c r="R25" s="16">
        <f>AVERAGE(Q22:Q25)</f>
        <v>0.0688121565912241</v>
      </c>
      <c r="S25" s="35"/>
      <c r="T25" s="25">
        <f>SUM(J22:K25)/4</f>
        <v>729.4</v>
      </c>
      <c r="U25" s="15">
        <v>2408.912362197</v>
      </c>
      <c r="V25" s="15">
        <f>-(L25+M25)+V24</f>
        <v>68824.274999999994</v>
      </c>
      <c r="W25" s="15"/>
      <c r="X25" s="15">
        <f>F25-G25</f>
        <v>-8052</v>
      </c>
      <c r="Y25" s="15">
        <v>-10398.8</v>
      </c>
      <c r="Z25" s="23">
        <v>975</v>
      </c>
      <c r="AA25" s="15">
        <v>1853.3900100968</v>
      </c>
      <c r="AB25" s="15">
        <v>14.66</v>
      </c>
    </row>
    <row r="26" ht="20.05" customHeight="1">
      <c r="B26" s="13"/>
      <c r="C26" s="14">
        <v>29892.6</v>
      </c>
      <c r="D26" s="15">
        <v>268.3</v>
      </c>
      <c r="E26" s="15">
        <v>1853.9</v>
      </c>
      <c r="F26" s="15">
        <v>6275</v>
      </c>
      <c r="G26" s="15">
        <v>21085</v>
      </c>
      <c r="H26" s="15">
        <v>47788</v>
      </c>
      <c r="I26" s="15">
        <v>32410.1</v>
      </c>
      <c r="J26" s="15">
        <v>6479.2</v>
      </c>
      <c r="K26" s="15">
        <v>-9620.9</v>
      </c>
      <c r="L26" s="15">
        <v>-198.2</v>
      </c>
      <c r="M26" s="15">
        <v>0</v>
      </c>
      <c r="N26" s="15">
        <f>SUM(C23:C26)/4</f>
        <v>27438.45</v>
      </c>
      <c r="O26" s="15">
        <v>28018.20375</v>
      </c>
      <c r="P26" s="16">
        <f>C26/C25-1</f>
        <v>0.0931851012086526</v>
      </c>
      <c r="Q26" s="16">
        <f>(E26+D26)/C26</f>
        <v>0.0709941590895406</v>
      </c>
      <c r="R26" s="16">
        <f>AVERAGE(Q23:Q26)</f>
        <v>0.0693859518755974</v>
      </c>
      <c r="S26" s="35">
        <f>S27</f>
        <v>0.0693859518755974</v>
      </c>
      <c r="T26" s="25">
        <f>SUM(J23:K26)/4</f>
        <v>-1650.8875</v>
      </c>
      <c r="U26" s="15">
        <v>2298.329128426780</v>
      </c>
      <c r="V26" s="15">
        <f>-(L26+M26)+V25</f>
        <v>69022.475000000006</v>
      </c>
      <c r="W26" s="15">
        <f>W27</f>
        <v>77361.078774586407</v>
      </c>
      <c r="X26" s="15">
        <f>F26-G26</f>
        <v>-14810</v>
      </c>
      <c r="Y26" s="15">
        <v>-9180.229733879931</v>
      </c>
      <c r="Z26" s="23">
        <v>910</v>
      </c>
      <c r="AA26" s="23">
        <v>1610.846947327820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32098.009516965</v>
      </c>
      <c r="P27" s="17"/>
      <c r="Q27" s="17"/>
      <c r="R27" s="17"/>
      <c r="S27" s="35">
        <f>AE53</f>
        <v>0.0693859518755974</v>
      </c>
      <c r="T27" s="25"/>
      <c r="U27" s="15">
        <f>SUM(AE55:AH55)/4</f>
        <v>2084.6509436466</v>
      </c>
      <c r="V27" s="17"/>
      <c r="W27" s="15">
        <f>-SUM(AE76:AH76)+V26</f>
        <v>77361.078774586407</v>
      </c>
      <c r="X27" s="26"/>
      <c r="Y27" s="15">
        <f>AH75</f>
        <v>-11935.7388676241</v>
      </c>
      <c r="Z27" s="15">
        <v>825</v>
      </c>
      <c r="AA27" s="23">
        <v>1580.721171407990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196015.975</v>
      </c>
      <c r="O28" s="15">
        <f>SUM(O19:O26)</f>
        <v>205149.58175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1433.759786995110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608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0.0474682139519712</v>
      </c>
      <c r="AF49" s="35"/>
      <c r="AG49" s="35"/>
      <c r="AH49" s="35">
        <f>AVERAGE(AE51:AH51)</f>
        <v>0.0325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0.0588360545092241</v>
      </c>
      <c r="AF50" s="35">
        <f>P24</f>
        <v>-0.00738739627480962</v>
      </c>
      <c r="AG50" s="35">
        <f>P25</f>
        <v>0.0452390963648179</v>
      </c>
      <c r="AH50" s="35">
        <f>P26</f>
        <v>0.0931851012086526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-0.01</v>
      </c>
      <c r="AG51" s="35">
        <v>0.03</v>
      </c>
      <c r="AH51" s="35">
        <v>0.06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29892.6</v>
      </c>
      <c r="AE52" s="23">
        <f>C26*(1+AE51)</f>
        <v>31387.23</v>
      </c>
      <c r="AF52" s="23">
        <f>AE52*(1+AF51)</f>
        <v>31073.3577</v>
      </c>
      <c r="AG52" s="23">
        <f>AF52*(1+AG51)</f>
        <v>32005.558431</v>
      </c>
      <c r="AH52" s="23">
        <f>AG52*(1+AH51)</f>
        <v>33925.89193686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0.0693859518755974</v>
      </c>
      <c r="AF53" s="35">
        <f>AE53</f>
        <v>0.0693859518755974</v>
      </c>
      <c r="AG53" s="35">
        <f>AF53</f>
        <v>0.0693859518755974</v>
      </c>
      <c r="AH53" s="35">
        <f>AG53</f>
        <v>0.0693859518755974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-142.5</v>
      </c>
      <c r="AF54" s="15">
        <f>AE54</f>
        <v>-142.5</v>
      </c>
      <c r="AG54" s="15">
        <f>AF54</f>
        <v>-142.5</v>
      </c>
      <c r="AH54" s="15">
        <f>AG54</f>
        <v>-142.5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2035.332830288310</v>
      </c>
      <c r="AF55" s="15">
        <f>(AF52*AF53)+AF54</f>
        <v>2013.554501985420</v>
      </c>
      <c r="AG55" s="15">
        <f>(AG52*AG53)+AG54</f>
        <v>2078.236137044990</v>
      </c>
      <c r="AH55" s="15">
        <f>(AH52*AH53)+AH54</f>
        <v>2211.480305267690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-1054.25</v>
      </c>
      <c r="AF56" s="15">
        <f>-AE71/20</f>
        <v>-1001.5375</v>
      </c>
      <c r="AG56" s="15">
        <f>-AF71/20</f>
        <v>-951.4606250000001</v>
      </c>
      <c r="AH56" s="15">
        <f>-AG71/20</f>
        <v>-903.88759375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-0.7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-1331.562981201820</v>
      </c>
      <c r="AF58" s="15">
        <f>IF(AF66&gt;0,AF66*$AE$57,0)</f>
        <v>-1316.318151389790</v>
      </c>
      <c r="AG58" s="15">
        <f>IF(AG66&gt;0,AG66*$AE$57,0)</f>
        <v>-1361.595295931490</v>
      </c>
      <c r="AH58" s="15">
        <f>IF(AH66&gt;0,AH66*$AE$57,0)</f>
        <v>-1454.866213687380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-350.480150913510</v>
      </c>
      <c r="AF59" s="15">
        <f>AF55+AF56+AF58</f>
        <v>-304.301149404370</v>
      </c>
      <c r="AG59" s="15">
        <f>AG55+AG56+AG58</f>
        <v>-234.8197838865</v>
      </c>
      <c r="AH59" s="15">
        <f>AH55+AH56+AH58</f>
        <v>-147.273502169690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350.480150913510</v>
      </c>
      <c r="AF60" s="15">
        <f>-MIN(AE72,AF59)</f>
        <v>304.301149404370</v>
      </c>
      <c r="AG60" s="15">
        <f>-MIN(AF72,AG59)</f>
        <v>234.8197838865</v>
      </c>
      <c r="AH60" s="15">
        <f>-MIN(AG72,AH59)</f>
        <v>147.273502169690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6275</v>
      </c>
      <c r="AF61" s="15">
        <f>AE63</f>
        <v>6275</v>
      </c>
      <c r="AG61" s="15">
        <f>AF63</f>
        <v>6275</v>
      </c>
      <c r="AH61" s="15">
        <f>AG63</f>
        <v>6275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6275</v>
      </c>
      <c r="AF63" s="15">
        <f>AF61+AF62</f>
        <v>6275</v>
      </c>
      <c r="AG63" s="15">
        <f>AG61+AG62</f>
        <v>6275</v>
      </c>
      <c r="AH63" s="15">
        <f>AH61+AH62</f>
        <v>6275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-275.6</v>
      </c>
      <c r="AF65" s="15">
        <f>AE65</f>
        <v>-275.6</v>
      </c>
      <c r="AG65" s="15">
        <f>AF65</f>
        <v>-275.6</v>
      </c>
      <c r="AH65" s="15">
        <f>AG65</f>
        <v>-275.6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1902.232830288310</v>
      </c>
      <c r="AF66" s="15">
        <f>(AF52*AF53)+AF65</f>
        <v>1880.454501985420</v>
      </c>
      <c r="AG66" s="15">
        <f>(AG52*AG53)+AG65</f>
        <v>1945.136137044990</v>
      </c>
      <c r="AH66" s="15">
        <f>(AH52*AH53)+AH65</f>
        <v>2078.380305267690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41655.5</v>
      </c>
      <c r="AF68" s="15">
        <f>AE68-AF54</f>
        <v>41798</v>
      </c>
      <c r="AG68" s="15">
        <f>AF68-AG54</f>
        <v>41940.5</v>
      </c>
      <c r="AH68" s="15">
        <f>AG68-AH54</f>
        <v>42083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275.6</v>
      </c>
      <c r="AF69" s="15">
        <f>AE69-AF65</f>
        <v>551.2</v>
      </c>
      <c r="AG69" s="15">
        <f>AF69-AG65</f>
        <v>826.8</v>
      </c>
      <c r="AH69" s="15">
        <f>AG69-AH65</f>
        <v>1102.4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41379.9</v>
      </c>
      <c r="AF70" s="15">
        <f>AF68-AF69</f>
        <v>41246.8</v>
      </c>
      <c r="AG70" s="15">
        <f>AG68-AG69</f>
        <v>41113.7</v>
      </c>
      <c r="AH70" s="15">
        <f>AH68-AH69</f>
        <v>40980.6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20030.75</v>
      </c>
      <c r="AF71" s="15">
        <f>AE71+AF56</f>
        <v>19029.2125</v>
      </c>
      <c r="AG71" s="15">
        <f>AF71+AG56</f>
        <v>18077.751875</v>
      </c>
      <c r="AH71" s="15">
        <f>AG71+AH56</f>
        <v>17173.86428125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350.480150913510</v>
      </c>
      <c r="AF72" s="15">
        <f>AE72+AF60</f>
        <v>654.781300317880</v>
      </c>
      <c r="AG72" s="15">
        <f>AF72+AG60</f>
        <v>889.601084204380</v>
      </c>
      <c r="AH72" s="15">
        <f>AG72+AH60</f>
        <v>1036.874586374070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27273.6698490865</v>
      </c>
      <c r="AF73" s="15">
        <f>AE73+AF66+AF58</f>
        <v>27837.8061996821</v>
      </c>
      <c r="AG73" s="15">
        <f>AF73+AG66+AG58</f>
        <v>28421.3470407956</v>
      </c>
      <c r="AH73" s="15">
        <f>AG73+AH66+AH58</f>
        <v>29044.8611323759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9.999999999999999e-12</v>
      </c>
      <c r="AF74" s="15">
        <f>AF71+AF72+AF73-AF63-AF70</f>
        <v>-2e-11</v>
      </c>
      <c r="AG74" s="15">
        <f>AG71+AG72+AG73-AG63-AG70</f>
        <v>-2e-11</v>
      </c>
      <c r="AH74" s="15">
        <f>AH71+AH72+AH73-AH63-AH70</f>
        <v>-3e-11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-14106.2301509135</v>
      </c>
      <c r="AF75" s="15">
        <f>AF63-AF71-AF72</f>
        <v>-13408.9938003179</v>
      </c>
      <c r="AG75" s="15">
        <f>AG63-AG71-AG72</f>
        <v>-12692.3529592044</v>
      </c>
      <c r="AH75" s="15">
        <f>AH63-AH71-AH72</f>
        <v>-11935.7388676241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-2035.332830288310</v>
      </c>
      <c r="AF76" s="15">
        <f>AF56+AF58+AF60</f>
        <v>-2013.554501985420</v>
      </c>
      <c r="AG76" s="15">
        <f>AG56+AG58+AG60</f>
        <v>-2078.236137044990</v>
      </c>
      <c r="AH76" s="15">
        <f>AH56+AH58+AH60</f>
        <v>-2211.480305267690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609</v>
      </c>
      <c r="AD78" s="14"/>
      <c r="AE78" s="15"/>
      <c r="AF78" s="15"/>
      <c r="AG78" s="15"/>
      <c r="AH78" s="15">
        <v>825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609</v>
      </c>
      <c r="AD79" s="14"/>
      <c r="AE79" s="15"/>
      <c r="AF79" s="15"/>
      <c r="AG79" s="15"/>
      <c r="AH79" s="15">
        <v>95962352640000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95962.35264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116.3180032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2.03070858564911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0.0569425664532195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8338.603774586411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4.91456376964411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11.5082039192778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166772.075491728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1433.759786995110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0.737890650903164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0.200930449315421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0.0465962366077561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609</v>
      </c>
      <c r="AF94" t="s" s="44">
        <v>60</v>
      </c>
      <c r="AG94" s="15">
        <f>AH78</f>
        <v>825</v>
      </c>
      <c r="AH94" t="s" s="44">
        <v>61</v>
      </c>
      <c r="AI94" s="15">
        <f>AH88</f>
        <v>1433.759786995110</v>
      </c>
      <c r="AJ94" t="s" s="44">
        <f>IF(AK94&gt;0,"+","")</f>
        <v>361</v>
      </c>
      <c r="AK94" s="16">
        <f>AI94/AG94-1</f>
        <v>0.737890650903164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0.200930449315421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-0.0688139652512796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0.0763382701493551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-0.15433135591787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0.0931851012086526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0.0341128620155296</v>
      </c>
      <c r="AF103" s="16">
        <f>P23</f>
        <v>0.0588360545092241</v>
      </c>
      <c r="AG103" s="16">
        <f>P24</f>
        <v>-0.00738739627480962</v>
      </c>
      <c r="AH103" s="16">
        <f>P25</f>
        <v>0.0452390963648179</v>
      </c>
      <c r="AI103" s="16">
        <f>P26</f>
        <v>0.0931851012086526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24891.2</v>
      </c>
      <c r="AF104" t="s" s="44">
        <v>72</v>
      </c>
      <c r="AG104" s="15">
        <f>C23</f>
        <v>26355.7</v>
      </c>
      <c r="AH104" t="s" s="44">
        <v>72</v>
      </c>
      <c r="AI104" s="15">
        <f>C24</f>
        <v>26161</v>
      </c>
      <c r="AJ104" t="s" s="44">
        <v>72</v>
      </c>
      <c r="AK104" s="15">
        <f>C25</f>
        <v>27344.5</v>
      </c>
      <c r="AL104" t="s" s="44">
        <v>72</v>
      </c>
      <c r="AM104" s="15">
        <f>C26</f>
        <v>29892.6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0.0931851012086526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29892.6</v>
      </c>
      <c r="AM105" t="s" s="44">
        <v>372</v>
      </c>
      <c r="AN105" t="s" s="44">
        <v>373</v>
      </c>
      <c r="AO105" s="16">
        <f>AH91</f>
        <v>0.0465962366077561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0.0474682139519712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0.0325</v>
      </c>
      <c r="AG107" t="s" s="44">
        <v>82</v>
      </c>
      <c r="AH107" t="s" s="44">
        <v>83</v>
      </c>
      <c r="AI107" s="23">
        <f>AH52</f>
        <v>33925.89193686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0.0686989779520473</v>
      </c>
      <c r="AF110" s="16">
        <f>(D23+E23)/C23</f>
        <v>0.07102827851280751</v>
      </c>
      <c r="AG110" s="16">
        <f>((E24+D24)/C24)</f>
        <v>0.0837888459921257</v>
      </c>
      <c r="AH110" s="16">
        <f>(D25+E25)/C25</f>
        <v>0.0517325239079157</v>
      </c>
      <c r="AI110" s="16">
        <f>(D26+E26)/C26</f>
        <v>0.0709941590895406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1420.5</v>
      </c>
      <c r="AF111" t="s" s="44">
        <v>72</v>
      </c>
      <c r="AG111" s="15">
        <f>E23</f>
        <v>1582.5</v>
      </c>
      <c r="AH111" t="s" s="44">
        <v>72</v>
      </c>
      <c r="AI111" s="15">
        <f>E24</f>
        <v>1915</v>
      </c>
      <c r="AJ111" t="s" s="44">
        <v>72</v>
      </c>
      <c r="AK111" s="15">
        <f>E25</f>
        <v>1133.1</v>
      </c>
      <c r="AL111" t="s" s="44">
        <v>72</v>
      </c>
      <c r="AM111" s="15">
        <f>E26</f>
        <v>1853.9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0.0517325239079157</v>
      </c>
      <c r="AG112" t="s" s="44">
        <v>76</v>
      </c>
      <c r="AH112" s="16">
        <f>AI110</f>
        <v>0.0709941590895406</v>
      </c>
      <c r="AI112" t="s" s="44">
        <v>90</v>
      </c>
      <c r="AJ112" s="15">
        <f>AK111</f>
        <v>1133.1</v>
      </c>
      <c r="AK112" t="s" s="44">
        <v>76</v>
      </c>
      <c r="AL112" s="15">
        <f>AM111</f>
        <v>1853.9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0.0693859518755974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0.0693859518755974</v>
      </c>
      <c r="AG114" t="s" s="44">
        <v>94</v>
      </c>
      <c r="AH114" s="15">
        <f>AH66</f>
        <v>2078.380305267690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6383.05</v>
      </c>
      <c r="AF117" t="s" s="44">
        <v>72</v>
      </c>
      <c r="AG117" s="15">
        <f>J23</f>
        <v>-2382.65</v>
      </c>
      <c r="AH117" t="s" s="44">
        <v>72</v>
      </c>
      <c r="AI117" s="15">
        <f>J24</f>
        <v>-432</v>
      </c>
      <c r="AJ117" t="s" s="44">
        <v>72</v>
      </c>
      <c r="AK117" s="15">
        <f>J25</f>
        <v>-304</v>
      </c>
      <c r="AL117" t="s" s="44">
        <v>72</v>
      </c>
      <c r="AM117" s="15">
        <f>J26</f>
        <v>6479.2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-3.6</v>
      </c>
      <c r="AF118" t="s" s="44">
        <v>72</v>
      </c>
      <c r="AG118" s="15">
        <f>K23</f>
        <v>-57.2</v>
      </c>
      <c r="AH118" t="s" s="44">
        <v>72</v>
      </c>
      <c r="AI118" s="15">
        <f>K24</f>
        <v>-143.5</v>
      </c>
      <c r="AJ118" t="s" s="44">
        <v>72</v>
      </c>
      <c r="AK118" s="15">
        <f>K25</f>
        <v>-142.5</v>
      </c>
      <c r="AL118" t="s" s="44">
        <v>72</v>
      </c>
      <c r="AM118" s="15">
        <f>K26</f>
        <v>-9620.9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-446.5</v>
      </c>
      <c r="AG119" t="s" s="44">
        <v>76</v>
      </c>
      <c r="AH119" s="15">
        <f>AM117+AM118</f>
        <v>-3141.7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-9620.9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-1650.8875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-142.5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2084.6509436466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20556</v>
      </c>
      <c r="AF124" t="s" s="44">
        <v>72</v>
      </c>
      <c r="AG124" s="15">
        <f>F23</f>
        <v>17844</v>
      </c>
      <c r="AH124" t="s" s="44">
        <v>72</v>
      </c>
      <c r="AI124" s="15">
        <f>F24</f>
        <v>17217.6</v>
      </c>
      <c r="AJ124" t="s" s="44">
        <v>72</v>
      </c>
      <c r="AK124" s="15">
        <f>F25</f>
        <v>9615</v>
      </c>
      <c r="AL124" t="s" s="44">
        <v>72</v>
      </c>
      <c r="AM124" s="15">
        <f>F26</f>
        <v>6275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21454</v>
      </c>
      <c r="AF125" t="s" s="44">
        <v>72</v>
      </c>
      <c r="AG125" s="15">
        <f>G23</f>
        <v>23899</v>
      </c>
      <c r="AH125" t="s" s="44">
        <v>72</v>
      </c>
      <c r="AI125" s="15">
        <f>G24</f>
        <v>28710</v>
      </c>
      <c r="AJ125" t="s" s="44">
        <v>72</v>
      </c>
      <c r="AK125" s="15">
        <f>G25</f>
        <v>17667</v>
      </c>
      <c r="AL125" t="s" s="44">
        <v>72</v>
      </c>
      <c r="AM125" s="15">
        <f>G26</f>
        <v>21085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9615</v>
      </c>
      <c r="AH126" t="s" s="44">
        <v>76</v>
      </c>
      <c r="AI126" s="15">
        <f>AM124</f>
        <v>6275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17667</v>
      </c>
      <c r="AH127" t="s" s="44">
        <v>76</v>
      </c>
      <c r="AI127" s="15">
        <f>AM125</f>
        <v>21085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-8052</v>
      </c>
      <c r="AO127" t="s" s="44">
        <v>76</v>
      </c>
      <c r="AP127" s="15">
        <f>AI126-AI127</f>
        <v>-14810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-5464.342642210480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-2874.261132375930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-11935.7388676241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-79</v>
      </c>
      <c r="AH131" t="s" s="44">
        <v>72</v>
      </c>
      <c r="AI131" s="15">
        <f>-L24</f>
        <v>51</v>
      </c>
      <c r="AJ131" t="s" s="44">
        <v>72</v>
      </c>
      <c r="AK131" s="15">
        <f>-L25</f>
        <v>-207.5</v>
      </c>
      <c r="AL131" t="s" s="44">
        <v>72</v>
      </c>
      <c r="AM131" s="15">
        <f>-L26</f>
        <v>198.2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7362.9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609</v>
      </c>
      <c r="AF133" t="s" s="44">
        <f>IF(AG133&gt;0,"paid","(raised)")</f>
        <v>374</v>
      </c>
      <c r="AG133" s="15">
        <f>SUM(AM131:AM132)</f>
        <v>198.2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198.2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8338.603774586411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95962.35264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2.03070858564911</v>
      </c>
      <c r="AK134" t="s" s="44">
        <v>130</v>
      </c>
      <c r="AL134" t="s" s="44">
        <v>131</v>
      </c>
      <c r="AM134" t="s" s="44">
        <v>132</v>
      </c>
      <c r="AN134" s="15">
        <f>AH85</f>
        <v>4.91456376964411</v>
      </c>
      <c r="AO134" t="s" s="44">
        <v>133</v>
      </c>
      <c r="AP134" s="16">
        <f>-AF128/AF134</f>
        <v>0.0569425664532195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8338.603774586411</v>
      </c>
      <c r="AG135" t="s" s="44">
        <f>AG134</f>
        <v>372</v>
      </c>
      <c r="AH135" t="s" s="44">
        <v>136</v>
      </c>
      <c r="AI135" s="15">
        <f>AF134/AF135</f>
        <v>11.5082039192778</v>
      </c>
      <c r="AJ135" t="s" s="44">
        <v>130</v>
      </c>
      <c r="AK135" t="s" s="44">
        <v>137</v>
      </c>
      <c r="AL135" t="s" s="44">
        <v>138</v>
      </c>
      <c r="AM135" s="15">
        <f>AH86</f>
        <v>20</v>
      </c>
      <c r="AN135" t="s" s="44">
        <v>139</v>
      </c>
      <c r="AO135" t="s" s="44">
        <v>140</v>
      </c>
      <c r="AP135" t="s" s="44">
        <v>141</v>
      </c>
      <c r="AQ135" s="16">
        <f>AK94</f>
        <v>0.737890650903164</v>
      </c>
      <c r="AR135" t="s" s="44">
        <f>IF(AQ135&gt;0,"higher","lower")</f>
        <v>363</v>
      </c>
      <c r="AS135" t="s" s="44">
        <v>142</v>
      </c>
      <c r="AT135" s="15">
        <f>AI94</f>
        <v>1433.759786995110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24891.2</v>
      </c>
      <c r="AE137" s="15">
        <f>AG104</f>
        <v>26355.7</v>
      </c>
      <c r="AF137" s="15">
        <f>AI104</f>
        <v>26161</v>
      </c>
      <c r="AG137" s="15">
        <f>AK104</f>
        <v>27344.5</v>
      </c>
      <c r="AH137" s="15">
        <f>AM104</f>
        <v>29892.6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6379.45</v>
      </c>
      <c r="AE138" s="15">
        <f>SUM(AG117:AG118)</f>
        <v>-2439.85</v>
      </c>
      <c r="AF138" s="15">
        <f>SUM(AI117:AI118)</f>
        <v>-575.5</v>
      </c>
      <c r="AG138" s="15">
        <f>SUM(AK117:AK118)</f>
        <v>-446.5</v>
      </c>
      <c r="AH138" s="15">
        <f>SUM(AM117:AM118)</f>
        <v>-3141.7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0</v>
      </c>
      <c r="AE139" s="15">
        <f>SUM(AG131:AG132)</f>
        <v>-79</v>
      </c>
      <c r="AF139" s="15">
        <f>SUM(AI131:AI132)</f>
        <v>51</v>
      </c>
      <c r="AG139" s="15">
        <f>SUM(AK131:AK132)</f>
        <v>7155.4</v>
      </c>
      <c r="AH139" s="15">
        <f>SUM(AM131:AM132)</f>
        <v>198.2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-898</v>
      </c>
      <c r="AE140" s="15">
        <f>(AG124-AG125)</f>
        <v>-6055</v>
      </c>
      <c r="AF140" s="15">
        <f>(AI124-AI125)</f>
        <v>-11492.4</v>
      </c>
      <c r="AG140" s="15">
        <f>(AK124-AK125)</f>
        <v>-8052</v>
      </c>
      <c r="AH140" s="15">
        <f>(AM124-AM125)</f>
        <v>-14810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1433.759786995110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49" customWidth="1"/>
    <col min="2" max="27" width="10.4844" style="249" customWidth="1"/>
    <col min="28" max="28" width="18.9766" style="250" customWidth="1"/>
    <col min="29" max="29" hidden="1" width="16.3333" style="250" customWidth="1"/>
    <col min="30" max="33" width="9" style="250" customWidth="1"/>
    <col min="34" max="47" hidden="1" width="16.3333" style="250" customWidth="1"/>
    <col min="48" max="16384" width="16.3516" style="250" customWidth="1"/>
  </cols>
  <sheetData>
    <row r="1" ht="11.65" customHeight="1"/>
    <row r="2" ht="27.65" customHeight="1">
      <c r="B2" t="s" s="2">
        <v>610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208</v>
      </c>
      <c r="AA3" t="s" s="3">
        <v>19</v>
      </c>
    </row>
    <row r="4" ht="20.25" customHeight="1">
      <c r="B4" s="6">
        <v>2017</v>
      </c>
      <c r="C4" s="7">
        <v>347.6</v>
      </c>
      <c r="D4" s="8">
        <v>0</v>
      </c>
      <c r="E4" s="8">
        <v>24</v>
      </c>
      <c r="F4" s="8">
        <v>0</v>
      </c>
      <c r="G4" s="8">
        <v>0</v>
      </c>
      <c r="H4" s="8">
        <v>0</v>
      </c>
      <c r="I4" s="8">
        <v>292</v>
      </c>
      <c r="J4" s="8">
        <v>-22.4</v>
      </c>
      <c r="K4" s="8">
        <v>-0.4</v>
      </c>
      <c r="L4" s="8">
        <v>0</v>
      </c>
      <c r="M4" s="8">
        <v>0</v>
      </c>
      <c r="N4" s="59"/>
      <c r="O4" s="9"/>
      <c r="P4" s="9"/>
      <c r="Q4" s="9"/>
      <c r="R4" s="9"/>
      <c r="S4" s="9"/>
      <c r="T4" s="9"/>
      <c r="U4" s="9"/>
      <c r="V4" s="8">
        <f>-(L4+M4)</f>
        <v>0</v>
      </c>
      <c r="W4" s="9"/>
      <c r="X4" s="9"/>
      <c r="Y4" s="9"/>
      <c r="Z4" s="8"/>
      <c r="AA4" s="9"/>
    </row>
    <row r="5" ht="20.05" customHeight="1">
      <c r="B5" s="13"/>
      <c r="C5" s="14">
        <v>353.3</v>
      </c>
      <c r="D5" s="15">
        <v>4</v>
      </c>
      <c r="E5" s="15">
        <v>21.2</v>
      </c>
      <c r="F5" s="15">
        <v>214</v>
      </c>
      <c r="G5" s="15">
        <v>197</v>
      </c>
      <c r="H5" s="15">
        <v>672</v>
      </c>
      <c r="I5" s="15">
        <v>346.5</v>
      </c>
      <c r="J5" s="15">
        <v>-21.3</v>
      </c>
      <c r="K5" s="15">
        <v>0.2</v>
      </c>
      <c r="L5" s="15">
        <v>0</v>
      </c>
      <c r="M5" s="15">
        <v>0</v>
      </c>
      <c r="N5" s="26"/>
      <c r="O5" s="17"/>
      <c r="P5" s="17"/>
      <c r="Q5" s="17"/>
      <c r="R5" s="17"/>
      <c r="S5" s="17"/>
      <c r="T5" s="17"/>
      <c r="U5" s="17"/>
      <c r="V5" s="15">
        <f>-(L5+M5)+V4</f>
        <v>0</v>
      </c>
      <c r="W5" s="17"/>
      <c r="X5" s="17"/>
      <c r="Y5" s="17"/>
      <c r="Z5" s="15"/>
      <c r="AA5" s="17"/>
    </row>
    <row r="6" ht="20.05" customHeight="1">
      <c r="B6" s="13"/>
      <c r="C6" s="14">
        <v>199.2</v>
      </c>
      <c r="D6" s="15">
        <v>2</v>
      </c>
      <c r="E6" s="15">
        <v>-9</v>
      </c>
      <c r="F6" s="15">
        <v>3</v>
      </c>
      <c r="G6" s="15">
        <v>67</v>
      </c>
      <c r="H6" s="15">
        <v>532</v>
      </c>
      <c r="I6" s="15">
        <v>173.5</v>
      </c>
      <c r="J6" s="15">
        <v>-83.3</v>
      </c>
      <c r="K6" s="15">
        <v>-0.1</v>
      </c>
      <c r="L6" s="15">
        <v>0</v>
      </c>
      <c r="M6" s="15">
        <v>0</v>
      </c>
      <c r="N6" s="26"/>
      <c r="O6" s="17"/>
      <c r="P6" s="17"/>
      <c r="Q6" s="17"/>
      <c r="R6" s="17"/>
      <c r="S6" s="17"/>
      <c r="T6" s="17"/>
      <c r="U6" s="17"/>
      <c r="V6" s="15">
        <f>-(L6+M6)+V5</f>
        <v>0</v>
      </c>
      <c r="W6" s="17"/>
      <c r="X6" s="17"/>
      <c r="Y6" s="17"/>
      <c r="Z6" s="15"/>
      <c r="AA6" s="17"/>
    </row>
    <row r="7" ht="20.05" customHeight="1">
      <c r="B7" s="13"/>
      <c r="C7" s="14">
        <v>309.1</v>
      </c>
      <c r="D7" s="15">
        <v>3</v>
      </c>
      <c r="E7" s="15">
        <v>11.7</v>
      </c>
      <c r="F7" s="15">
        <v>36</v>
      </c>
      <c r="G7" s="15">
        <v>101</v>
      </c>
      <c r="H7" s="15">
        <v>577</v>
      </c>
      <c r="I7" s="15">
        <v>276</v>
      </c>
      <c r="J7" s="15">
        <v>11.8</v>
      </c>
      <c r="K7" s="15">
        <v>-15.3</v>
      </c>
      <c r="L7" s="15">
        <v>0</v>
      </c>
      <c r="M7" s="15">
        <v>0</v>
      </c>
      <c r="N7" s="26"/>
      <c r="O7" s="17"/>
      <c r="P7" s="17"/>
      <c r="Q7" s="17"/>
      <c r="R7" s="17"/>
      <c r="S7" s="17"/>
      <c r="T7" s="17"/>
      <c r="U7" s="17"/>
      <c r="V7" s="15">
        <f>-(L7+M7)+V6</f>
        <v>0</v>
      </c>
      <c r="W7" s="17"/>
      <c r="X7" s="17"/>
      <c r="Y7" s="17"/>
      <c r="Z7" s="15"/>
      <c r="AA7" s="17"/>
    </row>
    <row r="8" ht="20.05" customHeight="1">
      <c r="B8" s="21">
        <v>2018</v>
      </c>
      <c r="C8" s="14">
        <v>380.4</v>
      </c>
      <c r="D8" s="15">
        <v>3</v>
      </c>
      <c r="E8" s="15">
        <v>26.6</v>
      </c>
      <c r="F8" s="15">
        <v>24</v>
      </c>
      <c r="G8" s="15">
        <v>191</v>
      </c>
      <c r="H8" s="15">
        <v>697</v>
      </c>
      <c r="I8" s="15">
        <v>367</v>
      </c>
      <c r="J8" s="15">
        <v>-96</v>
      </c>
      <c r="K8" s="15">
        <v>-3.8</v>
      </c>
      <c r="L8" s="15">
        <v>0</v>
      </c>
      <c r="M8" s="15">
        <v>0</v>
      </c>
      <c r="N8" s="15">
        <f>SUM(C5:C8)/4</f>
        <v>310.5</v>
      </c>
      <c r="O8" s="17"/>
      <c r="P8" s="16"/>
      <c r="Q8" s="16">
        <f>((D8+E8)/C8)</f>
        <v>0.07781282860147209</v>
      </c>
      <c r="R8" s="16"/>
      <c r="S8" s="17"/>
      <c r="T8" s="15">
        <f>SUM(J5:K8)/4</f>
        <v>-51.95</v>
      </c>
      <c r="U8" s="17"/>
      <c r="V8" s="15">
        <f>-(L8+M8)+V7</f>
        <v>0</v>
      </c>
      <c r="W8" s="17"/>
      <c r="X8" s="15">
        <f>F8-G8</f>
        <v>-167</v>
      </c>
      <c r="Y8" s="24"/>
      <c r="Z8" s="25">
        <v>149.511978</v>
      </c>
      <c r="AA8" s="24"/>
    </row>
    <row r="9" ht="20.05" customHeight="1">
      <c r="B9" s="13"/>
      <c r="C9" s="14">
        <v>384</v>
      </c>
      <c r="D9" s="15">
        <v>2</v>
      </c>
      <c r="E9" s="15">
        <v>23.8</v>
      </c>
      <c r="F9" s="15">
        <v>2</v>
      </c>
      <c r="G9" s="15">
        <v>139</v>
      </c>
      <c r="H9" s="15">
        <v>671</v>
      </c>
      <c r="I9" s="15">
        <v>359.26</v>
      </c>
      <c r="J9" s="15">
        <v>40</v>
      </c>
      <c r="K9" s="15">
        <v>-8.699999999999999</v>
      </c>
      <c r="L9" s="15">
        <v>0</v>
      </c>
      <c r="M9" s="15">
        <v>0</v>
      </c>
      <c r="N9" s="15">
        <f>SUM(C6:C9)/4</f>
        <v>318.175</v>
      </c>
      <c r="O9" s="17"/>
      <c r="P9" s="16"/>
      <c r="Q9" s="16">
        <f>((D9+E9)/C9)</f>
        <v>0.0671875</v>
      </c>
      <c r="R9" s="16"/>
      <c r="S9" s="17"/>
      <c r="T9" s="15">
        <f>SUM(J6:K9)/4</f>
        <v>-38.85</v>
      </c>
      <c r="U9" s="17"/>
      <c r="V9" s="15">
        <f>-(L9+M9)+V8</f>
        <v>0</v>
      </c>
      <c r="W9" s="17"/>
      <c r="X9" s="15">
        <f>F9-G9</f>
        <v>-137</v>
      </c>
      <c r="Y9" s="24"/>
      <c r="Z9" s="25">
        <v>186.743729</v>
      </c>
      <c r="AA9" s="24"/>
    </row>
    <row r="10" ht="20.05" customHeight="1">
      <c r="B10" s="13"/>
      <c r="C10" s="14">
        <v>295.6</v>
      </c>
      <c r="D10" s="15">
        <v>3</v>
      </c>
      <c r="E10" s="15">
        <v>20.3</v>
      </c>
      <c r="F10" s="15">
        <v>3</v>
      </c>
      <c r="G10" s="15">
        <v>191</v>
      </c>
      <c r="H10" s="15">
        <v>732</v>
      </c>
      <c r="I10" s="15">
        <v>369.64</v>
      </c>
      <c r="J10" s="15">
        <v>-28.7</v>
      </c>
      <c r="K10" s="15">
        <v>-9.1</v>
      </c>
      <c r="L10" s="15">
        <v>0</v>
      </c>
      <c r="M10" s="15">
        <v>0</v>
      </c>
      <c r="N10" s="15">
        <f>SUM(C7:C10)/4</f>
        <v>342.275</v>
      </c>
      <c r="O10" s="17"/>
      <c r="P10" s="16"/>
      <c r="Q10" s="16">
        <f>((D10+E10)/C10)</f>
        <v>0.0788227334235453</v>
      </c>
      <c r="R10" s="16"/>
      <c r="S10" s="17"/>
      <c r="T10" s="15">
        <f>SUM(J7:K10)/4</f>
        <v>-27.45</v>
      </c>
      <c r="U10" s="17"/>
      <c r="V10" s="15">
        <f>-(L10+M10)+V9</f>
        <v>0</v>
      </c>
      <c r="W10" s="17"/>
      <c r="X10" s="15">
        <f>F10-G10</f>
        <v>-188</v>
      </c>
      <c r="Y10" s="24"/>
      <c r="Z10" s="25">
        <v>189.007294</v>
      </c>
      <c r="AA10" s="24"/>
    </row>
    <row r="11" ht="20.05" customHeight="1">
      <c r="B11" s="13"/>
      <c r="C11" s="14">
        <v>370.8</v>
      </c>
      <c r="D11" s="15">
        <v>1</v>
      </c>
      <c r="E11" s="15">
        <v>19.3</v>
      </c>
      <c r="F11" s="15">
        <v>43</v>
      </c>
      <c r="G11" s="15">
        <v>196</v>
      </c>
      <c r="H11" s="15">
        <v>759</v>
      </c>
      <c r="I11" s="15">
        <v>323</v>
      </c>
      <c r="J11" s="15">
        <v>92</v>
      </c>
      <c r="K11" s="15">
        <v>-64.40000000000001</v>
      </c>
      <c r="L11" s="15">
        <v>0</v>
      </c>
      <c r="M11" s="15">
        <v>0</v>
      </c>
      <c r="N11" s="15">
        <f>SUM(C8:C11)/4</f>
        <v>357.7</v>
      </c>
      <c r="O11" s="17"/>
      <c r="P11" s="16"/>
      <c r="Q11" s="16">
        <f>((D11+E11)/C11)</f>
        <v>0.0547464940668824</v>
      </c>
      <c r="R11" s="16"/>
      <c r="S11" s="17"/>
      <c r="T11" s="15">
        <f>SUM(J8:K11)/4</f>
        <v>-19.675</v>
      </c>
      <c r="U11" s="17"/>
      <c r="V11" s="15">
        <f>-(L11+M11)+V10</f>
        <v>0</v>
      </c>
      <c r="W11" s="17"/>
      <c r="X11" s="15">
        <f>F11-G11</f>
        <v>-153</v>
      </c>
      <c r="Y11" s="24"/>
      <c r="Z11" s="25">
        <v>169.767029</v>
      </c>
      <c r="AA11" s="24"/>
    </row>
    <row r="12" ht="20.05" customHeight="1">
      <c r="B12" s="21">
        <v>2019</v>
      </c>
      <c r="C12" s="14">
        <v>398.5</v>
      </c>
      <c r="D12" s="15">
        <v>2</v>
      </c>
      <c r="E12" s="15">
        <v>25.4</v>
      </c>
      <c r="F12" s="15">
        <v>29</v>
      </c>
      <c r="G12" s="15">
        <v>212</v>
      </c>
      <c r="H12" s="15">
        <v>802</v>
      </c>
      <c r="I12" s="15">
        <v>371.3</v>
      </c>
      <c r="J12" s="15">
        <v>-4.5</v>
      </c>
      <c r="K12" s="15">
        <v>-3.2</v>
      </c>
      <c r="L12" s="15">
        <v>0</v>
      </c>
      <c r="M12" s="15">
        <v>0</v>
      </c>
      <c r="N12" s="15">
        <f>SUM(C9:C12)/4</f>
        <v>362.225</v>
      </c>
      <c r="O12" s="17"/>
      <c r="P12" s="16"/>
      <c r="Q12" s="16">
        <f>((D12+E12)/C12)</f>
        <v>0.0687578419071518</v>
      </c>
      <c r="R12" s="16">
        <f>AVERAGE(Q9:Q12)</f>
        <v>0.0673786423493949</v>
      </c>
      <c r="S12" s="17"/>
      <c r="T12" s="15">
        <f>SUM(J9:K12)/4</f>
        <v>3.35</v>
      </c>
      <c r="U12" s="17"/>
      <c r="V12" s="15">
        <f>-(L12+M12)+V11</f>
        <v>0</v>
      </c>
      <c r="W12" s="17"/>
      <c r="X12" s="15">
        <f>F12-G12</f>
        <v>-183</v>
      </c>
      <c r="Y12" s="24"/>
      <c r="Z12" s="25">
        <v>147.131424</v>
      </c>
      <c r="AA12" s="24"/>
    </row>
    <row r="13" ht="20.05" customHeight="1">
      <c r="B13" s="13"/>
      <c r="C13" s="14">
        <v>461</v>
      </c>
      <c r="D13" s="15">
        <v>2</v>
      </c>
      <c r="E13" s="15">
        <v>31</v>
      </c>
      <c r="F13" s="15">
        <v>41</v>
      </c>
      <c r="G13" s="15">
        <v>237</v>
      </c>
      <c r="H13" s="15">
        <v>832</v>
      </c>
      <c r="I13" s="15">
        <v>469.4</v>
      </c>
      <c r="J13" s="15">
        <v>40.3</v>
      </c>
      <c r="K13" s="15">
        <v>-57.4</v>
      </c>
      <c r="L13" s="15">
        <v>0</v>
      </c>
      <c r="M13" s="15">
        <v>0</v>
      </c>
      <c r="N13" s="15">
        <f>SUM(C10:C13)/4</f>
        <v>381.475</v>
      </c>
      <c r="O13" s="17"/>
      <c r="P13" s="16"/>
      <c r="Q13" s="16">
        <f>((D13+E13)/C13)</f>
        <v>0.0715835140997831</v>
      </c>
      <c r="R13" s="16">
        <f>AVERAGE(Q10:Q13)</f>
        <v>0.0684776458743407</v>
      </c>
      <c r="S13" s="17"/>
      <c r="T13" s="15">
        <f>SUM(J10:K13)/4</f>
        <v>-8.75</v>
      </c>
      <c r="U13" s="17"/>
      <c r="V13" s="15">
        <f>-(L13+M13)+V12</f>
        <v>0</v>
      </c>
      <c r="W13" s="17"/>
      <c r="X13" s="15">
        <f>F13-G13</f>
        <v>-196</v>
      </c>
      <c r="Y13" s="24"/>
      <c r="Z13" s="25">
        <v>208.723068</v>
      </c>
      <c r="AA13" s="24"/>
    </row>
    <row r="14" ht="20.05" customHeight="1">
      <c r="B14" s="13"/>
      <c r="C14" s="14">
        <v>366.5</v>
      </c>
      <c r="D14" s="15">
        <v>3</v>
      </c>
      <c r="E14" s="15">
        <v>19.6</v>
      </c>
      <c r="F14" s="15">
        <v>30</v>
      </c>
      <c r="G14" s="15">
        <v>221</v>
      </c>
      <c r="H14" s="15">
        <v>837</v>
      </c>
      <c r="I14" s="15">
        <v>408.8</v>
      </c>
      <c r="J14" s="15">
        <v>18.8</v>
      </c>
      <c r="K14" s="15">
        <v>-19.3</v>
      </c>
      <c r="L14" s="15">
        <v>0</v>
      </c>
      <c r="M14" s="15">
        <v>0</v>
      </c>
      <c r="N14" s="15">
        <f>SUM(C11:C14)/4</f>
        <v>399.2</v>
      </c>
      <c r="O14" s="17"/>
      <c r="P14" s="16"/>
      <c r="Q14" s="16">
        <f>((D14+E14)/C14)</f>
        <v>0.0616643929058663</v>
      </c>
      <c r="R14" s="16">
        <f>AVERAGE(Q11:Q14)</f>
        <v>0.06418806074492089</v>
      </c>
      <c r="S14" s="17"/>
      <c r="T14" s="15">
        <f>SUM(J11:K14)/4</f>
        <v>0.575</v>
      </c>
      <c r="U14" s="17"/>
      <c r="V14" s="15">
        <f>-(L14+M14)+V13</f>
        <v>0</v>
      </c>
      <c r="W14" s="17"/>
      <c r="X14" s="15">
        <f>F14-G14</f>
        <v>-191</v>
      </c>
      <c r="Y14" s="24"/>
      <c r="Z14" s="25">
        <v>225.811508</v>
      </c>
      <c r="AA14" s="24"/>
    </row>
    <row r="15" ht="20.05" customHeight="1">
      <c r="B15" s="13"/>
      <c r="C15" s="14">
        <v>427.1</v>
      </c>
      <c r="D15" s="15">
        <v>2</v>
      </c>
      <c r="E15" s="15">
        <v>27.7</v>
      </c>
      <c r="F15" s="15">
        <v>33</v>
      </c>
      <c r="G15" s="15">
        <v>207</v>
      </c>
      <c r="H15" s="15">
        <v>849</v>
      </c>
      <c r="I15" s="15">
        <v>416.2</v>
      </c>
      <c r="J15" s="15">
        <v>50.4</v>
      </c>
      <c r="K15" s="15">
        <v>-23.1</v>
      </c>
      <c r="L15" s="15">
        <v>0</v>
      </c>
      <c r="M15" s="15">
        <v>0</v>
      </c>
      <c r="N15" s="15">
        <f>SUM(C12:C15)/4</f>
        <v>413.275</v>
      </c>
      <c r="O15" s="17"/>
      <c r="P15" s="16"/>
      <c r="Q15" s="16">
        <f>((D15+E15)/C15)</f>
        <v>0.0695387497073285</v>
      </c>
      <c r="R15" s="16">
        <f>AVERAGE(Q12:Q15)</f>
        <v>0.0678861246550324</v>
      </c>
      <c r="S15" s="17"/>
      <c r="T15" s="15">
        <f>SUM(J12:K15)/4</f>
        <v>0.5</v>
      </c>
      <c r="U15" s="17"/>
      <c r="V15" s="15">
        <f>-(L15+M15)+V14</f>
        <v>0</v>
      </c>
      <c r="W15" s="17"/>
      <c r="X15" s="15">
        <f>F15-G15</f>
        <v>-174</v>
      </c>
      <c r="Y15" s="24"/>
      <c r="Z15" s="25">
        <v>214.82608</v>
      </c>
      <c r="AA15" s="24"/>
    </row>
    <row r="16" ht="20.05" customHeight="1">
      <c r="B16" s="21">
        <v>2020</v>
      </c>
      <c r="C16" s="14">
        <v>450.4</v>
      </c>
      <c r="D16" s="15">
        <v>2</v>
      </c>
      <c r="E16" s="15">
        <v>14.6</v>
      </c>
      <c r="F16" s="15">
        <v>2</v>
      </c>
      <c r="G16" s="15">
        <v>230</v>
      </c>
      <c r="H16" s="15">
        <v>889</v>
      </c>
      <c r="I16" s="15">
        <v>366.3</v>
      </c>
      <c r="J16" s="15">
        <v>4.6</v>
      </c>
      <c r="K16" s="15">
        <v>-62.2</v>
      </c>
      <c r="L16" s="15">
        <v>0</v>
      </c>
      <c r="M16" s="15">
        <v>0</v>
      </c>
      <c r="N16" s="15">
        <f>SUM(C13:C16)/4</f>
        <v>426.25</v>
      </c>
      <c r="O16" s="15"/>
      <c r="P16" s="16"/>
      <c r="Q16" s="16">
        <f>((D16+E16)/C16)</f>
        <v>0.0368561278863233</v>
      </c>
      <c r="R16" s="16">
        <f>AVERAGE(Q13:Q16)</f>
        <v>0.0599106961498253</v>
      </c>
      <c r="S16" s="17"/>
      <c r="T16" s="15">
        <f>SUM(J13:K16)/4</f>
        <v>-11.975</v>
      </c>
      <c r="U16" s="17"/>
      <c r="V16" s="15">
        <f>-(L16+M16)+V15</f>
        <v>0</v>
      </c>
      <c r="W16" s="17"/>
      <c r="X16" s="15">
        <f>F16-G16</f>
        <v>-228</v>
      </c>
      <c r="Y16" s="24"/>
      <c r="Z16" s="25">
        <v>170.884384</v>
      </c>
      <c r="AA16" s="24"/>
    </row>
    <row r="17" ht="20.05" customHeight="1">
      <c r="B17" s="13"/>
      <c r="C17" s="14">
        <v>305.4</v>
      </c>
      <c r="D17" s="15">
        <v>3</v>
      </c>
      <c r="E17" s="15">
        <v>9.300000000000001</v>
      </c>
      <c r="F17" s="15">
        <v>2</v>
      </c>
      <c r="G17" s="15">
        <v>165</v>
      </c>
      <c r="H17" s="15">
        <v>833</v>
      </c>
      <c r="I17" s="15">
        <v>429.6</v>
      </c>
      <c r="J17" s="15">
        <v>75.09999999999999</v>
      </c>
      <c r="K17" s="15">
        <v>-15.3</v>
      </c>
      <c r="L17" s="15">
        <v>0</v>
      </c>
      <c r="M17" s="15">
        <v>0</v>
      </c>
      <c r="N17" s="15">
        <f>SUM(C14:C17)/4</f>
        <v>387.35</v>
      </c>
      <c r="O17" s="15"/>
      <c r="P17" s="16"/>
      <c r="Q17" s="16">
        <f>((D17+E17)/C17)</f>
        <v>0.0402750491159136</v>
      </c>
      <c r="R17" s="16">
        <f>AVERAGE(Q14:Q17)</f>
        <v>0.0520835799038579</v>
      </c>
      <c r="S17" s="17"/>
      <c r="T17" s="15">
        <f>SUM(J14:K17)/4</f>
        <v>7.25</v>
      </c>
      <c r="U17" s="17"/>
      <c r="V17" s="15">
        <f>-(L17+M17)+V16</f>
        <v>0</v>
      </c>
      <c r="W17" s="17"/>
      <c r="X17" s="15">
        <f>F17-G17</f>
        <v>-163</v>
      </c>
      <c r="Y17" s="24"/>
      <c r="Z17" s="25">
        <v>166.001968</v>
      </c>
      <c r="AA17" s="24"/>
    </row>
    <row r="18" ht="20.05" customHeight="1">
      <c r="B18" s="13"/>
      <c r="C18" s="14">
        <v>180.8</v>
      </c>
      <c r="D18" s="15">
        <v>2.9</v>
      </c>
      <c r="E18" s="15">
        <v>4.7</v>
      </c>
      <c r="F18" s="15">
        <v>5</v>
      </c>
      <c r="G18" s="15">
        <v>243</v>
      </c>
      <c r="H18" s="15">
        <v>887</v>
      </c>
      <c r="I18" s="15">
        <v>183.6</v>
      </c>
      <c r="J18" s="15">
        <v>-31.7</v>
      </c>
      <c r="K18" s="15">
        <v>-16.2</v>
      </c>
      <c r="L18" s="15">
        <v>0</v>
      </c>
      <c r="M18" s="15">
        <v>0</v>
      </c>
      <c r="N18" s="15">
        <f>SUM(C15:C18)/4</f>
        <v>340.925</v>
      </c>
      <c r="O18" s="15"/>
      <c r="P18" s="16"/>
      <c r="Q18" s="16">
        <f>((D18+E18)/C18)</f>
        <v>0.0420353982300885</v>
      </c>
      <c r="R18" s="16">
        <f>AVERAGE(Q15:Q18)</f>
        <v>0.0471763312349135</v>
      </c>
      <c r="S18" s="17"/>
      <c r="T18" s="15">
        <f>SUM(J15:K18)/4</f>
        <v>-4.6</v>
      </c>
      <c r="U18" s="17"/>
      <c r="V18" s="15">
        <f>-(L18+M18)+V17</f>
        <v>0</v>
      </c>
      <c r="W18" s="17"/>
      <c r="X18" s="15">
        <f>F18-G18</f>
        <v>-238</v>
      </c>
      <c r="Y18" s="24"/>
      <c r="Z18" s="25">
        <v>211.345108</v>
      </c>
      <c r="AA18" s="24"/>
    </row>
    <row r="19" ht="20.05" customHeight="1">
      <c r="B19" s="13"/>
      <c r="C19" s="14">
        <v>236.6</v>
      </c>
      <c r="D19" s="15">
        <v>5</v>
      </c>
      <c r="E19" s="15">
        <v>9.4</v>
      </c>
      <c r="F19" s="15">
        <v>5</v>
      </c>
      <c r="G19" s="15">
        <v>244</v>
      </c>
      <c r="H19" s="15">
        <v>907</v>
      </c>
      <c r="I19" s="15">
        <v>197.8</v>
      </c>
      <c r="J19" s="15">
        <v>30.2</v>
      </c>
      <c r="K19" s="15">
        <v>-22.8</v>
      </c>
      <c r="L19" s="15">
        <v>0</v>
      </c>
      <c r="M19" s="15">
        <v>0</v>
      </c>
      <c r="N19" s="15">
        <f>SUM(C16:C19)/4</f>
        <v>293.3</v>
      </c>
      <c r="O19" s="15">
        <v>318.74</v>
      </c>
      <c r="P19" s="16"/>
      <c r="Q19" s="16">
        <f>((D19+E19)/C19)</f>
        <v>0.0608622147083686</v>
      </c>
      <c r="R19" s="16">
        <f>AVERAGE(Q16:Q19)</f>
        <v>0.0450071974851735</v>
      </c>
      <c r="S19" s="17"/>
      <c r="T19" s="15">
        <f>SUM(J16:K19)/4</f>
        <v>-9.574999999999999</v>
      </c>
      <c r="U19" s="17"/>
      <c r="V19" s="15">
        <f>-(L19+M19)+V18</f>
        <v>0</v>
      </c>
      <c r="W19" s="17"/>
      <c r="X19" s="15">
        <f>F19-G19</f>
        <v>-239</v>
      </c>
      <c r="Y19" s="24"/>
      <c r="Z19" s="25">
        <v>248.641296</v>
      </c>
      <c r="AA19" s="24"/>
    </row>
    <row r="20" ht="20.05" customHeight="1">
      <c r="B20" s="21">
        <v>2021</v>
      </c>
      <c r="C20" s="14">
        <v>240.7</v>
      </c>
      <c r="D20" s="15">
        <v>6.8</v>
      </c>
      <c r="E20" s="15">
        <v>7</v>
      </c>
      <c r="F20" s="15">
        <v>3</v>
      </c>
      <c r="G20" s="15">
        <v>266</v>
      </c>
      <c r="H20" s="15">
        <v>935</v>
      </c>
      <c r="I20" s="15">
        <v>244</v>
      </c>
      <c r="J20" s="15">
        <v>26.4</v>
      </c>
      <c r="K20" s="15">
        <v>-48.4</v>
      </c>
      <c r="L20" s="15">
        <v>-2.494</v>
      </c>
      <c r="M20" s="15">
        <v>0</v>
      </c>
      <c r="N20" s="15">
        <f>SUM(C17:C20)/4</f>
        <v>240.875</v>
      </c>
      <c r="O20" s="15">
        <v>316.493333333333</v>
      </c>
      <c r="P20" s="16"/>
      <c r="Q20" s="16">
        <f>((D20+E20)/C20)</f>
        <v>0.0573327793934358</v>
      </c>
      <c r="R20" s="16">
        <f>AVERAGE(Q17:Q20)</f>
        <v>0.0501263603619516</v>
      </c>
      <c r="S20" s="17"/>
      <c r="T20" s="15">
        <f>SUM(J17:K20)/4</f>
        <v>-0.675</v>
      </c>
      <c r="U20" s="17"/>
      <c r="V20" s="15">
        <f>-(L20+M20)+V19</f>
        <v>2.494</v>
      </c>
      <c r="W20" s="17"/>
      <c r="X20" s="15">
        <f>F20-G20</f>
        <v>-263</v>
      </c>
      <c r="Y20" s="15"/>
      <c r="Z20" s="25">
        <v>240.684769</v>
      </c>
      <c r="AA20" s="17"/>
    </row>
    <row r="21" ht="20.05" customHeight="1">
      <c r="B21" s="13"/>
      <c r="C21" s="14">
        <v>189</v>
      </c>
      <c r="D21" s="15">
        <v>8.1</v>
      </c>
      <c r="E21" s="15">
        <v>0.5</v>
      </c>
      <c r="F21" s="15">
        <v>3</v>
      </c>
      <c r="G21" s="15">
        <v>248</v>
      </c>
      <c r="H21" s="15">
        <v>918</v>
      </c>
      <c r="I21" s="15">
        <v>222.3</v>
      </c>
      <c r="J21" s="15">
        <v>27.3</v>
      </c>
      <c r="K21" s="15">
        <v>-12.2</v>
      </c>
      <c r="L21" s="15">
        <v>9.24</v>
      </c>
      <c r="M21" s="15">
        <v>0</v>
      </c>
      <c r="N21" s="15">
        <f>SUM(C18:C21)/4</f>
        <v>211.775</v>
      </c>
      <c r="O21" s="15">
        <v>309.58</v>
      </c>
      <c r="P21" s="16">
        <f>C21/C20-1</f>
        <v>-0.214790195263814</v>
      </c>
      <c r="Q21" s="16">
        <f>((D21+E21)/C21)</f>
        <v>0.0455026455026455</v>
      </c>
      <c r="R21" s="16">
        <f>AVERAGE(Q18:Q21)</f>
        <v>0.0514332594586346</v>
      </c>
      <c r="S21" s="17"/>
      <c r="T21" s="15">
        <f>SUM(J18:K21)/4</f>
        <v>-11.85</v>
      </c>
      <c r="U21" s="17"/>
      <c r="V21" s="15">
        <f>-(L21+M21)+V20</f>
        <v>-6.746</v>
      </c>
      <c r="W21" s="17"/>
      <c r="X21" s="15">
        <f>F21-G21</f>
        <v>-245</v>
      </c>
      <c r="Y21" s="15"/>
      <c r="Z21" s="25">
        <v>189.961945</v>
      </c>
      <c r="AA21" s="17"/>
    </row>
    <row r="22" ht="20.05" customHeight="1">
      <c r="B22" s="13"/>
      <c r="C22" s="14">
        <v>200.3</v>
      </c>
      <c r="D22" s="15">
        <v>8</v>
      </c>
      <c r="E22" s="15">
        <v>3.9</v>
      </c>
      <c r="F22" s="15">
        <v>4</v>
      </c>
      <c r="G22" s="15">
        <v>323</v>
      </c>
      <c r="H22" s="15">
        <v>987</v>
      </c>
      <c r="I22" s="15">
        <v>166.2</v>
      </c>
      <c r="J22" s="15">
        <v>-55.6</v>
      </c>
      <c r="K22" s="15">
        <v>-5.2</v>
      </c>
      <c r="L22" s="15">
        <v>70.67400000000001</v>
      </c>
      <c r="M22" s="15">
        <v>-9.677</v>
      </c>
      <c r="N22" s="15">
        <f>SUM(C19:C22)/4</f>
        <v>216.65</v>
      </c>
      <c r="O22" s="23">
        <v>265.21</v>
      </c>
      <c r="P22" s="16">
        <f>C22/C21-1</f>
        <v>0.0597883597883598</v>
      </c>
      <c r="Q22" s="16">
        <f>((D22+E22)/C22)</f>
        <v>0.0594108836744883</v>
      </c>
      <c r="R22" s="16">
        <f>AVERAGE(Q19:Q22)</f>
        <v>0.0557771308197346</v>
      </c>
      <c r="S22" s="17"/>
      <c r="T22" s="15">
        <f>SUM(J19:K22)/4</f>
        <v>-15.075</v>
      </c>
      <c r="U22" s="17"/>
      <c r="V22" s="15">
        <f>-(L22+M22)+V21</f>
        <v>-67.74299999999999</v>
      </c>
      <c r="W22" s="17"/>
      <c r="X22" s="15">
        <f>F22-G22</f>
        <v>-319</v>
      </c>
      <c r="Y22" s="15"/>
      <c r="Z22" s="25">
        <v>190</v>
      </c>
      <c r="AA22" s="17"/>
    </row>
    <row r="23" ht="20.05" customHeight="1">
      <c r="B23" s="13"/>
      <c r="C23" s="14">
        <v>303.6</v>
      </c>
      <c r="D23" s="15">
        <v>6.9</v>
      </c>
      <c r="E23" s="15">
        <v>1.1</v>
      </c>
      <c r="F23" s="15">
        <v>5</v>
      </c>
      <c r="G23" s="15">
        <v>320</v>
      </c>
      <c r="H23" s="15">
        <v>989</v>
      </c>
      <c r="I23" s="15">
        <v>260.9</v>
      </c>
      <c r="J23" s="15">
        <v>15.849</v>
      </c>
      <c r="K23" s="15">
        <v>-19.929</v>
      </c>
      <c r="L23" s="15">
        <v>-27.452</v>
      </c>
      <c r="M23" s="15">
        <v>-0.023</v>
      </c>
      <c r="N23" s="15">
        <f>SUM(C20:C23)/4</f>
        <v>233.4</v>
      </c>
      <c r="O23" s="23">
        <v>252.5425</v>
      </c>
      <c r="P23" s="16">
        <f>C23/C22-1</f>
        <v>0.515726410384423</v>
      </c>
      <c r="Q23" s="16">
        <f>((D23+E23)/C23)</f>
        <v>0.0263504611330698</v>
      </c>
      <c r="R23" s="16">
        <f>AVERAGE(Q20:Q23)</f>
        <v>0.0471491924259099</v>
      </c>
      <c r="S23" s="17"/>
      <c r="T23" s="15">
        <f>SUM(J20:K23)/4</f>
        <v>-17.945</v>
      </c>
      <c r="U23" s="17"/>
      <c r="V23" s="15">
        <f>-(L23+M23)+V22</f>
        <v>-40.268</v>
      </c>
      <c r="W23" s="17"/>
      <c r="X23" s="15">
        <f>F23-G23</f>
        <v>-315</v>
      </c>
      <c r="Y23" s="15"/>
      <c r="Z23" s="25">
        <v>181</v>
      </c>
      <c r="AA23" s="17"/>
    </row>
    <row r="24" ht="20.05" customHeight="1">
      <c r="B24" s="21">
        <v>2022</v>
      </c>
      <c r="C24" s="14">
        <v>232.3</v>
      </c>
      <c r="D24" s="15">
        <v>7.9</v>
      </c>
      <c r="E24" s="15">
        <v>5.7</v>
      </c>
      <c r="F24" s="15">
        <v>6</v>
      </c>
      <c r="G24" s="15">
        <v>279</v>
      </c>
      <c r="H24" s="15">
        <v>953</v>
      </c>
      <c r="I24" s="15">
        <v>204.9</v>
      </c>
      <c r="J24" s="15">
        <v>48.3</v>
      </c>
      <c r="K24" s="15">
        <v>-4.4</v>
      </c>
      <c r="L24" s="15">
        <v>-42.6</v>
      </c>
      <c r="M24" s="15">
        <v>0</v>
      </c>
      <c r="N24" s="15">
        <f>SUM(C21:C24)/4</f>
        <v>231.3</v>
      </c>
      <c r="O24" s="23">
        <v>229.625</v>
      </c>
      <c r="P24" s="16">
        <f>C24/C23-1</f>
        <v>-0.234848484848485</v>
      </c>
      <c r="Q24" s="16">
        <f>((D24+E24)/C24)</f>
        <v>0.0585449849332759</v>
      </c>
      <c r="R24" s="16">
        <f>AVERAGE(Q21:Q24)</f>
        <v>0.0474522438108699</v>
      </c>
      <c r="S24" s="35"/>
      <c r="T24" s="15">
        <f>SUM(J21:K24)/4</f>
        <v>-1.47</v>
      </c>
      <c r="U24" s="15">
        <v>9.087407750000001</v>
      </c>
      <c r="V24" s="15">
        <f>-(L24+M24)+V23</f>
        <v>2.332</v>
      </c>
      <c r="W24" s="15"/>
      <c r="X24" s="15">
        <f>F24-G24</f>
        <v>-273</v>
      </c>
      <c r="Y24" s="15">
        <v>-285.85643725</v>
      </c>
      <c r="Z24" s="25">
        <v>161</v>
      </c>
      <c r="AA24" s="26">
        <v>109.592717935630</v>
      </c>
    </row>
    <row r="25" ht="20.05" customHeight="1">
      <c r="B25" s="13"/>
      <c r="C25" s="14">
        <v>201.8</v>
      </c>
      <c r="D25" s="15">
        <v>8.4</v>
      </c>
      <c r="E25" s="15">
        <v>0.9</v>
      </c>
      <c r="F25" s="15">
        <v>2</v>
      </c>
      <c r="G25" s="15">
        <v>298</v>
      </c>
      <c r="H25" s="15">
        <v>973</v>
      </c>
      <c r="I25" s="15">
        <v>252.5</v>
      </c>
      <c r="J25" s="15">
        <v>-8.1</v>
      </c>
      <c r="K25" s="15">
        <v>-10</v>
      </c>
      <c r="L25" s="15">
        <v>17.6</v>
      </c>
      <c r="M25" s="15">
        <v>0</v>
      </c>
      <c r="N25" s="15">
        <f>SUM(C22:C25)/4</f>
        <v>234.5</v>
      </c>
      <c r="O25" s="23">
        <v>221.2975</v>
      </c>
      <c r="P25" s="16">
        <f>C25/C24-1</f>
        <v>-0.131295738269479</v>
      </c>
      <c r="Q25" s="16">
        <f>((D25+E25)/C25)</f>
        <v>0.0460852329038652</v>
      </c>
      <c r="R25" s="16">
        <f>AVERAGE(Q22:Q25)</f>
        <v>0.0475978906611748</v>
      </c>
      <c r="S25" s="35"/>
      <c r="T25" s="15">
        <f>SUM(J22:K25)/4</f>
        <v>-9.77</v>
      </c>
      <c r="U25" s="15">
        <v>9.087407750000001</v>
      </c>
      <c r="V25" s="15">
        <f>-(L25+M25)+V24</f>
        <v>-15.268</v>
      </c>
      <c r="W25" s="15"/>
      <c r="X25" s="15">
        <f>F25-G25</f>
        <v>-296</v>
      </c>
      <c r="Y25" s="15">
        <v>-285.85643725</v>
      </c>
      <c r="Z25" s="15">
        <v>135</v>
      </c>
      <c r="AA25" s="26">
        <v>89.83009666854861</v>
      </c>
    </row>
    <row r="26" ht="20.05" customHeight="1">
      <c r="B26" s="13"/>
      <c r="C26" s="14">
        <f>C43-C25-C24</f>
        <v>229.9</v>
      </c>
      <c r="D26" s="15">
        <f>D43-D25-D24</f>
        <v>8.699999999999999</v>
      </c>
      <c r="E26" s="15">
        <f>E43-E25-E24</f>
        <v>-4.6</v>
      </c>
      <c r="F26" s="15">
        <v>5</v>
      </c>
      <c r="G26" s="15">
        <v>304</v>
      </c>
      <c r="H26" s="15">
        <v>963</v>
      </c>
      <c r="I26" s="15">
        <f>I43-I25-I25+I24</f>
        <v>387.9</v>
      </c>
      <c r="J26" s="15">
        <f>J43-J25-J25+J24</f>
        <v>145.5</v>
      </c>
      <c r="K26" s="15">
        <f>K43-K25-K25+K24</f>
        <v>-21.4</v>
      </c>
      <c r="L26" s="15">
        <f>L43-L25-L25+L24</f>
        <v>-16.8</v>
      </c>
      <c r="M26" s="15">
        <f>M43-M25-M25+M24</f>
        <v>-10</v>
      </c>
      <c r="N26" s="15">
        <f>AVERAGE(C26)</f>
        <v>229.9</v>
      </c>
      <c r="O26" s="23">
        <v>237.93</v>
      </c>
      <c r="P26" s="16">
        <f>C26/C25-1</f>
        <v>0.139246778989098</v>
      </c>
      <c r="Q26" s="16">
        <f>((D26+E26)/C26)</f>
        <v>0.017833840800348</v>
      </c>
      <c r="R26" s="16">
        <f>AVERAGE(Q23:Q26)</f>
        <v>0.0372036299426397</v>
      </c>
      <c r="S26" s="35">
        <f>S27</f>
        <v>0.0372036299426397</v>
      </c>
      <c r="T26" s="15">
        <f>SUM(J23:K26)/4</f>
        <v>36.455</v>
      </c>
      <c r="U26" s="15">
        <v>12.842896</v>
      </c>
      <c r="V26" s="15">
        <f>-(L26+M26)+V25</f>
        <v>11.532</v>
      </c>
      <c r="W26" s="15">
        <f>W27</f>
        <v>18.1761962277504</v>
      </c>
      <c r="X26" s="15">
        <f>F26-G26</f>
        <v>-299</v>
      </c>
      <c r="Y26" s="15">
        <v>-226.532304</v>
      </c>
      <c r="Z26" s="15">
        <v>134</v>
      </c>
      <c r="AA26" s="26">
        <v>89.83009666854861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AVERAGE(AD51:AG51)</f>
        <v>313.438475625</v>
      </c>
      <c r="P27" s="17"/>
      <c r="Q27" s="17"/>
      <c r="R27" s="17"/>
      <c r="S27" s="35">
        <f>AD52</f>
        <v>0.0372036299426397</v>
      </c>
      <c r="T27" s="17"/>
      <c r="U27" s="15">
        <f>SUM(AD54:AG54)/4</f>
        <v>1.66104905693759</v>
      </c>
      <c r="V27" s="17"/>
      <c r="W27" s="15">
        <f>-SUM(AD75:AG75)+V26</f>
        <v>18.1761962277504</v>
      </c>
      <c r="X27" s="17"/>
      <c r="Y27" s="15">
        <f>AG74</f>
        <v>-292.355803772250</v>
      </c>
      <c r="Z27" s="15">
        <v>100</v>
      </c>
      <c r="AA27" s="26">
        <v>140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SUM(N19:N26)</f>
        <v>1891.7</v>
      </c>
      <c r="O28" s="15">
        <f>SUM(O19:O26)</f>
        <v>2151.418333333330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AG87</f>
        <v>102.981520100393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26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26"/>
    </row>
    <row r="43" ht="20.05" customHeight="1">
      <c r="B43" s="13"/>
      <c r="C43" s="14">
        <v>664</v>
      </c>
      <c r="D43" s="15">
        <v>25</v>
      </c>
      <c r="E43" s="15">
        <v>2</v>
      </c>
      <c r="F43" s="15"/>
      <c r="G43" s="15"/>
      <c r="H43" s="15"/>
      <c r="I43" s="15">
        <v>688</v>
      </c>
      <c r="J43" s="15">
        <v>81</v>
      </c>
      <c r="K43" s="15">
        <v>-37</v>
      </c>
      <c r="L43" s="15">
        <f>51-M43</f>
        <v>61</v>
      </c>
      <c r="M43" s="15">
        <v>-10</v>
      </c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5" ht="27.65" customHeight="1">
      <c r="AB45" t="s" s="2">
        <v>208</v>
      </c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</row>
    <row r="46" ht="20.25" customHeight="1">
      <c r="AB46" t="s" s="28">
        <v>366</v>
      </c>
      <c r="AC46" t="s" s="29">
        <v>23</v>
      </c>
      <c r="AD46" t="s" s="29">
        <v>24</v>
      </c>
      <c r="AE46" t="s" s="29">
        <v>25</v>
      </c>
      <c r="AF46" t="s" s="29">
        <v>26</v>
      </c>
      <c r="AG46" t="s" s="29">
        <v>23</v>
      </c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</row>
    <row r="47" ht="20.25" customHeight="1">
      <c r="AB47" t="s" s="31">
        <v>15</v>
      </c>
      <c r="AC47" s="174"/>
      <c r="AD47" s="32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</row>
    <row r="48" ht="20.05" customHeight="1">
      <c r="AB48" t="s" s="33">
        <v>27</v>
      </c>
      <c r="AC48" s="175"/>
      <c r="AD48" s="71">
        <f>AVERAGE(P23:P26)</f>
        <v>0.0722072415638893</v>
      </c>
      <c r="AE48" s="35"/>
      <c r="AF48" s="35"/>
      <c r="AG48" s="35">
        <f>AVERAGE(AD50:AG50)</f>
        <v>0.095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8.35" customHeight="1" hidden="1">
      <c r="AB49" s="36"/>
      <c r="AC49" s="176"/>
      <c r="AD49" s="37">
        <f>P23</f>
        <v>0.515726410384423</v>
      </c>
      <c r="AE49" s="35">
        <f>P24</f>
        <v>-0.234848484848485</v>
      </c>
      <c r="AF49" s="35">
        <f>P25</f>
        <v>-0.131295738269479</v>
      </c>
      <c r="AG49" s="35">
        <f>P26</f>
        <v>0.139246778989098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13</v>
      </c>
      <c r="AC50" s="176"/>
      <c r="AD50" s="37">
        <v>0.5</v>
      </c>
      <c r="AE50" s="35">
        <v>-0.1</v>
      </c>
      <c r="AF50" s="35">
        <v>-0.05</v>
      </c>
      <c r="AG50" s="35">
        <v>0.03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t="s" s="33">
        <v>28</v>
      </c>
      <c r="AC51" s="177"/>
      <c r="AD51" s="38">
        <f>C26*(1+AD50)</f>
        <v>344.85</v>
      </c>
      <c r="AE51" s="23">
        <f>AD51*(1+AE50)</f>
        <v>310.365</v>
      </c>
      <c r="AF51" s="23">
        <f>AE51*(1+AF50)</f>
        <v>294.84675</v>
      </c>
      <c r="AG51" s="23">
        <f>AF51*(1+AG50)</f>
        <v>303.6921525</v>
      </c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</row>
    <row r="52" ht="20.05" customHeight="1">
      <c r="AB52" t="s" s="33">
        <v>14</v>
      </c>
      <c r="AC52" s="176"/>
      <c r="AD52" s="37">
        <f>AVERAGE(R26)</f>
        <v>0.0372036299426397</v>
      </c>
      <c r="AE52" s="35">
        <f>AD52</f>
        <v>0.0372036299426397</v>
      </c>
      <c r="AF52" s="35">
        <f>AE52</f>
        <v>0.0372036299426397</v>
      </c>
      <c r="AG52" s="35">
        <f>AF52</f>
        <v>0.0372036299426397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20.05" customHeight="1">
      <c r="AB53" t="s" s="33">
        <v>29</v>
      </c>
      <c r="AC53" s="178"/>
      <c r="AD53" s="14">
        <f>AVERAGE(K25)</f>
        <v>-10</v>
      </c>
      <c r="AE53" s="15">
        <f>AD53</f>
        <v>-10</v>
      </c>
      <c r="AF53" s="15">
        <f>AE53</f>
        <v>-10</v>
      </c>
      <c r="AG53" s="15">
        <f>AF53</f>
        <v>-10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30</v>
      </c>
      <c r="AC54" s="178"/>
      <c r="AD54" s="14">
        <f>(AD51*AD52)+AD53</f>
        <v>2.8296717857193</v>
      </c>
      <c r="AE54" s="15">
        <f>(AE51*AE52)+AE53</f>
        <v>1.54670460714737</v>
      </c>
      <c r="AF54" s="15">
        <f>(AF51*AF52)+AF53</f>
        <v>0.969369376790002</v>
      </c>
      <c r="AG54" s="15">
        <f>(AG51*AG52)+AG53</f>
        <v>1.2984504580937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31</v>
      </c>
      <c r="AC55" s="178"/>
      <c r="AD55" s="14">
        <f>-G26/20</f>
        <v>-15.2</v>
      </c>
      <c r="AE55" s="15">
        <f>-AD70/20</f>
        <v>-14.44</v>
      </c>
      <c r="AF55" s="15">
        <f>-AE70/20</f>
        <v>-13.718</v>
      </c>
      <c r="AG55" s="15">
        <f>-AF70/20</f>
        <v>-13.0321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32</v>
      </c>
      <c r="AC56" s="179"/>
      <c r="AD56" s="39">
        <v>0</v>
      </c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33</v>
      </c>
      <c r="AC57" s="178"/>
      <c r="AD57" s="14">
        <f>IF(AD65&gt;0,AD65*$AD$56,0)</f>
        <v>0</v>
      </c>
      <c r="AE57" s="15">
        <f>IF(AE65&gt;0,AE65*$AD$56,0)</f>
        <v>0</v>
      </c>
      <c r="AF57" s="15">
        <f>IF(AF65&gt;0,AF65*$AD$56,0)</f>
        <v>0</v>
      </c>
      <c r="AG57" s="15">
        <f>IF(AG65&gt;0,AG65*$AD$56,0)</f>
        <v>0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34</v>
      </c>
      <c r="AC58" s="178"/>
      <c r="AD58" s="14">
        <f>AD54+AD55+AD57</f>
        <v>-12.3703282142807</v>
      </c>
      <c r="AE58" s="15">
        <f>AE54+AE55+AE57</f>
        <v>-12.8932953928526</v>
      </c>
      <c r="AF58" s="15">
        <f>AF54+AF55+AF57</f>
        <v>-12.748630623210</v>
      </c>
      <c r="AG58" s="15">
        <f>AG54+AG55+AG57</f>
        <v>-11.7336495419063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35</v>
      </c>
      <c r="AC59" s="178"/>
      <c r="AD59" s="14">
        <f>-MIN(0,AD58)</f>
        <v>12.3703282142807</v>
      </c>
      <c r="AE59" s="15">
        <f>-MIN(AD71,AE58)</f>
        <v>12.8932953928526</v>
      </c>
      <c r="AF59" s="15">
        <f>-MIN(AE71,AF58)</f>
        <v>12.748630623210</v>
      </c>
      <c r="AG59" s="15">
        <f>-MIN(AF71,AG58)</f>
        <v>11.7336495419063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36</v>
      </c>
      <c r="AC60" s="178"/>
      <c r="AD60" s="14">
        <f>F26</f>
        <v>5</v>
      </c>
      <c r="AE60" s="15">
        <f>AD62</f>
        <v>5</v>
      </c>
      <c r="AF60" s="15">
        <f>AE62</f>
        <v>4.99999999999997</v>
      </c>
      <c r="AG60" s="15">
        <f>AF62</f>
        <v>4.99999999999997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37</v>
      </c>
      <c r="AC61" s="178"/>
      <c r="AD61" s="14">
        <f>AD54+AD55+AD57+AD59</f>
        <v>0</v>
      </c>
      <c r="AE61" s="15">
        <f>AE54+AE55+AE57+AE59</f>
        <v>-3e-14</v>
      </c>
      <c r="AF61" s="15">
        <f>AF54+AF55+AF57+AF59</f>
        <v>2e-15</v>
      </c>
      <c r="AG61" s="15">
        <f>AG54+AG55+AG57+AG59</f>
        <v>0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38</v>
      </c>
      <c r="AC62" s="178"/>
      <c r="AD62" s="14">
        <f>AD60+AD61</f>
        <v>5</v>
      </c>
      <c r="AE62" s="15">
        <f>AE60+AE61</f>
        <v>4.99999999999997</v>
      </c>
      <c r="AF62" s="15">
        <f>AF60+AF61</f>
        <v>4.99999999999997</v>
      </c>
      <c r="AG62" s="15">
        <f>AG60+AG61</f>
        <v>4.99999999999997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41">
        <v>4</v>
      </c>
      <c r="AC63" s="178"/>
      <c r="AD63" s="14"/>
      <c r="AE63" s="15"/>
      <c r="AF63" s="15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ht="20.05" customHeight="1">
      <c r="AB64" t="s" s="33">
        <v>3</v>
      </c>
      <c r="AC64" s="178"/>
      <c r="AD64" s="14">
        <f>-AVERAGE(D24:D26)</f>
        <v>-8.33333333333333</v>
      </c>
      <c r="AE64" s="15">
        <f>AD64</f>
        <v>-8.33333333333333</v>
      </c>
      <c r="AF64" s="15">
        <f>AE64</f>
        <v>-8.33333333333333</v>
      </c>
      <c r="AG64" s="15">
        <f>AF64</f>
        <v>-8.33333333333333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33">
        <v>4</v>
      </c>
      <c r="AC65" s="178"/>
      <c r="AD65" s="14">
        <f>(AD51*AD52)+AD64</f>
        <v>4.49633845238597</v>
      </c>
      <c r="AE65" s="15">
        <f>(AE51*AE52)+AE64</f>
        <v>3.21337127381404</v>
      </c>
      <c r="AF65" s="15">
        <f>(AF51*AF52)+AF64</f>
        <v>2.63603604345667</v>
      </c>
      <c r="AG65" s="15">
        <f>(AG51*AG52)+AG64</f>
        <v>2.96511712476037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41">
        <v>39</v>
      </c>
      <c r="AC66" s="178"/>
      <c r="AD66" s="14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40</v>
      </c>
      <c r="AC67" s="178"/>
      <c r="AD67" s="14">
        <f>H26-F26-AD53</f>
        <v>968</v>
      </c>
      <c r="AE67" s="15">
        <f>AD67-AE53</f>
        <v>978</v>
      </c>
      <c r="AF67" s="15">
        <f>AE67-AF53</f>
        <v>988</v>
      </c>
      <c r="AG67" s="15">
        <f>AF67-AG53</f>
        <v>998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41</v>
      </c>
      <c r="AC68" s="178"/>
      <c r="AD68" s="14">
        <f>0-AD64</f>
        <v>8.33333333333333</v>
      </c>
      <c r="AE68" s="15">
        <f>AD68-AE64</f>
        <v>16.6666666666667</v>
      </c>
      <c r="AF68" s="15">
        <f>AE68-AF64</f>
        <v>25</v>
      </c>
      <c r="AG68" s="15">
        <f>AF68-AG64</f>
        <v>33.3333333333333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42</v>
      </c>
      <c r="AC69" s="178"/>
      <c r="AD69" s="14">
        <f>AD67-AD68</f>
        <v>959.666666666667</v>
      </c>
      <c r="AE69" s="15">
        <f>AE67-AE68</f>
        <v>961.333333333333</v>
      </c>
      <c r="AF69" s="15">
        <f>AF67-AF68</f>
        <v>963</v>
      </c>
      <c r="AG69" s="15">
        <f>AG67-AG68</f>
        <v>964.666666666667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6</v>
      </c>
      <c r="AC70" s="178"/>
      <c r="AD70" s="14">
        <f>G26+AD55</f>
        <v>288.8</v>
      </c>
      <c r="AE70" s="15">
        <f>AD70+AE55</f>
        <v>274.36</v>
      </c>
      <c r="AF70" s="15">
        <f>AE70+AF55</f>
        <v>260.642</v>
      </c>
      <c r="AG70" s="15">
        <f>AF70+AG55</f>
        <v>247.6099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35</v>
      </c>
      <c r="AC71" s="178"/>
      <c r="AD71" s="14">
        <f>AD59</f>
        <v>12.3703282142807</v>
      </c>
      <c r="AE71" s="15">
        <f>AD71+AE59</f>
        <v>25.2636236071333</v>
      </c>
      <c r="AF71" s="15">
        <f>AE71+AF59</f>
        <v>38.0122542303433</v>
      </c>
      <c r="AG71" s="15">
        <f>AF71+AG59</f>
        <v>49.7459037722496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11</v>
      </c>
      <c r="AC72" s="178"/>
      <c r="AD72" s="14">
        <f>(H26-G26)+AD65+AD57</f>
        <v>663.496338452386</v>
      </c>
      <c r="AE72" s="15">
        <f>AD72+AE65+AE57</f>
        <v>666.7097097262</v>
      </c>
      <c r="AF72" s="15">
        <f>AE72+AF65+AF57</f>
        <v>669.345745769657</v>
      </c>
      <c r="AG72" s="15">
        <f>AF72+AG65+AG57</f>
        <v>672.310862894417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43</v>
      </c>
      <c r="AC73" s="178"/>
      <c r="AD73" s="14">
        <f>AD70+AD71+AD72-AD62-AD69</f>
        <v>-3e-13</v>
      </c>
      <c r="AE73" s="15">
        <f>AE70+AE71+AE72-AE62-AE69</f>
        <v>3.3e-13</v>
      </c>
      <c r="AF73" s="15">
        <f>AF70+AF71+AF72-AF62-AF69</f>
        <v>3.3e-13</v>
      </c>
      <c r="AG73" s="15">
        <f>AG70+AG71+AG72-AG62-AG69</f>
        <v>-3.7e-13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18</v>
      </c>
      <c r="AC74" s="178"/>
      <c r="AD74" s="14">
        <f>AD62-AD70-AD71</f>
        <v>-296.170328214281</v>
      </c>
      <c r="AE74" s="15">
        <f>AE62-AE70-AE71</f>
        <v>-294.623623607133</v>
      </c>
      <c r="AF74" s="15">
        <f>AF62-AF70-AF71</f>
        <v>-293.654254230343</v>
      </c>
      <c r="AG74" s="15">
        <f>AG62-AG70-AG71</f>
        <v>-292.355803772250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44</v>
      </c>
      <c r="AC75" s="178"/>
      <c r="AD75" s="14">
        <f>AD55+AD57+AD59</f>
        <v>-2.8296717857193</v>
      </c>
      <c r="AE75" s="15">
        <f>AE55+AE57+AE59</f>
        <v>-1.5467046071474</v>
      </c>
      <c r="AF75" s="15">
        <f>AF55+AF57+AF59</f>
        <v>-0.969369376790</v>
      </c>
      <c r="AG75" s="15">
        <f>AG55+AG57+AG59</f>
        <v>-1.2984504580937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45</v>
      </c>
      <c r="AC76" s="178"/>
      <c r="AD76" s="14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208</v>
      </c>
      <c r="AC77" s="178"/>
      <c r="AD77" s="14"/>
      <c r="AE77" s="15"/>
      <c r="AF77" s="15"/>
      <c r="AG77" s="15">
        <v>100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8.35" customHeight="1" hidden="1">
      <c r="AB78" t="s" s="33">
        <f>$AB77</f>
        <v>611</v>
      </c>
      <c r="AC78" s="178"/>
      <c r="AD78" s="14"/>
      <c r="AE78" s="15"/>
      <c r="AF78" s="15"/>
      <c r="AG78" s="15">
        <v>967775027200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46</v>
      </c>
      <c r="AC79" s="178"/>
      <c r="AD79" s="14"/>
      <c r="AE79" s="15"/>
      <c r="AF79" s="15"/>
      <c r="AG79" s="15">
        <f>AG78/1000000000</f>
        <v>967.7750272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47</v>
      </c>
      <c r="AC80" s="178"/>
      <c r="AD80" s="14"/>
      <c r="AE80" s="15"/>
      <c r="AF80" s="15"/>
      <c r="AG80" s="15">
        <f>AG79/AG77</f>
        <v>9.677750272000001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48</v>
      </c>
      <c r="AC81" s="178"/>
      <c r="AD81" s="14"/>
      <c r="AE81" s="15"/>
      <c r="AF81" s="15"/>
      <c r="AG81" s="43">
        <f>AG79/(AG62+AG69)</f>
        <v>0.998049185837057</v>
      </c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</row>
    <row r="82" ht="20.05" customHeight="1">
      <c r="AB82" t="s" s="33">
        <v>49</v>
      </c>
      <c r="AC82" s="178"/>
      <c r="AD82" s="14"/>
      <c r="AE82" s="15"/>
      <c r="AF82" s="15"/>
      <c r="AG82" s="16">
        <f>-(AD57+AE57+AF57+AG57)/AG79</f>
        <v>0</v>
      </c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</row>
    <row r="83" ht="20.05" customHeight="1">
      <c r="AB83" t="s" s="33">
        <v>50</v>
      </c>
      <c r="AC83" s="178"/>
      <c r="AD83" s="14"/>
      <c r="AE83" s="15"/>
      <c r="AF83" s="15"/>
      <c r="AG83" s="15">
        <f>SUM(AD54:AG54)</f>
        <v>6.64419622775037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51</v>
      </c>
      <c r="AC84" s="178"/>
      <c r="AD84" s="14"/>
      <c r="AE84" s="15"/>
      <c r="AF84" s="15"/>
      <c r="AG84" s="15">
        <f>(H26+F26)/AG83</f>
        <v>145.691061314086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52</v>
      </c>
      <c r="AC85" s="178"/>
      <c r="AD85" s="14"/>
      <c r="AE85" s="15"/>
      <c r="AF85" s="15">
        <f>AG79/AG83</f>
        <v>145.657201266567</v>
      </c>
      <c r="AG85" s="15">
        <v>150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53</v>
      </c>
      <c r="AC86" s="178"/>
      <c r="AD86" s="14"/>
      <c r="AE86" s="15"/>
      <c r="AF86" s="15"/>
      <c r="AG86" s="15">
        <f>AG83*AG85</f>
        <v>996.629434162556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54</v>
      </c>
      <c r="AC87" s="178"/>
      <c r="AD87" s="14"/>
      <c r="AE87" s="15"/>
      <c r="AF87" s="15"/>
      <c r="AG87" s="15">
        <f>(AG86/AG80)</f>
        <v>102.981520100393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55</v>
      </c>
      <c r="AC88" s="177"/>
      <c r="AD88" s="38"/>
      <c r="AE88" s="23"/>
      <c r="AF88" s="23"/>
      <c r="AG88" s="16">
        <f>AG87/AG77-1</f>
        <v>0.02981520100393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56</v>
      </c>
      <c r="AC89" s="177"/>
      <c r="AD89" s="38"/>
      <c r="AE89" s="23"/>
      <c r="AF89" s="23"/>
      <c r="AG89" s="16">
        <f>C26/C22-1</f>
        <v>0.147778332501248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57</v>
      </c>
      <c r="AC90" s="177"/>
      <c r="AD90" s="38"/>
      <c r="AE90" s="23"/>
      <c r="AF90" s="23"/>
      <c r="AG90" s="16">
        <f>O28/N28-1</f>
        <v>0.137293615971523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8.35" customHeight="1" hidden="1">
      <c r="AB91" s="36"/>
      <c r="AC91" s="177"/>
      <c r="AD91" s="38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8.35" customHeight="1" hidden="1">
      <c r="AB92" s="36"/>
      <c r="AC92" s="177"/>
      <c r="AD92" s="38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8.35" customHeight="1" hidden="1">
      <c r="AB93" s="36"/>
      <c r="AC93" s="180"/>
      <c r="AD93" t="s" s="45">
        <f>$AB77</f>
        <v>611</v>
      </c>
      <c r="AE93" t="s" s="44">
        <v>60</v>
      </c>
      <c r="AF93" s="26">
        <f>AG77</f>
        <v>100</v>
      </c>
      <c r="AG93" t="s" s="44">
        <v>61</v>
      </c>
      <c r="AH93" s="26">
        <f>AG87</f>
        <v>102.981520100393</v>
      </c>
      <c r="AI93" t="s" s="44">
        <f>IF(AJ93&gt;0,"+","")</f>
        <v>361</v>
      </c>
      <c r="AJ93" s="16">
        <f>AH93/AF93-1</f>
        <v>0.02981520100393</v>
      </c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8.35" customHeight="1" hidden="1">
      <c r="AB94" s="36"/>
      <c r="AC94" s="181"/>
      <c r="AD94" s="46">
        <f>TODAY()</f>
        <v>44942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8.35" customHeight="1" hidden="1">
      <c r="AB95" s="36"/>
      <c r="AC95" s="175"/>
      <c r="AD95" t="s" s="45">
        <v>62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8.35" customHeight="1" hidden="1">
      <c r="AB96" s="36"/>
      <c r="AC96" s="175"/>
      <c r="AD96" t="s" s="45">
        <v>63</v>
      </c>
      <c r="AE96" t="s" s="44">
        <v>64</v>
      </c>
      <c r="AF96" t="s" s="44">
        <f>IF(AG96&gt;0,"+","")</f>
        <v>361</v>
      </c>
      <c r="AG96" s="16">
        <f>AH103/AD103-1</f>
        <v>0.147778332501248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8.35" customHeight="1" hidden="1">
      <c r="AB97" s="36"/>
      <c r="AC97" s="175"/>
      <c r="AD97" t="s" s="45">
        <v>63</v>
      </c>
      <c r="AE97" t="s" s="44">
        <v>65</v>
      </c>
      <c r="AF97" t="s" s="44">
        <f>IF(AG97&gt;0,"+","")</f>
        <v>361</v>
      </c>
      <c r="AG97" s="16">
        <f>SUM(AE116:AH117)/AE133</f>
        <v>0.150675514351607</v>
      </c>
      <c r="AH97" t="s" s="44"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8.35" customHeight="1" hidden="1">
      <c r="AB98" s="36"/>
      <c r="AC98" s="175"/>
      <c r="AD98" t="s" s="45">
        <v>63</v>
      </c>
      <c r="AE98" t="s" s="44">
        <v>17</v>
      </c>
      <c r="AF98" t="s" s="44">
        <f>IF(AG98&gt;0,"+","")</f>
        <v>361</v>
      </c>
      <c r="AG98" s="16">
        <f>SUM(AE130:AH131)/AE133</f>
        <v>0.0819146989454369</v>
      </c>
      <c r="AH98" t="s" s="44">
        <f>AH97</f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8.35" customHeight="1" hidden="1">
      <c r="AB99" s="36"/>
      <c r="AC99" s="175"/>
      <c r="AD99" t="s" s="45">
        <v>68</v>
      </c>
      <c r="AE99" t="s" s="44">
        <v>369</v>
      </c>
      <c r="AF99" s="16">
        <f>AO126/AE133</f>
        <v>-0.308956101982789</v>
      </c>
      <c r="AG99" t="s" s="44">
        <f>AH98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8.35" customHeight="1" hidden="1">
      <c r="AB100" s="36"/>
      <c r="AC100" s="175"/>
      <c r="AD100" t="s" s="45">
        <v>28</v>
      </c>
      <c r="AE100" t="s" s="44">
        <f>AE104</f>
        <v>362</v>
      </c>
      <c r="AF100" s="16">
        <f>AF104</f>
        <v>0.139246778989098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8.35" customHeight="1" hidden="1">
      <c r="AB101" s="36"/>
      <c r="AC101" s="175"/>
      <c r="AD101" t="s" s="45">
        <v>70</v>
      </c>
      <c r="AE101" t="s" s="44">
        <v>371</v>
      </c>
      <c r="AF101" t="s" s="44">
        <f>AL104</f>
        <v>372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8.35" customHeight="1" hidden="1">
      <c r="AB102" s="36"/>
      <c r="AC102" s="182"/>
      <c r="AD102" s="71">
        <f>P22</f>
        <v>0.0597883597883598</v>
      </c>
      <c r="AE102" s="16">
        <f>P23</f>
        <v>0.515726410384423</v>
      </c>
      <c r="AF102" s="16">
        <f>P24</f>
        <v>-0.234848484848485</v>
      </c>
      <c r="AG102" s="16">
        <f>P25</f>
        <v>-0.131295738269479</v>
      </c>
      <c r="AH102" s="16">
        <f>P26</f>
        <v>0.139246778989098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8.35" customHeight="1" hidden="1">
      <c r="AB103" s="36"/>
      <c r="AC103" s="175"/>
      <c r="AD103" s="67">
        <f>C22</f>
        <v>200.3</v>
      </c>
      <c r="AE103" s="26">
        <f>C23</f>
        <v>303.6</v>
      </c>
      <c r="AF103" s="26">
        <f>C24</f>
        <v>232.3</v>
      </c>
      <c r="AG103" s="26">
        <f>C25</f>
        <v>201.8</v>
      </c>
      <c r="AH103" s="26">
        <f>C26</f>
        <v>229.9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8.35" customHeight="1" hidden="1">
      <c r="AB104" s="36"/>
      <c r="AC104" s="175"/>
      <c r="AD104" t="s" s="45">
        <v>2</v>
      </c>
      <c r="AE104" t="s" s="44">
        <f>IF(AF104&lt;0,"declined","grew")</f>
        <v>362</v>
      </c>
      <c r="AF104" s="16">
        <f>AH103/AG103-1</f>
        <v>0.139246778989098</v>
      </c>
      <c r="AG104" t="s" s="44">
        <v>73</v>
      </c>
      <c r="AH104" t="s" s="44">
        <v>74</v>
      </c>
      <c r="AI104" t="s" s="44">
        <v>75</v>
      </c>
      <c r="AJ104" t="s" s="44">
        <v>76</v>
      </c>
      <c r="AK104" s="26">
        <f>AH103</f>
        <v>229.9</v>
      </c>
      <c r="AL104" t="s" s="44">
        <v>372</v>
      </c>
      <c r="AM104" t="s" s="44">
        <v>378</v>
      </c>
      <c r="AN104" s="16">
        <v>0.0297063450445726</v>
      </c>
      <c r="AO104" t="s" s="44">
        <v>78</v>
      </c>
      <c r="AP104" s="17"/>
      <c r="AQ104" s="17"/>
      <c r="AR104" s="17"/>
      <c r="AS104" s="17"/>
      <c r="AT104" s="17"/>
      <c r="AU104" s="17"/>
    </row>
    <row r="105" ht="8.35" customHeight="1" hidden="1">
      <c r="AB105" s="36"/>
      <c r="AC105" s="175"/>
      <c r="AD105" t="s" s="45">
        <v>79</v>
      </c>
      <c r="AE105" s="16">
        <f>AVERAGE(AE102:AH102)</f>
        <v>0.0722072415638893</v>
      </c>
      <c r="AF105" t="s" s="44">
        <v>80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8.35" customHeight="1" hidden="1">
      <c r="AB106" s="36"/>
      <c r="AC106" s="175"/>
      <c r="AD106" t="s" s="45">
        <v>81</v>
      </c>
      <c r="AE106" s="35">
        <f>AG48</f>
        <v>0.095</v>
      </c>
      <c r="AF106" t="s" s="44">
        <v>82</v>
      </c>
      <c r="AG106" t="s" s="44">
        <v>83</v>
      </c>
      <c r="AH106" s="26">
        <f>AG51</f>
        <v>303.6921525</v>
      </c>
      <c r="AI106" t="s" s="44">
        <f>AL104</f>
        <v>372</v>
      </c>
      <c r="AJ106" t="s" s="44">
        <v>84</v>
      </c>
      <c r="AK106" t="s" s="44">
        <f>AH104</f>
        <v>74</v>
      </c>
      <c r="AL106" t="s" s="44">
        <f>AI104</f>
        <v>75</v>
      </c>
      <c r="AM106" t="s" s="44">
        <v>85</v>
      </c>
      <c r="AN106" s="17"/>
      <c r="AO106" s="17"/>
      <c r="AP106" s="17"/>
      <c r="AQ106" s="17"/>
      <c r="AR106" s="17"/>
      <c r="AS106" s="17"/>
      <c r="AT106" s="17"/>
      <c r="AU106" s="17"/>
    </row>
    <row r="107" ht="8.35" customHeight="1" hidden="1">
      <c r="AB107" s="36"/>
      <c r="AC107" s="175"/>
      <c r="AD107" t="s" s="45">
        <v>14</v>
      </c>
      <c r="AE107" t="s" s="44">
        <f>IF(AG111&lt;AE111,"down","up")</f>
        <v>87</v>
      </c>
      <c r="AF107" t="s" s="44">
        <v>86</v>
      </c>
      <c r="AG107" t="s" s="44">
        <f>IF(AK111&gt;AI111,"up","down")</f>
        <v>87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8.35" customHeight="1" hidden="1">
      <c r="AB108" s="36"/>
      <c r="AC108" s="175"/>
      <c r="AD108" t="s" s="45">
        <f>AD101</f>
        <v>70</v>
      </c>
      <c r="AE108" t="s" s="44">
        <v>88</v>
      </c>
      <c r="AF108" t="s" s="44">
        <f>AL104</f>
        <v>372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8.35" customHeight="1" hidden="1">
      <c r="AB109" s="36"/>
      <c r="AC109" s="182"/>
      <c r="AD109" s="71">
        <f>(D22+E22)/C22</f>
        <v>0.0594108836744883</v>
      </c>
      <c r="AE109" s="16">
        <f>(D23+E23)/C23</f>
        <v>0.0263504611330698</v>
      </c>
      <c r="AF109" s="16">
        <f>((E24+D24)/C24)</f>
        <v>0.0585449849332759</v>
      </c>
      <c r="AG109" s="16">
        <f>(D25+E25)/C25</f>
        <v>0.0460852329038652</v>
      </c>
      <c r="AH109" s="16">
        <f>(D26+E26)/C26</f>
        <v>0.017833840800348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8.35" customHeight="1" hidden="1">
      <c r="AB110" s="36"/>
      <c r="AC110" s="175"/>
      <c r="AD110" s="67">
        <f>E22</f>
        <v>3.9</v>
      </c>
      <c r="AE110" s="26">
        <f>E23</f>
        <v>1.1</v>
      </c>
      <c r="AF110" s="26">
        <f>E24</f>
        <v>5.7</v>
      </c>
      <c r="AG110" s="26">
        <f>E25</f>
        <v>0.9</v>
      </c>
      <c r="AH110" s="26">
        <f>E26</f>
        <v>-4.6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8.35" customHeight="1" hidden="1">
      <c r="AB111" s="36"/>
      <c r="AC111" s="175"/>
      <c r="AD111" t="s" s="45">
        <v>89</v>
      </c>
      <c r="AE111" s="16">
        <f>AG109</f>
        <v>0.0460852329038652</v>
      </c>
      <c r="AF111" t="s" s="44">
        <v>76</v>
      </c>
      <c r="AG111" s="16">
        <f>AH109</f>
        <v>0.017833840800348</v>
      </c>
      <c r="AH111" t="s" s="44">
        <v>90</v>
      </c>
      <c r="AI111" s="26">
        <f>AG110</f>
        <v>0.9</v>
      </c>
      <c r="AJ111" t="s" s="44">
        <v>76</v>
      </c>
      <c r="AK111" s="26">
        <f>AH110</f>
        <v>-4.6</v>
      </c>
      <c r="AL111" t="s" s="44">
        <f>AI106</f>
        <v>372</v>
      </c>
      <c r="AM111" t="s" s="44">
        <v>73</v>
      </c>
      <c r="AN111" t="s" s="44">
        <f>AK106</f>
        <v>74</v>
      </c>
      <c r="AO111" t="s" s="44">
        <v>91</v>
      </c>
      <c r="AP111" s="17"/>
      <c r="AQ111" s="17"/>
      <c r="AR111" s="17"/>
      <c r="AS111" s="17"/>
      <c r="AT111" s="17"/>
      <c r="AU111" s="17"/>
    </row>
    <row r="112" ht="8.35" customHeight="1" hidden="1">
      <c r="AB112" s="36"/>
      <c r="AC112" s="175"/>
      <c r="AD112" t="s" s="45">
        <v>92</v>
      </c>
      <c r="AE112" s="16">
        <f>AVERAGE(AE109:AH109)</f>
        <v>0.0372036299426397</v>
      </c>
      <c r="AF112" t="s" s="44">
        <v>78</v>
      </c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8.35" customHeight="1" hidden="1">
      <c r="AB113" s="36"/>
      <c r="AC113" s="175"/>
      <c r="AD113" t="s" s="45">
        <v>93</v>
      </c>
      <c r="AE113" s="35">
        <f>AD52</f>
        <v>0.0372036299426397</v>
      </c>
      <c r="AF113" t="s" s="44">
        <v>94</v>
      </c>
      <c r="AG113" s="26">
        <f>AG65</f>
        <v>2.96511712476037</v>
      </c>
      <c r="AH113" t="s" s="44">
        <f>AL111</f>
        <v>372</v>
      </c>
      <c r="AI113" t="s" s="44">
        <v>95</v>
      </c>
      <c r="AJ113" t="s" s="44">
        <f>AN111</f>
        <v>74</v>
      </c>
      <c r="AK113" t="s" s="44">
        <f>AI104</f>
        <v>75</v>
      </c>
      <c r="AL113" t="s" s="44">
        <f>AM106</f>
        <v>85</v>
      </c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8.35" customHeight="1" hidden="1">
      <c r="AB114" s="36"/>
      <c r="AC114" s="175"/>
      <c r="AD114" t="s" s="45">
        <v>15</v>
      </c>
      <c r="AE114" t="s" s="44">
        <f>IF(AG118&lt;AE118,"lower","higher")</f>
        <v>363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8.35" customHeight="1" hidden="1">
      <c r="AB115" s="36"/>
      <c r="AC115" s="175"/>
      <c r="AD115" t="s" s="45">
        <f>AD108</f>
        <v>70</v>
      </c>
      <c r="AE115" t="s" s="44">
        <v>96</v>
      </c>
      <c r="AF115" t="s" s="44">
        <f>AL104</f>
        <v>372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8.35" customHeight="1" hidden="1">
      <c r="AB116" s="36"/>
      <c r="AC116" s="175"/>
      <c r="AD116" s="67">
        <f>J22</f>
        <v>-55.6</v>
      </c>
      <c r="AE116" s="26">
        <f>J23</f>
        <v>15.849</v>
      </c>
      <c r="AF116" s="26">
        <f>J24</f>
        <v>48.3</v>
      </c>
      <c r="AG116" s="26">
        <f>J25</f>
        <v>-8.1</v>
      </c>
      <c r="AH116" s="26">
        <f>J26</f>
        <v>145.5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8.35" customHeight="1" hidden="1">
      <c r="AB117" s="36"/>
      <c r="AC117" s="175"/>
      <c r="AD117" s="67">
        <f>K22</f>
        <v>-5.2</v>
      </c>
      <c r="AE117" s="26">
        <f>K23</f>
        <v>-19.929</v>
      </c>
      <c r="AF117" s="26">
        <f>K24</f>
        <v>-4.4</v>
      </c>
      <c r="AG117" s="26">
        <f>K25</f>
        <v>-10</v>
      </c>
      <c r="AH117" s="26">
        <f>K26</f>
        <v>-21.4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8.35" customHeight="1" hidden="1">
      <c r="AB118" s="36"/>
      <c r="AC118" s="175"/>
      <c r="AD118" t="s" s="45">
        <v>97</v>
      </c>
      <c r="AE118" s="26">
        <f>AG116+AG117</f>
        <v>-18.1</v>
      </c>
      <c r="AF118" t="s" s="44">
        <v>76</v>
      </c>
      <c r="AG118" s="26">
        <f>AH116+AH117</f>
        <v>124.1</v>
      </c>
      <c r="AH118" t="s" s="44">
        <f>AH113</f>
        <v>372</v>
      </c>
      <c r="AI118" t="s" s="44">
        <v>84</v>
      </c>
      <c r="AJ118" t="s" s="44">
        <f>AJ113</f>
        <v>74</v>
      </c>
      <c r="AK118" t="s" s="44">
        <v>98</v>
      </c>
      <c r="AL118" s="26">
        <f>AH117</f>
        <v>-21.4</v>
      </c>
      <c r="AM118" t="s" s="44">
        <f>AL104</f>
        <v>372</v>
      </c>
      <c r="AN118" t="s" s="44">
        <v>99</v>
      </c>
      <c r="AO118" s="17"/>
      <c r="AP118" s="17"/>
      <c r="AQ118" s="17"/>
      <c r="AR118" s="17"/>
      <c r="AS118" s="17"/>
      <c r="AT118" s="17"/>
      <c r="AU118" s="17"/>
    </row>
    <row r="119" ht="8.35" customHeight="1" hidden="1">
      <c r="AB119" s="36"/>
      <c r="AC119" s="175"/>
      <c r="AD119" t="s" s="45">
        <v>100</v>
      </c>
      <c r="AE119" s="26">
        <f>SUM(AE116:AH117)/4</f>
        <v>36.455</v>
      </c>
      <c r="AF119" t="s" s="44">
        <f>AL104</f>
        <v>372</v>
      </c>
      <c r="AG119" t="s" s="44">
        <v>78</v>
      </c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8.35" customHeight="1" hidden="1">
      <c r="AB120" s="36"/>
      <c r="AC120" s="175"/>
      <c r="AD120" t="s" s="45">
        <v>101</v>
      </c>
      <c r="AE120" s="26">
        <f>AD53</f>
        <v>-10</v>
      </c>
      <c r="AF120" t="s" s="44">
        <f>AF119</f>
        <v>372</v>
      </c>
      <c r="AG120" t="s" s="44">
        <v>102</v>
      </c>
      <c r="AH120" t="s" s="44">
        <v>103</v>
      </c>
      <c r="AI120" t="s" s="44">
        <f>IF(AH106&gt;AK104,"higher","lower")</f>
        <v>363</v>
      </c>
      <c r="AJ120" t="s" s="44">
        <v>105</v>
      </c>
      <c r="AK120" s="26">
        <f>SUM(AD54:AG54)/4</f>
        <v>1.66104905693759</v>
      </c>
      <c r="AL120" t="s" s="44">
        <f>AF120</f>
        <v>372</v>
      </c>
      <c r="AM120" t="s" s="44">
        <v>106</v>
      </c>
      <c r="AN120" t="s" s="44">
        <v>107</v>
      </c>
      <c r="AO120" s="17"/>
      <c r="AP120" s="17"/>
      <c r="AQ120" s="17"/>
      <c r="AR120" s="17"/>
      <c r="AS120" s="17"/>
      <c r="AT120" s="17"/>
      <c r="AU120" s="17"/>
    </row>
    <row r="121" ht="8.35" customHeight="1" hidden="1">
      <c r="AB121" s="36"/>
      <c r="AC121" s="175"/>
      <c r="AD121" t="s" s="45">
        <v>18</v>
      </c>
      <c r="AE121" t="s" s="44">
        <f>AL126</f>
        <v>87</v>
      </c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8.35" customHeight="1" hidden="1">
      <c r="AB122" s="36"/>
      <c r="AC122" s="175"/>
      <c r="AD122" t="s" s="45">
        <f>AD101</f>
        <v>70</v>
      </c>
      <c r="AE122" t="s" s="44">
        <v>109</v>
      </c>
      <c r="AF122" t="s" s="44">
        <f>AL104</f>
        <v>372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8.35" customHeight="1" hidden="1">
      <c r="AB123" s="36"/>
      <c r="AC123" s="175"/>
      <c r="AD123" s="67">
        <f>F22</f>
        <v>4</v>
      </c>
      <c r="AE123" s="26">
        <f>F23</f>
        <v>5</v>
      </c>
      <c r="AF123" s="26">
        <f>F24</f>
        <v>6</v>
      </c>
      <c r="AG123" s="26">
        <f>F25</f>
        <v>2</v>
      </c>
      <c r="AH123" s="26">
        <f>F26</f>
        <v>5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8.35" customHeight="1" hidden="1">
      <c r="AB124" s="36"/>
      <c r="AC124" s="175"/>
      <c r="AD124" s="67">
        <f>G22</f>
        <v>323</v>
      </c>
      <c r="AE124" s="26">
        <f>G23</f>
        <v>320</v>
      </c>
      <c r="AF124" s="26">
        <f>G24</f>
        <v>279</v>
      </c>
      <c r="AG124" s="26">
        <f>G25</f>
        <v>298</v>
      </c>
      <c r="AH124" s="26">
        <f>G26</f>
        <v>304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8.35" customHeight="1" hidden="1">
      <c r="AB125" s="36"/>
      <c r="AC125" s="175"/>
      <c r="AD125" t="s" s="45">
        <v>110</v>
      </c>
      <c r="AE125" t="s" s="44">
        <f>IF(AH125&lt;AF125,"declined","increased")</f>
        <v>111</v>
      </c>
      <c r="AF125" s="26">
        <f>AG123</f>
        <v>2</v>
      </c>
      <c r="AG125" t="s" s="44">
        <v>76</v>
      </c>
      <c r="AH125" s="26">
        <f>AH123</f>
        <v>5</v>
      </c>
      <c r="AI125" t="s" s="44">
        <f>AL120</f>
        <v>372</v>
      </c>
      <c r="AJ125" t="s" s="44">
        <v>84</v>
      </c>
      <c r="AK125" t="s" s="44">
        <f>AH104</f>
        <v>74</v>
      </c>
      <c r="AL125" t="s" s="44">
        <f>AO111</f>
        <v>91</v>
      </c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8.35" customHeight="1" hidden="1">
      <c r="AB126" s="36"/>
      <c r="AC126" s="175"/>
      <c r="AD126" t="s" s="45">
        <v>112</v>
      </c>
      <c r="AE126" t="s" s="44">
        <f>IF(AH126&lt;AF126,"declined","increased")</f>
        <v>111</v>
      </c>
      <c r="AF126" s="26">
        <f>AG124</f>
        <v>298</v>
      </c>
      <c r="AG126" t="s" s="44">
        <v>76</v>
      </c>
      <c r="AH126" s="26">
        <f>AH124</f>
        <v>304</v>
      </c>
      <c r="AI126" t="s" s="44">
        <f>AI125</f>
        <v>372</v>
      </c>
      <c r="AJ126" t="s" s="44">
        <v>113</v>
      </c>
      <c r="AK126" t="s" s="44">
        <v>114</v>
      </c>
      <c r="AL126" t="s" s="44">
        <f>IF(AO126&lt;AM126,"down","up")</f>
        <v>87</v>
      </c>
      <c r="AM126" s="26">
        <f>AF125-AF126</f>
        <v>-296</v>
      </c>
      <c r="AN126" t="s" s="44">
        <v>76</v>
      </c>
      <c r="AO126" s="26">
        <f>AH125-AH126</f>
        <v>-299</v>
      </c>
      <c r="AP126" t="s" s="44">
        <f>AI126</f>
        <v>372</v>
      </c>
      <c r="AQ126" t="s" s="44">
        <v>115</v>
      </c>
      <c r="AR126" s="17"/>
      <c r="AS126" s="17"/>
      <c r="AT126" s="17"/>
      <c r="AU126" s="17"/>
    </row>
    <row r="127" ht="8.35" customHeight="1" hidden="1">
      <c r="AB127" s="36"/>
      <c r="AC127" s="175"/>
      <c r="AD127" t="s" s="45">
        <v>116</v>
      </c>
      <c r="AE127" s="26">
        <f>SUM(AD57:AG57)</f>
        <v>0</v>
      </c>
      <c r="AF127" t="s" s="44">
        <f>AI126</f>
        <v>372</v>
      </c>
      <c r="AG127" t="s" s="44">
        <v>117</v>
      </c>
      <c r="AH127" t="s" s="44">
        <f>IF(AI127&gt;0,"+","")</f>
      </c>
      <c r="AI127" s="26">
        <f>AD55+AE55+AF55+AG55+AD59+AE59+AF59+AG59</f>
        <v>-6.6441962277504</v>
      </c>
      <c r="AJ127" t="s" s="44">
        <f>AP126</f>
        <v>372</v>
      </c>
      <c r="AK127" t="s" s="44">
        <v>118</v>
      </c>
      <c r="AL127" t="s" s="44">
        <v>119</v>
      </c>
      <c r="AM127" s="26">
        <f>AG74</f>
        <v>-292.355803772250</v>
      </c>
      <c r="AN127" t="s" s="44">
        <f>AI126</f>
        <v>372</v>
      </c>
      <c r="AO127" t="s" s="44">
        <v>120</v>
      </c>
      <c r="AP127" s="17"/>
      <c r="AQ127" s="17"/>
      <c r="AR127" s="17"/>
      <c r="AS127" s="17"/>
      <c r="AT127" s="17"/>
      <c r="AU127" s="17"/>
    </row>
    <row r="128" ht="8.35" customHeight="1" hidden="1">
      <c r="AB128" s="36"/>
      <c r="AC128" s="175"/>
      <c r="AD128" t="s" s="45">
        <v>17</v>
      </c>
      <c r="AE128" t="s" s="44">
        <f>AE132</f>
        <v>374</v>
      </c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8.35" customHeight="1" hidden="1">
      <c r="AB129" s="36"/>
      <c r="AC129" s="175"/>
      <c r="AD129" t="s" s="45">
        <f>AD101</f>
        <v>70</v>
      </c>
      <c r="AE129" t="s" s="44">
        <v>379</v>
      </c>
      <c r="AF129" t="s" s="44">
        <f>AL104</f>
        <v>372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8.35" customHeight="1" hidden="1">
      <c r="AB130" s="36"/>
      <c r="AC130" s="175"/>
      <c r="AD130" s="67">
        <f>-L22</f>
        <v>-70.67400000000001</v>
      </c>
      <c r="AE130" s="26">
        <f>-L23</f>
        <v>27.452</v>
      </c>
      <c r="AF130" s="26">
        <f>-L24</f>
        <v>42.6</v>
      </c>
      <c r="AG130" s="26">
        <f>-L25</f>
        <v>-17.6</v>
      </c>
      <c r="AH130" s="26">
        <f>-L26</f>
        <v>16.8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8.35" customHeight="1" hidden="1">
      <c r="AB131" s="36"/>
      <c r="AC131" s="175"/>
      <c r="AD131" s="67">
        <f>-M22</f>
        <v>9.677</v>
      </c>
      <c r="AE131" s="26">
        <f>-M23</f>
        <v>0.023</v>
      </c>
      <c r="AF131" s="26">
        <f>-M24</f>
        <v>0</v>
      </c>
      <c r="AG131" s="26">
        <f>-M25</f>
        <v>0</v>
      </c>
      <c r="AH131" s="26">
        <f>-M26</f>
        <v>10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8.35" customHeight="1" hidden="1">
      <c r="AB132" s="36"/>
      <c r="AC132" s="175"/>
      <c r="AD132" t="s" s="45">
        <f>AD93</f>
        <v>611</v>
      </c>
      <c r="AE132" t="s" s="44">
        <f>IF(AF132&gt;0,"paid","(raised)")</f>
        <v>374</v>
      </c>
      <c r="AF132" s="26">
        <f>SUM(AH130:AH131)</f>
        <v>26.8</v>
      </c>
      <c r="AG132" t="s" s="44">
        <f>AL104</f>
        <v>372</v>
      </c>
      <c r="AH132" t="s" s="44">
        <f>AG104</f>
        <v>73</v>
      </c>
      <c r="AI132" t="s" s="44">
        <f>AH104</f>
        <v>74</v>
      </c>
      <c r="AJ132" t="s" s="44">
        <f>AI104</f>
        <v>75</v>
      </c>
      <c r="AK132" s="26">
        <f>AH130</f>
        <v>16.8</v>
      </c>
      <c r="AL132" t="s" s="44">
        <f>AL104</f>
        <v>372</v>
      </c>
      <c r="AM132" t="s" s="44">
        <v>123</v>
      </c>
      <c r="AN132" s="26">
        <f>AH131</f>
        <v>10</v>
      </c>
      <c r="AO132" t="s" s="44">
        <f>AL104</f>
        <v>372</v>
      </c>
      <c r="AP132" t="s" s="44">
        <v>389</v>
      </c>
      <c r="AQ132" t="s" s="44">
        <v>475</v>
      </c>
      <c r="AR132" t="s" s="44">
        <f>IF(AS132&gt;0,"pay","raise")</f>
        <v>364</v>
      </c>
      <c r="AS132" s="26">
        <f>-SUM(AD75:AG75)</f>
        <v>6.6441962277504</v>
      </c>
      <c r="AT132" t="s" s="44">
        <f>AL104</f>
        <v>372</v>
      </c>
      <c r="AU132" t="s" s="44">
        <v>126</v>
      </c>
    </row>
    <row r="133" ht="8.35" customHeight="1" hidden="1">
      <c r="AB133" s="36"/>
      <c r="AC133" s="175"/>
      <c r="AD133" t="s" s="45">
        <v>375</v>
      </c>
      <c r="AE133" s="26">
        <f>AG79</f>
        <v>967.7750272</v>
      </c>
      <c r="AF133" t="s" s="44">
        <f>AL104</f>
        <v>372</v>
      </c>
      <c r="AG133" t="s" s="44">
        <v>128</v>
      </c>
      <c r="AH133" t="s" s="44">
        <v>129</v>
      </c>
      <c r="AI133" s="26">
        <f>AG81</f>
        <v>0.998049185837057</v>
      </c>
      <c r="AJ133" t="s" s="44">
        <v>130</v>
      </c>
      <c r="AK133" t="s" s="44">
        <v>131</v>
      </c>
      <c r="AL133" t="s" s="44">
        <v>132</v>
      </c>
      <c r="AM133" s="26">
        <f>AG84</f>
        <v>145.691061314086</v>
      </c>
      <c r="AN133" t="s" s="44">
        <v>133</v>
      </c>
      <c r="AO133" s="16">
        <f>-AE127/AE133</f>
        <v>0</v>
      </c>
      <c r="AP133" t="s" s="44">
        <v>134</v>
      </c>
      <c r="AQ133" s="17"/>
      <c r="AR133" s="17"/>
      <c r="AS133" s="17"/>
      <c r="AT133" s="17"/>
      <c r="AU133" s="17"/>
    </row>
    <row r="134" ht="8.35" customHeight="1" hidden="1">
      <c r="AB134" s="36"/>
      <c r="AC134" s="175"/>
      <c r="AD134" t="s" s="45">
        <v>135</v>
      </c>
      <c r="AE134" s="26">
        <f>AG83</f>
        <v>6.64419622775037</v>
      </c>
      <c r="AF134" t="s" s="44">
        <f>AF133</f>
        <v>372</v>
      </c>
      <c r="AG134" t="s" s="44">
        <v>136</v>
      </c>
      <c r="AH134" s="26">
        <f>AE133/AE134</f>
        <v>145.657201266567</v>
      </c>
      <c r="AI134" t="s" s="44">
        <v>130</v>
      </c>
      <c r="AJ134" t="s" s="44">
        <v>137</v>
      </c>
      <c r="AK134" t="s" s="44">
        <v>138</v>
      </c>
      <c r="AL134" s="26">
        <f>AG85</f>
        <v>150</v>
      </c>
      <c r="AM134" t="s" s="44">
        <v>139</v>
      </c>
      <c r="AN134" t="s" s="44">
        <v>140</v>
      </c>
      <c r="AO134" t="s" s="44">
        <v>141</v>
      </c>
      <c r="AP134" s="16">
        <f>AJ93</f>
        <v>0.02981520100393</v>
      </c>
      <c r="AQ134" t="s" s="44">
        <f>IF(AP134&gt;0,"higher","lower")</f>
        <v>363</v>
      </c>
      <c r="AR134" t="s" s="44">
        <v>142</v>
      </c>
      <c r="AS134" s="26">
        <f>AH93</f>
        <v>102.981520100393</v>
      </c>
      <c r="AT134" t="s" s="44">
        <v>143</v>
      </c>
      <c r="AU134" s="17"/>
    </row>
    <row r="135" ht="8.35" customHeight="1" hidden="1">
      <c r="AB135" s="36"/>
      <c r="AC135" s="175"/>
      <c r="AD135" s="34"/>
      <c r="AE135" s="17"/>
      <c r="AF135" s="17"/>
      <c r="AG135" s="17"/>
      <c r="AH135" s="26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8.35" customHeight="1" hidden="1">
      <c r="AB136" t="s" s="33">
        <v>28</v>
      </c>
      <c r="AC136" s="183">
        <f>AD103</f>
        <v>200.3</v>
      </c>
      <c r="AD136" s="67">
        <f>AE103</f>
        <v>303.6</v>
      </c>
      <c r="AE136" s="26">
        <f>AF103</f>
        <v>232.3</v>
      </c>
      <c r="AF136" s="26">
        <f>AG103</f>
        <v>201.8</v>
      </c>
      <c r="AG136" s="26">
        <f>AH103</f>
        <v>229.9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8.35" customHeight="1" hidden="1">
      <c r="AB137" t="s" s="33">
        <v>144</v>
      </c>
      <c r="AC137" s="183">
        <f>SUM(AD116:AD117)</f>
        <v>-60.8</v>
      </c>
      <c r="AD137" s="67">
        <f>SUM(AE116:AE117)</f>
        <v>-4.08</v>
      </c>
      <c r="AE137" s="26">
        <f>SUM(AF116:AF117)</f>
        <v>43.9</v>
      </c>
      <c r="AF137" s="26">
        <f>SUM(AG116:AG117)</f>
        <v>-18.1</v>
      </c>
      <c r="AG137" s="26">
        <f>SUM(AH116:AH117)</f>
        <v>124.1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8.35" customHeight="1" hidden="1">
      <c r="AB138" t="s" s="33">
        <v>145</v>
      </c>
      <c r="AC138" s="183">
        <f>SUM(AD130:AD131)</f>
        <v>-60.997</v>
      </c>
      <c r="AD138" s="67">
        <f>SUM(AE130:AE131)</f>
        <v>27.475</v>
      </c>
      <c r="AE138" s="26">
        <f>SUM(AF130:AF131)</f>
        <v>42.6</v>
      </c>
      <c r="AF138" s="26">
        <f>SUM(AG130:AG131)</f>
        <v>-17.6</v>
      </c>
      <c r="AG138" s="26">
        <f>SUM(AH130:AH131)</f>
        <v>26.8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8.35" customHeight="1" hidden="1">
      <c r="AB139" s="36"/>
      <c r="AC139" s="183">
        <f>(AD123-AD124)</f>
        <v>-319</v>
      </c>
      <c r="AD139" s="67">
        <f>(AE123-AE124)</f>
        <v>-315</v>
      </c>
      <c r="AE139" s="26">
        <f>(AF123-AF124)</f>
        <v>-273</v>
      </c>
      <c r="AF139" s="26">
        <f>(AG123-AG124)</f>
        <v>-296</v>
      </c>
      <c r="AG139" s="26">
        <f>(AH123-AH124)</f>
        <v>-299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8.35" customHeight="1" hidden="1">
      <c r="AB140" s="36"/>
      <c r="AC140" s="175"/>
      <c r="AD140" s="34"/>
      <c r="AE140" s="17"/>
      <c r="AF140" s="17"/>
      <c r="AG140" s="26">
        <f>AS134</f>
        <v>102.981520100393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8.35" customHeight="1" hidden="1">
      <c r="AB141" s="36"/>
      <c r="AC141" s="175"/>
      <c r="AD141" s="34"/>
      <c r="AE141" s="17"/>
      <c r="AF141" s="17"/>
      <c r="AG141" s="17"/>
      <c r="AH141" s="26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8.35" customHeight="1" hidden="1">
      <c r="AB142" s="36"/>
      <c r="AC142" s="175"/>
      <c r="AD142" s="34"/>
      <c r="AE142" s="17"/>
      <c r="AF142" s="17"/>
      <c r="AG142" s="17"/>
      <c r="AH142" s="26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8.35" customHeight="1" hidden="1">
      <c r="AB143" s="36"/>
      <c r="AC143" s="175"/>
      <c r="AD143" s="34"/>
      <c r="AE143" s="17"/>
      <c r="AF143" s="17"/>
      <c r="AG143" s="17"/>
      <c r="AH143" s="26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8.35" customHeight="1" hidden="1">
      <c r="AB144" s="36"/>
      <c r="AC144" s="175"/>
      <c r="AD144" s="34"/>
      <c r="AE144" s="17"/>
      <c r="AF144" s="17"/>
      <c r="AG144" s="17"/>
      <c r="AH144" s="26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8.35" customHeight="1" hidden="1">
      <c r="AB145" s="36"/>
      <c r="AC145" s="175"/>
      <c r="AD145" s="34"/>
      <c r="AE145" s="17"/>
      <c r="AF145" s="17"/>
      <c r="AG145" s="17"/>
      <c r="AH145" s="26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8.35" customHeight="1" hidden="1">
      <c r="AB146" s="36"/>
      <c r="AC146" s="175"/>
      <c r="AD146" s="34"/>
      <c r="AE146" s="17"/>
      <c r="AF146" s="17"/>
      <c r="AG146" s="17"/>
      <c r="AH146" s="26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8.35" customHeight="1" hidden="1">
      <c r="AB147" s="36"/>
      <c r="AC147" s="175"/>
      <c r="AD147" s="34"/>
      <c r="AE147" s="17"/>
      <c r="AF147" s="17"/>
      <c r="AG147" s="17"/>
      <c r="AH147" s="26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</sheetData>
  <mergeCells count="2">
    <mergeCell ref="B2:AA2"/>
    <mergeCell ref="AB45:AU4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A33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2.39062" style="251" customWidth="1"/>
    <col min="2" max="27" width="10.4844" style="251" customWidth="1"/>
    <col min="28" max="16384" width="16.3516" style="251" customWidth="1"/>
  </cols>
  <sheetData>
    <row r="1" ht="43.95" customHeight="1"/>
    <row r="2" ht="27.65" customHeight="1">
      <c r="B2" t="s" s="2">
        <v>612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198</v>
      </c>
      <c r="Z3" t="s" s="3">
        <v>19</v>
      </c>
      <c r="AA3" t="s" s="3">
        <v>20</v>
      </c>
    </row>
    <row r="4" ht="20.25" customHeight="1">
      <c r="B4" s="6">
        <v>2017</v>
      </c>
      <c r="C4" s="7">
        <v>1050.7</v>
      </c>
      <c r="D4" s="8">
        <v>40.8975</v>
      </c>
      <c r="E4" s="8">
        <v>200.83</v>
      </c>
      <c r="F4" s="8">
        <v>3085.6</v>
      </c>
      <c r="G4" s="8">
        <v>718.2</v>
      </c>
      <c r="H4" s="8">
        <v>5625.9</v>
      </c>
      <c r="I4" s="8">
        <v>970.9</v>
      </c>
      <c r="J4" s="8">
        <v>39.9</v>
      </c>
      <c r="K4" s="8">
        <v>2.66</v>
      </c>
      <c r="L4" s="8">
        <v>0</v>
      </c>
      <c r="M4" s="8">
        <v>-35.414575</v>
      </c>
      <c r="N4" s="9"/>
      <c r="O4" s="9"/>
      <c r="P4" s="55"/>
      <c r="Q4" s="55"/>
      <c r="R4" s="9"/>
      <c r="S4" s="9"/>
      <c r="T4" s="9"/>
      <c r="U4" s="9"/>
      <c r="V4" s="9"/>
      <c r="W4" s="8">
        <v>2367.4</v>
      </c>
      <c r="X4" s="73"/>
      <c r="Y4" s="10"/>
      <c r="Z4" s="252"/>
      <c r="AA4" s="12">
        <v>13.3</v>
      </c>
    </row>
    <row r="5" ht="20.05" customHeight="1">
      <c r="B5" s="13"/>
      <c r="C5" s="14">
        <v>1146.122</v>
      </c>
      <c r="D5" s="15">
        <v>40.980525</v>
      </c>
      <c r="E5" s="15">
        <v>158.5913</v>
      </c>
      <c r="F5" s="15">
        <v>3305.096</v>
      </c>
      <c r="G5" s="15">
        <v>839.601</v>
      </c>
      <c r="H5" s="15">
        <v>5823.899</v>
      </c>
      <c r="I5" s="15">
        <v>1132.795</v>
      </c>
      <c r="J5" s="15">
        <v>306.521</v>
      </c>
      <c r="K5" s="15">
        <v>-31.9848</v>
      </c>
      <c r="L5" s="15">
        <v>0</v>
      </c>
      <c r="M5" s="15">
        <v>-35.48646925</v>
      </c>
      <c r="N5" s="17"/>
      <c r="O5" s="17"/>
      <c r="P5" s="16"/>
      <c r="Q5" s="16"/>
      <c r="R5" s="17"/>
      <c r="S5" s="17"/>
      <c r="T5" s="17"/>
      <c r="U5" s="17"/>
      <c r="V5" s="17"/>
      <c r="W5" s="15">
        <v>2465.495</v>
      </c>
      <c r="X5" s="24"/>
      <c r="Y5" s="18"/>
      <c r="Z5" s="22"/>
      <c r="AA5" s="20">
        <v>13.327</v>
      </c>
    </row>
    <row r="6" ht="20.05" customHeight="1">
      <c r="B6" s="13"/>
      <c r="C6" s="14">
        <v>984.5700000000001</v>
      </c>
      <c r="D6" s="15">
        <v>40.912875</v>
      </c>
      <c r="E6" s="15">
        <v>172.965</v>
      </c>
      <c r="F6" s="15">
        <v>3206.505</v>
      </c>
      <c r="G6" s="15">
        <v>625.335</v>
      </c>
      <c r="H6" s="15">
        <v>5734.455</v>
      </c>
      <c r="I6" s="15">
        <v>971.265</v>
      </c>
      <c r="J6" s="15">
        <v>-39.915</v>
      </c>
      <c r="K6" s="15">
        <v>-1.3305</v>
      </c>
      <c r="L6" s="15">
        <v>0</v>
      </c>
      <c r="M6" s="15">
        <v>-35.42788875</v>
      </c>
      <c r="N6" s="17"/>
      <c r="O6" s="17"/>
      <c r="P6" s="16"/>
      <c r="Q6" s="16"/>
      <c r="R6" s="17"/>
      <c r="S6" s="17"/>
      <c r="T6" s="17"/>
      <c r="U6" s="17"/>
      <c r="V6" s="17"/>
      <c r="W6" s="15">
        <v>2581.17</v>
      </c>
      <c r="X6" s="24"/>
      <c r="Y6" s="18"/>
      <c r="Z6" s="22"/>
      <c r="AA6" s="20">
        <v>13.305</v>
      </c>
    </row>
    <row r="7" ht="20.05" customHeight="1">
      <c r="B7" s="13"/>
      <c r="C7" s="14">
        <v>1179.459</v>
      </c>
      <c r="D7" s="15">
        <v>41.687775</v>
      </c>
      <c r="E7" s="15">
        <v>212.8449</v>
      </c>
      <c r="F7" s="15">
        <v>3606.162</v>
      </c>
      <c r="G7" s="15">
        <v>867.648</v>
      </c>
      <c r="H7" s="15">
        <v>6222.663</v>
      </c>
      <c r="I7" s="15">
        <v>1260.801</v>
      </c>
      <c r="J7" s="15">
        <v>428.4012</v>
      </c>
      <c r="K7" s="15">
        <v>-85.4091</v>
      </c>
      <c r="L7" s="15">
        <v>0</v>
      </c>
      <c r="M7" s="15">
        <v>-36.09890175</v>
      </c>
      <c r="N7" s="17"/>
      <c r="O7" s="17"/>
      <c r="P7" s="16"/>
      <c r="Q7" s="16"/>
      <c r="R7" s="17"/>
      <c r="S7" s="17"/>
      <c r="T7" s="17"/>
      <c r="U7" s="17"/>
      <c r="V7" s="17"/>
      <c r="W7" s="15">
        <v>2738.514</v>
      </c>
      <c r="X7" s="24"/>
      <c r="Y7" s="18"/>
      <c r="Z7" s="22"/>
      <c r="AA7" s="20">
        <v>13.557</v>
      </c>
    </row>
    <row r="8" ht="20.05" customHeight="1">
      <c r="B8" s="21">
        <v>2018</v>
      </c>
      <c r="C8" s="14">
        <v>1197.207</v>
      </c>
      <c r="D8" s="15">
        <v>51.60375</v>
      </c>
      <c r="E8" s="15">
        <v>216.0477</v>
      </c>
      <c r="F8" s="15">
        <v>3674.187</v>
      </c>
      <c r="G8" s="15">
        <v>811.899</v>
      </c>
      <c r="H8" s="15">
        <v>6467.67</v>
      </c>
      <c r="I8" s="15">
        <v>1183.446</v>
      </c>
      <c r="J8" s="15">
        <v>188.5257</v>
      </c>
      <c r="K8" s="15">
        <v>-8.256600000000001</v>
      </c>
      <c r="L8" s="15">
        <v>-35.82332325</v>
      </c>
      <c r="M8" s="15">
        <v>-179.3952765</v>
      </c>
      <c r="N8" s="17"/>
      <c r="O8" s="17"/>
      <c r="P8" s="16"/>
      <c r="Q8" s="16"/>
      <c r="R8" s="17"/>
      <c r="S8" s="17"/>
      <c r="T8" s="17"/>
      <c r="U8" s="17"/>
      <c r="V8" s="17"/>
      <c r="W8" s="15">
        <v>2862.288</v>
      </c>
      <c r="X8" s="24"/>
      <c r="Y8" s="18">
        <v>544</v>
      </c>
      <c r="Z8" s="22"/>
      <c r="AA8" s="20">
        <v>13.761</v>
      </c>
    </row>
    <row r="9" ht="20.05" customHeight="1">
      <c r="B9" s="13"/>
      <c r="C9" s="14">
        <v>924</v>
      </c>
      <c r="D9" s="15">
        <v>52.5</v>
      </c>
      <c r="E9" s="15">
        <v>88.2</v>
      </c>
      <c r="F9" s="15">
        <v>3248</v>
      </c>
      <c r="G9" s="15">
        <v>882</v>
      </c>
      <c r="H9" s="15">
        <v>6076</v>
      </c>
      <c r="I9" s="15">
        <v>1036</v>
      </c>
      <c r="J9" s="15">
        <v>130.2</v>
      </c>
      <c r="K9" s="15">
        <v>0</v>
      </c>
      <c r="L9" s="15">
        <v>-36.4455</v>
      </c>
      <c r="M9" s="15">
        <v>-182.511</v>
      </c>
      <c r="N9" s="17"/>
      <c r="O9" s="17"/>
      <c r="P9" s="16"/>
      <c r="Q9" s="16"/>
      <c r="R9" s="17"/>
      <c r="S9" s="17"/>
      <c r="T9" s="17"/>
      <c r="U9" s="17"/>
      <c r="V9" s="17"/>
      <c r="W9" s="15">
        <v>2366</v>
      </c>
      <c r="X9" s="24"/>
      <c r="Y9" s="18">
        <v>496</v>
      </c>
      <c r="Z9" s="22"/>
      <c r="AA9" s="20">
        <v>14</v>
      </c>
    </row>
    <row r="10" ht="20.05" customHeight="1">
      <c r="B10" s="13"/>
      <c r="C10" s="14">
        <v>1192.16</v>
      </c>
      <c r="D10" s="15">
        <v>55.8825</v>
      </c>
      <c r="E10" s="15">
        <v>111.765</v>
      </c>
      <c r="F10" s="15">
        <v>3472.166</v>
      </c>
      <c r="G10" s="15">
        <v>1296.474</v>
      </c>
      <c r="H10" s="15">
        <v>6914.528</v>
      </c>
      <c r="I10" s="15">
        <v>1013.336</v>
      </c>
      <c r="J10" s="15">
        <v>134.118</v>
      </c>
      <c r="K10" s="15">
        <v>-107.2944</v>
      </c>
      <c r="L10" s="15">
        <v>-38.7936315</v>
      </c>
      <c r="M10" s="15">
        <v>-194.269923</v>
      </c>
      <c r="N10" s="17"/>
      <c r="O10" s="17"/>
      <c r="P10" s="16"/>
      <c r="Q10" s="16"/>
      <c r="R10" s="17"/>
      <c r="S10" s="17"/>
      <c r="T10" s="17"/>
      <c r="U10" s="17"/>
      <c r="V10" s="17"/>
      <c r="W10" s="15">
        <v>2175.692</v>
      </c>
      <c r="X10" s="24"/>
      <c r="Y10" s="18">
        <v>480</v>
      </c>
      <c r="Z10" s="22"/>
      <c r="AA10" s="20">
        <v>14.902</v>
      </c>
    </row>
    <row r="11" ht="20.05" customHeight="1">
      <c r="B11" s="13"/>
      <c r="C11" s="14">
        <v>1495.52</v>
      </c>
      <c r="D11" s="15">
        <v>53.925</v>
      </c>
      <c r="E11" s="15">
        <v>150.99</v>
      </c>
      <c r="F11" s="15">
        <v>3106.08</v>
      </c>
      <c r="G11" s="15">
        <v>1143.21</v>
      </c>
      <c r="H11" s="15">
        <v>6729.84</v>
      </c>
      <c r="I11" s="15">
        <v>1423.62</v>
      </c>
      <c r="J11" s="15">
        <v>-102.098</v>
      </c>
      <c r="K11" s="15">
        <v>-64.70999999999999</v>
      </c>
      <c r="L11" s="15">
        <v>-37.434735</v>
      </c>
      <c r="M11" s="15">
        <v>-187.46487</v>
      </c>
      <c r="N11" s="17"/>
      <c r="O11" s="17"/>
      <c r="P11" s="16"/>
      <c r="Q11" s="16"/>
      <c r="R11" s="17"/>
      <c r="S11" s="17"/>
      <c r="T11" s="17"/>
      <c r="U11" s="17"/>
      <c r="V11" s="17"/>
      <c r="W11" s="15">
        <v>1962.87</v>
      </c>
      <c r="X11" s="24"/>
      <c r="Y11" s="18">
        <v>280</v>
      </c>
      <c r="Z11" s="22"/>
      <c r="AA11" s="20">
        <v>14.38</v>
      </c>
    </row>
    <row r="12" ht="20.05" customHeight="1">
      <c r="B12" s="21">
        <v>2019</v>
      </c>
      <c r="C12" s="14">
        <v>1025.28</v>
      </c>
      <c r="D12" s="15">
        <v>50.196</v>
      </c>
      <c r="E12" s="15">
        <v>99.68000000000001</v>
      </c>
      <c r="F12" s="15">
        <v>3218.24</v>
      </c>
      <c r="G12" s="15">
        <v>697.76</v>
      </c>
      <c r="H12" s="15">
        <v>6336.8</v>
      </c>
      <c r="I12" s="15">
        <v>1395.52</v>
      </c>
      <c r="J12" s="15">
        <v>182.272</v>
      </c>
      <c r="K12" s="15">
        <v>-39.872</v>
      </c>
      <c r="L12" s="15">
        <v>0</v>
      </c>
      <c r="M12" s="15">
        <v>-32.35684</v>
      </c>
      <c r="N12" s="15">
        <v>256.32</v>
      </c>
      <c r="O12" s="17"/>
      <c r="P12" s="16"/>
      <c r="Q12" s="16"/>
      <c r="R12" s="17"/>
      <c r="S12" s="17"/>
      <c r="T12" s="17"/>
      <c r="U12" s="15">
        <v>32.35684</v>
      </c>
      <c r="V12" s="17"/>
      <c r="W12" s="15">
        <v>2520.48</v>
      </c>
      <c r="X12" s="24"/>
      <c r="Y12" s="18">
        <v>286</v>
      </c>
      <c r="Z12" s="22"/>
      <c r="AA12" s="20">
        <v>14.24</v>
      </c>
    </row>
    <row r="13" ht="20.05" customHeight="1">
      <c r="B13" s="13"/>
      <c r="C13" s="14">
        <v>960.636</v>
      </c>
      <c r="D13" s="15">
        <v>49.797675</v>
      </c>
      <c r="E13" s="15">
        <v>101.7144</v>
      </c>
      <c r="F13" s="15">
        <v>3065.559</v>
      </c>
      <c r="G13" s="15">
        <v>601.8102</v>
      </c>
      <c r="H13" s="15">
        <v>6215.88</v>
      </c>
      <c r="I13" s="15">
        <v>762.8579999999999</v>
      </c>
      <c r="J13" s="15">
        <v>-28.254</v>
      </c>
      <c r="K13" s="15">
        <v>-5.6508</v>
      </c>
      <c r="L13" s="15">
        <v>0</v>
      </c>
      <c r="M13" s="15">
        <v>-32.10007575</v>
      </c>
      <c r="N13" s="15">
        <v>496.479</v>
      </c>
      <c r="O13" s="17"/>
      <c r="P13" s="16">
        <v>-0.0630500936329588</v>
      </c>
      <c r="Q13" s="16"/>
      <c r="R13" s="17"/>
      <c r="S13" s="15">
        <v>27.1238</v>
      </c>
      <c r="T13" s="17"/>
      <c r="U13" s="15">
        <v>64.45691574999999</v>
      </c>
      <c r="V13" s="17"/>
      <c r="W13" s="15">
        <v>2463.7488</v>
      </c>
      <c r="X13" s="24"/>
      <c r="Y13" s="18">
        <v>298</v>
      </c>
      <c r="Z13" s="24"/>
      <c r="AA13" s="15">
        <v>14.127</v>
      </c>
    </row>
    <row r="14" ht="20.05" customHeight="1">
      <c r="B14" s="13"/>
      <c r="C14" s="14">
        <v>851.7</v>
      </c>
      <c r="D14" s="15">
        <v>50.037375</v>
      </c>
      <c r="E14" s="15">
        <v>55.3605</v>
      </c>
      <c r="F14" s="15">
        <v>3179.68</v>
      </c>
      <c r="G14" s="15">
        <v>766.53</v>
      </c>
      <c r="H14" s="15">
        <v>6444.53</v>
      </c>
      <c r="I14" s="15">
        <v>809.115</v>
      </c>
      <c r="J14" s="15">
        <v>96.526</v>
      </c>
      <c r="K14" s="15">
        <v>18.4535</v>
      </c>
      <c r="L14" s="15">
        <v>0</v>
      </c>
      <c r="M14" s="15">
        <v>-32.25458875</v>
      </c>
      <c r="N14" s="15">
        <v>709.404</v>
      </c>
      <c r="O14" s="17"/>
      <c r="P14" s="16">
        <v>-0.113399872584413</v>
      </c>
      <c r="Q14" s="16"/>
      <c r="R14" s="17"/>
      <c r="S14" s="15">
        <v>55.868675</v>
      </c>
      <c r="T14" s="17"/>
      <c r="U14" s="15">
        <v>96.7115045</v>
      </c>
      <c r="V14" s="17"/>
      <c r="W14" s="15">
        <v>2413.15</v>
      </c>
      <c r="X14" s="24"/>
      <c r="Y14" s="18">
        <v>268</v>
      </c>
      <c r="Z14" s="24"/>
      <c r="AA14" s="15">
        <v>14.195</v>
      </c>
    </row>
    <row r="15" ht="20.05" customHeight="1">
      <c r="B15" s="13"/>
      <c r="C15" s="14">
        <v>874.566</v>
      </c>
      <c r="D15" s="15">
        <v>48.93405</v>
      </c>
      <c r="E15" s="15">
        <v>27.764</v>
      </c>
      <c r="F15" s="15">
        <v>3137.332</v>
      </c>
      <c r="G15" s="15">
        <v>658.0068</v>
      </c>
      <c r="H15" s="15">
        <v>6205.254</v>
      </c>
      <c r="I15" s="15">
        <v>916.212</v>
      </c>
      <c r="J15" s="15">
        <v>83.292</v>
      </c>
      <c r="K15" s="15">
        <v>-34.705</v>
      </c>
      <c r="L15" s="15">
        <v>0</v>
      </c>
      <c r="M15" s="15">
        <v>-31.5433745</v>
      </c>
      <c r="N15" s="15">
        <v>928.0454999999999</v>
      </c>
      <c r="O15" s="17"/>
      <c r="P15" s="16">
        <v>0.0268474815075731</v>
      </c>
      <c r="Q15" s="16">
        <v>-0.869757463400232</v>
      </c>
      <c r="R15" s="17"/>
      <c r="S15" s="15">
        <v>68.01542499999999</v>
      </c>
      <c r="T15" s="17"/>
      <c r="U15" s="15">
        <v>128.254879</v>
      </c>
      <c r="V15" s="17"/>
      <c r="W15" s="15">
        <v>2479.3252</v>
      </c>
      <c r="X15" s="24"/>
      <c r="Y15" s="18">
        <v>264</v>
      </c>
      <c r="Z15" s="24"/>
      <c r="AA15" s="15">
        <v>13.882</v>
      </c>
    </row>
    <row r="16" ht="20.05" customHeight="1">
      <c r="B16" s="21">
        <v>2020</v>
      </c>
      <c r="C16" s="14">
        <v>994.91</v>
      </c>
      <c r="D16" s="15">
        <v>147.877333333333</v>
      </c>
      <c r="E16" s="15">
        <v>32.62</v>
      </c>
      <c r="F16" s="15">
        <v>3963.33</v>
      </c>
      <c r="G16" s="15">
        <v>774.725</v>
      </c>
      <c r="H16" s="15">
        <v>7257.95</v>
      </c>
      <c r="I16" s="15">
        <v>1076.46</v>
      </c>
      <c r="J16" s="15">
        <v>337.617</v>
      </c>
      <c r="K16" s="15">
        <v>-13.048</v>
      </c>
      <c r="L16" s="15">
        <v>0</v>
      </c>
      <c r="M16" s="15">
        <v>-13.8023375</v>
      </c>
      <c r="N16" s="15">
        <v>920.453</v>
      </c>
      <c r="O16" s="15"/>
      <c r="P16" s="16">
        <v>0.137604251708848</v>
      </c>
      <c r="Q16" s="16">
        <v>-0.860366218228054</v>
      </c>
      <c r="R16" s="17"/>
      <c r="S16" s="15">
        <v>113.557675</v>
      </c>
      <c r="T16" s="17"/>
      <c r="U16" s="15">
        <v>142.0572165</v>
      </c>
      <c r="V16" s="17"/>
      <c r="W16" s="15">
        <v>3188.605</v>
      </c>
      <c r="X16" s="24"/>
      <c r="Y16" s="18">
        <v>264</v>
      </c>
      <c r="Z16" s="24"/>
      <c r="AA16" s="15">
        <v>16.31</v>
      </c>
    </row>
    <row r="17" ht="20.05" customHeight="1">
      <c r="B17" s="13"/>
      <c r="C17" s="14">
        <v>598.71</v>
      </c>
      <c r="D17" s="15">
        <v>-198.619666666666</v>
      </c>
      <c r="E17" s="15">
        <v>312.1845</v>
      </c>
      <c r="F17" s="15">
        <v>3364.18</v>
      </c>
      <c r="G17" s="15">
        <v>669.985</v>
      </c>
      <c r="H17" s="15">
        <v>6657.085</v>
      </c>
      <c r="I17" s="15">
        <v>627.22</v>
      </c>
      <c r="J17" s="15">
        <v>310.759</v>
      </c>
      <c r="K17" s="15">
        <v>-397.7145</v>
      </c>
      <c r="L17" s="15">
        <v>0</v>
      </c>
      <c r="M17" s="15">
        <v>-12.06329375</v>
      </c>
      <c r="N17" s="15">
        <v>829.9715</v>
      </c>
      <c r="O17" s="15"/>
      <c r="P17" s="16">
        <v>-0.398226975304299</v>
      </c>
      <c r="Q17" s="16">
        <v>-0.85657396318227</v>
      </c>
      <c r="R17" s="17"/>
      <c r="S17" s="15">
        <v>100.295</v>
      </c>
      <c r="T17" s="17"/>
      <c r="U17" s="15">
        <v>154.12051025</v>
      </c>
      <c r="V17" s="17"/>
      <c r="W17" s="15">
        <v>2694.195</v>
      </c>
      <c r="X17" s="24"/>
      <c r="Y17" s="18">
        <v>238</v>
      </c>
      <c r="Z17" s="24"/>
      <c r="AA17" s="15">
        <v>14.255</v>
      </c>
    </row>
    <row r="18" ht="20.05" customHeight="1">
      <c r="B18" s="13"/>
      <c r="C18" s="14">
        <v>488.07</v>
      </c>
      <c r="D18" s="15">
        <v>-13.804</v>
      </c>
      <c r="E18" s="15">
        <v>50.286</v>
      </c>
      <c r="F18" s="15">
        <v>3534.81</v>
      </c>
      <c r="G18" s="15">
        <v>631.533</v>
      </c>
      <c r="H18" s="15">
        <v>6877.35</v>
      </c>
      <c r="I18" s="15">
        <v>502.86</v>
      </c>
      <c r="J18" s="15">
        <v>34.017</v>
      </c>
      <c r="K18" s="15">
        <v>0</v>
      </c>
      <c r="L18" s="15">
        <v>0</v>
      </c>
      <c r="M18" s="15">
        <v>-12.5160375</v>
      </c>
      <c r="N18" s="15">
        <v>739.064</v>
      </c>
      <c r="O18" s="15"/>
      <c r="P18" s="16">
        <v>-0.184797314225585</v>
      </c>
      <c r="Q18" s="16">
        <v>-0.862243927228675</v>
      </c>
      <c r="R18" s="17"/>
      <c r="S18" s="15">
        <v>80.05437499999999</v>
      </c>
      <c r="T18" s="17"/>
      <c r="U18" s="15">
        <v>166.63654775</v>
      </c>
      <c r="V18" s="17"/>
      <c r="W18" s="15">
        <v>2903.277</v>
      </c>
      <c r="X18" s="24"/>
      <c r="Y18" s="18">
        <v>314</v>
      </c>
      <c r="Z18" s="24"/>
      <c r="AA18" s="15">
        <v>14.79</v>
      </c>
    </row>
    <row r="19" ht="20.05" customHeight="1">
      <c r="B19" s="13"/>
      <c r="C19" s="14">
        <v>307.38</v>
      </c>
      <c r="D19" s="15">
        <v>-479.4</v>
      </c>
      <c r="E19" s="15">
        <v>461.07</v>
      </c>
      <c r="F19" s="15">
        <v>2975.1</v>
      </c>
      <c r="G19" s="15">
        <v>618.99</v>
      </c>
      <c r="H19" s="15">
        <v>7031.67</v>
      </c>
      <c r="I19" s="15">
        <v>387.75</v>
      </c>
      <c r="J19" s="15">
        <v>40.89</v>
      </c>
      <c r="K19" s="15">
        <v>-420.18</v>
      </c>
      <c r="L19" s="15">
        <v>0</v>
      </c>
      <c r="M19" s="15">
        <v>-11.932125</v>
      </c>
      <c r="N19" s="15">
        <v>597.2675</v>
      </c>
      <c r="O19" s="15"/>
      <c r="P19" s="16">
        <v>-0.370213289077386</v>
      </c>
      <c r="Q19" s="16">
        <v>-0.8693156053750341</v>
      </c>
      <c r="R19" s="17"/>
      <c r="S19" s="15">
        <v>-26.914875</v>
      </c>
      <c r="T19" s="17"/>
      <c r="U19" s="15">
        <v>178.56867275</v>
      </c>
      <c r="V19" s="17"/>
      <c r="W19" s="15">
        <v>2356.11</v>
      </c>
      <c r="X19" s="24"/>
      <c r="Y19" s="18">
        <v>596</v>
      </c>
      <c r="Z19" s="24"/>
      <c r="AA19" s="15">
        <v>14.1</v>
      </c>
    </row>
    <row r="20" ht="20.05" customHeight="1">
      <c r="B20" s="21">
        <v>2021</v>
      </c>
      <c r="C20" s="14">
        <v>834.0026</v>
      </c>
      <c r="D20" s="15">
        <v>-70.1088</v>
      </c>
      <c r="E20" s="15">
        <v>322.7926</v>
      </c>
      <c r="F20" s="15">
        <v>2132.476</v>
      </c>
      <c r="G20" s="15">
        <v>1738.114</v>
      </c>
      <c r="H20" s="15">
        <v>8690.57</v>
      </c>
      <c r="I20" s="15">
        <v>755.1301999999999</v>
      </c>
      <c r="J20" s="15">
        <v>258.5262</v>
      </c>
      <c r="K20" s="15">
        <v>-2209.8878</v>
      </c>
      <c r="L20" s="15">
        <v>1001.883964</v>
      </c>
      <c r="M20" s="15">
        <v>0</v>
      </c>
      <c r="N20" s="15">
        <v>557.04065</v>
      </c>
      <c r="O20" s="15"/>
      <c r="P20" s="16">
        <v>1.71326241134752</v>
      </c>
      <c r="Q20" s="16">
        <v>-0.827480887914852</v>
      </c>
      <c r="R20" s="17"/>
      <c r="S20" s="15">
        <v>-595.897525</v>
      </c>
      <c r="T20" s="17"/>
      <c r="U20" s="15">
        <v>-823.31529125</v>
      </c>
      <c r="V20" s="17"/>
      <c r="W20" s="15">
        <v>394.362</v>
      </c>
      <c r="X20" s="15"/>
      <c r="Y20" s="15">
        <v>976</v>
      </c>
      <c r="Z20" s="15"/>
      <c r="AA20" s="15">
        <v>14.606</v>
      </c>
    </row>
    <row r="21" ht="20.05" customHeight="1">
      <c r="B21" s="13"/>
      <c r="C21" s="14">
        <v>846.77</v>
      </c>
      <c r="D21" s="15">
        <v>322.235</v>
      </c>
      <c r="E21" s="15">
        <v>-43.35</v>
      </c>
      <c r="F21" s="15">
        <v>1965.2</v>
      </c>
      <c r="G21" s="15">
        <v>2109.7</v>
      </c>
      <c r="H21" s="15">
        <v>8872.299999999999</v>
      </c>
      <c r="I21" s="15">
        <v>842.4349999999999</v>
      </c>
      <c r="J21" s="15">
        <v>361.25</v>
      </c>
      <c r="K21" s="15">
        <v>-690.71</v>
      </c>
      <c r="L21" s="15">
        <v>187.1853</v>
      </c>
      <c r="M21" s="15">
        <v>0</v>
      </c>
      <c r="N21" s="15">
        <v>619.05565</v>
      </c>
      <c r="O21" s="15"/>
      <c r="P21" s="16">
        <v>0.0153085853689185</v>
      </c>
      <c r="Q21" s="16">
        <v>-0.778000249250613</v>
      </c>
      <c r="R21" s="17"/>
      <c r="S21" s="15">
        <v>-656.52365</v>
      </c>
      <c r="T21" s="17"/>
      <c r="U21" s="15">
        <v>-1010.50059125</v>
      </c>
      <c r="V21" s="17"/>
      <c r="W21" s="15">
        <v>-144.5</v>
      </c>
      <c r="X21" s="15"/>
      <c r="Y21" s="15">
        <v>1015</v>
      </c>
      <c r="Z21" s="15"/>
      <c r="AA21" s="15">
        <v>14.45</v>
      </c>
    </row>
    <row r="22" ht="20.05" customHeight="1">
      <c r="B22" s="13"/>
      <c r="C22" s="14">
        <v>1286.6544</v>
      </c>
      <c r="D22" s="15">
        <v>80.2368</v>
      </c>
      <c r="E22" s="15">
        <v>471.3912</v>
      </c>
      <c r="F22" s="15">
        <v>2220.84</v>
      </c>
      <c r="G22" s="15">
        <v>2349.792</v>
      </c>
      <c r="H22" s="15">
        <v>9929.304</v>
      </c>
      <c r="I22" s="15">
        <v>1151.9712</v>
      </c>
      <c r="J22" s="15">
        <v>378.2592</v>
      </c>
      <c r="K22" s="15">
        <v>-600.3432</v>
      </c>
      <c r="L22" s="15">
        <v>190.447776</v>
      </c>
      <c r="M22" s="15">
        <v>304.61328</v>
      </c>
      <c r="N22" s="15">
        <v>818.7017499999999</v>
      </c>
      <c r="O22" s="23">
        <v>689.180382</v>
      </c>
      <c r="P22" s="16">
        <v>0.519485102211935</v>
      </c>
      <c r="Q22" s="16">
        <v>-0.674830669410442</v>
      </c>
      <c r="R22" s="17"/>
      <c r="S22" s="15">
        <v>-720.5489</v>
      </c>
      <c r="T22" s="17"/>
      <c r="U22" s="15">
        <v>-1505.56164725</v>
      </c>
      <c r="V22" s="17"/>
      <c r="W22" s="15">
        <v>-128.952</v>
      </c>
      <c r="X22" s="15"/>
      <c r="Y22" s="15">
        <v>1860</v>
      </c>
      <c r="Z22" s="15"/>
      <c r="AA22" s="15">
        <v>14.328</v>
      </c>
    </row>
    <row r="23" ht="20.05" customHeight="1">
      <c r="B23" s="13"/>
      <c r="C23" s="14">
        <v>1865.7425</v>
      </c>
      <c r="D23" s="15">
        <v>75.6575</v>
      </c>
      <c r="E23" s="15">
        <v>660.9325</v>
      </c>
      <c r="F23" s="15">
        <v>2126.975</v>
      </c>
      <c r="G23" s="15">
        <v>3197.6</v>
      </c>
      <c r="H23" s="15">
        <v>12490.625</v>
      </c>
      <c r="I23" s="15">
        <v>1885.7275</v>
      </c>
      <c r="J23" s="15">
        <v>862.21</v>
      </c>
      <c r="K23" s="15">
        <v>-488.205</v>
      </c>
      <c r="L23" s="15">
        <v>-371.721</v>
      </c>
      <c r="M23" s="15">
        <v>-87.934</v>
      </c>
      <c r="N23" s="15">
        <v>1208.292375</v>
      </c>
      <c r="O23" s="23">
        <v>896.18806875</v>
      </c>
      <c r="P23" s="16">
        <v>0.450072762351724</v>
      </c>
      <c r="Q23" s="16">
        <v>-0.623479623464478</v>
      </c>
      <c r="R23" s="17"/>
      <c r="S23" s="15">
        <v>-532.22515</v>
      </c>
      <c r="T23" s="17"/>
      <c r="U23" s="15">
        <v>-1045.90664725</v>
      </c>
      <c r="V23" s="17"/>
      <c r="W23" s="15">
        <v>-1070.625</v>
      </c>
      <c r="X23" s="15"/>
      <c r="Y23" s="15">
        <v>2065</v>
      </c>
      <c r="Z23" s="15"/>
      <c r="AA23" s="15">
        <v>14.275</v>
      </c>
    </row>
    <row r="24" ht="20.05" customHeight="1">
      <c r="B24" s="21">
        <v>2022</v>
      </c>
      <c r="C24" s="14">
        <v>2180.5694</v>
      </c>
      <c r="D24" s="15">
        <v>78.7985</v>
      </c>
      <c r="E24" s="15">
        <v>1106.0444</v>
      </c>
      <c r="F24" s="15">
        <v>2865.4</v>
      </c>
      <c r="G24" s="15">
        <v>3510.115</v>
      </c>
      <c r="H24" s="15">
        <v>14183.73</v>
      </c>
      <c r="I24" s="15">
        <v>1626.1145</v>
      </c>
      <c r="J24" s="15">
        <v>464.1948</v>
      </c>
      <c r="K24" s="15">
        <v>-14.327</v>
      </c>
      <c r="L24" s="15">
        <v>37.2502</v>
      </c>
      <c r="M24" s="15">
        <v>244.9917</v>
      </c>
      <c r="N24" s="15">
        <v>1544.934075</v>
      </c>
      <c r="O24" s="23">
        <v>1308.613853</v>
      </c>
      <c r="P24" s="16">
        <v>0.16874080962405</v>
      </c>
      <c r="Q24" s="16">
        <v>-0.554682309016972</v>
      </c>
      <c r="R24" s="35">
        <v>-0.605202754399388</v>
      </c>
      <c r="S24" s="15">
        <v>68.0822</v>
      </c>
      <c r="T24" s="15">
        <v>847.769131684980</v>
      </c>
      <c r="U24" s="15">
        <v>-1328.14854725</v>
      </c>
      <c r="V24" s="15"/>
      <c r="W24" s="15">
        <v>-644.715</v>
      </c>
      <c r="X24" s="15">
        <v>73.675805159592</v>
      </c>
      <c r="Y24" s="15">
        <v>2140</v>
      </c>
      <c r="Z24" s="15"/>
      <c r="AA24" s="15">
        <v>14.327</v>
      </c>
    </row>
    <row r="25" ht="20.05" customHeight="1">
      <c r="B25" s="13"/>
      <c r="C25" s="14">
        <v>3302.898</v>
      </c>
      <c r="D25" s="15">
        <v>104.086</v>
      </c>
      <c r="E25" s="15">
        <v>1561.29</v>
      </c>
      <c r="F25" s="15">
        <v>3093.26</v>
      </c>
      <c r="G25" s="15">
        <v>3181.22</v>
      </c>
      <c r="H25" s="15">
        <v>15818.14</v>
      </c>
      <c r="I25" s="15">
        <v>3643.01</v>
      </c>
      <c r="J25" s="15">
        <v>1895.538</v>
      </c>
      <c r="K25" s="15">
        <v>-1199.188</v>
      </c>
      <c r="L25" s="15">
        <v>-709.544</v>
      </c>
      <c r="M25" s="15">
        <v>167.124</v>
      </c>
      <c r="N25" s="15">
        <v>2158.966075</v>
      </c>
      <c r="O25" s="23">
        <v>1695.227425</v>
      </c>
      <c r="P25" s="16">
        <v>0.514695198419275</v>
      </c>
      <c r="Q25" s="16">
        <v>-0.520784862263294</v>
      </c>
      <c r="R25" s="35">
        <v>-0.605202754399388</v>
      </c>
      <c r="S25" s="15">
        <v>324.5347</v>
      </c>
      <c r="T25" s="15">
        <v>867.4736839884</v>
      </c>
      <c r="U25" s="15">
        <v>-785.72854725</v>
      </c>
      <c r="V25" s="15"/>
      <c r="W25" s="15">
        <v>-87.95999999999999</v>
      </c>
      <c r="X25" s="15">
        <v>75.388239243360</v>
      </c>
      <c r="Y25" s="15">
        <v>1545</v>
      </c>
      <c r="Z25" s="15"/>
      <c r="AA25" s="15">
        <v>14.66</v>
      </c>
    </row>
    <row r="26" ht="20.05" customHeight="1">
      <c r="B26" s="13"/>
      <c r="C26" s="14">
        <v>4953.357</v>
      </c>
      <c r="D26" s="15">
        <v>102.0825</v>
      </c>
      <c r="E26" s="15">
        <v>1846.908</v>
      </c>
      <c r="F26" s="15">
        <v>4664.385</v>
      </c>
      <c r="G26" s="15">
        <v>3627.855</v>
      </c>
      <c r="H26" s="15">
        <v>18971.64</v>
      </c>
      <c r="I26" s="15">
        <v>4301.5995</v>
      </c>
      <c r="J26" s="15">
        <v>2313.3465</v>
      </c>
      <c r="K26" s="15">
        <v>-59.679</v>
      </c>
      <c r="L26" s="15">
        <v>-863.775</v>
      </c>
      <c r="M26" s="15">
        <v>-39.2625</v>
      </c>
      <c r="N26" s="15">
        <v>3075.641725</v>
      </c>
      <c r="O26" s="23">
        <v>2512.501605</v>
      </c>
      <c r="P26" s="16">
        <v>0.499700263223387</v>
      </c>
      <c r="Q26" s="16">
        <v>-0.550028913071792</v>
      </c>
      <c r="R26" s="35">
        <v>-0.605202754399388</v>
      </c>
      <c r="S26" s="15">
        <v>943.472575</v>
      </c>
      <c r="T26" s="15">
        <v>1105.014287054770</v>
      </c>
      <c r="U26" s="15">
        <v>117.30895275</v>
      </c>
      <c r="V26" s="15">
        <v>117.30895275</v>
      </c>
      <c r="W26" s="15">
        <v>1036.53</v>
      </c>
      <c r="X26" s="15">
        <v>380.957259287628</v>
      </c>
      <c r="Y26" s="15">
        <v>1780</v>
      </c>
      <c r="Z26" s="15"/>
      <c r="AA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v>4862.718244603350</v>
      </c>
      <c r="P27" s="17"/>
      <c r="Q27" s="17"/>
      <c r="R27" s="35">
        <v>-0.550028913071792</v>
      </c>
      <c r="S27" s="17"/>
      <c r="T27" s="15">
        <v>1763.6846139498</v>
      </c>
      <c r="U27" s="17"/>
      <c r="V27" s="15">
        <v>7172.047408549190</v>
      </c>
      <c r="W27" s="17"/>
      <c r="X27" s="15">
        <v>1393.368891159840</v>
      </c>
      <c r="Y27" s="15">
        <v>1640</v>
      </c>
      <c r="Z27" s="15">
        <v>2481</v>
      </c>
      <c r="AA27" s="15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v>8806.536</v>
      </c>
      <c r="O28" s="23">
        <v>7101.71133375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v>2384.0376496123</v>
      </c>
      <c r="AA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  <c r="AA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  <c r="AA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  <c r="AA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  <c r="AA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  <c r="AA33" s="15"/>
    </row>
  </sheetData>
  <mergeCells count="1">
    <mergeCell ref="B2:AA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6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53" customWidth="1"/>
    <col min="2" max="28" width="10.4844" style="253" customWidth="1"/>
    <col min="29" max="29" width="18.9766" style="254" customWidth="1"/>
    <col min="30" max="48" width="9" style="254" customWidth="1"/>
    <col min="49" max="16384" width="16.3516" style="254" customWidth="1"/>
  </cols>
  <sheetData>
    <row r="1" ht="11.65" customHeight="1"/>
    <row r="2" ht="27.65" customHeight="1">
      <c r="B2" t="s" s="2">
        <v>613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s="5"/>
      <c r="U3" t="s" s="3">
        <v>15</v>
      </c>
      <c r="V3" t="s" s="3">
        <v>12</v>
      </c>
      <c r="W3" t="s" s="3">
        <v>17</v>
      </c>
      <c r="X3" t="s" s="3">
        <v>12</v>
      </c>
      <c r="Y3" t="s" s="3">
        <v>18</v>
      </c>
      <c r="Z3" t="s" s="3">
        <v>12</v>
      </c>
      <c r="AA3" t="s" s="3">
        <v>248</v>
      </c>
      <c r="AB3" t="s" s="3">
        <v>19</v>
      </c>
    </row>
    <row r="4" ht="20.25" customHeight="1">
      <c r="B4" s="6">
        <v>2017</v>
      </c>
      <c r="C4" s="7">
        <v>9458</v>
      </c>
      <c r="D4" s="8">
        <v>198</v>
      </c>
      <c r="E4" s="8">
        <v>1203</v>
      </c>
      <c r="F4" s="8">
        <v>8514</v>
      </c>
      <c r="G4" s="8">
        <v>10622</v>
      </c>
      <c r="H4" s="8">
        <v>30409</v>
      </c>
      <c r="I4" s="8">
        <v>8605</v>
      </c>
      <c r="J4" s="8">
        <v>784</v>
      </c>
      <c r="K4" s="8">
        <v>-524</v>
      </c>
      <c r="L4" s="8">
        <v>-7.25</v>
      </c>
      <c r="M4" s="8">
        <v>-446.75</v>
      </c>
      <c r="N4" s="59"/>
      <c r="O4" s="9"/>
      <c r="P4" s="9"/>
      <c r="Q4" s="9"/>
      <c r="R4" s="9"/>
      <c r="S4" s="9"/>
      <c r="T4" s="9"/>
      <c r="U4" s="9"/>
      <c r="V4" s="9"/>
      <c r="W4" s="8">
        <f>-(L4+M4)</f>
        <v>454</v>
      </c>
      <c r="X4" s="9"/>
      <c r="Y4" s="8">
        <f>F4-G4</f>
        <v>-2108</v>
      </c>
      <c r="Z4" s="9"/>
      <c r="AA4" s="79"/>
      <c r="AB4" s="9"/>
    </row>
    <row r="5" ht="20.05" customHeight="1">
      <c r="B5" s="13"/>
      <c r="C5" s="14">
        <v>9003</v>
      </c>
      <c r="D5" s="15">
        <v>201</v>
      </c>
      <c r="E5" s="15">
        <v>943</v>
      </c>
      <c r="F5" s="15">
        <v>8642</v>
      </c>
      <c r="G5" s="15">
        <v>13546</v>
      </c>
      <c r="H5" s="15">
        <v>32391</v>
      </c>
      <c r="I5" s="15">
        <v>8150</v>
      </c>
      <c r="J5" s="15">
        <v>845</v>
      </c>
      <c r="K5" s="15">
        <v>-1112</v>
      </c>
      <c r="L5" s="15">
        <v>-7.25</v>
      </c>
      <c r="M5" s="15">
        <v>-446.75</v>
      </c>
      <c r="N5" s="26"/>
      <c r="O5" s="17"/>
      <c r="P5" s="17"/>
      <c r="Q5" s="17"/>
      <c r="R5" s="17"/>
      <c r="S5" s="17"/>
      <c r="T5" s="17"/>
      <c r="U5" s="17"/>
      <c r="V5" s="17"/>
      <c r="W5" s="15">
        <f>-(L5+M5)+W4</f>
        <v>908</v>
      </c>
      <c r="X5" s="17"/>
      <c r="Y5" s="15">
        <f>F5-G5</f>
        <v>-4904</v>
      </c>
      <c r="Z5" s="17"/>
      <c r="AA5" s="80"/>
      <c r="AB5" s="17"/>
    </row>
    <row r="6" ht="20.05" customHeight="1">
      <c r="B6" s="13"/>
      <c r="C6" s="14">
        <v>8969</v>
      </c>
      <c r="D6" s="15">
        <v>203</v>
      </c>
      <c r="E6" s="15">
        <v>914</v>
      </c>
      <c r="F6" s="15">
        <v>7848</v>
      </c>
      <c r="G6" s="15">
        <v>11165</v>
      </c>
      <c r="H6" s="15">
        <v>31113</v>
      </c>
      <c r="I6" s="15">
        <v>10012</v>
      </c>
      <c r="J6" s="15">
        <v>2104</v>
      </c>
      <c r="K6" s="15">
        <v>-908</v>
      </c>
      <c r="L6" s="15">
        <v>-7.25</v>
      </c>
      <c r="M6" s="15">
        <v>-446.75</v>
      </c>
      <c r="N6" s="26"/>
      <c r="O6" s="17"/>
      <c r="P6" s="17"/>
      <c r="Q6" s="17"/>
      <c r="R6" s="17"/>
      <c r="S6" s="17"/>
      <c r="T6" s="17"/>
      <c r="U6" s="17"/>
      <c r="V6" s="17"/>
      <c r="W6" s="15">
        <f>-(L6+M6)+W5</f>
        <v>1362</v>
      </c>
      <c r="X6" s="17"/>
      <c r="Y6" s="15">
        <f>F6-G6</f>
        <v>-3317</v>
      </c>
      <c r="Z6" s="17"/>
      <c r="AA6" s="80"/>
      <c r="AB6" s="17"/>
    </row>
    <row r="7" ht="20.05" customHeight="1">
      <c r="B7" s="13"/>
      <c r="C7" s="14">
        <v>8177</v>
      </c>
      <c r="D7" s="15">
        <v>574</v>
      </c>
      <c r="E7" s="15">
        <v>1599</v>
      </c>
      <c r="F7" s="15">
        <v>8797</v>
      </c>
      <c r="G7" s="15">
        <v>11295</v>
      </c>
      <c r="H7" s="15">
        <v>31619</v>
      </c>
      <c r="I7" s="15">
        <v>8847</v>
      </c>
      <c r="J7" s="15">
        <v>1441</v>
      </c>
      <c r="K7" s="15">
        <v>-406</v>
      </c>
      <c r="L7" s="15">
        <v>-7.25</v>
      </c>
      <c r="M7" s="15">
        <v>-446.75</v>
      </c>
      <c r="N7" s="26"/>
      <c r="O7" s="17"/>
      <c r="P7" s="17"/>
      <c r="Q7" s="17"/>
      <c r="R7" s="17"/>
      <c r="S7" s="17"/>
      <c r="T7" s="17"/>
      <c r="U7" s="17"/>
      <c r="V7" s="17"/>
      <c r="W7" s="15">
        <f>-(L7+M7)+W6</f>
        <v>1816</v>
      </c>
      <c r="X7" s="17"/>
      <c r="Y7" s="15">
        <f>F7-G7</f>
        <v>-2498</v>
      </c>
      <c r="Z7" s="17"/>
      <c r="AA7" s="80"/>
      <c r="AB7" s="17"/>
    </row>
    <row r="8" ht="20.05" customHeight="1">
      <c r="B8" s="21">
        <v>2018</v>
      </c>
      <c r="C8" s="14">
        <v>9881</v>
      </c>
      <c r="D8" s="15">
        <v>212</v>
      </c>
      <c r="E8" s="15">
        <v>1203</v>
      </c>
      <c r="F8" s="15">
        <v>9448</v>
      </c>
      <c r="G8" s="15">
        <v>13795</v>
      </c>
      <c r="H8" s="15">
        <v>35403</v>
      </c>
      <c r="I8" s="15">
        <v>8877</v>
      </c>
      <c r="J8" s="15">
        <v>1359</v>
      </c>
      <c r="K8" s="15">
        <v>-671</v>
      </c>
      <c r="L8" s="15">
        <v>-388.75</v>
      </c>
      <c r="M8" s="15">
        <v>-671.75</v>
      </c>
      <c r="N8" s="15">
        <f>SUM(C5:C8)/4</f>
        <v>9007.5</v>
      </c>
      <c r="O8" s="17"/>
      <c r="P8" s="16"/>
      <c r="Q8" s="16">
        <f>((D8+E8)/C8)</f>
        <v>0.143204129136727</v>
      </c>
      <c r="R8" s="16"/>
      <c r="S8" s="17"/>
      <c r="T8" s="17"/>
      <c r="U8" s="15">
        <f>SUM(J5:K8)/4</f>
        <v>663</v>
      </c>
      <c r="V8" s="17"/>
      <c r="W8" s="15">
        <f>-(L8+M8)+W7</f>
        <v>2876.5</v>
      </c>
      <c r="X8" s="17"/>
      <c r="Y8" s="15">
        <f>F8-G8</f>
        <v>-4347</v>
      </c>
      <c r="Z8" s="24"/>
      <c r="AA8" s="15">
        <v>8275</v>
      </c>
      <c r="AB8" s="24"/>
    </row>
    <row r="9" ht="20.05" customHeight="1">
      <c r="B9" s="13"/>
      <c r="C9" s="14">
        <v>9578</v>
      </c>
      <c r="D9" s="15">
        <v>237</v>
      </c>
      <c r="E9" s="15">
        <v>1112</v>
      </c>
      <c r="F9" s="15">
        <v>8071</v>
      </c>
      <c r="G9" s="15">
        <v>14133</v>
      </c>
      <c r="H9" s="15">
        <v>34755</v>
      </c>
      <c r="I9" s="15">
        <v>9414</v>
      </c>
      <c r="J9" s="15">
        <v>1036</v>
      </c>
      <c r="K9" s="15">
        <v>-711</v>
      </c>
      <c r="L9" s="15">
        <v>102.5</v>
      </c>
      <c r="M9" s="15">
        <v>-419</v>
      </c>
      <c r="N9" s="15">
        <f>SUM(C6:C9)/4</f>
        <v>9151.25</v>
      </c>
      <c r="O9" s="17"/>
      <c r="P9" s="16"/>
      <c r="Q9" s="16">
        <f>((D9+E9)/C9)</f>
        <v>0.140843599916475</v>
      </c>
      <c r="R9" s="16"/>
      <c r="S9" s="17"/>
      <c r="T9" s="17"/>
      <c r="U9" s="15">
        <f>SUM(J6:K9)/4</f>
        <v>811</v>
      </c>
      <c r="V9" s="17"/>
      <c r="W9" s="15">
        <f>-(L9+M9)+W8</f>
        <v>3193</v>
      </c>
      <c r="X9" s="17"/>
      <c r="Y9" s="15">
        <f>F9-G9</f>
        <v>-6062</v>
      </c>
      <c r="Z9" s="24"/>
      <c r="AA9" s="15">
        <v>8850</v>
      </c>
      <c r="AB9" s="24"/>
    </row>
    <row r="10" ht="20.05" customHeight="1">
      <c r="B10" s="13"/>
      <c r="C10" s="14">
        <v>10019</v>
      </c>
      <c r="D10" s="15">
        <v>241</v>
      </c>
      <c r="E10" s="15">
        <v>1239</v>
      </c>
      <c r="F10" s="15">
        <v>5593</v>
      </c>
      <c r="G10" s="15">
        <v>11897</v>
      </c>
      <c r="H10" s="15">
        <v>33820</v>
      </c>
      <c r="I10" s="15">
        <v>10355</v>
      </c>
      <c r="J10" s="15">
        <v>1252</v>
      </c>
      <c r="K10" s="15">
        <v>-1990</v>
      </c>
      <c r="L10" s="15">
        <v>7536.75</v>
      </c>
      <c r="M10" s="15">
        <v>-780.75</v>
      </c>
      <c r="N10" s="15">
        <f>SUM(C7:C10)/4</f>
        <v>9413.75</v>
      </c>
      <c r="O10" s="17"/>
      <c r="P10" s="16"/>
      <c r="Q10" s="16">
        <f>((D10+E10)/C10)</f>
        <v>0.147719333266793</v>
      </c>
      <c r="R10" s="16"/>
      <c r="S10" s="17"/>
      <c r="T10" s="17"/>
      <c r="U10" s="15">
        <f>SUM(J7:K10)/4</f>
        <v>327.5</v>
      </c>
      <c r="V10" s="17"/>
      <c r="W10" s="15">
        <f>-(L10+M10)+W9</f>
        <v>-3563</v>
      </c>
      <c r="X10" s="17"/>
      <c r="Y10" s="15">
        <f>F10-G10</f>
        <v>-6304</v>
      </c>
      <c r="Z10" s="24"/>
      <c r="AA10" s="15">
        <v>8825</v>
      </c>
      <c r="AB10" s="24"/>
    </row>
    <row r="11" ht="20.05" customHeight="1">
      <c r="B11" s="13"/>
      <c r="C11" s="14">
        <v>8935</v>
      </c>
      <c r="D11" s="15">
        <v>286</v>
      </c>
      <c r="E11" s="15">
        <v>-11</v>
      </c>
      <c r="F11" s="15">
        <v>4727</v>
      </c>
      <c r="G11" s="15">
        <v>11660</v>
      </c>
      <c r="H11" s="15">
        <v>34367</v>
      </c>
      <c r="I11" s="15">
        <v>9964</v>
      </c>
      <c r="J11" s="15">
        <v>1006</v>
      </c>
      <c r="K11" s="15">
        <v>-1341</v>
      </c>
      <c r="L11" s="15">
        <v>-388.75</v>
      </c>
      <c r="M11" s="15">
        <v>-671.75</v>
      </c>
      <c r="N11" s="15">
        <f>SUM(C8:C11)/4</f>
        <v>9603.25</v>
      </c>
      <c r="O11" s="17"/>
      <c r="P11" s="16"/>
      <c r="Q11" s="16">
        <f>((D11+E11)/C11)</f>
        <v>0.0307778399552322</v>
      </c>
      <c r="R11" s="16"/>
      <c r="S11" s="17"/>
      <c r="T11" s="17"/>
      <c r="U11" s="15">
        <f>SUM(J8:K11)/4</f>
        <v>-15</v>
      </c>
      <c r="V11" s="17"/>
      <c r="W11" s="15">
        <f>-(L11+M11)+W10</f>
        <v>-2502.5</v>
      </c>
      <c r="X11" s="17"/>
      <c r="Y11" s="15">
        <f>F11-G11</f>
        <v>-6933</v>
      </c>
      <c r="Z11" s="24"/>
      <c r="AA11" s="15">
        <v>10450</v>
      </c>
      <c r="AB11" s="24"/>
    </row>
    <row r="12" ht="20.05" customHeight="1">
      <c r="B12" s="21">
        <v>2019</v>
      </c>
      <c r="C12" s="14">
        <v>11256</v>
      </c>
      <c r="D12" s="15">
        <v>279</v>
      </c>
      <c r="E12" s="15">
        <v>1419</v>
      </c>
      <c r="F12" s="15">
        <v>4294</v>
      </c>
      <c r="G12" s="15">
        <v>12174</v>
      </c>
      <c r="H12" s="15">
        <v>36429</v>
      </c>
      <c r="I12" s="15">
        <v>9951</v>
      </c>
      <c r="J12" s="15">
        <v>1022</v>
      </c>
      <c r="K12" s="15">
        <v>-1398</v>
      </c>
      <c r="L12" s="15">
        <v>102.5</v>
      </c>
      <c r="M12" s="15">
        <v>-419</v>
      </c>
      <c r="N12" s="15">
        <f>SUM(C9:C12)/4</f>
        <v>9947</v>
      </c>
      <c r="O12" s="17"/>
      <c r="P12" s="16"/>
      <c r="Q12" s="16">
        <f>((D12+E12)/C12)</f>
        <v>0.150852878464819</v>
      </c>
      <c r="R12" s="16">
        <f>AVERAGE(Q9:Q12)</f>
        <v>0.11754841290083</v>
      </c>
      <c r="S12" s="17"/>
      <c r="T12" s="17"/>
      <c r="U12" s="15">
        <f>SUM(J9:K12)/4</f>
        <v>-281</v>
      </c>
      <c r="V12" s="17"/>
      <c r="W12" s="15">
        <f>-(L12+M12)+W11</f>
        <v>-2186</v>
      </c>
      <c r="X12" s="17"/>
      <c r="Y12" s="15">
        <f>F12-G12</f>
        <v>-7880</v>
      </c>
      <c r="Z12" s="24"/>
      <c r="AA12" s="15">
        <v>9325</v>
      </c>
      <c r="AB12" s="24"/>
    </row>
    <row r="13" ht="20.05" customHeight="1">
      <c r="B13" s="13"/>
      <c r="C13" s="14">
        <v>10874</v>
      </c>
      <c r="D13" s="15">
        <v>309</v>
      </c>
      <c r="E13" s="15">
        <v>1310</v>
      </c>
      <c r="F13" s="15">
        <v>5847</v>
      </c>
      <c r="G13" s="15">
        <v>13417</v>
      </c>
      <c r="H13" s="15">
        <v>37368</v>
      </c>
      <c r="I13" s="15">
        <v>10840</v>
      </c>
      <c r="J13" s="15">
        <v>2360</v>
      </c>
      <c r="K13" s="15">
        <v>-415</v>
      </c>
      <c r="L13" s="15">
        <v>102.5</v>
      </c>
      <c r="M13" s="15">
        <v>-419</v>
      </c>
      <c r="N13" s="15">
        <f>SUM(C10:C13)/4</f>
        <v>10271</v>
      </c>
      <c r="O13" s="17"/>
      <c r="P13" s="16"/>
      <c r="Q13" s="16">
        <f>((D13+E13)/C13)</f>
        <v>0.148887254000368</v>
      </c>
      <c r="R13" s="16">
        <f>AVERAGE(Q10:Q13)</f>
        <v>0.119559326421803</v>
      </c>
      <c r="S13" s="17"/>
      <c r="T13" s="17"/>
      <c r="U13" s="15">
        <f>SUM(J10:K13)/4</f>
        <v>124</v>
      </c>
      <c r="V13" s="17"/>
      <c r="W13" s="15">
        <f>-(L13+M13)+W12</f>
        <v>-1869.5</v>
      </c>
      <c r="X13" s="17"/>
      <c r="Y13" s="15">
        <f>F13-G13</f>
        <v>-7570</v>
      </c>
      <c r="Z13" s="24"/>
      <c r="AA13" s="15">
        <v>10150</v>
      </c>
      <c r="AB13" s="24"/>
    </row>
    <row r="14" ht="20.05" customHeight="1">
      <c r="B14" s="13"/>
      <c r="C14" s="14">
        <v>10660</v>
      </c>
      <c r="D14" s="15">
        <v>269</v>
      </c>
      <c r="E14" s="15">
        <v>1391</v>
      </c>
      <c r="F14" s="15">
        <v>6051</v>
      </c>
      <c r="G14" s="15">
        <v>12543</v>
      </c>
      <c r="H14" s="15">
        <v>37775</v>
      </c>
      <c r="I14" s="15">
        <v>11108</v>
      </c>
      <c r="J14" s="15">
        <v>1828</v>
      </c>
      <c r="K14" s="15">
        <v>-964</v>
      </c>
      <c r="L14" s="15">
        <v>102.5</v>
      </c>
      <c r="M14" s="15">
        <v>-419</v>
      </c>
      <c r="N14" s="15">
        <f>SUM(C11:C14)/4</f>
        <v>10431.25</v>
      </c>
      <c r="O14" s="17"/>
      <c r="P14" s="16"/>
      <c r="Q14" s="16">
        <f>((D14+E14)/C14)</f>
        <v>0.155722326454034</v>
      </c>
      <c r="R14" s="16">
        <f>AVERAGE(Q11:Q14)</f>
        <v>0.121560074718613</v>
      </c>
      <c r="S14" s="17"/>
      <c r="T14" s="17"/>
      <c r="U14" s="15">
        <f>SUM(J11:K14)/4</f>
        <v>524.5</v>
      </c>
      <c r="V14" s="17"/>
      <c r="W14" s="15">
        <f>-(L14+M14)+W13</f>
        <v>-1553</v>
      </c>
      <c r="X14" s="17"/>
      <c r="Y14" s="15">
        <f>F14-G14</f>
        <v>-6492</v>
      </c>
      <c r="Z14" s="24"/>
      <c r="AA14" s="15">
        <v>12025</v>
      </c>
      <c r="AB14" s="24"/>
    </row>
    <row r="15" ht="20.05" customHeight="1">
      <c r="B15" s="13"/>
      <c r="C15" s="14">
        <v>9507</v>
      </c>
      <c r="D15" s="15">
        <v>303</v>
      </c>
      <c r="E15" s="15">
        <v>1240</v>
      </c>
      <c r="F15" s="15">
        <v>8359</v>
      </c>
      <c r="G15" s="15">
        <v>12038</v>
      </c>
      <c r="H15" s="15">
        <v>38709</v>
      </c>
      <c r="I15" s="15">
        <v>10665</v>
      </c>
      <c r="J15" s="15">
        <v>2188</v>
      </c>
      <c r="K15" s="15">
        <v>377</v>
      </c>
      <c r="L15" s="15">
        <v>102.5</v>
      </c>
      <c r="M15" s="15">
        <v>-419</v>
      </c>
      <c r="N15" s="15">
        <f>SUM(C12:C15)/4</f>
        <v>10574.25</v>
      </c>
      <c r="O15" s="17"/>
      <c r="P15" s="16"/>
      <c r="Q15" s="16">
        <f>((D15+E15)/C15)</f>
        <v>0.162301462080572</v>
      </c>
      <c r="R15" s="16">
        <f>AVERAGE(Q12:Q15)</f>
        <v>0.154440980249948</v>
      </c>
      <c r="S15" s="17"/>
      <c r="T15" s="17"/>
      <c r="U15" s="15">
        <f>SUM(J12:K15)/4</f>
        <v>1249.5</v>
      </c>
      <c r="V15" s="17"/>
      <c r="W15" s="15">
        <f>-(L15+M15)+W14</f>
        <v>-1236.5</v>
      </c>
      <c r="X15" s="17"/>
      <c r="Y15" s="15">
        <f>F15-G15</f>
        <v>-3679</v>
      </c>
      <c r="Z15" s="24"/>
      <c r="AA15" s="15">
        <v>11150</v>
      </c>
      <c r="AB15" s="24"/>
    </row>
    <row r="16" ht="20.05" customHeight="1">
      <c r="B16" s="21">
        <v>2020</v>
      </c>
      <c r="C16" s="14">
        <v>12007</v>
      </c>
      <c r="D16" s="15">
        <v>359</v>
      </c>
      <c r="E16" s="15">
        <v>2104</v>
      </c>
      <c r="F16" s="15">
        <v>8904</v>
      </c>
      <c r="G16" s="15">
        <v>13319</v>
      </c>
      <c r="H16" s="15">
        <v>42101</v>
      </c>
      <c r="I16" s="15">
        <v>10336</v>
      </c>
      <c r="J16" s="15">
        <v>1452.5</v>
      </c>
      <c r="K16" s="15">
        <v>-1551</v>
      </c>
      <c r="L16" s="15">
        <v>7536.75</v>
      </c>
      <c r="M16" s="15">
        <v>-780.75</v>
      </c>
      <c r="N16" s="15">
        <f>SUM(C13:C16)/4</f>
        <v>10762</v>
      </c>
      <c r="O16" s="15">
        <v>10394.875</v>
      </c>
      <c r="P16" s="16"/>
      <c r="Q16" s="16">
        <f>((D16+E16)/C16)</f>
        <v>0.20513034063463</v>
      </c>
      <c r="R16" s="16">
        <f>AVERAGE(Q13:Q16)</f>
        <v>0.168010345792401</v>
      </c>
      <c r="S16" s="17"/>
      <c r="T16" s="15">
        <f>SUM(J16:K16)</f>
        <v>-98.5</v>
      </c>
      <c r="U16" s="15">
        <f>SUM(J13:K16)/4</f>
        <v>1318.875</v>
      </c>
      <c r="V16" s="17"/>
      <c r="W16" s="15">
        <f>-(L16+M16)+W15</f>
        <v>-7992.5</v>
      </c>
      <c r="X16" s="17"/>
      <c r="Y16" s="15">
        <f>F16-G16</f>
        <v>-4415</v>
      </c>
      <c r="Z16" s="24"/>
      <c r="AA16" s="15">
        <v>10225</v>
      </c>
      <c r="AB16" s="24"/>
    </row>
    <row r="17" ht="20.05" customHeight="1">
      <c r="B17" s="13"/>
      <c r="C17" s="14">
        <v>11040</v>
      </c>
      <c r="D17" s="15">
        <v>346</v>
      </c>
      <c r="E17" s="15">
        <v>1481.43</v>
      </c>
      <c r="F17" s="15">
        <v>8936</v>
      </c>
      <c r="G17" s="15">
        <v>13287</v>
      </c>
      <c r="H17" s="15">
        <v>43458</v>
      </c>
      <c r="I17" s="15">
        <v>11895</v>
      </c>
      <c r="J17" s="15">
        <v>2349.14</v>
      </c>
      <c r="K17" s="15">
        <v>-2088</v>
      </c>
      <c r="L17" s="15">
        <v>7536.75</v>
      </c>
      <c r="M17" s="15">
        <v>-780.75</v>
      </c>
      <c r="N17" s="15">
        <f>SUM(C14:C17)/4</f>
        <v>10803.5</v>
      </c>
      <c r="O17" s="15">
        <v>10663.3233333333</v>
      </c>
      <c r="P17" s="16"/>
      <c r="Q17" s="16">
        <f>((D17+E17)/C17)</f>
        <v>0.165528079710145</v>
      </c>
      <c r="R17" s="16">
        <f>AVERAGE(Q14:Q17)</f>
        <v>0.172170552219845</v>
      </c>
      <c r="S17" s="17"/>
      <c r="T17" s="15">
        <f>SUM(J17:K17)</f>
        <v>261.14</v>
      </c>
      <c r="U17" s="15">
        <f>SUM(J14:K17)/4</f>
        <v>897.91</v>
      </c>
      <c r="V17" s="17"/>
      <c r="W17" s="15">
        <f>-(L17+M17)+W16</f>
        <v>-14748.5</v>
      </c>
      <c r="X17" s="17"/>
      <c r="Y17" s="15">
        <f>F17-G17</f>
        <v>-4351</v>
      </c>
      <c r="Z17" s="24"/>
      <c r="AA17" s="15">
        <v>9350</v>
      </c>
      <c r="AB17" s="24"/>
    </row>
    <row r="18" ht="20.05" customHeight="1">
      <c r="B18" s="13"/>
      <c r="C18" s="14">
        <v>10850</v>
      </c>
      <c r="D18" s="15">
        <v>375</v>
      </c>
      <c r="E18" s="15">
        <v>752.5700000000001</v>
      </c>
      <c r="F18" s="15">
        <v>7314</v>
      </c>
      <c r="G18" s="15">
        <v>54468</v>
      </c>
      <c r="H18" s="15">
        <v>102157</v>
      </c>
      <c r="I18" s="15">
        <v>10645</v>
      </c>
      <c r="J18" s="15">
        <v>1939.86</v>
      </c>
      <c r="K18" s="15">
        <v>-30650</v>
      </c>
      <c r="L18" s="15">
        <v>7536.75</v>
      </c>
      <c r="M18" s="15">
        <v>-780.75</v>
      </c>
      <c r="N18" s="15">
        <f>SUM(C15:C18)/4</f>
        <v>10851</v>
      </c>
      <c r="O18" s="15">
        <v>10764.2425</v>
      </c>
      <c r="P18" s="16"/>
      <c r="Q18" s="16">
        <f>((D18+E18)/C18)</f>
        <v>0.103923502304147</v>
      </c>
      <c r="R18" s="16">
        <f>AVERAGE(Q15:Q18)</f>
        <v>0.159220846182374</v>
      </c>
      <c r="S18" s="17"/>
      <c r="T18" s="15">
        <f>SUM(J18:K18)</f>
        <v>-28710.14</v>
      </c>
      <c r="U18" s="15">
        <f>SUM(J15:K18)/4</f>
        <v>-6495.625</v>
      </c>
      <c r="V18" s="17"/>
      <c r="W18" s="15">
        <f>-(L18+M18)+W17</f>
        <v>-21504.5</v>
      </c>
      <c r="X18" s="17"/>
      <c r="Y18" s="15">
        <f>F18-G18</f>
        <v>-47154</v>
      </c>
      <c r="Z18" s="24"/>
      <c r="AA18" s="15">
        <v>10075</v>
      </c>
      <c r="AB18" s="24"/>
    </row>
    <row r="19" ht="20.05" customHeight="1">
      <c r="B19" s="13"/>
      <c r="C19" s="14">
        <v>12744</v>
      </c>
      <c r="D19" s="15">
        <v>1687</v>
      </c>
      <c r="E19" s="15">
        <v>3081</v>
      </c>
      <c r="F19" s="15">
        <v>9535</v>
      </c>
      <c r="G19" s="15">
        <v>53270</v>
      </c>
      <c r="H19" s="15">
        <v>103588</v>
      </c>
      <c r="I19" s="15">
        <v>13802</v>
      </c>
      <c r="J19" s="15">
        <v>3329.5</v>
      </c>
      <c r="K19" s="15">
        <v>-668</v>
      </c>
      <c r="L19" s="15">
        <v>7536.75</v>
      </c>
      <c r="M19" s="15">
        <v>-780.75</v>
      </c>
      <c r="N19" s="15">
        <f>SUM(C16:C19)/4</f>
        <v>11660.25</v>
      </c>
      <c r="O19" s="15">
        <v>11006.855</v>
      </c>
      <c r="P19" s="16"/>
      <c r="Q19" s="16">
        <f>((D19+E19)/C19)</f>
        <v>0.37413684871312</v>
      </c>
      <c r="R19" s="16">
        <f>AVERAGE(Q16:Q19)</f>
        <v>0.212179692840511</v>
      </c>
      <c r="S19" s="17"/>
      <c r="T19" s="15">
        <f>SUM(J19:K19)</f>
        <v>2661.5</v>
      </c>
      <c r="U19" s="15">
        <f>SUM(J16:K19)/4</f>
        <v>-6471.5</v>
      </c>
      <c r="V19" s="17"/>
      <c r="W19" s="15">
        <f>-(L19+M19)+W18</f>
        <v>-28260.5</v>
      </c>
      <c r="X19" s="17"/>
      <c r="Y19" s="15">
        <f>F19-G19</f>
        <v>-43735</v>
      </c>
      <c r="Z19" s="24"/>
      <c r="AA19" s="15">
        <v>9575</v>
      </c>
      <c r="AB19" s="24"/>
    </row>
    <row r="20" ht="20.05" customHeight="1">
      <c r="B20" s="21">
        <v>2021</v>
      </c>
      <c r="C20" s="14">
        <v>15092.4</v>
      </c>
      <c r="D20" s="15">
        <v>408</v>
      </c>
      <c r="E20" s="15">
        <v>2128.7</v>
      </c>
      <c r="F20" s="15">
        <v>9929</v>
      </c>
      <c r="G20" s="15">
        <v>54881</v>
      </c>
      <c r="H20" s="15">
        <v>107126</v>
      </c>
      <c r="I20" s="15">
        <v>13377.9</v>
      </c>
      <c r="J20" s="15">
        <v>1638.9</v>
      </c>
      <c r="K20" s="15">
        <v>-1136.3</v>
      </c>
      <c r="L20" s="15">
        <v>-349.236</v>
      </c>
      <c r="M20" s="15">
        <v>0</v>
      </c>
      <c r="N20" s="15">
        <f>SUM(C17:C20)/4</f>
        <v>12431.6</v>
      </c>
      <c r="O20" s="15">
        <v>11997.455</v>
      </c>
      <c r="P20" s="16"/>
      <c r="Q20" s="16">
        <f>((D20+E20)/C20)</f>
        <v>0.168077973019533</v>
      </c>
      <c r="R20" s="16">
        <f>AVERAGE(Q17:Q20)</f>
        <v>0.202916600936736</v>
      </c>
      <c r="S20" s="17"/>
      <c r="T20" s="15">
        <f>SUM(J20:K20)</f>
        <v>502.6</v>
      </c>
      <c r="U20" s="15">
        <f>SUM(J17:K20)/4</f>
        <v>-6321.225</v>
      </c>
      <c r="V20" s="17"/>
      <c r="W20" s="15">
        <f>-(L20+M20)+W19</f>
        <v>-27911.264</v>
      </c>
      <c r="X20" s="17"/>
      <c r="Y20" s="15">
        <f>F20-G20</f>
        <v>-44952</v>
      </c>
      <c r="Z20" s="15"/>
      <c r="AA20" s="15">
        <v>9200</v>
      </c>
      <c r="AB20" s="17"/>
    </row>
    <row r="21" ht="20.05" customHeight="1">
      <c r="B21" s="13"/>
      <c r="C21" s="14">
        <v>13106.7</v>
      </c>
      <c r="D21" s="15">
        <v>408</v>
      </c>
      <c r="E21" s="15">
        <v>1835.9</v>
      </c>
      <c r="F21" s="15">
        <v>10672</v>
      </c>
      <c r="G21" s="15">
        <v>54321</v>
      </c>
      <c r="H21" s="15">
        <v>107927</v>
      </c>
      <c r="I21" s="15">
        <v>13231.6</v>
      </c>
      <c r="J21" s="15">
        <v>1931.9</v>
      </c>
      <c r="K21" s="15">
        <v>-716.3</v>
      </c>
      <c r="L21" s="15">
        <v>105.206</v>
      </c>
      <c r="M21" s="15">
        <v>-462.559</v>
      </c>
      <c r="N21" s="15">
        <f>SUM(C18:C21)/4</f>
        <v>12948.275</v>
      </c>
      <c r="O21" s="15">
        <v>12932.769</v>
      </c>
      <c r="P21" s="16">
        <f>C21/C20-1</f>
        <v>-0.131569531684821</v>
      </c>
      <c r="Q21" s="16">
        <f>((D21+E21)/C21)</f>
        <v>0.171202514744367</v>
      </c>
      <c r="R21" s="16">
        <f>AVERAGE(Q18:Q21)</f>
        <v>0.204335209695292</v>
      </c>
      <c r="S21" s="17"/>
      <c r="T21" s="15">
        <f>SUM(J21:K21)</f>
        <v>1215.6</v>
      </c>
      <c r="U21" s="15">
        <f>SUM(J18:K21)/4</f>
        <v>-6082.61</v>
      </c>
      <c r="V21" s="17"/>
      <c r="W21" s="15">
        <f>-(L21+M21)+W20</f>
        <v>-27553.911</v>
      </c>
      <c r="X21" s="17"/>
      <c r="Y21" s="15">
        <f>F21-G21</f>
        <v>-43649</v>
      </c>
      <c r="Z21" s="15"/>
      <c r="AA21" s="15">
        <v>8150</v>
      </c>
      <c r="AB21" s="17"/>
    </row>
    <row r="22" ht="20.05" customHeight="1">
      <c r="B22" s="13"/>
      <c r="C22" s="14">
        <v>14422.9</v>
      </c>
      <c r="D22" s="15">
        <v>408</v>
      </c>
      <c r="E22" s="15">
        <v>2117.2</v>
      </c>
      <c r="F22" s="15">
        <v>9222</v>
      </c>
      <c r="G22" s="15">
        <v>54460</v>
      </c>
      <c r="H22" s="15">
        <v>107307</v>
      </c>
      <c r="I22" s="15">
        <v>14560.2</v>
      </c>
      <c r="J22" s="15">
        <v>1824.6</v>
      </c>
      <c r="K22" s="15">
        <v>-570.8</v>
      </c>
      <c r="L22" s="15">
        <v>115.708</v>
      </c>
      <c r="M22" s="15">
        <v>-2755.156</v>
      </c>
      <c r="N22" s="15">
        <f>SUM(C19:C22)/4</f>
        <v>13841.5</v>
      </c>
      <c r="O22" s="23">
        <v>13409.92725</v>
      </c>
      <c r="P22" s="16">
        <f>C22/C21-1</f>
        <v>0.10042192161261</v>
      </c>
      <c r="Q22" s="16">
        <f>((D22+E22)/C22)</f>
        <v>0.17508268101422</v>
      </c>
      <c r="R22" s="16">
        <f>AVERAGE(Q19:Q22)</f>
        <v>0.22212500437281</v>
      </c>
      <c r="S22" s="17"/>
      <c r="T22" s="15">
        <f>SUM(J22:K22)</f>
        <v>1253.8</v>
      </c>
      <c r="U22" s="15">
        <f>SUM(J19:K22)/4</f>
        <v>1408.375</v>
      </c>
      <c r="V22" s="17"/>
      <c r="W22" s="15">
        <f>-(L22+M22)+W21</f>
        <v>-24914.463</v>
      </c>
      <c r="X22" s="17"/>
      <c r="Y22" s="15">
        <f>F22-G22</f>
        <v>-45238</v>
      </c>
      <c r="Z22" s="15"/>
      <c r="AA22" s="15">
        <v>8350</v>
      </c>
      <c r="AB22" s="17"/>
    </row>
    <row r="23" ht="20.05" customHeight="1">
      <c r="B23" s="13"/>
      <c r="C23" s="14">
        <v>14182</v>
      </c>
      <c r="D23" s="15">
        <v>408</v>
      </c>
      <c r="E23" s="15">
        <v>1818.2</v>
      </c>
      <c r="F23" s="15">
        <v>20377.8</v>
      </c>
      <c r="G23" s="15">
        <v>63643</v>
      </c>
      <c r="H23" s="15">
        <v>118067</v>
      </c>
      <c r="I23" s="15">
        <v>14760.3</v>
      </c>
      <c r="J23" s="15">
        <v>2385.6</v>
      </c>
      <c r="K23" s="15">
        <v>-676.6</v>
      </c>
      <c r="L23" s="15">
        <v>9872.322</v>
      </c>
      <c r="M23" s="15">
        <v>-412.285</v>
      </c>
      <c r="N23" s="15">
        <f>SUM(C20:C23)/4</f>
        <v>14201</v>
      </c>
      <c r="O23" s="23">
        <v>14609.47475</v>
      </c>
      <c r="P23" s="16">
        <f>C23/C22-1</f>
        <v>-0.0167026048852866</v>
      </c>
      <c r="Q23" s="16">
        <f>((D23+E23)/C23)</f>
        <v>0.156973628543224</v>
      </c>
      <c r="R23" s="16">
        <f>AVERAGE(Q20:Q23)</f>
        <v>0.167834199330336</v>
      </c>
      <c r="S23" s="17"/>
      <c r="T23" s="15">
        <f>SUM(J23:K23)</f>
        <v>1709</v>
      </c>
      <c r="U23" s="15">
        <f>SUM(J20:K23)/4</f>
        <v>1170.25</v>
      </c>
      <c r="V23" s="17"/>
      <c r="W23" s="15">
        <f>-(L23+M23)+W22</f>
        <v>-34374.5</v>
      </c>
      <c r="X23" s="17"/>
      <c r="Y23" s="15">
        <f>F23-G23</f>
        <v>-43265.2</v>
      </c>
      <c r="Z23" s="15"/>
      <c r="AA23" s="15">
        <v>8925</v>
      </c>
      <c r="AB23" s="17"/>
    </row>
    <row r="24" ht="20.05" customHeight="1">
      <c r="B24" s="21">
        <v>2022</v>
      </c>
      <c r="C24" s="14">
        <v>17189</v>
      </c>
      <c r="D24" s="15">
        <v>408.5</v>
      </c>
      <c r="E24" s="15">
        <v>2576</v>
      </c>
      <c r="F24" s="15">
        <v>18900</v>
      </c>
      <c r="G24" s="15">
        <v>64655</v>
      </c>
      <c r="H24" s="15">
        <v>121945</v>
      </c>
      <c r="I24" s="15">
        <v>15420</v>
      </c>
      <c r="J24" s="15">
        <v>1597.8</v>
      </c>
      <c r="K24" s="15">
        <v>-2828.3</v>
      </c>
      <c r="L24" s="15">
        <v>-341</v>
      </c>
      <c r="M24" s="15">
        <v>0</v>
      </c>
      <c r="N24" s="15">
        <f>SUM(C21:C24)/4</f>
        <v>14725.15</v>
      </c>
      <c r="O24" s="23">
        <v>15181.75725</v>
      </c>
      <c r="P24" s="16">
        <f>C24/C23-1</f>
        <v>0.21202933295727</v>
      </c>
      <c r="Q24" s="16">
        <f>((D24+E24)/C24)</f>
        <v>0.173628483332364</v>
      </c>
      <c r="R24" s="16">
        <f>AVERAGE(Q21:Q24)</f>
        <v>0.169221826908544</v>
      </c>
      <c r="S24" s="35"/>
      <c r="T24" s="15">
        <f>SUM(J24:K24)</f>
        <v>-1230.5</v>
      </c>
      <c r="U24" s="15">
        <f>SUM(J21:K24)/4</f>
        <v>736.975</v>
      </c>
      <c r="V24" s="15">
        <v>1947.2804015937</v>
      </c>
      <c r="W24" s="15">
        <f>-(L24+M24)+W23</f>
        <v>-34033.5</v>
      </c>
      <c r="X24" s="15"/>
      <c r="Y24" s="15">
        <f>F24-G24</f>
        <v>-45755</v>
      </c>
      <c r="Z24" s="15">
        <v>-36893.5513613149</v>
      </c>
      <c r="AA24" s="15">
        <v>7350</v>
      </c>
      <c r="AB24" s="15"/>
    </row>
    <row r="25" ht="20.05" customHeight="1">
      <c r="B25" s="13"/>
      <c r="C25" s="14">
        <v>15404.3</v>
      </c>
      <c r="D25" s="15">
        <v>471.4</v>
      </c>
      <c r="E25" s="15">
        <v>-164.2</v>
      </c>
      <c r="F25" s="15">
        <v>13017</v>
      </c>
      <c r="G25" s="15">
        <v>56562</v>
      </c>
      <c r="H25" s="15">
        <v>113360</v>
      </c>
      <c r="I25" s="15">
        <v>15180.3</v>
      </c>
      <c r="J25" s="15">
        <v>835.2</v>
      </c>
      <c r="K25" s="15">
        <v>2118.1</v>
      </c>
      <c r="L25" s="15">
        <v>-9169.9</v>
      </c>
      <c r="M25" s="15">
        <v>-252.2</v>
      </c>
      <c r="N25" s="15">
        <f>SUM(C22:C25)/4</f>
        <v>15299.55</v>
      </c>
      <c r="O25" s="23">
        <v>15485.80325</v>
      </c>
      <c r="P25" s="16">
        <f>C25/C24-1</f>
        <v>-0.103828029553784</v>
      </c>
      <c r="Q25" s="16">
        <f>((D25+E25)/C25)</f>
        <v>0.0199424835922437</v>
      </c>
      <c r="R25" s="16">
        <f>AVERAGE(Q22:Q25)</f>
        <v>0.131406819120513</v>
      </c>
      <c r="S25" s="35"/>
      <c r="T25" s="15">
        <f>SUM(J25:K25)</f>
        <v>2953.3</v>
      </c>
      <c r="U25" s="15">
        <f>SUM(J22:K25)/4</f>
        <v>1171.4</v>
      </c>
      <c r="V25" s="15">
        <v>2623.1291539992</v>
      </c>
      <c r="W25" s="15">
        <f>-(L25+M25)+W24</f>
        <v>-24611.4</v>
      </c>
      <c r="X25" s="15"/>
      <c r="Y25" s="15">
        <f>F25-G25</f>
        <v>-43545</v>
      </c>
      <c r="Z25" s="15">
        <v>-36893.5513613149</v>
      </c>
      <c r="AA25" s="15">
        <v>9550</v>
      </c>
      <c r="AB25" s="15">
        <v>9877</v>
      </c>
    </row>
    <row r="26" ht="20.05" customHeight="1">
      <c r="B26" s="13"/>
      <c r="C26" s="14">
        <f>C42-C25-C24</f>
        <v>16315.7</v>
      </c>
      <c r="D26" s="15">
        <f>D42-D25-D24</f>
        <v>386.1</v>
      </c>
      <c r="E26" s="15">
        <f>E42-E25-E24</f>
        <v>1668.2</v>
      </c>
      <c r="F26" s="15">
        <v>12809</v>
      </c>
      <c r="G26" s="15">
        <v>57625</v>
      </c>
      <c r="H26" s="15">
        <v>113618</v>
      </c>
      <c r="I26" s="15">
        <f>I42-I25-I24</f>
        <v>16691.7</v>
      </c>
      <c r="J26" s="15">
        <f>J42-J25-J24</f>
        <v>2801</v>
      </c>
      <c r="K26" s="15">
        <f>K42-K25-K24</f>
        <v>-502.8</v>
      </c>
      <c r="L26" s="15">
        <f>L42-L25-L24</f>
        <v>560.9</v>
      </c>
      <c r="M26" s="15">
        <f>M42-M25-M24</f>
        <v>-2898.8</v>
      </c>
      <c r="N26" s="15">
        <f>AVERAGE(C26)</f>
        <v>16315.7</v>
      </c>
      <c r="O26" s="23">
        <v>17714.020742</v>
      </c>
      <c r="P26" s="16">
        <f>C26/C25-1</f>
        <v>0.0591652980012075</v>
      </c>
      <c r="Q26" s="16">
        <f>((D26+E26)/C26)</f>
        <v>0.125909400148323</v>
      </c>
      <c r="R26" s="16">
        <f>AVERAGE(Q23:Q26)</f>
        <v>0.119113498904039</v>
      </c>
      <c r="S26" s="35">
        <f>S27</f>
        <v>0.119113498904039</v>
      </c>
      <c r="T26" s="15">
        <f>SUM(J26:K26)</f>
        <v>2298.2</v>
      </c>
      <c r="U26" s="15">
        <f>SUM(J23:K26)/4</f>
        <v>1432.5</v>
      </c>
      <c r="V26" s="15">
        <v>1353.8417562954</v>
      </c>
      <c r="W26" s="15">
        <f>-(L26+M26)+W25</f>
        <v>-22273.5</v>
      </c>
      <c r="X26" s="15">
        <f>X27</f>
        <v>-15842.8847294235</v>
      </c>
      <c r="Y26" s="15">
        <f>F26-G26</f>
        <v>-44816</v>
      </c>
      <c r="Z26" s="15">
        <v>-36934.1647696523</v>
      </c>
      <c r="AA26" s="15">
        <v>8650</v>
      </c>
      <c r="AB26" s="15">
        <v>9877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AVERAGE(AE53:AH53)</f>
        <v>17718.0070862025</v>
      </c>
      <c r="P27" s="17"/>
      <c r="Q27" s="17"/>
      <c r="R27" s="17"/>
      <c r="S27" s="35">
        <f>AE54</f>
        <v>0.119113498904039</v>
      </c>
      <c r="T27" s="17"/>
      <c r="U27" s="17"/>
      <c r="V27" s="15">
        <f>SUM(AE56:AH56)/4</f>
        <v>1607.653817644140</v>
      </c>
      <c r="W27" s="17"/>
      <c r="X27" s="15">
        <f>-SUM(AE77:AH77)+W26</f>
        <v>-15842.8847294235</v>
      </c>
      <c r="Y27" s="17"/>
      <c r="Z27" s="15">
        <f>AH76</f>
        <v>-38385.3847294235</v>
      </c>
      <c r="AA27" s="15">
        <v>10450</v>
      </c>
      <c r="AB27" s="15">
        <v>10088.7472805036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143839.525</v>
      </c>
      <c r="O28" s="15">
        <f>SUM(O16:O26)</f>
        <v>144160.503075333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5"/>
      <c r="AA28" s="15"/>
      <c r="AB28" s="15">
        <f>AH89</f>
        <v>10476.9971006269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5"/>
      <c r="AA41" s="15"/>
      <c r="AB41" s="15"/>
    </row>
    <row r="42" ht="20.05" customHeight="1">
      <c r="B42" s="13"/>
      <c r="C42" s="14">
        <v>48909</v>
      </c>
      <c r="D42" s="15">
        <v>1266</v>
      </c>
      <c r="E42" s="15">
        <v>4080</v>
      </c>
      <c r="F42" s="15"/>
      <c r="G42" s="15"/>
      <c r="H42" s="15"/>
      <c r="I42" s="15">
        <v>47292</v>
      </c>
      <c r="J42" s="15">
        <v>5234</v>
      </c>
      <c r="K42" s="15">
        <v>-1213</v>
      </c>
      <c r="L42" s="15">
        <v>-8950</v>
      </c>
      <c r="M42" s="15">
        <f>-2507-644</f>
        <v>-3151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5"/>
      <c r="AA44" s="15"/>
      <c r="AB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5"/>
      <c r="AA45" s="15"/>
      <c r="AB45" s="15"/>
    </row>
    <row r="47" ht="27.65" customHeight="1">
      <c r="AC47" t="s" s="2">
        <v>248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ht="20.25" customHeight="1">
      <c r="AC48" t="s" s="28">
        <v>366</v>
      </c>
      <c r="AD48" t="s" s="29">
        <v>23</v>
      </c>
      <c r="AE48" t="s" s="29">
        <v>24</v>
      </c>
      <c r="AF48" t="s" s="29">
        <v>25</v>
      </c>
      <c r="AG48" t="s" s="29">
        <v>26</v>
      </c>
      <c r="AH48" t="s" s="29">
        <v>23</v>
      </c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</row>
    <row r="49" ht="20.25" customHeight="1">
      <c r="AC49" t="s" s="31">
        <v>15</v>
      </c>
      <c r="AD49" s="32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ht="20.05" customHeight="1">
      <c r="AC50" t="s" s="33">
        <v>27</v>
      </c>
      <c r="AD50" s="34"/>
      <c r="AE50" s="16">
        <f>AVERAGE(P23:P26)</f>
        <v>0.0376659991298517</v>
      </c>
      <c r="AF50" s="35"/>
      <c r="AG50" s="35"/>
      <c r="AH50" s="35">
        <f>AVERAGE(AE52:AH52)</f>
        <v>0.0375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s="36"/>
      <c r="AD51" s="37"/>
      <c r="AE51" s="35">
        <f>P23</f>
        <v>-0.0167026048852866</v>
      </c>
      <c r="AF51" s="35">
        <f>P24</f>
        <v>0.21202933295727</v>
      </c>
      <c r="AG51" s="35">
        <f>P25</f>
        <v>-0.103828029553784</v>
      </c>
      <c r="AH51" s="35">
        <f>P26</f>
        <v>0.0591652980012075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13</v>
      </c>
      <c r="AD52" s="37"/>
      <c r="AE52" s="35">
        <v>-0.01</v>
      </c>
      <c r="AF52" s="35">
        <v>0.15</v>
      </c>
      <c r="AG52" s="35">
        <v>-0.06</v>
      </c>
      <c r="AH52" s="35">
        <v>0.07000000000000001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ht="20.05" customHeight="1">
      <c r="AC53" t="s" s="33">
        <v>28</v>
      </c>
      <c r="AD53" s="38">
        <f>C26</f>
        <v>16315.7</v>
      </c>
      <c r="AE53" s="23">
        <f>C26*(1+AE52)</f>
        <v>16152.543</v>
      </c>
      <c r="AF53" s="23">
        <f>AE53*(1+AF52)</f>
        <v>18575.42445</v>
      </c>
      <c r="AG53" s="23">
        <f>AF53*(1+AG52)</f>
        <v>17460.898983</v>
      </c>
      <c r="AH53" s="23">
        <f>AG53*(1+AH52)</f>
        <v>18683.16191181</v>
      </c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</row>
    <row r="54" ht="20.05" customHeight="1">
      <c r="AC54" t="s" s="33">
        <v>14</v>
      </c>
      <c r="AD54" s="37"/>
      <c r="AE54" s="35">
        <f>AVERAGE(R26)</f>
        <v>0.119113498904039</v>
      </c>
      <c r="AF54" s="35">
        <f>AE54</f>
        <v>0.119113498904039</v>
      </c>
      <c r="AG54" s="35">
        <f>AF54</f>
        <v>0.119113498904039</v>
      </c>
      <c r="AH54" s="35">
        <f>AG54</f>
        <v>0.119113498904039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ht="20.05" customHeight="1">
      <c r="AC55" t="s" s="33">
        <v>29</v>
      </c>
      <c r="AD55" s="14"/>
      <c r="AE55" s="15">
        <f>AVERAGE(K26)</f>
        <v>-502.8</v>
      </c>
      <c r="AF55" s="15">
        <f>AE55</f>
        <v>-502.8</v>
      </c>
      <c r="AG55" s="15">
        <f>AF55</f>
        <v>-502.8</v>
      </c>
      <c r="AH55" s="15">
        <f>AG55</f>
        <v>-502.8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30</v>
      </c>
      <c r="AD56" s="14"/>
      <c r="AE56" s="15">
        <f>(AE53*AE54)+AE55</f>
        <v>1421.185912927940</v>
      </c>
      <c r="AF56" s="15">
        <f>(AF53*AF54)+AF55</f>
        <v>1709.783799867130</v>
      </c>
      <c r="AG56" s="15">
        <f>(AG53*AG54)+AG55</f>
        <v>1577.028771875110</v>
      </c>
      <c r="AH56" s="15">
        <f>(AH53*AH54)+AH55</f>
        <v>1722.616785906360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31</v>
      </c>
      <c r="AD57" s="14"/>
      <c r="AE57" s="15">
        <f>-G26/20</f>
        <v>-2881.25</v>
      </c>
      <c r="AF57" s="15">
        <f>-AE72/20</f>
        <v>-2737.1875</v>
      </c>
      <c r="AG57" s="15">
        <f>-AF72/20</f>
        <v>-2600.328125</v>
      </c>
      <c r="AH57" s="15">
        <f>-AG72/20</f>
        <v>-2470.31171875</v>
      </c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32</v>
      </c>
      <c r="AD58" s="39"/>
      <c r="AE58" s="40">
        <v>0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33</v>
      </c>
      <c r="AD59" s="14"/>
      <c r="AE59" s="15">
        <f>IF(AE67&gt;0,AE67*$AE$58,0)</f>
        <v>0</v>
      </c>
      <c r="AF59" s="15">
        <f>IF(AF67&gt;0,AF67*$AE$58,0)</f>
        <v>0</v>
      </c>
      <c r="AG59" s="15">
        <f>IF(AG67&gt;0,AG67*$AE$58,0)</f>
        <v>0</v>
      </c>
      <c r="AH59" s="15">
        <f>IF(AH67&gt;0,AH67*$AE$58,0)</f>
        <v>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34</v>
      </c>
      <c r="AD60" s="14"/>
      <c r="AE60" s="15">
        <f>AE56+AE57+AE59</f>
        <v>-1460.064087072060</v>
      </c>
      <c r="AF60" s="15">
        <f>AF56+AF57+AF59</f>
        <v>-1027.403700132870</v>
      </c>
      <c r="AG60" s="15">
        <f>AG56+AG57+AG59</f>
        <v>-1023.299353124890</v>
      </c>
      <c r="AH60" s="15">
        <f>AH56+AH57+AH59</f>
        <v>-747.694932843640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35</v>
      </c>
      <c r="AD61" s="14"/>
      <c r="AE61" s="15">
        <f>-MIN(0,AE60)</f>
        <v>1460.064087072060</v>
      </c>
      <c r="AF61" s="15">
        <f>-MIN(AE73,AF60)</f>
        <v>1027.403700132870</v>
      </c>
      <c r="AG61" s="15">
        <f>-MIN(AF73,AG60)</f>
        <v>1023.299353124890</v>
      </c>
      <c r="AH61" s="15">
        <f>-MIN(AG73,AH60)</f>
        <v>747.694932843640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36</v>
      </c>
      <c r="AD62" s="14"/>
      <c r="AE62" s="15">
        <f>F26</f>
        <v>12809</v>
      </c>
      <c r="AF62" s="15">
        <f>AE64</f>
        <v>12809</v>
      </c>
      <c r="AG62" s="15">
        <f>AF64</f>
        <v>12809</v>
      </c>
      <c r="AH62" s="15">
        <f>AG64</f>
        <v>12809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37</v>
      </c>
      <c r="AD63" s="14"/>
      <c r="AE63" s="15">
        <f>AE56+AE57+AE59+AE61</f>
        <v>0</v>
      </c>
      <c r="AF63" s="15">
        <f>AF56+AF57+AF59+AF61</f>
        <v>0</v>
      </c>
      <c r="AG63" s="15">
        <f>AG56+AG57+AG59+AG61</f>
        <v>0</v>
      </c>
      <c r="AH63" s="15">
        <f>AH56+AH57+AH59+AH61</f>
        <v>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33">
        <v>38</v>
      </c>
      <c r="AD64" s="14"/>
      <c r="AE64" s="15">
        <f>AE62+AE63</f>
        <v>12809</v>
      </c>
      <c r="AF64" s="15">
        <f>AF62+AF63</f>
        <v>12809</v>
      </c>
      <c r="AG64" s="15">
        <f>AG62+AG63</f>
        <v>12809</v>
      </c>
      <c r="AH64" s="15">
        <f>AH62+AH63</f>
        <v>12809</v>
      </c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ht="20.05" customHeight="1">
      <c r="AC65" t="s" s="41">
        <v>4</v>
      </c>
      <c r="AD65" s="14"/>
      <c r="AE65" s="15"/>
      <c r="AF65" s="15"/>
      <c r="AG65" s="15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</row>
    <row r="66" ht="20.05" customHeight="1">
      <c r="AC66" t="s" s="33">
        <v>3</v>
      </c>
      <c r="AD66" s="14"/>
      <c r="AE66" s="15">
        <f>-AVERAGE(D24:D26)</f>
        <v>-422</v>
      </c>
      <c r="AF66" s="15">
        <f>AE66</f>
        <v>-422</v>
      </c>
      <c r="AG66" s="15">
        <f>AF66</f>
        <v>-422</v>
      </c>
      <c r="AH66" s="15">
        <f>AG66</f>
        <v>-422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33">
        <v>4</v>
      </c>
      <c r="AD67" s="14"/>
      <c r="AE67" s="15">
        <f>(AE53*AE54)+AE66</f>
        <v>1501.985912927940</v>
      </c>
      <c r="AF67" s="15">
        <f>(AF53*AF54)+AF66</f>
        <v>1790.583799867130</v>
      </c>
      <c r="AG67" s="15">
        <f>(AG53*AG54)+AG66</f>
        <v>1657.828771875110</v>
      </c>
      <c r="AH67" s="15">
        <f>(AH53*AH54)+AH66</f>
        <v>1803.416785906360</v>
      </c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41">
        <v>39</v>
      </c>
      <c r="AD68" s="14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40</v>
      </c>
      <c r="AD69" s="14"/>
      <c r="AE69" s="15">
        <f>H26-F26-AE55</f>
        <v>101311.8</v>
      </c>
      <c r="AF69" s="15">
        <f>AE69-AF55</f>
        <v>101814.6</v>
      </c>
      <c r="AG69" s="15">
        <f>AF69-AG55</f>
        <v>102317.4</v>
      </c>
      <c r="AH69" s="15">
        <f>AG69-AH55</f>
        <v>102820.2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41</v>
      </c>
      <c r="AD70" s="14"/>
      <c r="AE70" s="15">
        <f>0-AE66</f>
        <v>422</v>
      </c>
      <c r="AF70" s="15">
        <f>AE70-AF66</f>
        <v>844</v>
      </c>
      <c r="AG70" s="15">
        <f>AF70-AG66</f>
        <v>1266</v>
      </c>
      <c r="AH70" s="15">
        <f>AG70-AH66</f>
        <v>1688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42</v>
      </c>
      <c r="AD71" s="14"/>
      <c r="AE71" s="15">
        <f>AE69-AE70</f>
        <v>100889.8</v>
      </c>
      <c r="AF71" s="15">
        <f>AF69-AF70</f>
        <v>100970.6</v>
      </c>
      <c r="AG71" s="15">
        <f>AG69-AG70</f>
        <v>101051.4</v>
      </c>
      <c r="AH71" s="15">
        <f>AH69-AH70</f>
        <v>101132.2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6</v>
      </c>
      <c r="AD72" s="14"/>
      <c r="AE72" s="15">
        <f>G26+AE57</f>
        <v>54743.75</v>
      </c>
      <c r="AF72" s="15">
        <f>AE72+AF57</f>
        <v>52006.5625</v>
      </c>
      <c r="AG72" s="15">
        <f>AF72+AG57</f>
        <v>49406.234375</v>
      </c>
      <c r="AH72" s="15">
        <f>AG72+AH57</f>
        <v>46935.92265625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35</v>
      </c>
      <c r="AD73" s="14"/>
      <c r="AE73" s="15">
        <f>AE61</f>
        <v>1460.064087072060</v>
      </c>
      <c r="AF73" s="15">
        <f>AE73+AF61</f>
        <v>2487.467787204930</v>
      </c>
      <c r="AG73" s="15">
        <f>AF73+AG61</f>
        <v>3510.767140329820</v>
      </c>
      <c r="AH73" s="15">
        <f>AG73+AH61</f>
        <v>4258.462073173460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11</v>
      </c>
      <c r="AD74" s="14"/>
      <c r="AE74" s="15">
        <f>(H26-G26)+AE67+AE59</f>
        <v>57494.9859129279</v>
      </c>
      <c r="AF74" s="15">
        <f>AE74+AF67+AF59</f>
        <v>59285.569712795</v>
      </c>
      <c r="AG74" s="15">
        <f>AF74+AG67+AG59</f>
        <v>60943.3984846701</v>
      </c>
      <c r="AH74" s="15">
        <f>AG74+AH67+AH59</f>
        <v>62746.8152705765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43</v>
      </c>
      <c r="AD75" s="14"/>
      <c r="AE75" s="15">
        <f>AE72+AE73+AE74-AE64-AE71</f>
        <v>-4e-11</v>
      </c>
      <c r="AF75" s="15">
        <f>AF72+AF73+AF74-AF64-AF71</f>
        <v>-7e-11</v>
      </c>
      <c r="AG75" s="15">
        <f>AG72+AG73+AG74-AG64-AG71</f>
        <v>-8e-11</v>
      </c>
      <c r="AH75" s="15">
        <f>AH72+AH73+AH74-AH64-AH71</f>
        <v>-4e-11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18</v>
      </c>
      <c r="AD76" s="14"/>
      <c r="AE76" s="15">
        <f>AE64-AE72-AE73</f>
        <v>-43394.8140870721</v>
      </c>
      <c r="AF76" s="15">
        <f>AF64-AF72-AF73</f>
        <v>-41685.0302872049</v>
      </c>
      <c r="AG76" s="15">
        <f>AG64-AG72-AG73</f>
        <v>-40108.0015153298</v>
      </c>
      <c r="AH76" s="15">
        <f>AH64-AH72-AH73</f>
        <v>-38385.3847294235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44</v>
      </c>
      <c r="AD77" s="14"/>
      <c r="AE77" s="15">
        <f>AE57+AE59+AE61</f>
        <v>-1421.185912927940</v>
      </c>
      <c r="AF77" s="15">
        <f>AF57+AF59+AF61</f>
        <v>-1709.783799867130</v>
      </c>
      <c r="AG77" s="15">
        <f>AG57+AG59+AG61</f>
        <v>-1577.028771875110</v>
      </c>
      <c r="AH77" s="15">
        <f>AH57+AH59+AH61</f>
        <v>-1722.616785906360</v>
      </c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v>45</v>
      </c>
      <c r="AD78" s="14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v>248</v>
      </c>
      <c r="AD79" s="14"/>
      <c r="AE79" s="15"/>
      <c r="AF79" s="15"/>
      <c r="AG79" s="15"/>
      <c r="AH79" s="15">
        <v>10450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f>$AC79</f>
        <v>614</v>
      </c>
      <c r="AD80" s="14"/>
      <c r="AE80" s="15"/>
      <c r="AF80" s="15"/>
      <c r="AG80" s="15"/>
      <c r="AH80" s="15">
        <v>121866852659200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46</v>
      </c>
      <c r="AD81" s="14"/>
      <c r="AE81" s="15"/>
      <c r="AF81" s="15"/>
      <c r="AG81" s="15"/>
      <c r="AH81" s="15">
        <f>AH80/1000000000</f>
        <v>121866.8526592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47</v>
      </c>
      <c r="AD82" s="14"/>
      <c r="AE82" s="15"/>
      <c r="AF82" s="15"/>
      <c r="AG82" s="15"/>
      <c r="AH82" s="15">
        <f>AH81/AH79</f>
        <v>11.661899776</v>
      </c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ht="20.05" customHeight="1">
      <c r="AC83" t="s" s="33">
        <v>48</v>
      </c>
      <c r="AD83" s="14"/>
      <c r="AE83" s="15"/>
      <c r="AF83" s="15"/>
      <c r="AG83" s="15"/>
      <c r="AH83" s="43">
        <f>AH81/(AH64+AH71)</f>
        <v>1.06955914681608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</row>
    <row r="84" ht="20.05" customHeight="1">
      <c r="AC84" t="s" s="33">
        <v>49</v>
      </c>
      <c r="AD84" s="14"/>
      <c r="AE84" s="15"/>
      <c r="AF84" s="15"/>
      <c r="AG84" s="15"/>
      <c r="AH84" s="16">
        <f>-(AE59+AF59+AG59+AH59)/AH81</f>
        <v>0</v>
      </c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</row>
    <row r="85" ht="20.05" customHeight="1">
      <c r="AC85" t="s" s="33">
        <v>50</v>
      </c>
      <c r="AD85" s="14"/>
      <c r="AE85" s="15"/>
      <c r="AF85" s="15"/>
      <c r="AG85" s="15"/>
      <c r="AH85" s="15">
        <f>SUM(AE56:AH56)</f>
        <v>6430.615270576540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51</v>
      </c>
      <c r="AD86" s="14"/>
      <c r="AE86" s="15"/>
      <c r="AF86" s="15"/>
      <c r="AG86" s="15"/>
      <c r="AH86" s="15">
        <f>(H26+F26)/AH85</f>
        <v>19.6601716446123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52</v>
      </c>
      <c r="AD87" s="14"/>
      <c r="AE87" s="15"/>
      <c r="AF87" s="15"/>
      <c r="AG87" s="15">
        <f>AH81/AH85</f>
        <v>18.9510408462477</v>
      </c>
      <c r="AH87" s="15">
        <v>19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53</v>
      </c>
      <c r="AD88" s="14"/>
      <c r="AE88" s="15"/>
      <c r="AF88" s="15"/>
      <c r="AG88" s="15"/>
      <c r="AH88" s="15">
        <f>AH85*AH87</f>
        <v>122181.690140954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54</v>
      </c>
      <c r="AD89" s="14"/>
      <c r="AE89" s="15"/>
      <c r="AF89" s="15"/>
      <c r="AG89" s="15"/>
      <c r="AH89" s="15">
        <f>(AH88/AH82)</f>
        <v>10476.9971006269</v>
      </c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ht="20.05" customHeight="1">
      <c r="AC90" t="s" s="33">
        <v>55</v>
      </c>
      <c r="AD90" s="38"/>
      <c r="AE90" s="23"/>
      <c r="AF90" s="23"/>
      <c r="AG90" s="23"/>
      <c r="AH90" s="16">
        <f>AH89/AH79-1</f>
        <v>0.00258345460544498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56</v>
      </c>
      <c r="AD91" s="38"/>
      <c r="AE91" s="23"/>
      <c r="AF91" s="23"/>
      <c r="AG91" s="23"/>
      <c r="AH91" s="16">
        <f>C26/C22-1</f>
        <v>0.131235743158449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57</v>
      </c>
      <c r="AD92" s="38"/>
      <c r="AE92" s="23"/>
      <c r="AF92" s="23"/>
      <c r="AG92" s="23"/>
      <c r="AH92" s="16">
        <f>O28/N28-1</f>
        <v>0.00223150121868798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38"/>
      <c r="AE94" s="23"/>
      <c r="AF94" s="23"/>
      <c r="AG94" s="23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45"/>
      <c r="AE95" t="s" s="44">
        <f>$AC79</f>
        <v>614</v>
      </c>
      <c r="AF95" t="s" s="44">
        <v>60</v>
      </c>
      <c r="AG95" s="15">
        <f>AH79</f>
        <v>10450</v>
      </c>
      <c r="AH95" t="s" s="44">
        <v>61</v>
      </c>
      <c r="AI95" s="15">
        <f>AH89</f>
        <v>10476.9971006269</v>
      </c>
      <c r="AJ95" t="s" s="44">
        <f>IF(AK95&gt;0,"+","")</f>
        <v>361</v>
      </c>
      <c r="AK95" s="16">
        <f>AI95/AG95-1</f>
        <v>0.00258345460544498</v>
      </c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20.05" customHeight="1">
      <c r="AC96" s="36"/>
      <c r="AD96" s="46"/>
      <c r="AE96" s="47">
        <f>TODAY()</f>
        <v>44942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64</v>
      </c>
      <c r="AG98" t="s" s="44">
        <f>IF(AH98&gt;0,"+","")</f>
        <v>361</v>
      </c>
      <c r="AH98" s="16">
        <f>AI105/AE105-1</f>
        <v>0.131235743158449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65</v>
      </c>
      <c r="AG99" t="s" s="44">
        <f>IF(AH99&gt;0,"+","")</f>
        <v>361</v>
      </c>
      <c r="AH99" s="16">
        <f>SUM(AF118:AI119)/AF135</f>
        <v>0.0470185278028301</v>
      </c>
      <c r="AI99" t="s" s="44"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63</v>
      </c>
      <c r="AF100" t="s" s="44">
        <v>17</v>
      </c>
      <c r="AG100" t="s" s="44">
        <f>IF(AH100&gt;0,"+","")</f>
        <v>361</v>
      </c>
      <c r="AH100" s="16">
        <f>SUM(AF132:AI133)/AF135</f>
        <v>0.0216708886983849</v>
      </c>
      <c r="AI100" t="s" s="44">
        <f>AI99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68</v>
      </c>
      <c r="AF101" t="s" s="44">
        <v>369</v>
      </c>
      <c r="AG101" s="16">
        <f>AP128/AF135</f>
        <v>-0.367745609426114</v>
      </c>
      <c r="AH101" t="s" s="44">
        <f>AI100</f>
        <v>66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t="s" s="44">
        <v>28</v>
      </c>
      <c r="AF102" t="s" s="44">
        <f>AF106</f>
        <v>362</v>
      </c>
      <c r="AG102" s="16">
        <f>AG106</f>
        <v>0.0591652980012075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32.05" customHeight="1">
      <c r="AC103" s="36"/>
      <c r="AD103" s="34"/>
      <c r="AE103" t="s" s="44">
        <v>70</v>
      </c>
      <c r="AF103" t="s" s="44">
        <v>371</v>
      </c>
      <c r="AG103" t="s" s="44">
        <f>AM106</f>
        <v>372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71"/>
      <c r="AE104" s="16">
        <f>P22</f>
        <v>0.10042192161261</v>
      </c>
      <c r="AF104" s="16">
        <f>P23</f>
        <v>-0.0167026048852866</v>
      </c>
      <c r="AG104" s="16">
        <f>P24</f>
        <v>0.21202933295727</v>
      </c>
      <c r="AH104" s="16">
        <f>P25</f>
        <v>-0.103828029553784</v>
      </c>
      <c r="AI104" s="16">
        <f>P26</f>
        <v>0.0591652980012075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20.05" customHeight="1">
      <c r="AC105" s="36"/>
      <c r="AD105" s="34"/>
      <c r="AE105" s="15">
        <f>C22</f>
        <v>14422.9</v>
      </c>
      <c r="AF105" s="15">
        <f>C23</f>
        <v>14182</v>
      </c>
      <c r="AG105" s="15">
        <f>C24</f>
        <v>17189</v>
      </c>
      <c r="AH105" s="15">
        <f>C25</f>
        <v>15404.3</v>
      </c>
      <c r="AI105" s="15">
        <f>C26</f>
        <v>16315.7</v>
      </c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44.05" customHeight="1">
      <c r="AC106" s="36"/>
      <c r="AD106" s="34"/>
      <c r="AE106" t="s" s="44">
        <v>2</v>
      </c>
      <c r="AF106" t="s" s="44">
        <f>IF(AG106&lt;0,"declined","grew")</f>
        <v>362</v>
      </c>
      <c r="AG106" s="16">
        <f>AI105/AH105-1</f>
        <v>0.0591652980012075</v>
      </c>
      <c r="AH106" t="s" s="44">
        <v>73</v>
      </c>
      <c r="AI106" t="s" s="44">
        <v>74</v>
      </c>
      <c r="AJ106" t="s" s="44">
        <v>75</v>
      </c>
      <c r="AK106" t="s" s="44">
        <v>76</v>
      </c>
      <c r="AL106" s="15">
        <f>AI105</f>
        <v>16315.7</v>
      </c>
      <c r="AM106" t="s" s="44">
        <v>372</v>
      </c>
      <c r="AN106" t="s" s="44">
        <v>378</v>
      </c>
      <c r="AO106" s="16">
        <v>0.0297063450445726</v>
      </c>
      <c r="AP106" t="s" s="44">
        <v>78</v>
      </c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79</v>
      </c>
      <c r="AF107" s="16">
        <f>AVERAGE(AF104:AI104)</f>
        <v>0.0376659991298517</v>
      </c>
      <c r="AG107" t="s" s="44">
        <v>80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81</v>
      </c>
      <c r="AF108" s="35">
        <f>AH50</f>
        <v>0.0375</v>
      </c>
      <c r="AG108" t="s" s="44">
        <v>82</v>
      </c>
      <c r="AH108" t="s" s="44">
        <v>83</v>
      </c>
      <c r="AI108" s="23">
        <f>AH53</f>
        <v>18683.16191181</v>
      </c>
      <c r="AJ108" t="s" s="44">
        <f>AM106</f>
        <v>372</v>
      </c>
      <c r="AK108" t="s" s="44">
        <v>84</v>
      </c>
      <c r="AL108" t="s" s="44">
        <f>AI106</f>
        <v>74</v>
      </c>
      <c r="AM108" t="s" s="44">
        <f>AJ106</f>
        <v>75</v>
      </c>
      <c r="AN108" t="s" s="44">
        <v>85</v>
      </c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t="s" s="44">
        <v>14</v>
      </c>
      <c r="AF109" t="s" s="44">
        <f>IF(AH113&lt;AF113,"down","up")</f>
        <v>108</v>
      </c>
      <c r="AG109" t="s" s="44">
        <v>86</v>
      </c>
      <c r="AH109" t="s" s="44">
        <f>IF(AL113&gt;AJ113,"up","down")</f>
        <v>108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44.05" customHeight="1">
      <c r="AC110" s="36"/>
      <c r="AD110" s="34"/>
      <c r="AE110" t="s" s="44">
        <f>AE103</f>
        <v>70</v>
      </c>
      <c r="AF110" t="s" s="44">
        <v>88</v>
      </c>
      <c r="AG110" t="s" s="44">
        <f>AM106</f>
        <v>372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71"/>
      <c r="AE111" s="16">
        <f>(D22+E22)/C22</f>
        <v>0.17508268101422</v>
      </c>
      <c r="AF111" s="16">
        <f>(D23+E23)/C23</f>
        <v>0.156973628543224</v>
      </c>
      <c r="AG111" s="16">
        <f>((E24+D24)/C24)</f>
        <v>0.173628483332364</v>
      </c>
      <c r="AH111" s="16">
        <f>(D25+E25)/C25</f>
        <v>0.0199424835922437</v>
      </c>
      <c r="AI111" s="16">
        <f>(D26+E26)/C26</f>
        <v>0.125909400148323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20.05" customHeight="1">
      <c r="AC112" s="36"/>
      <c r="AD112" s="34"/>
      <c r="AE112" s="15">
        <f>E22</f>
        <v>2117.2</v>
      </c>
      <c r="AF112" s="15">
        <f>E23</f>
        <v>1818.2</v>
      </c>
      <c r="AG112" s="15">
        <f>E24</f>
        <v>2576</v>
      </c>
      <c r="AH112" s="15">
        <f>E25</f>
        <v>-164.2</v>
      </c>
      <c r="AI112" s="15">
        <f>E26</f>
        <v>1668.2</v>
      </c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89</v>
      </c>
      <c r="AF113" s="16">
        <f>AH111</f>
        <v>0.0199424835922437</v>
      </c>
      <c r="AG113" t="s" s="44">
        <v>76</v>
      </c>
      <c r="AH113" s="16">
        <f>AI111</f>
        <v>0.125909400148323</v>
      </c>
      <c r="AI113" t="s" s="44">
        <v>90</v>
      </c>
      <c r="AJ113" s="15">
        <f>AH112</f>
        <v>-164.2</v>
      </c>
      <c r="AK113" t="s" s="44">
        <v>76</v>
      </c>
      <c r="AL113" s="15">
        <f>AI112</f>
        <v>1668.2</v>
      </c>
      <c r="AM113" t="s" s="44">
        <f>AJ108</f>
        <v>372</v>
      </c>
      <c r="AN113" t="s" s="44">
        <v>73</v>
      </c>
      <c r="AO113" t="s" s="44">
        <f>AL108</f>
        <v>74</v>
      </c>
      <c r="AP113" t="s" s="44">
        <v>91</v>
      </c>
      <c r="AQ113" s="17"/>
      <c r="AR113" s="17"/>
      <c r="AS113" s="17"/>
      <c r="AT113" s="17"/>
      <c r="AU113" s="17"/>
      <c r="AV113" s="17"/>
    </row>
    <row r="114" ht="68.05" customHeight="1">
      <c r="AC114" s="36"/>
      <c r="AD114" s="34"/>
      <c r="AE114" t="s" s="44">
        <v>92</v>
      </c>
      <c r="AF114" s="16">
        <f>AVERAGE(AF111:AI111)</f>
        <v>0.119113498904039</v>
      </c>
      <c r="AG114" t="s" s="44">
        <v>78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44.05" customHeight="1">
      <c r="AC115" s="36"/>
      <c r="AD115" s="34"/>
      <c r="AE115" t="s" s="44">
        <v>93</v>
      </c>
      <c r="AF115" s="35">
        <f>AE54</f>
        <v>0.119113498904039</v>
      </c>
      <c r="AG115" t="s" s="44">
        <v>94</v>
      </c>
      <c r="AH115" s="15">
        <f>AH67</f>
        <v>1803.416785906360</v>
      </c>
      <c r="AI115" t="s" s="44">
        <f>AM113</f>
        <v>372</v>
      </c>
      <c r="AJ115" t="s" s="44">
        <v>95</v>
      </c>
      <c r="AK115" t="s" s="44">
        <f>AO113</f>
        <v>74</v>
      </c>
      <c r="AL115" t="s" s="44">
        <f>AJ106</f>
        <v>75</v>
      </c>
      <c r="AM115" t="s" s="44">
        <f>AN108</f>
        <v>85</v>
      </c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t="s" s="44">
        <v>15</v>
      </c>
      <c r="AF116" t="s" s="44">
        <f>IF(AH120&lt;AF120,"lower","higher")</f>
        <v>104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AE110</f>
        <v>70</v>
      </c>
      <c r="AF117" t="s" s="44">
        <v>96</v>
      </c>
      <c r="AG117" t="s" s="44">
        <f>AM106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1824.6</v>
      </c>
      <c r="AF118" s="15">
        <f>J23</f>
        <v>2385.6</v>
      </c>
      <c r="AG118" s="15">
        <f>J24</f>
        <v>1597.8</v>
      </c>
      <c r="AH118" s="15">
        <f>J25</f>
        <v>835.2</v>
      </c>
      <c r="AI118" s="15">
        <f>J26</f>
        <v>2801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-570.8</v>
      </c>
      <c r="AF119" s="15">
        <f>K23</f>
        <v>-676.6</v>
      </c>
      <c r="AG119" s="15">
        <f>K24</f>
        <v>-2828.3</v>
      </c>
      <c r="AH119" s="15">
        <f>K25</f>
        <v>2118.1</v>
      </c>
      <c r="AI119" s="15">
        <f>K26</f>
        <v>-502.8</v>
      </c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AH118+AH119</f>
        <v>2953.3</v>
      </c>
      <c r="AG120" t="s" s="44">
        <v>76</v>
      </c>
      <c r="AH120" s="15">
        <f>AI118+AI119</f>
        <v>2298.2</v>
      </c>
      <c r="AI120" t="s" s="44">
        <f>AI115</f>
        <v>372</v>
      </c>
      <c r="AJ120" t="s" s="44">
        <v>84</v>
      </c>
      <c r="AK120" t="s" s="44">
        <f>AK115</f>
        <v>74</v>
      </c>
      <c r="AL120" t="s" s="44">
        <v>98</v>
      </c>
      <c r="AM120" s="15">
        <f>AI119</f>
        <v>-502.8</v>
      </c>
      <c r="AN120" t="s" s="44">
        <f>AM106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SUM(AF118:AI119)/4</f>
        <v>1432.5</v>
      </c>
      <c r="AG121" t="s" s="44">
        <f>AM106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AE55</f>
        <v>-502.8</v>
      </c>
      <c r="AG122" t="s" s="44">
        <f>AG121</f>
        <v>372</v>
      </c>
      <c r="AH122" t="s" s="44">
        <v>102</v>
      </c>
      <c r="AI122" t="s" s="44">
        <v>103</v>
      </c>
      <c r="AJ122" t="s" s="44">
        <f>IF(AI108&gt;AL106,"higher","lower")</f>
        <v>363</v>
      </c>
      <c r="AK122" t="s" s="44">
        <v>105</v>
      </c>
      <c r="AL122" s="15">
        <f>SUM(AE56:AH56)/4</f>
        <v>1607.653817644140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AE103</f>
        <v>70</v>
      </c>
      <c r="AF124" t="s" s="44">
        <v>109</v>
      </c>
      <c r="AG124" t="s" s="44">
        <f>AM106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9222</v>
      </c>
      <c r="AF125" s="15">
        <f>F23</f>
        <v>20377.8</v>
      </c>
      <c r="AG125" s="15">
        <f>F24</f>
        <v>18900</v>
      </c>
      <c r="AH125" s="15">
        <f>F25</f>
        <v>13017</v>
      </c>
      <c r="AI125" s="15">
        <f>F26</f>
        <v>12809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54460</v>
      </c>
      <c r="AF126" s="15">
        <f>G23</f>
        <v>63643</v>
      </c>
      <c r="AG126" s="15">
        <f>G24</f>
        <v>64655</v>
      </c>
      <c r="AH126" s="15">
        <f>G25</f>
        <v>56562</v>
      </c>
      <c r="AI126" s="15">
        <f>G26</f>
        <v>57625</v>
      </c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AH125</f>
        <v>13017</v>
      </c>
      <c r="AH127" t="s" s="44">
        <v>76</v>
      </c>
      <c r="AI127" s="15">
        <f>AI125</f>
        <v>12809</v>
      </c>
      <c r="AJ127" t="s" s="44">
        <f>AM122</f>
        <v>372</v>
      </c>
      <c r="AK127" t="s" s="44">
        <v>84</v>
      </c>
      <c r="AL127" t="s" s="44">
        <f>AI106</f>
        <v>74</v>
      </c>
      <c r="AM127" t="s" s="44">
        <f>AP113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AH126</f>
        <v>56562</v>
      </c>
      <c r="AH128" t="s" s="44">
        <v>76</v>
      </c>
      <c r="AI128" s="15">
        <f>AI126</f>
        <v>57625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-43545</v>
      </c>
      <c r="AO128" t="s" s="44">
        <v>76</v>
      </c>
      <c r="AP128" s="15">
        <f>AI127-AI128</f>
        <v>-44816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SUM(AE59:AH59)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AE57+AF57+AG57+AH57+AE61+AF61+AG61+AH61</f>
        <v>-6430.615270576540</v>
      </c>
      <c r="AK129" t="s" s="44">
        <f>AQ128</f>
        <v>372</v>
      </c>
      <c r="AL129" t="s" s="44">
        <v>118</v>
      </c>
      <c r="AM129" t="s" s="44">
        <v>119</v>
      </c>
      <c r="AN129" s="15">
        <f>AH76</f>
        <v>-38385.3847294235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374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56.05" customHeight="1">
      <c r="AC131" s="36"/>
      <c r="AD131" s="34"/>
      <c r="AE131" t="s" s="44">
        <f>AE103</f>
        <v>70</v>
      </c>
      <c r="AF131" t="s" s="44">
        <v>379</v>
      </c>
      <c r="AG131" t="s" s="44">
        <f>AM106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-115.708</v>
      </c>
      <c r="AF132" s="15">
        <f>-L23</f>
        <v>-9872.322</v>
      </c>
      <c r="AG132" s="15">
        <f>-L24</f>
        <v>341</v>
      </c>
      <c r="AH132" s="15">
        <f>-L25</f>
        <v>9169.9</v>
      </c>
      <c r="AI132" s="15">
        <f>-L26</f>
        <v>-560.9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2755.156</v>
      </c>
      <c r="AF133" s="15">
        <f>-M23</f>
        <v>412.285</v>
      </c>
      <c r="AG133" s="15">
        <f>-M24</f>
        <v>0</v>
      </c>
      <c r="AH133" s="15">
        <f>-M25</f>
        <v>252.2</v>
      </c>
      <c r="AI133" s="15">
        <f>-M26</f>
        <v>2898.8</v>
      </c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AE95</f>
        <v>614</v>
      </c>
      <c r="AF134" t="s" s="44">
        <f>IF(AG134&gt;0,"paid","(raised)")</f>
        <v>374</v>
      </c>
      <c r="AG134" s="15">
        <f>SUM(AI132:AI133)</f>
        <v>2337.9</v>
      </c>
      <c r="AH134" t="s" s="44">
        <f>AM106</f>
        <v>372</v>
      </c>
      <c r="AI134" t="s" s="44">
        <f>AH106</f>
        <v>73</v>
      </c>
      <c r="AJ134" t="s" s="44">
        <f>AI106</f>
        <v>74</v>
      </c>
      <c r="AK134" t="s" s="44">
        <f>AJ106</f>
        <v>75</v>
      </c>
      <c r="AL134" s="15">
        <f>AI132</f>
        <v>-560.9</v>
      </c>
      <c r="AM134" t="s" s="44">
        <f>AM106</f>
        <v>372</v>
      </c>
      <c r="AN134" t="s" s="44">
        <v>123</v>
      </c>
      <c r="AO134" s="15">
        <f>AI133</f>
        <v>2898.8</v>
      </c>
      <c r="AP134" t="s" s="44">
        <f>AM106</f>
        <v>372</v>
      </c>
      <c r="AQ134" t="s" s="44">
        <v>389</v>
      </c>
      <c r="AR134" t="s" s="44">
        <v>390</v>
      </c>
      <c r="AS134" t="s" s="44">
        <f>IF(AT134&gt;0,"pay","raise")</f>
        <v>364</v>
      </c>
      <c r="AT134" s="15">
        <f>-SUM(AE77:AH77)</f>
        <v>6430.615270576540</v>
      </c>
      <c r="AU134" t="s" s="44">
        <f>AM106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AH81</f>
        <v>121866.8526592</v>
      </c>
      <c r="AG135" t="s" s="44">
        <f>AM106</f>
        <v>372</v>
      </c>
      <c r="AH135" t="s" s="44">
        <v>128</v>
      </c>
      <c r="AI135" t="s" s="44">
        <v>129</v>
      </c>
      <c r="AJ135" s="43">
        <f>AH83</f>
        <v>1.06955914681608</v>
      </c>
      <c r="AK135" t="s" s="44">
        <v>130</v>
      </c>
      <c r="AL135" t="s" s="44">
        <v>131</v>
      </c>
      <c r="AM135" t="s" s="44">
        <v>132</v>
      </c>
      <c r="AN135" s="15">
        <f>AH86</f>
        <v>19.6601716446123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AH85</f>
        <v>6430.615270576540</v>
      </c>
      <c r="AG136" t="s" s="44">
        <f>AG135</f>
        <v>372</v>
      </c>
      <c r="AH136" t="s" s="44">
        <v>136</v>
      </c>
      <c r="AI136" s="15">
        <f>AF135/AF136</f>
        <v>18.9510408462477</v>
      </c>
      <c r="AJ136" t="s" s="44">
        <v>130</v>
      </c>
      <c r="AK136" t="s" s="44">
        <v>137</v>
      </c>
      <c r="AL136" t="s" s="44">
        <v>138</v>
      </c>
      <c r="AM136" s="15">
        <f>AH87</f>
        <v>19</v>
      </c>
      <c r="AN136" t="s" s="44">
        <v>139</v>
      </c>
      <c r="AO136" t="s" s="44">
        <v>140</v>
      </c>
      <c r="AP136" t="s" s="44">
        <v>141</v>
      </c>
      <c r="AQ136" s="16">
        <f>AK95</f>
        <v>0.00258345460544498</v>
      </c>
      <c r="AR136" t="s" s="44">
        <f>IF(AQ136&gt;0,"higher","lower")</f>
        <v>363</v>
      </c>
      <c r="AS136" t="s" s="44">
        <v>142</v>
      </c>
      <c r="AT136" s="15">
        <f>AI95</f>
        <v>10476.9971006269</v>
      </c>
      <c r="AU136" t="s" s="44">
        <v>143</v>
      </c>
      <c r="AV136" s="17"/>
    </row>
    <row r="137" ht="20.05" customHeight="1">
      <c r="AC137" s="36"/>
      <c r="AD137" s="34"/>
      <c r="AE137" s="17"/>
      <c r="AF137" s="17"/>
      <c r="AG137" s="17"/>
      <c r="AH137" s="17"/>
      <c r="AI137" s="15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28</v>
      </c>
      <c r="AD138" s="14">
        <f>AE105</f>
        <v>14422.9</v>
      </c>
      <c r="AE138" s="15">
        <f>AF105</f>
        <v>14182</v>
      </c>
      <c r="AF138" s="15">
        <f>AG105</f>
        <v>17189</v>
      </c>
      <c r="AG138" s="15">
        <f>AH105</f>
        <v>15404.3</v>
      </c>
      <c r="AH138" s="15">
        <f>AI105</f>
        <v>16315.7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144</v>
      </c>
      <c r="AD139" s="14">
        <f>SUM(AE118:AE119)</f>
        <v>1253.8</v>
      </c>
      <c r="AE139" s="15">
        <f>SUM(AF118:AF119)</f>
        <v>1709</v>
      </c>
      <c r="AF139" s="15">
        <f>SUM(AG118:AG119)</f>
        <v>-1230.5</v>
      </c>
      <c r="AG139" s="15">
        <f>SUM(AH118:AH119)</f>
        <v>2953.3</v>
      </c>
      <c r="AH139" s="15">
        <f>SUM(AI118:AI119)</f>
        <v>2298.2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145</v>
      </c>
      <c r="AD140" s="14">
        <f>SUM(AE132:AE133)</f>
        <v>2639.448</v>
      </c>
      <c r="AE140" s="15">
        <f>SUM(AF132:AF133)</f>
        <v>-9460.037</v>
      </c>
      <c r="AF140" s="15">
        <f>SUM(AG132:AG133)</f>
        <v>341</v>
      </c>
      <c r="AG140" s="15">
        <f>SUM(AH132:AH133)</f>
        <v>9422.1</v>
      </c>
      <c r="AH140" s="15">
        <f>SUM(AI132:AI133)</f>
        <v>2337.9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146</v>
      </c>
      <c r="AD141" s="14">
        <f>(AE125-AE126)</f>
        <v>-45238</v>
      </c>
      <c r="AE141" s="15">
        <f>(AF125-AF126)</f>
        <v>-43265.2</v>
      </c>
      <c r="AF141" s="15">
        <f>(AG125-AG126)</f>
        <v>-45755</v>
      </c>
      <c r="AG141" s="15">
        <f>(AH125-AH126)</f>
        <v>-43545</v>
      </c>
      <c r="AH141" s="15">
        <f>(AI125-AI126)</f>
        <v>-44816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5">
        <f>AT136</f>
        <v>10476.9971006269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</sheetData>
  <mergeCells count="2">
    <mergeCell ref="B2:AB2"/>
    <mergeCell ref="AC47:AV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6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55" customWidth="1"/>
    <col min="2" max="28" width="10.4844" style="255" customWidth="1"/>
    <col min="29" max="29" width="18.9766" style="256" customWidth="1"/>
    <col min="30" max="48" width="9" style="256" customWidth="1"/>
    <col min="49" max="16384" width="16.3516" style="256" customWidth="1"/>
  </cols>
  <sheetData>
    <row r="1" ht="11.65" customHeight="1"/>
    <row r="2" ht="27.65" customHeight="1">
      <c r="B2" t="s" s="2">
        <v>615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268</v>
      </c>
      <c r="AA3" t="s" s="3">
        <v>19</v>
      </c>
      <c r="AB3" t="s" s="3">
        <v>20</v>
      </c>
    </row>
    <row r="4" ht="20.25" customHeight="1">
      <c r="B4" s="6">
        <v>2017</v>
      </c>
      <c r="C4" s="65">
        <v>207.9</v>
      </c>
      <c r="D4" s="59">
        <v>3.99</v>
      </c>
      <c r="E4" s="59">
        <v>-34.8</v>
      </c>
      <c r="F4" s="59">
        <v>14</v>
      </c>
      <c r="G4" s="59">
        <v>914</v>
      </c>
      <c r="H4" s="59">
        <v>1455</v>
      </c>
      <c r="I4" s="59">
        <v>200</v>
      </c>
      <c r="J4" s="59">
        <v>-76.90000000000001</v>
      </c>
      <c r="K4" s="59">
        <v>-29</v>
      </c>
      <c r="L4" s="59">
        <v>18.25</v>
      </c>
      <c r="M4" s="59">
        <v>0</v>
      </c>
      <c r="N4" s="59"/>
      <c r="O4" s="59"/>
      <c r="P4" s="9"/>
      <c r="Q4" s="9"/>
      <c r="R4" s="9"/>
      <c r="S4" s="9"/>
      <c r="T4" s="9"/>
      <c r="U4" s="9"/>
      <c r="V4" s="59">
        <f>-(L4+M4)</f>
        <v>-18.25</v>
      </c>
      <c r="W4" s="9"/>
      <c r="X4" s="59">
        <f>F4-G4</f>
        <v>-900</v>
      </c>
      <c r="Y4" s="9"/>
      <c r="Z4" s="59">
        <v>3780</v>
      </c>
      <c r="AA4" s="11"/>
      <c r="AB4" s="12">
        <v>13.3</v>
      </c>
    </row>
    <row r="5" ht="20.05" customHeight="1">
      <c r="B5" s="13"/>
      <c r="C5" s="67">
        <v>273.3</v>
      </c>
      <c r="D5" s="26">
        <v>-3.99</v>
      </c>
      <c r="E5" s="26">
        <v>-18.7</v>
      </c>
      <c r="F5" s="26">
        <v>0</v>
      </c>
      <c r="G5" s="26">
        <v>0</v>
      </c>
      <c r="H5" s="26">
        <v>0</v>
      </c>
      <c r="I5" s="26">
        <v>275</v>
      </c>
      <c r="J5" s="26">
        <v>54.9</v>
      </c>
      <c r="K5" s="26">
        <v>-36.9</v>
      </c>
      <c r="L5" s="26">
        <v>18.25</v>
      </c>
      <c r="M5" s="26">
        <v>0</v>
      </c>
      <c r="N5" s="26"/>
      <c r="O5" s="26"/>
      <c r="P5" s="16"/>
      <c r="Q5" s="17"/>
      <c r="R5" s="17"/>
      <c r="S5" s="17"/>
      <c r="T5" s="17"/>
      <c r="U5" s="17"/>
      <c r="V5" s="26">
        <f>-(L5+M5)+V4</f>
        <v>-36.5</v>
      </c>
      <c r="W5" s="17"/>
      <c r="X5" s="26">
        <f>F5-G5</f>
        <v>0</v>
      </c>
      <c r="Y5" s="17"/>
      <c r="Z5" s="26">
        <v>2920</v>
      </c>
      <c r="AA5" s="19"/>
      <c r="AB5" s="20">
        <v>13.327</v>
      </c>
    </row>
    <row r="6" ht="20.05" customHeight="1">
      <c r="B6" s="13"/>
      <c r="C6" s="67">
        <v>295.1</v>
      </c>
      <c r="D6" s="26">
        <v>11.63</v>
      </c>
      <c r="E6" s="26">
        <v>-10.6</v>
      </c>
      <c r="F6" s="26">
        <v>13</v>
      </c>
      <c r="G6" s="26">
        <v>961</v>
      </c>
      <c r="H6" s="26">
        <v>1473</v>
      </c>
      <c r="I6" s="26">
        <v>279</v>
      </c>
      <c r="J6" s="26">
        <v>-8.800000000000001</v>
      </c>
      <c r="K6" s="26">
        <v>-31.8</v>
      </c>
      <c r="L6" s="26">
        <v>18.25</v>
      </c>
      <c r="M6" s="26">
        <v>0</v>
      </c>
      <c r="N6" s="26"/>
      <c r="O6" s="26"/>
      <c r="P6" s="16"/>
      <c r="Q6" s="17"/>
      <c r="R6" s="17"/>
      <c r="S6" s="17"/>
      <c r="T6" s="17"/>
      <c r="U6" s="17"/>
      <c r="V6" s="26">
        <f>-(L6+M6)+V5</f>
        <v>-54.75</v>
      </c>
      <c r="W6" s="17"/>
      <c r="X6" s="26">
        <f>F6-G6</f>
        <v>-948</v>
      </c>
      <c r="Y6" s="17"/>
      <c r="Z6" s="26">
        <v>2360</v>
      </c>
      <c r="AA6" s="19"/>
      <c r="AB6" s="20">
        <v>13.305</v>
      </c>
    </row>
    <row r="7" ht="20.05" customHeight="1">
      <c r="B7" s="13"/>
      <c r="C7" s="67">
        <v>854.7</v>
      </c>
      <c r="D7" s="26">
        <v>5.05</v>
      </c>
      <c r="E7" s="26">
        <v>17.9</v>
      </c>
      <c r="F7" s="26">
        <v>183</v>
      </c>
      <c r="G7" s="26">
        <v>1003</v>
      </c>
      <c r="H7" s="26">
        <v>1530</v>
      </c>
      <c r="I7" s="26">
        <v>908</v>
      </c>
      <c r="J7" s="26">
        <v>177.8</v>
      </c>
      <c r="K7" s="26">
        <v>4.3</v>
      </c>
      <c r="L7" s="26">
        <v>18.25</v>
      </c>
      <c r="M7" s="26">
        <v>0</v>
      </c>
      <c r="N7" s="26"/>
      <c r="O7" s="26"/>
      <c r="P7" s="16"/>
      <c r="Q7" s="17"/>
      <c r="R7" s="17"/>
      <c r="S7" s="17"/>
      <c r="T7" s="17"/>
      <c r="U7" s="17"/>
      <c r="V7" s="26">
        <f>-(L7+M7)+V6</f>
        <v>-73</v>
      </c>
      <c r="W7" s="17"/>
      <c r="X7" s="26">
        <f>F7-G7</f>
        <v>-820</v>
      </c>
      <c r="Y7" s="17"/>
      <c r="Z7" s="26">
        <v>5900</v>
      </c>
      <c r="AA7" s="19"/>
      <c r="AB7" s="20">
        <v>13.557</v>
      </c>
    </row>
    <row r="8" ht="20.05" customHeight="1">
      <c r="B8" s="21">
        <v>2018</v>
      </c>
      <c r="C8" s="67">
        <v>148.9</v>
      </c>
      <c r="D8" s="26">
        <v>4.04</v>
      </c>
      <c r="E8" s="26">
        <v>-8.4</v>
      </c>
      <c r="F8" s="26">
        <v>18</v>
      </c>
      <c r="G8" s="26">
        <v>913</v>
      </c>
      <c r="H8" s="26">
        <v>1431</v>
      </c>
      <c r="I8" s="26">
        <v>142</v>
      </c>
      <c r="J8" s="26">
        <v>-226.3</v>
      </c>
      <c r="K8" s="26">
        <v>-12.7</v>
      </c>
      <c r="L8" s="26">
        <v>16</v>
      </c>
      <c r="M8" s="26">
        <v>0</v>
      </c>
      <c r="N8" s="26">
        <f>SUM(C5:C8)/4</f>
        <v>393</v>
      </c>
      <c r="O8" s="26"/>
      <c r="P8" s="16"/>
      <c r="Q8" s="16"/>
      <c r="R8" s="16"/>
      <c r="S8" s="17"/>
      <c r="T8" s="26">
        <f>SUM(J5:K8)/4</f>
        <v>-19.875</v>
      </c>
      <c r="U8" s="17"/>
      <c r="V8" s="26">
        <f>-(L8+M8)+V7</f>
        <v>-89</v>
      </c>
      <c r="W8" s="17"/>
      <c r="X8" s="26">
        <f>F8-G8</f>
        <v>-895</v>
      </c>
      <c r="Y8" s="24"/>
      <c r="Z8" s="26">
        <v>5700</v>
      </c>
      <c r="AA8" s="22"/>
      <c r="AB8" s="20">
        <v>13.761</v>
      </c>
    </row>
    <row r="9" ht="20.05" customHeight="1">
      <c r="B9" s="13"/>
      <c r="C9" s="67">
        <v>270.3</v>
      </c>
      <c r="D9" s="26">
        <v>5.05</v>
      </c>
      <c r="E9" s="26">
        <v>261.4</v>
      </c>
      <c r="F9" s="26">
        <v>72</v>
      </c>
      <c r="G9" s="26">
        <v>938</v>
      </c>
      <c r="H9" s="26">
        <v>1465</v>
      </c>
      <c r="I9" s="26">
        <v>190</v>
      </c>
      <c r="J9" s="26">
        <v>11.8</v>
      </c>
      <c r="K9" s="26">
        <v>-9.9</v>
      </c>
      <c r="L9" s="26">
        <v>16</v>
      </c>
      <c r="M9" s="26">
        <v>0</v>
      </c>
      <c r="N9" s="26">
        <f>SUM(C6:C9)/4</f>
        <v>392.25</v>
      </c>
      <c r="O9" s="26"/>
      <c r="P9" s="16"/>
      <c r="Q9" s="16">
        <f>(E9+D9)/C9</f>
        <v>0.985756566777654</v>
      </c>
      <c r="R9" s="16"/>
      <c r="S9" s="17"/>
      <c r="T9" s="26">
        <f>SUM(J6:K9)/4</f>
        <v>-23.9</v>
      </c>
      <c r="U9" s="17"/>
      <c r="V9" s="26">
        <f>-(L9+M9)+V8</f>
        <v>-105</v>
      </c>
      <c r="W9" s="17"/>
      <c r="X9" s="26">
        <f>F9-G9</f>
        <v>-866</v>
      </c>
      <c r="Y9" s="24"/>
      <c r="Z9" s="26">
        <v>3900</v>
      </c>
      <c r="AA9" s="22"/>
      <c r="AB9" s="20">
        <v>14</v>
      </c>
    </row>
    <row r="10" ht="20.05" customHeight="1">
      <c r="B10" s="13"/>
      <c r="C10" s="67">
        <v>319.8</v>
      </c>
      <c r="D10" s="26">
        <v>10.91</v>
      </c>
      <c r="E10" s="26">
        <v>-288.09</v>
      </c>
      <c r="F10" s="26">
        <v>30</v>
      </c>
      <c r="G10" s="26">
        <v>1032</v>
      </c>
      <c r="H10" s="26">
        <v>1523</v>
      </c>
      <c r="I10" s="26">
        <v>451</v>
      </c>
      <c r="J10" s="26">
        <v>-5.5</v>
      </c>
      <c r="K10" s="26">
        <v>4.6</v>
      </c>
      <c r="L10" s="26">
        <v>16</v>
      </c>
      <c r="M10" s="26">
        <v>0</v>
      </c>
      <c r="N10" s="26">
        <f>SUM(C7:C10)/4</f>
        <v>398.425</v>
      </c>
      <c r="O10" s="26"/>
      <c r="P10" s="16">
        <f>C10/C9-1</f>
        <v>0.183129855715871</v>
      </c>
      <c r="Q10" s="16">
        <f>(E10+D10)/C10</f>
        <v>-0.866729205753596</v>
      </c>
      <c r="R10" s="16"/>
      <c r="S10" s="17"/>
      <c r="T10" s="26">
        <f>SUM(J7:K10)/4</f>
        <v>-13.975</v>
      </c>
      <c r="U10" s="17"/>
      <c r="V10" s="26">
        <f>-(L10+M10)+V9</f>
        <v>-121</v>
      </c>
      <c r="W10" s="17"/>
      <c r="X10" s="26">
        <f>F10-G10</f>
        <v>-1002</v>
      </c>
      <c r="Y10" s="24"/>
      <c r="Z10" s="26">
        <v>5900</v>
      </c>
      <c r="AA10" s="22"/>
      <c r="AB10" s="20">
        <v>14.902</v>
      </c>
    </row>
    <row r="11" ht="20.05" customHeight="1">
      <c r="B11" s="13"/>
      <c r="C11" s="67">
        <v>853.9</v>
      </c>
      <c r="D11" s="26">
        <v>0.17</v>
      </c>
      <c r="E11" s="26">
        <v>2.39</v>
      </c>
      <c r="F11" s="26">
        <v>129</v>
      </c>
      <c r="G11" s="26">
        <v>945</v>
      </c>
      <c r="H11" s="26">
        <v>1442</v>
      </c>
      <c r="I11" s="26">
        <v>861</v>
      </c>
      <c r="J11" s="26">
        <v>149.7</v>
      </c>
      <c r="K11" s="26">
        <v>-28.4</v>
      </c>
      <c r="L11" s="26">
        <v>16</v>
      </c>
      <c r="M11" s="26">
        <v>0</v>
      </c>
      <c r="N11" s="26">
        <f>SUM(C8:C11)/4</f>
        <v>398.225</v>
      </c>
      <c r="O11" s="26"/>
      <c r="P11" s="16">
        <f>C11/C10-1</f>
        <v>1.67010631644778</v>
      </c>
      <c r="Q11" s="16">
        <f>(E11+D11)/C11</f>
        <v>0.00299800913455908</v>
      </c>
      <c r="R11" s="16"/>
      <c r="S11" s="17"/>
      <c r="T11" s="26">
        <f>SUM(J8:K11)/4</f>
        <v>-29.175</v>
      </c>
      <c r="U11" s="17"/>
      <c r="V11" s="26">
        <f>-(L11+M11)+V10</f>
        <v>-137</v>
      </c>
      <c r="W11" s="17"/>
      <c r="X11" s="26">
        <f>F11-G11</f>
        <v>-816</v>
      </c>
      <c r="Y11" s="24"/>
      <c r="Z11" s="26">
        <v>6500</v>
      </c>
      <c r="AA11" s="22"/>
      <c r="AB11" s="20">
        <v>14.38</v>
      </c>
    </row>
    <row r="12" ht="20.05" customHeight="1">
      <c r="B12" s="21">
        <v>2019</v>
      </c>
      <c r="C12" s="67">
        <v>136.2</v>
      </c>
      <c r="D12" s="26">
        <v>4.84</v>
      </c>
      <c r="E12" s="26">
        <v>-21.7</v>
      </c>
      <c r="F12" s="26">
        <v>17</v>
      </c>
      <c r="G12" s="26">
        <v>927</v>
      </c>
      <c r="H12" s="26">
        <v>1402</v>
      </c>
      <c r="I12" s="26">
        <v>137</v>
      </c>
      <c r="J12" s="26">
        <v>-69.90000000000001</v>
      </c>
      <c r="K12" s="26">
        <v>-12.5</v>
      </c>
      <c r="L12" s="26">
        <v>-18.75</v>
      </c>
      <c r="M12" s="26">
        <v>0</v>
      </c>
      <c r="N12" s="26">
        <f>SUM(C9:C12)/4</f>
        <v>395.05</v>
      </c>
      <c r="O12" s="23"/>
      <c r="P12" s="16">
        <f>C12/C11-1</f>
        <v>-0.840496545262911</v>
      </c>
      <c r="Q12" s="16">
        <f>(E12+D12)/C12</f>
        <v>-0.123788546255507</v>
      </c>
      <c r="R12" s="16">
        <f>AVERAGE(Q9:Q12)</f>
        <v>-0.00044079402422248</v>
      </c>
      <c r="S12" s="17"/>
      <c r="T12" s="26">
        <f>SUM(J9:K12)/4</f>
        <v>9.975</v>
      </c>
      <c r="U12" s="17"/>
      <c r="V12" s="26">
        <f>-(L12+M12)+V11</f>
        <v>-118.25</v>
      </c>
      <c r="W12" s="17"/>
      <c r="X12" s="26">
        <f>F12-G12</f>
        <v>-910</v>
      </c>
      <c r="Y12" s="24"/>
      <c r="Z12" s="26">
        <v>4500</v>
      </c>
      <c r="AA12" s="22"/>
      <c r="AB12" s="20">
        <v>14.24</v>
      </c>
    </row>
    <row r="13" ht="20.05" customHeight="1">
      <c r="B13" s="13"/>
      <c r="C13" s="67">
        <v>232.6</v>
      </c>
      <c r="D13" s="26">
        <v>3.65</v>
      </c>
      <c r="E13" s="26">
        <v>-2.6</v>
      </c>
      <c r="F13" s="26">
        <v>14</v>
      </c>
      <c r="G13" s="26">
        <v>928</v>
      </c>
      <c r="H13" s="26">
        <v>1400</v>
      </c>
      <c r="I13" s="26">
        <v>291</v>
      </c>
      <c r="J13" s="26">
        <v>34</v>
      </c>
      <c r="K13" s="26">
        <v>-1</v>
      </c>
      <c r="L13" s="26">
        <v>-18.75</v>
      </c>
      <c r="M13" s="26">
        <v>0</v>
      </c>
      <c r="N13" s="26">
        <f>SUM(C10:C13)/4</f>
        <v>385.625</v>
      </c>
      <c r="O13" s="23"/>
      <c r="P13" s="16">
        <f>C13/C12-1</f>
        <v>0.707782672540382</v>
      </c>
      <c r="Q13" s="16">
        <f>(E13+D13)/C13</f>
        <v>0.00451418744625967</v>
      </c>
      <c r="R13" s="16">
        <f>AVERAGE(Q10:Q13)</f>
        <v>-0.245751388857071</v>
      </c>
      <c r="S13" s="17"/>
      <c r="T13" s="26">
        <f>SUM(J10:K13)/4</f>
        <v>17.75</v>
      </c>
      <c r="U13" s="17"/>
      <c r="V13" s="26">
        <f>-(L13+M13)+V12</f>
        <v>-99.5</v>
      </c>
      <c r="W13" s="17"/>
      <c r="X13" s="26">
        <f>F13-G13</f>
        <v>-914</v>
      </c>
      <c r="Y13" s="24"/>
      <c r="Z13" s="26">
        <v>2280</v>
      </c>
      <c r="AA13" s="24"/>
      <c r="AB13" s="15">
        <v>14.127</v>
      </c>
    </row>
    <row r="14" ht="20.05" customHeight="1">
      <c r="B14" s="13"/>
      <c r="C14" s="67">
        <v>214.7</v>
      </c>
      <c r="D14" s="26">
        <v>7.61</v>
      </c>
      <c r="E14" s="26">
        <v>-10.5</v>
      </c>
      <c r="F14" s="26">
        <v>16</v>
      </c>
      <c r="G14" s="26">
        <v>864</v>
      </c>
      <c r="H14" s="26">
        <v>1326</v>
      </c>
      <c r="I14" s="26">
        <v>155</v>
      </c>
      <c r="J14" s="26">
        <v>-82.09999999999999</v>
      </c>
      <c r="K14" s="26">
        <v>72.5</v>
      </c>
      <c r="L14" s="26">
        <v>-18.75</v>
      </c>
      <c r="M14" s="26">
        <v>0</v>
      </c>
      <c r="N14" s="26">
        <f>SUM(C11:C14)/4</f>
        <v>359.35</v>
      </c>
      <c r="O14" s="23"/>
      <c r="P14" s="16">
        <f>C14/C13-1</f>
        <v>-0.07695614789337921</v>
      </c>
      <c r="Q14" s="16">
        <f>(E14+D14)/C14</f>
        <v>-0.0134606427573358</v>
      </c>
      <c r="R14" s="16">
        <f>AVERAGE(Q11:Q14)</f>
        <v>-0.032434248108006</v>
      </c>
      <c r="S14" s="17"/>
      <c r="T14" s="26">
        <f>SUM(J11:K14)/4</f>
        <v>15.575</v>
      </c>
      <c r="U14" s="17"/>
      <c r="V14" s="26">
        <f>-(L14+M14)+V13</f>
        <v>-80.75</v>
      </c>
      <c r="W14" s="17"/>
      <c r="X14" s="26">
        <f>F14-G14</f>
        <v>-848</v>
      </c>
      <c r="Y14" s="24"/>
      <c r="Z14" s="26">
        <v>1505</v>
      </c>
      <c r="AA14" s="24"/>
      <c r="AB14" s="15">
        <v>14.195</v>
      </c>
    </row>
    <row r="15" ht="20.05" customHeight="1">
      <c r="B15" s="13"/>
      <c r="C15" s="67">
        <v>775.5</v>
      </c>
      <c r="D15" s="26">
        <v>0.1</v>
      </c>
      <c r="E15" s="26">
        <v>42.76</v>
      </c>
      <c r="F15" s="26">
        <v>151</v>
      </c>
      <c r="G15" s="26">
        <v>879</v>
      </c>
      <c r="H15" s="26">
        <v>1384</v>
      </c>
      <c r="I15" s="26">
        <v>710</v>
      </c>
      <c r="J15" s="26">
        <v>138.79</v>
      </c>
      <c r="K15" s="26">
        <v>17.48</v>
      </c>
      <c r="L15" s="26">
        <v>-18.75</v>
      </c>
      <c r="M15" s="26">
        <v>0</v>
      </c>
      <c r="N15" s="26">
        <f>SUM(C12:C15)/4</f>
        <v>339.75</v>
      </c>
      <c r="O15" s="26"/>
      <c r="P15" s="16">
        <f>C15/C14-1</f>
        <v>2.61201676758267</v>
      </c>
      <c r="Q15" s="16">
        <f>(E15+D15)/C15</f>
        <v>0.0552675693101225</v>
      </c>
      <c r="R15" s="16">
        <f>AVERAGE(Q12:Q15)</f>
        <v>-0.0193668580641152</v>
      </c>
      <c r="S15" s="17"/>
      <c r="T15" s="26">
        <f>SUM(J12:K15)/4</f>
        <v>24.3175</v>
      </c>
      <c r="U15" s="17"/>
      <c r="V15" s="26">
        <f>-(L15+M15)+V14</f>
        <v>-62</v>
      </c>
      <c r="W15" s="17"/>
      <c r="X15" s="26">
        <f>F15-G15</f>
        <v>-728</v>
      </c>
      <c r="Y15" s="24"/>
      <c r="Z15" s="26">
        <v>870</v>
      </c>
      <c r="AA15" s="24"/>
      <c r="AB15" s="15">
        <v>13.882</v>
      </c>
    </row>
    <row r="16" ht="20.05" customHeight="1">
      <c r="B16" s="21">
        <v>2020</v>
      </c>
      <c r="C16" s="67">
        <v>148.17</v>
      </c>
      <c r="D16" s="26">
        <v>6</v>
      </c>
      <c r="E16" s="26">
        <v>-21.43</v>
      </c>
      <c r="F16" s="26">
        <v>60</v>
      </c>
      <c r="G16" s="26">
        <v>919</v>
      </c>
      <c r="H16" s="26">
        <v>1402</v>
      </c>
      <c r="I16" s="26">
        <v>149</v>
      </c>
      <c r="J16" s="26">
        <v>-86.7</v>
      </c>
      <c r="K16" s="26">
        <v>0.5</v>
      </c>
      <c r="L16" s="26">
        <v>-7.75</v>
      </c>
      <c r="M16" s="26">
        <v>0</v>
      </c>
      <c r="N16" s="26">
        <f>SUM(C13:C16)/4</f>
        <v>342.7425</v>
      </c>
      <c r="O16" s="26">
        <v>530</v>
      </c>
      <c r="P16" s="16">
        <f>C16/C15-1</f>
        <v>-0.808936170212766</v>
      </c>
      <c r="Q16" s="16">
        <f>(E16+D16)/C16</f>
        <v>-0.104137139771884</v>
      </c>
      <c r="R16" s="16">
        <f>AVERAGE(Q13:Q16)</f>
        <v>-0.0144540064432094</v>
      </c>
      <c r="S16" s="17"/>
      <c r="T16" s="26">
        <f>SUM(J13:K16)/4</f>
        <v>23.3675</v>
      </c>
      <c r="U16" s="17"/>
      <c r="V16" s="26">
        <f>-(L16+M16)+V15</f>
        <v>-54.25</v>
      </c>
      <c r="W16" s="17"/>
      <c r="X16" s="26">
        <f>F16-G16</f>
        <v>-859</v>
      </c>
      <c r="Y16" s="24"/>
      <c r="Z16" s="26">
        <v>1080</v>
      </c>
      <c r="AA16" s="24"/>
      <c r="AB16" s="15">
        <v>16.31</v>
      </c>
    </row>
    <row r="17" ht="20.05" customHeight="1">
      <c r="B17" s="13"/>
      <c r="C17" s="67">
        <v>299.12</v>
      </c>
      <c r="D17" s="26">
        <v>4</v>
      </c>
      <c r="E17" s="26">
        <v>16.77</v>
      </c>
      <c r="F17" s="26">
        <v>51</v>
      </c>
      <c r="G17" s="26">
        <v>1055</v>
      </c>
      <c r="H17" s="26">
        <v>1555</v>
      </c>
      <c r="I17" s="26">
        <v>294</v>
      </c>
      <c r="J17" s="26">
        <v>-35.7</v>
      </c>
      <c r="K17" s="26">
        <v>-2.4</v>
      </c>
      <c r="L17" s="26">
        <v>-7.75</v>
      </c>
      <c r="M17" s="26">
        <v>0</v>
      </c>
      <c r="N17" s="26">
        <f>SUM(C14:C17)/4</f>
        <v>359.3725</v>
      </c>
      <c r="O17" s="26">
        <v>436.333333333333</v>
      </c>
      <c r="P17" s="16">
        <f>C17/C16-1</f>
        <v>1.0187622325707</v>
      </c>
      <c r="Q17" s="16">
        <f>(E17+D17)/C17</f>
        <v>0.06943701524471781</v>
      </c>
      <c r="R17" s="16">
        <f>AVERAGE(Q14:Q17)</f>
        <v>0.00177670050640513</v>
      </c>
      <c r="S17" s="17"/>
      <c r="T17" s="26">
        <f>SUM(J14:K17)/4</f>
        <v>5.5925</v>
      </c>
      <c r="U17" s="17"/>
      <c r="V17" s="26">
        <f>-(L17+M17)+V16</f>
        <v>-46.5</v>
      </c>
      <c r="W17" s="17"/>
      <c r="X17" s="26">
        <f>F17-G17</f>
        <v>-1004</v>
      </c>
      <c r="Y17" s="24"/>
      <c r="Z17" s="26">
        <v>985</v>
      </c>
      <c r="AA17" s="24"/>
      <c r="AB17" s="15">
        <v>14.255</v>
      </c>
    </row>
    <row r="18" ht="20.05" customHeight="1">
      <c r="B18" s="13"/>
      <c r="C18" s="67">
        <v>301.71</v>
      </c>
      <c r="D18" s="26">
        <v>5</v>
      </c>
      <c r="E18" s="26">
        <v>-14.22</v>
      </c>
      <c r="F18" s="26">
        <v>27</v>
      </c>
      <c r="G18" s="26">
        <v>1005</v>
      </c>
      <c r="H18" s="26">
        <v>1491</v>
      </c>
      <c r="I18" s="26">
        <v>341</v>
      </c>
      <c r="J18" s="26">
        <v>25.4</v>
      </c>
      <c r="K18" s="26">
        <v>-1.1</v>
      </c>
      <c r="L18" s="26">
        <v>-7.75</v>
      </c>
      <c r="M18" s="26">
        <v>0</v>
      </c>
      <c r="N18" s="26">
        <f>SUM(C15:C18)/4</f>
        <v>381.125</v>
      </c>
      <c r="O18" s="26">
        <v>402.395</v>
      </c>
      <c r="P18" s="16">
        <f>C18/C17-1</f>
        <v>0.008658732281358651</v>
      </c>
      <c r="Q18" s="16">
        <f>(E18+D18)/C18</f>
        <v>-0.0305591461999934</v>
      </c>
      <c r="R18" s="16">
        <f>AVERAGE(Q15:Q18)</f>
        <v>-0.00249792535425928</v>
      </c>
      <c r="S18" s="17"/>
      <c r="T18" s="26">
        <f>SUM(J15:K18)/4</f>
        <v>14.0675</v>
      </c>
      <c r="U18" s="17"/>
      <c r="V18" s="26">
        <f>-(L18+M18)+V17</f>
        <v>-38.75</v>
      </c>
      <c r="W18" s="17"/>
      <c r="X18" s="26">
        <f>F18-G18</f>
        <v>-978</v>
      </c>
      <c r="Y18" s="24"/>
      <c r="Z18" s="26">
        <v>2860</v>
      </c>
      <c r="AA18" s="24"/>
      <c r="AB18" s="15">
        <v>14.79</v>
      </c>
    </row>
    <row r="19" ht="20.05" customHeight="1">
      <c r="B19" s="13"/>
      <c r="C19" s="67">
        <v>966.6</v>
      </c>
      <c r="D19" s="26">
        <v>15.4</v>
      </c>
      <c r="E19" s="26">
        <v>48.88</v>
      </c>
      <c r="F19" s="26">
        <v>158</v>
      </c>
      <c r="G19" s="26">
        <v>1283</v>
      </c>
      <c r="H19" s="26">
        <v>1713</v>
      </c>
      <c r="I19" s="26">
        <v>616.2</v>
      </c>
      <c r="J19" s="26">
        <v>143.5</v>
      </c>
      <c r="K19" s="26">
        <v>-6</v>
      </c>
      <c r="L19" s="26">
        <v>-7.75</v>
      </c>
      <c r="M19" s="26">
        <v>0</v>
      </c>
      <c r="N19" s="26">
        <f>SUM(C16:C19)/4</f>
        <v>428.9</v>
      </c>
      <c r="O19" s="26">
        <v>295.185</v>
      </c>
      <c r="P19" s="16">
        <f>C19/C18-1</f>
        <v>2.20373868947002</v>
      </c>
      <c r="Q19" s="16">
        <f>(E19+D19)/C19</f>
        <v>0.0665011380095179</v>
      </c>
      <c r="R19" s="16">
        <f>AVERAGE(Q16:Q19)</f>
        <v>0.000310466820589575</v>
      </c>
      <c r="S19" s="17"/>
      <c r="T19" s="26">
        <f>SUM(J16:K19)/4</f>
        <v>9.375</v>
      </c>
      <c r="U19" s="17"/>
      <c r="V19" s="26">
        <f>-(L19+M19)+V18</f>
        <v>-31</v>
      </c>
      <c r="W19" s="17"/>
      <c r="X19" s="26">
        <f>F19-G19</f>
        <v>-1125</v>
      </c>
      <c r="Y19" s="24"/>
      <c r="Z19" s="26">
        <v>4030</v>
      </c>
      <c r="AA19" s="24"/>
      <c r="AB19" s="15">
        <v>14.1</v>
      </c>
    </row>
    <row r="20" ht="20.05" customHeight="1">
      <c r="B20" s="21">
        <v>2021</v>
      </c>
      <c r="C20" s="67">
        <v>373.2</v>
      </c>
      <c r="D20" s="26">
        <v>7.1</v>
      </c>
      <c r="E20" s="26">
        <v>1.8</v>
      </c>
      <c r="F20" s="26">
        <v>20</v>
      </c>
      <c r="G20" s="26">
        <v>1389</v>
      </c>
      <c r="H20" s="26">
        <v>1821</v>
      </c>
      <c r="I20" s="26">
        <v>318.6</v>
      </c>
      <c r="J20" s="26">
        <v>-155.8</v>
      </c>
      <c r="K20" s="26">
        <v>-2.5</v>
      </c>
      <c r="L20" s="26">
        <v>20.3</v>
      </c>
      <c r="M20" s="26">
        <v>0</v>
      </c>
      <c r="N20" s="26">
        <f>SUM(C17:C20)/4</f>
        <v>485.1575</v>
      </c>
      <c r="O20" s="26">
        <v>302.435</v>
      </c>
      <c r="P20" s="16">
        <f>C20/C19-1</f>
        <v>-0.613904407200497</v>
      </c>
      <c r="Q20" s="16">
        <f>(E20+D20)/C20</f>
        <v>0.0238478027867095</v>
      </c>
      <c r="R20" s="16">
        <f>AVERAGE(Q17:Q20)</f>
        <v>0.032306702460238</v>
      </c>
      <c r="S20" s="17"/>
      <c r="T20" s="26">
        <f>SUM(J17:K20)/4</f>
        <v>-8.65</v>
      </c>
      <c r="U20" s="17"/>
      <c r="V20" s="26">
        <f>-(L20+M20)+V19</f>
        <v>-51.3</v>
      </c>
      <c r="W20" s="17"/>
      <c r="X20" s="26">
        <f>F20-G20</f>
        <v>-1369</v>
      </c>
      <c r="Y20" s="26"/>
      <c r="Z20" s="26">
        <v>2460</v>
      </c>
      <c r="AA20" s="17"/>
      <c r="AB20" s="15">
        <v>14.606</v>
      </c>
    </row>
    <row r="21" ht="20.05" customHeight="1">
      <c r="B21" s="13"/>
      <c r="C21" s="67">
        <v>476.1</v>
      </c>
      <c r="D21" s="26">
        <v>8.300000000000001</v>
      </c>
      <c r="E21" s="26">
        <v>-0.8</v>
      </c>
      <c r="F21" s="26">
        <v>118</v>
      </c>
      <c r="G21" s="26">
        <v>1520</v>
      </c>
      <c r="H21" s="26">
        <v>1951</v>
      </c>
      <c r="I21" s="26">
        <v>599.9</v>
      </c>
      <c r="J21" s="26">
        <v>110.5</v>
      </c>
      <c r="K21" s="26">
        <v>-3.4</v>
      </c>
      <c r="L21" s="26">
        <v>-9.1</v>
      </c>
      <c r="M21" s="26">
        <v>0</v>
      </c>
      <c r="N21" s="26">
        <f>SUM(C18:C21)/4</f>
        <v>529.4025</v>
      </c>
      <c r="O21" s="26">
        <v>361.475</v>
      </c>
      <c r="P21" s="16">
        <f>C21/C20-1</f>
        <v>0.27572347266881</v>
      </c>
      <c r="Q21" s="16">
        <f>(E21+D21)/C21</f>
        <v>0.015752993068683</v>
      </c>
      <c r="R21" s="16">
        <f>AVERAGE(Q18:Q21)</f>
        <v>0.0188856969162293</v>
      </c>
      <c r="S21" s="17"/>
      <c r="T21" s="26">
        <f>SUM(J18:K21)/4</f>
        <v>27.65</v>
      </c>
      <c r="U21" s="17"/>
      <c r="V21" s="26">
        <f>-(L21+M21)+V20</f>
        <v>-42.2</v>
      </c>
      <c r="W21" s="17"/>
      <c r="X21" s="26">
        <f>F21-G21</f>
        <v>-1402</v>
      </c>
      <c r="Y21" s="26"/>
      <c r="Z21" s="26">
        <v>3110</v>
      </c>
      <c r="AA21" s="26">
        <v>1419.664268585130</v>
      </c>
      <c r="AB21" s="15">
        <v>14.45</v>
      </c>
    </row>
    <row r="22" ht="20.05" customHeight="1">
      <c r="B22" s="13"/>
      <c r="C22" s="67">
        <v>648.5</v>
      </c>
      <c r="D22" s="26">
        <v>6.3</v>
      </c>
      <c r="E22" s="26">
        <v>1.8</v>
      </c>
      <c r="F22" s="26">
        <v>350</v>
      </c>
      <c r="G22" s="26">
        <v>1905</v>
      </c>
      <c r="H22" s="26">
        <v>2338</v>
      </c>
      <c r="I22" s="26">
        <v>543.2</v>
      </c>
      <c r="J22" s="26">
        <v>-43.4</v>
      </c>
      <c r="K22" s="26">
        <v>-31.5</v>
      </c>
      <c r="L22" s="26">
        <v>216.5</v>
      </c>
      <c r="M22" s="26">
        <v>0</v>
      </c>
      <c r="N22" s="26">
        <f>SUM(C19:C22)/4</f>
        <v>616.1</v>
      </c>
      <c r="O22" s="26">
        <v>411.30625</v>
      </c>
      <c r="P22" s="16">
        <f>C22/C21-1</f>
        <v>0.362108800672128</v>
      </c>
      <c r="Q22" s="16">
        <f>(E22+D22)/C22</f>
        <v>0.0124903623747109</v>
      </c>
      <c r="R22" s="16">
        <f>AVERAGE(Q19:Q22)</f>
        <v>0.0296480740599053</v>
      </c>
      <c r="S22" s="17"/>
      <c r="T22" s="26">
        <f>SUM(J19:K22)/4</f>
        <v>2.85</v>
      </c>
      <c r="U22" s="17"/>
      <c r="V22" s="26">
        <f>-(L22+M22)+V21</f>
        <v>-258.7</v>
      </c>
      <c r="W22" s="17"/>
      <c r="X22" s="26">
        <f>F22-G22</f>
        <v>-1555</v>
      </c>
      <c r="Y22" s="26"/>
      <c r="Z22" s="26">
        <v>2330</v>
      </c>
      <c r="AA22" s="26">
        <v>1641.106442250220</v>
      </c>
      <c r="AB22" s="15">
        <v>14.328</v>
      </c>
    </row>
    <row r="23" ht="20.05" customHeight="1">
      <c r="B23" s="13"/>
      <c r="C23" s="67">
        <v>1404.2</v>
      </c>
      <c r="D23" s="26">
        <v>12.8</v>
      </c>
      <c r="E23" s="26">
        <v>-40.4</v>
      </c>
      <c r="F23" s="26">
        <v>381</v>
      </c>
      <c r="G23" s="26">
        <v>1504</v>
      </c>
      <c r="H23" s="26">
        <v>2012</v>
      </c>
      <c r="I23" s="26">
        <v>1618.6</v>
      </c>
      <c r="J23" s="26">
        <v>181.6</v>
      </c>
      <c r="K23" s="26">
        <v>-77</v>
      </c>
      <c r="L23" s="26">
        <v>16.4</v>
      </c>
      <c r="M23" s="26">
        <v>0</v>
      </c>
      <c r="N23" s="26">
        <f>SUM(C20:C23)/4</f>
        <v>725.5</v>
      </c>
      <c r="O23" s="26">
        <v>711.54125</v>
      </c>
      <c r="P23" s="16">
        <f>C23/C22-1</f>
        <v>1.16530454895914</v>
      </c>
      <c r="Q23" s="16">
        <f>(E23+D23)/C23</f>
        <v>-0.0196553197550207</v>
      </c>
      <c r="R23" s="16">
        <f>AVERAGE(Q20:Q23)</f>
        <v>0.008108959618770679</v>
      </c>
      <c r="S23" s="17"/>
      <c r="T23" s="26">
        <f>SUM(J20:K23)/4</f>
        <v>-5.375</v>
      </c>
      <c r="U23" s="17"/>
      <c r="V23" s="26">
        <f>-(L23+M23)+V22</f>
        <v>-275.1</v>
      </c>
      <c r="W23" s="17"/>
      <c r="X23" s="26">
        <f>F23-G23</f>
        <v>-1123</v>
      </c>
      <c r="Y23" s="26"/>
      <c r="Z23" s="26">
        <v>2230</v>
      </c>
      <c r="AA23" s="26">
        <v>1005.082987050380</v>
      </c>
      <c r="AB23" s="15">
        <v>14.275</v>
      </c>
    </row>
    <row r="24" ht="20.05" customHeight="1">
      <c r="B24" s="21">
        <v>2022</v>
      </c>
      <c r="C24" s="67">
        <v>339</v>
      </c>
      <c r="D24" s="26">
        <v>8.640000000000001</v>
      </c>
      <c r="E24" s="26">
        <v>-51.2</v>
      </c>
      <c r="F24" s="26">
        <v>296</v>
      </c>
      <c r="G24" s="26">
        <v>1470</v>
      </c>
      <c r="H24" s="26">
        <v>1927</v>
      </c>
      <c r="I24" s="26">
        <v>267.5</v>
      </c>
      <c r="J24" s="26">
        <v>-92.59999999999999</v>
      </c>
      <c r="K24" s="26">
        <v>-10.1</v>
      </c>
      <c r="L24" s="26">
        <v>-17.4</v>
      </c>
      <c r="M24" s="26">
        <v>0</v>
      </c>
      <c r="N24" s="26">
        <f>SUM(C21:C24)/4</f>
        <v>716.95</v>
      </c>
      <c r="O24" s="26">
        <v>1089.31625</v>
      </c>
      <c r="P24" s="16">
        <f>C24/C23-1</f>
        <v>-0.758581398661159</v>
      </c>
      <c r="Q24" s="16">
        <f>(E24+D24)/C24</f>
        <v>-0.125545722713864</v>
      </c>
      <c r="R24" s="16">
        <f>AVERAGE(Q21:Q24)</f>
        <v>-0.0292394217563727</v>
      </c>
      <c r="S24" s="35"/>
      <c r="T24" s="26">
        <f>SUM(J21:K24)/4</f>
        <v>8.525</v>
      </c>
      <c r="U24" s="26"/>
      <c r="V24" s="26">
        <f>-(L24+M24)+V23</f>
        <v>-257.7</v>
      </c>
      <c r="W24" s="26"/>
      <c r="X24" s="26">
        <f>F24-G24</f>
        <v>-1174</v>
      </c>
      <c r="Y24" s="26"/>
      <c r="Z24" s="26">
        <v>1630</v>
      </c>
      <c r="AA24" s="140">
        <v>1005.082987050380</v>
      </c>
      <c r="AB24" s="15">
        <v>14.327</v>
      </c>
    </row>
    <row r="25" ht="20.05" customHeight="1">
      <c r="B25" s="13"/>
      <c r="C25" s="67">
        <v>235</v>
      </c>
      <c r="D25" s="26">
        <v>6.96</v>
      </c>
      <c r="E25" s="26">
        <v>-39.5</v>
      </c>
      <c r="F25" s="26">
        <v>261</v>
      </c>
      <c r="G25" s="26">
        <v>1449</v>
      </c>
      <c r="H25" s="26">
        <v>1866</v>
      </c>
      <c r="I25" s="26">
        <v>350.2</v>
      </c>
      <c r="J25" s="26">
        <v>32</v>
      </c>
      <c r="K25" s="26">
        <v>-5.8</v>
      </c>
      <c r="L25" s="26">
        <v>-25.3</v>
      </c>
      <c r="M25" s="26">
        <v>0</v>
      </c>
      <c r="N25" s="26">
        <f>SUM(C22:C25)/4</f>
        <v>656.675</v>
      </c>
      <c r="O25" s="26">
        <v>1389.55125</v>
      </c>
      <c r="P25" s="16">
        <f>C25/C24-1</f>
        <v>-0.306784660766962</v>
      </c>
      <c r="Q25" s="16">
        <f>(E25+D25)/C25</f>
        <v>-0.138468085106383</v>
      </c>
      <c r="R25" s="16">
        <f>AVERAGE(Q22:Q25)</f>
        <v>-0.0677946913001392</v>
      </c>
      <c r="S25" s="35"/>
      <c r="T25" s="26">
        <f>SUM(J22:K25)/4</f>
        <v>-11.7</v>
      </c>
      <c r="U25" s="26">
        <v>6.808995697465</v>
      </c>
      <c r="V25" s="26">
        <f>-(L25+M25)+V24</f>
        <v>-232.4</v>
      </c>
      <c r="W25" s="26"/>
      <c r="X25" s="26">
        <f>F25-G25</f>
        <v>-1188</v>
      </c>
      <c r="Y25" s="26">
        <v>-1541.3948120471</v>
      </c>
      <c r="Z25" s="26">
        <v>1005</v>
      </c>
      <c r="AA25" s="26">
        <v>1655.285636322880</v>
      </c>
      <c r="AB25" s="15">
        <v>14.66</v>
      </c>
    </row>
    <row r="26" ht="20.05" customHeight="1">
      <c r="B26" s="13"/>
      <c r="C26" s="67">
        <v>330.9</v>
      </c>
      <c r="D26" s="26">
        <v>8.300000000000001</v>
      </c>
      <c r="E26" s="26">
        <v>-92.40000000000001</v>
      </c>
      <c r="F26" s="26">
        <v>269</v>
      </c>
      <c r="G26" s="26">
        <v>1487</v>
      </c>
      <c r="H26" s="26">
        <v>1812</v>
      </c>
      <c r="I26" s="26">
        <v>353.1</v>
      </c>
      <c r="J26" s="26">
        <v>13.7</v>
      </c>
      <c r="K26" s="26">
        <v>-3</v>
      </c>
      <c r="L26" s="26">
        <v>-2.6</v>
      </c>
      <c r="M26" s="26">
        <v>0</v>
      </c>
      <c r="N26" s="26">
        <f>SUM(C23:C26)/4</f>
        <v>577.275</v>
      </c>
      <c r="O26" s="26">
        <v>1352.7</v>
      </c>
      <c r="P26" s="16">
        <f>C26/C25-1</f>
        <v>0.408085106382979</v>
      </c>
      <c r="Q26" s="16">
        <f>(E26+D26)/C26</f>
        <v>-0.254155333937746</v>
      </c>
      <c r="R26" s="16">
        <f>AVERAGE(Q23:Q26)</f>
        <v>-0.134456115378253</v>
      </c>
      <c r="S26" s="35">
        <f>S27</f>
        <v>0.0188856969162293</v>
      </c>
      <c r="T26" s="26">
        <f>SUM(J23:K26)/4</f>
        <v>9.699999999999999</v>
      </c>
      <c r="U26" s="26">
        <v>19.0775529692083</v>
      </c>
      <c r="V26" s="26">
        <f>-(L26+M26)+V25</f>
        <v>-229.8</v>
      </c>
      <c r="W26" s="26">
        <f>W27</f>
        <v>-209.741208427853</v>
      </c>
      <c r="X26" s="26">
        <f>F26-G26</f>
        <v>-1218</v>
      </c>
      <c r="Y26" s="26">
        <v>-1105.372892741940</v>
      </c>
      <c r="Z26" s="26">
        <v>985</v>
      </c>
      <c r="AA26" s="26">
        <v>1123.767061776180</v>
      </c>
      <c r="AB26" s="15">
        <v>15.705</v>
      </c>
    </row>
    <row r="27" ht="20.05" customHeight="1">
      <c r="B27" s="13"/>
      <c r="C27" s="67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3">
        <f>AVERAGE(AE52:AH52)</f>
        <v>424.37925</v>
      </c>
      <c r="P27" s="17"/>
      <c r="Q27" s="17"/>
      <c r="R27" s="17"/>
      <c r="S27" s="35">
        <f>AE53</f>
        <v>0.0188856969162293</v>
      </c>
      <c r="T27" s="17"/>
      <c r="U27" s="26">
        <f>SUM(AE55:AH55)/4</f>
        <v>5.0146978930367</v>
      </c>
      <c r="V27" s="17"/>
      <c r="W27" s="26">
        <f>-SUM(AE76:AH76)+V26</f>
        <v>-209.741208427853</v>
      </c>
      <c r="X27" s="17"/>
      <c r="Y27" s="26">
        <f>AH75</f>
        <v>-1197.941208427850</v>
      </c>
      <c r="Z27" s="26">
        <v>825</v>
      </c>
      <c r="AA27" s="26">
        <v>1123.767061776180</v>
      </c>
      <c r="AB27" s="17"/>
    </row>
    <row r="28" ht="20.05" customHeight="1">
      <c r="B28" s="21">
        <v>2023</v>
      </c>
      <c r="C28" s="67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>
        <f>SUM(N16:N26)</f>
        <v>5819.2</v>
      </c>
      <c r="O28" s="26">
        <f>SUM(O16:O26)</f>
        <v>7282.238333333330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26"/>
      <c r="AA28" s="26">
        <f>AH88</f>
        <v>809.012779502199</v>
      </c>
      <c r="AB28" s="15"/>
    </row>
    <row r="29" ht="20.05" customHeight="1">
      <c r="B29" s="13"/>
      <c r="C29" s="67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26"/>
      <c r="AA29" s="26"/>
      <c r="AB29" s="15"/>
    </row>
    <row r="30" ht="8.35" customHeight="1" hidden="1">
      <c r="B30" t="s" s="56">
        <v>367</v>
      </c>
      <c r="C30" s="67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26"/>
      <c r="Z30" s="26"/>
      <c r="AA30" s="26"/>
      <c r="AB30" s="15"/>
    </row>
    <row r="31" ht="8.35" customHeight="1" hidden="1">
      <c r="B31" s="21">
        <v>2018</v>
      </c>
      <c r="C31" s="67">
        <v>2452</v>
      </c>
      <c r="D31" s="26">
        <f>94+4</f>
        <v>98</v>
      </c>
      <c r="E31" s="26">
        <v>124</v>
      </c>
      <c r="F31" s="26">
        <v>91</v>
      </c>
      <c r="G31" s="26">
        <v>951</v>
      </c>
      <c r="H31" s="26">
        <v>1343</v>
      </c>
      <c r="I31" s="26">
        <v>2393</v>
      </c>
      <c r="J31" s="26">
        <v>176</v>
      </c>
      <c r="K31" s="26">
        <v>-121</v>
      </c>
      <c r="L31" s="26">
        <v>-29</v>
      </c>
      <c r="M31" s="26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26"/>
      <c r="Z31" s="26"/>
      <c r="AA31" s="26"/>
      <c r="AB31" s="15"/>
    </row>
    <row r="32" ht="8.35" customHeight="1" hidden="1">
      <c r="B32" s="21">
        <v>2019</v>
      </c>
      <c r="C32" s="67">
        <v>2729</v>
      </c>
      <c r="D32" s="26">
        <f>95+5</f>
        <v>100</v>
      </c>
      <c r="E32" s="26">
        <v>174</v>
      </c>
      <c r="F32" s="26">
        <v>61</v>
      </c>
      <c r="G32" s="26">
        <v>975</v>
      </c>
      <c r="H32" s="26">
        <v>1515</v>
      </c>
      <c r="I32" s="26">
        <v>2686</v>
      </c>
      <c r="J32" s="26">
        <v>236</v>
      </c>
      <c r="K32" s="26">
        <v>-214</v>
      </c>
      <c r="L32" s="26">
        <v>-32</v>
      </c>
      <c r="M32" s="26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26"/>
      <c r="Z32" s="26"/>
      <c r="AA32" s="26"/>
      <c r="AB32" s="15"/>
    </row>
    <row r="33" ht="8.35" customHeight="1" hidden="1">
      <c r="B33" s="21">
        <v>2020</v>
      </c>
      <c r="C33" s="67">
        <v>1875</v>
      </c>
      <c r="D33" s="26">
        <f>102+6</f>
        <v>108</v>
      </c>
      <c r="E33" s="26">
        <v>8</v>
      </c>
      <c r="F33" s="26">
        <v>69</v>
      </c>
      <c r="G33" s="26">
        <v>1087</v>
      </c>
      <c r="H33" s="26">
        <v>1619</v>
      </c>
      <c r="I33" s="26">
        <v>2054</v>
      </c>
      <c r="J33" s="26">
        <v>228</v>
      </c>
      <c r="K33" s="26">
        <v>-320</v>
      </c>
      <c r="L33" s="26">
        <v>99</v>
      </c>
      <c r="M33" s="26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26"/>
      <c r="Z33" s="26"/>
      <c r="AA33" s="26"/>
      <c r="AB33" s="15"/>
    </row>
    <row r="34" ht="8.35" customHeight="1" hidden="1">
      <c r="B34" s="21">
        <v>2021</v>
      </c>
      <c r="C34" s="67">
        <v>676</v>
      </c>
      <c r="D34" s="26">
        <v>28</v>
      </c>
      <c r="E34" s="26">
        <v>53</v>
      </c>
      <c r="F34" s="26"/>
      <c r="G34" s="26"/>
      <c r="H34" s="26"/>
      <c r="I34" s="26">
        <v>573</v>
      </c>
      <c r="J34" s="26">
        <v>9</v>
      </c>
      <c r="K34" s="26">
        <v>-56</v>
      </c>
      <c r="L34" s="26">
        <v>56</v>
      </c>
      <c r="M34" s="26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26"/>
      <c r="Z34" s="26"/>
      <c r="AA34" s="26"/>
      <c r="AB34" s="15"/>
    </row>
    <row r="35" ht="8.35" customHeight="1" hidden="1">
      <c r="B35" s="13"/>
      <c r="C35" s="67">
        <v>1307</v>
      </c>
      <c r="D35" s="26">
        <f>D34*2</f>
        <v>56</v>
      </c>
      <c r="E35" s="26">
        <v>100</v>
      </c>
      <c r="F35" s="26"/>
      <c r="G35" s="26"/>
      <c r="H35" s="26"/>
      <c r="I35" s="26">
        <v>1165</v>
      </c>
      <c r="J35" s="26">
        <v>21</v>
      </c>
      <c r="K35" s="26">
        <v>-139</v>
      </c>
      <c r="L35" s="26">
        <v>88</v>
      </c>
      <c r="M35" s="26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26"/>
      <c r="Z35" s="26"/>
      <c r="AA35" s="26"/>
      <c r="AB35" s="15"/>
    </row>
    <row r="36" ht="8.35" customHeight="1" hidden="1">
      <c r="B36" s="13"/>
      <c r="C36" s="67">
        <v>2079</v>
      </c>
      <c r="D36" s="26">
        <f>D34*3</f>
        <v>84</v>
      </c>
      <c r="E36" s="26">
        <v>148</v>
      </c>
      <c r="F36" s="26"/>
      <c r="G36" s="26"/>
      <c r="H36" s="26"/>
      <c r="I36" s="26">
        <v>1940</v>
      </c>
      <c r="J36" s="26">
        <v>79</v>
      </c>
      <c r="K36" s="26">
        <v>-162</v>
      </c>
      <c r="L36" s="26">
        <v>67</v>
      </c>
      <c r="M36" s="26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26"/>
      <c r="Z36" s="26"/>
      <c r="AA36" s="26"/>
      <c r="AB36" s="15"/>
    </row>
    <row r="37" ht="8.35" customHeight="1" hidden="1">
      <c r="B37" s="13"/>
      <c r="C37" s="67">
        <v>2913</v>
      </c>
      <c r="D37" s="26">
        <f>D34*4</f>
        <v>112</v>
      </c>
      <c r="E37" s="26">
        <v>305</v>
      </c>
      <c r="F37" s="26">
        <v>415</v>
      </c>
      <c r="G37" s="26">
        <v>1455</v>
      </c>
      <c r="H37" s="26">
        <v>2537</v>
      </c>
      <c r="I37" s="26">
        <v>2706</v>
      </c>
      <c r="J37" s="26">
        <v>244</v>
      </c>
      <c r="K37" s="26">
        <v>-229</v>
      </c>
      <c r="L37" s="26">
        <v>39</v>
      </c>
      <c r="M37" s="26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26"/>
      <c r="Z37" s="26"/>
      <c r="AA37" s="26"/>
      <c r="AB37" s="15"/>
    </row>
    <row r="38" ht="8.35" customHeight="1" hidden="1">
      <c r="B38" s="21">
        <v>2022</v>
      </c>
      <c r="C38" s="67">
        <v>916</v>
      </c>
      <c r="D38" s="26">
        <v>30.6666666666667</v>
      </c>
      <c r="E38" s="26">
        <v>117</v>
      </c>
      <c r="F38" s="26">
        <v>429</v>
      </c>
      <c r="G38" s="26">
        <v>1406</v>
      </c>
      <c r="H38" s="26">
        <v>2605</v>
      </c>
      <c r="I38" s="26">
        <v>845</v>
      </c>
      <c r="J38" s="26">
        <v>40</v>
      </c>
      <c r="K38" s="26">
        <v>0</v>
      </c>
      <c r="L38" s="26">
        <v>26</v>
      </c>
      <c r="M38" s="26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26"/>
      <c r="Z38" s="26"/>
      <c r="AA38" s="26"/>
      <c r="AB38" s="15"/>
    </row>
    <row r="39" ht="8.35" customHeight="1" hidden="1">
      <c r="B39" s="13"/>
      <c r="C39" s="67">
        <v>1590</v>
      </c>
      <c r="D39" s="26">
        <f>D38*2</f>
        <v>61.3333333333334</v>
      </c>
      <c r="E39" s="26">
        <v>145</v>
      </c>
      <c r="F39" s="26">
        <v>236</v>
      </c>
      <c r="G39" s="26">
        <v>1189</v>
      </c>
      <c r="H39" s="26">
        <v>2344</v>
      </c>
      <c r="I39" s="26">
        <v>1652</v>
      </c>
      <c r="J39" s="26">
        <v>35</v>
      </c>
      <c r="K39" s="26">
        <v>-79</v>
      </c>
      <c r="L39" s="26">
        <v>-65</v>
      </c>
      <c r="M39" s="26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26"/>
      <c r="Z39" s="26"/>
      <c r="AA39" s="26"/>
      <c r="AB39" s="15"/>
    </row>
    <row r="40" ht="8.35" customHeight="1" hidden="1">
      <c r="B40" s="13"/>
      <c r="C40" s="67">
        <v>2659</v>
      </c>
      <c r="D40" s="26">
        <f>D38*3</f>
        <v>92.0000000000001</v>
      </c>
      <c r="E40" s="26">
        <v>252</v>
      </c>
      <c r="F40" s="26">
        <v>173</v>
      </c>
      <c r="G40" s="26">
        <v>1235</v>
      </c>
      <c r="H40" s="26">
        <v>2498</v>
      </c>
      <c r="I40" s="26">
        <v>2545</v>
      </c>
      <c r="J40" s="26">
        <v>126</v>
      </c>
      <c r="K40" s="26">
        <v>-172</v>
      </c>
      <c r="L40" s="26">
        <v>-124</v>
      </c>
      <c r="M40" s="26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26"/>
      <c r="Z40" s="26"/>
      <c r="AA40" s="26"/>
      <c r="AB40" s="15"/>
    </row>
    <row r="41" ht="8.35" customHeight="1" hidden="1">
      <c r="B41" s="13"/>
      <c r="C41" s="67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26"/>
      <c r="Z41" s="26"/>
      <c r="AA41" s="26"/>
      <c r="AB41" s="15"/>
    </row>
    <row r="42" ht="20.05" customHeight="1">
      <c r="B42" s="13"/>
      <c r="C42" s="67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26"/>
      <c r="AA42" s="26"/>
      <c r="AB42" s="15"/>
    </row>
    <row r="43" ht="20.05" customHeight="1">
      <c r="B43" s="13"/>
      <c r="C43" s="67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26"/>
      <c r="Z43" s="26"/>
      <c r="AA43" s="26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268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0.1270058989785</v>
      </c>
      <c r="AF49" s="35"/>
      <c r="AG49" s="35"/>
      <c r="AH49" s="35">
        <f>AVERAGE(AE51:AH51)</f>
        <v>0.1125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1.16530454895914</v>
      </c>
      <c r="AF50" s="35">
        <f>P24</f>
        <v>-0.758581398661159</v>
      </c>
      <c r="AG50" s="35">
        <f>P25</f>
        <v>-0.306784660766962</v>
      </c>
      <c r="AH50" s="35">
        <f>P26</f>
        <v>0.408085106382979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0.5</v>
      </c>
      <c r="AF51" s="35">
        <v>-0.2</v>
      </c>
      <c r="AG51" s="35">
        <v>-0.1</v>
      </c>
      <c r="AH51" s="35">
        <v>0.25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330.9</v>
      </c>
      <c r="AE52" s="23">
        <f>C26*(1+AE51)</f>
        <v>496.35</v>
      </c>
      <c r="AF52" s="23">
        <f>AE52*(1+AF51)</f>
        <v>397.08</v>
      </c>
      <c r="AG52" s="23">
        <f>AF52*(1+AG51)</f>
        <v>357.372</v>
      </c>
      <c r="AH52" s="23">
        <f>AG52*(1+AH51)</f>
        <v>446.715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AVERAGE(R21)</f>
        <v>0.0188856969162293</v>
      </c>
      <c r="AF53" s="35">
        <f>AE53</f>
        <v>0.0188856969162293</v>
      </c>
      <c r="AG53" s="35">
        <f>AF53</f>
        <v>0.0188856969162293</v>
      </c>
      <c r="AH53" s="35">
        <f>AG53</f>
        <v>0.0188856969162293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-3</v>
      </c>
      <c r="AF54" s="15">
        <f>AE54</f>
        <v>-3</v>
      </c>
      <c r="AG54" s="15">
        <f>AF54</f>
        <v>-3</v>
      </c>
      <c r="AH54" s="15">
        <f>AG54</f>
        <v>-3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6.37391566437041</v>
      </c>
      <c r="AF55" s="15">
        <f>(AF52*AF53)+AF54</f>
        <v>4.49913253149633</v>
      </c>
      <c r="AG55" s="15">
        <f>(AG52*AG53)+AG54</f>
        <v>3.7492192783467</v>
      </c>
      <c r="AH55" s="15">
        <f>(AH52*AH53)+AH54</f>
        <v>5.43652409793337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-74.34999999999999</v>
      </c>
      <c r="AF56" s="15">
        <f>-AE71/20</f>
        <v>-70.63249999999999</v>
      </c>
      <c r="AG56" s="15">
        <f>-AF71/20</f>
        <v>-67.100875</v>
      </c>
      <c r="AH56" s="15">
        <f>-AG71/20</f>
        <v>-63.74583125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-67.97608433562959</v>
      </c>
      <c r="AF59" s="15">
        <f>AF55+AF56+AF58</f>
        <v>-66.13336746850371</v>
      </c>
      <c r="AG59" s="15">
        <f>AG55+AG56+AG58</f>
        <v>-63.3516557216533</v>
      </c>
      <c r="AH59" s="15">
        <f>AH55+AH56+AH58</f>
        <v>-58.3093071520666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67.97608433562959</v>
      </c>
      <c r="AF60" s="15">
        <f>-MIN(AE72,AF59)</f>
        <v>66.13336746850371</v>
      </c>
      <c r="AG60" s="15">
        <f>-MIN(AF72,AG59)</f>
        <v>63.3516557216533</v>
      </c>
      <c r="AH60" s="15">
        <f>-MIN(AG72,AH59)</f>
        <v>58.3093071520666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269</v>
      </c>
      <c r="AF61" s="15">
        <f>AE63</f>
        <v>269</v>
      </c>
      <c r="AG61" s="15">
        <f>AF63</f>
        <v>269</v>
      </c>
      <c r="AH61" s="15">
        <f>AG63</f>
        <v>269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1e-14</v>
      </c>
      <c r="AF62" s="15">
        <f>AF55+AF56+AF58+AF60</f>
        <v>3e-14</v>
      </c>
      <c r="AG62" s="15">
        <f>AG55+AG56+AG58+AG60</f>
        <v>0</v>
      </c>
      <c r="AH62" s="15">
        <f>AH55+AH56+AH58+AH60</f>
        <v>-3e-14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269</v>
      </c>
      <c r="AF63" s="15">
        <f>AF61+AF62</f>
        <v>269</v>
      </c>
      <c r="AG63" s="15">
        <f>AG61+AG62</f>
        <v>269</v>
      </c>
      <c r="AH63" s="15">
        <f>AH61+AH62</f>
        <v>269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-7.96666666666667</v>
      </c>
      <c r="AF65" s="15">
        <f>AE65</f>
        <v>-7.96666666666667</v>
      </c>
      <c r="AG65" s="15">
        <f>AF65</f>
        <v>-7.96666666666667</v>
      </c>
      <c r="AH65" s="15">
        <f>AG65</f>
        <v>-7.96666666666667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1.40724899770374</v>
      </c>
      <c r="AF66" s="15">
        <f>(AF52*AF53)+AF65</f>
        <v>-0.46753413517034</v>
      </c>
      <c r="AG66" s="15">
        <f>(AG52*AG53)+AG65</f>
        <v>-1.21744738831997</v>
      </c>
      <c r="AH66" s="15">
        <f>(AH52*AH53)+AH65</f>
        <v>0.469857431266702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1546</v>
      </c>
      <c r="AF68" s="15">
        <f>AE68-AF54</f>
        <v>1549</v>
      </c>
      <c r="AG68" s="15">
        <f>AF68-AG54</f>
        <v>1552</v>
      </c>
      <c r="AH68" s="15">
        <f>AG68-AH54</f>
        <v>1555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7.96666666666667</v>
      </c>
      <c r="AF69" s="15">
        <f>AE69-AF65</f>
        <v>15.9333333333333</v>
      </c>
      <c r="AG69" s="15">
        <f>AF69-AG65</f>
        <v>23.9</v>
      </c>
      <c r="AH69" s="15">
        <f>AG69-AH65</f>
        <v>31.8666666666667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1538.033333333330</v>
      </c>
      <c r="AF70" s="15">
        <f>AF68-AF69</f>
        <v>1533.066666666670</v>
      </c>
      <c r="AG70" s="15">
        <f>AG68-AG69</f>
        <v>1528.1</v>
      </c>
      <c r="AH70" s="15">
        <f>AH68-AH69</f>
        <v>1523.133333333330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1412.65</v>
      </c>
      <c r="AF71" s="15">
        <f>AE71+AF56</f>
        <v>1342.0175</v>
      </c>
      <c r="AG71" s="15">
        <f>AF71+AG56</f>
        <v>1274.916625</v>
      </c>
      <c r="AH71" s="15">
        <f>AG71+AH56</f>
        <v>1211.17079375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67.97608433562959</v>
      </c>
      <c r="AF72" s="15">
        <f>AE72+AF60</f>
        <v>134.109451804133</v>
      </c>
      <c r="AG72" s="15">
        <f>AF72+AG60</f>
        <v>197.461107525786</v>
      </c>
      <c r="AH72" s="15">
        <f>AG72+AH60</f>
        <v>255.770414677853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326.407248997704</v>
      </c>
      <c r="AF73" s="15">
        <f>AE73+AF66+AF58</f>
        <v>325.939714862534</v>
      </c>
      <c r="AG73" s="15">
        <f>AF73+AG66+AG58</f>
        <v>324.722267474214</v>
      </c>
      <c r="AH73" s="15">
        <f>AG73+AH66+AH58</f>
        <v>325.192124905481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3.6e-12</v>
      </c>
      <c r="AF74" s="15">
        <f>AF71+AF72+AF73-AF63-AF70</f>
        <v>-3e-12</v>
      </c>
      <c r="AG74" s="15">
        <f>AG71+AG72+AG73-AG63-AG70</f>
        <v>0</v>
      </c>
      <c r="AH74" s="15">
        <f>AH71+AH72+AH73-AH63-AH70</f>
        <v>4e-12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-1211.626084335630</v>
      </c>
      <c r="AF75" s="15">
        <f>AF63-AF71-AF72</f>
        <v>-1207.126951804130</v>
      </c>
      <c r="AG75" s="15">
        <f>AG63-AG71-AG72</f>
        <v>-1203.377732525790</v>
      </c>
      <c r="AH75" s="15">
        <f>AH63-AH71-AH72</f>
        <v>-1197.941208427850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-6.3739156643704</v>
      </c>
      <c r="AF76" s="15">
        <f>AF56+AF58+AF60</f>
        <v>-4.4991325314963</v>
      </c>
      <c r="AG76" s="15">
        <f>AG56+AG58+AG60</f>
        <v>-3.7492192783467</v>
      </c>
      <c r="AH76" s="15">
        <f>AH56+AH58+AH60</f>
        <v>-5.4365240979334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616</v>
      </c>
      <c r="AD78" s="14"/>
      <c r="AE78" s="15"/>
      <c r="AF78" s="15"/>
      <c r="AG78" s="15"/>
      <c r="AH78" s="15">
        <v>825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616</v>
      </c>
      <c r="AD79" s="14"/>
      <c r="AE79" s="15"/>
      <c r="AF79" s="15"/>
      <c r="AG79" s="15"/>
      <c r="AH79" s="15">
        <v>2556897657600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2556.8976576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3.099269888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1.42673405490663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20.0587915721468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75.9334543087989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127.470174282605</v>
      </c>
      <c r="AH86" s="15">
        <v>125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2507.348946518350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809.012779502199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-0.0193784490882436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-0.489745566692367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0.251415715791403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616</v>
      </c>
      <c r="AF94" t="s" s="44">
        <v>60</v>
      </c>
      <c r="AG94" s="15">
        <f>AH78</f>
        <v>825</v>
      </c>
      <c r="AH94" t="s" s="44">
        <v>61</v>
      </c>
      <c r="AI94" s="15">
        <f>AH88</f>
        <v>809.012779502199</v>
      </c>
      <c r="AJ94" t="s" s="44">
        <f>IF(AK94&gt;0,"+","")</f>
      </c>
      <c r="AK94" s="16">
        <f>AI94/AG94-1</f>
        <v>-0.0193784490882436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AI104/AE104-1</f>
        <v>-0.489745566692367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0.0151746394247234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0.0113027597776935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-0.476358526270958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0.408085106382979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0.362108800672128</v>
      </c>
      <c r="AF103" s="16">
        <f>P23</f>
        <v>1.16530454895914</v>
      </c>
      <c r="AG103" s="16">
        <f>P24</f>
        <v>-0.758581398661159</v>
      </c>
      <c r="AH103" s="16">
        <f>P25</f>
        <v>-0.306784660766962</v>
      </c>
      <c r="AI103" s="16">
        <f>P26</f>
        <v>0.408085106382979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648.5</v>
      </c>
      <c r="AF104" s="15">
        <f>C23</f>
        <v>1404.2</v>
      </c>
      <c r="AG104" s="15">
        <f>C24</f>
        <v>339</v>
      </c>
      <c r="AH104" s="15">
        <f>C25</f>
        <v>235</v>
      </c>
      <c r="AI104" s="15">
        <f>C26</f>
        <v>330.9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0.408085106382979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330.9</v>
      </c>
      <c r="AM105" t="s" s="44">
        <v>372</v>
      </c>
      <c r="AN105" t="s" s="44">
        <v>378</v>
      </c>
      <c r="AO105" s="16">
        <f>AH91</f>
        <v>0.251415715791403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0.1270058989785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0.1125</v>
      </c>
      <c r="AG107" t="s" s="44">
        <v>82</v>
      </c>
      <c r="AH107" t="s" s="44">
        <v>83</v>
      </c>
      <c r="AI107" s="23">
        <f>AH52</f>
        <v>446.715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0.0124903623747109</v>
      </c>
      <c r="AF110" s="16">
        <f>(D23+E23)/C23</f>
        <v>-0.0196553197550207</v>
      </c>
      <c r="AG110" s="16">
        <f>((E24+D24)/C24)</f>
        <v>-0.125545722713864</v>
      </c>
      <c r="AH110" s="16">
        <f>(D25+E25)/C25</f>
        <v>-0.138468085106383</v>
      </c>
      <c r="AI110" s="16">
        <f>(D26+E26)/C26</f>
        <v>-0.254155333937746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1.8</v>
      </c>
      <c r="AF111" s="15">
        <f>E23</f>
        <v>-40.4</v>
      </c>
      <c r="AG111" s="15">
        <f>E24</f>
        <v>-51.2</v>
      </c>
      <c r="AH111" s="15">
        <f>E25</f>
        <v>-39.5</v>
      </c>
      <c r="AI111" s="15">
        <f>E26</f>
        <v>-92.40000000000001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-0.138468085106383</v>
      </c>
      <c r="AG112" t="s" s="44">
        <v>76</v>
      </c>
      <c r="AH112" s="16">
        <f>AI110</f>
        <v>-0.254155333937746</v>
      </c>
      <c r="AI112" t="s" s="44">
        <v>90</v>
      </c>
      <c r="AJ112" s="15">
        <f>AH111</f>
        <v>-39.5</v>
      </c>
      <c r="AK112" t="s" s="44">
        <v>76</v>
      </c>
      <c r="AL112" s="15">
        <f>AI111</f>
        <v>-92.40000000000001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-0.134456115378253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0.0188856969162293</v>
      </c>
      <c r="AG114" t="s" s="44">
        <v>94</v>
      </c>
      <c r="AH114" s="15">
        <f>AH66</f>
        <v>0.469857431266702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-43.4</v>
      </c>
      <c r="AF117" s="15">
        <f>J23</f>
        <v>181.6</v>
      </c>
      <c r="AG117" s="15">
        <f>J24</f>
        <v>-92.59999999999999</v>
      </c>
      <c r="AH117" s="15">
        <f>J25</f>
        <v>32</v>
      </c>
      <c r="AI117" s="15">
        <f>J26</f>
        <v>13.7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-31.5</v>
      </c>
      <c r="AF118" s="15">
        <f>K23</f>
        <v>-77</v>
      </c>
      <c r="AG118" s="15">
        <f>K24</f>
        <v>-10.1</v>
      </c>
      <c r="AH118" s="15">
        <f>K25</f>
        <v>-5.8</v>
      </c>
      <c r="AI118" s="15">
        <f>K26</f>
        <v>-3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26.2</v>
      </c>
      <c r="AG119" t="s" s="44">
        <v>76</v>
      </c>
      <c r="AH119" s="15">
        <f>AI117+AI118</f>
        <v>10.7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-3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9.699999999999999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5.0146978930367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350</v>
      </c>
      <c r="AF124" s="15">
        <f>F23</f>
        <v>381</v>
      </c>
      <c r="AG124" s="15">
        <f>F24</f>
        <v>296</v>
      </c>
      <c r="AH124" s="15">
        <f>F25</f>
        <v>261</v>
      </c>
      <c r="AI124" s="15">
        <f>F26</f>
        <v>269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1905</v>
      </c>
      <c r="AF125" s="15">
        <f>G23</f>
        <v>1504</v>
      </c>
      <c r="AG125" s="15">
        <f>G24</f>
        <v>1470</v>
      </c>
      <c r="AH125" s="15">
        <f>G25</f>
        <v>1449</v>
      </c>
      <c r="AI125" s="15">
        <f>G26</f>
        <v>1487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261</v>
      </c>
      <c r="AH126" t="s" s="44">
        <v>76</v>
      </c>
      <c r="AI126" s="15">
        <f>AI124</f>
        <v>269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AH125</f>
        <v>1449</v>
      </c>
      <c r="AH127" t="s" s="44">
        <v>76</v>
      </c>
      <c r="AI127" s="15">
        <f>AI125</f>
        <v>1487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-1188</v>
      </c>
      <c r="AO127" t="s" s="44">
        <v>76</v>
      </c>
      <c r="AP127" s="15">
        <f>AI126-AI127</f>
        <v>-1218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-20.0587915721468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-1197.941208427850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-216.5</v>
      </c>
      <c r="AF131" s="15">
        <f>-L23</f>
        <v>-16.4</v>
      </c>
      <c r="AG131" s="15">
        <f>-L24</f>
        <v>17.4</v>
      </c>
      <c r="AH131" s="15">
        <f>-L25</f>
        <v>25.3</v>
      </c>
      <c r="AI131" s="15">
        <f>-L26</f>
        <v>2.6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s="15">
        <f>-M23</f>
        <v>0</v>
      </c>
      <c r="AG132" s="15">
        <f>-M24</f>
        <v>0</v>
      </c>
      <c r="AH132" s="15">
        <f>-M25</f>
        <v>0</v>
      </c>
      <c r="AI132" s="15">
        <f>-M26</f>
        <v>0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616</v>
      </c>
      <c r="AF133" t="s" s="44">
        <f>IF(AG133&gt;0,"paid","(raised)")</f>
        <v>374</v>
      </c>
      <c r="AG133" s="15">
        <f>SUM(AI131:AI132)</f>
        <v>2.6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2.6</v>
      </c>
      <c r="AM133" t="s" s="44">
        <f>AM105</f>
        <v>372</v>
      </c>
      <c r="AN133" t="s" s="44">
        <v>123</v>
      </c>
      <c r="AO133" s="15">
        <f>AI132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20.0587915721468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2556.8976576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1.42673405490663</v>
      </c>
      <c r="AK134" t="s" s="44">
        <v>130</v>
      </c>
      <c r="AL134" t="s" s="44">
        <v>131</v>
      </c>
      <c r="AM134" t="s" s="44">
        <v>132</v>
      </c>
      <c r="AN134" s="15">
        <f>AH85</f>
        <v>75.9334543087989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20.0587915721468</v>
      </c>
      <c r="AG135" t="s" s="44">
        <f>AG134</f>
        <v>372</v>
      </c>
      <c r="AH135" t="s" s="44">
        <v>136</v>
      </c>
      <c r="AI135" s="15">
        <f>AF134/AF135</f>
        <v>127.470174282605</v>
      </c>
      <c r="AJ135" t="s" s="44">
        <v>130</v>
      </c>
      <c r="AK135" t="s" s="44">
        <v>137</v>
      </c>
      <c r="AL135" t="s" s="44">
        <v>138</v>
      </c>
      <c r="AM135" s="15">
        <f>AH86</f>
        <v>125</v>
      </c>
      <c r="AN135" t="s" s="44">
        <v>139</v>
      </c>
      <c r="AO135" t="s" s="44">
        <v>140</v>
      </c>
      <c r="AP135" t="s" s="44">
        <v>141</v>
      </c>
      <c r="AQ135" s="16">
        <f>AK94</f>
        <v>-0.0193784490882436</v>
      </c>
      <c r="AR135" t="s" s="44">
        <f>IF(AQ135&gt;0,"higher","lower")</f>
        <v>104</v>
      </c>
      <c r="AS135" t="s" s="44">
        <v>142</v>
      </c>
      <c r="AT135" s="15">
        <f>AI94</f>
        <v>809.012779502199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648.5</v>
      </c>
      <c r="AE137" s="15">
        <f>AF104</f>
        <v>1404.2</v>
      </c>
      <c r="AF137" s="15">
        <f>AG104</f>
        <v>339</v>
      </c>
      <c r="AG137" s="15">
        <f>AH104</f>
        <v>235</v>
      </c>
      <c r="AH137" s="15">
        <f>AI104</f>
        <v>330.9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-74.90000000000001</v>
      </c>
      <c r="AE138" s="15">
        <f>SUM(AF117:AF118)</f>
        <v>104.6</v>
      </c>
      <c r="AF138" s="15">
        <f>SUM(AG117:AG118)</f>
        <v>-102.7</v>
      </c>
      <c r="AG138" s="15">
        <f>SUM(AH117:AH118)</f>
        <v>26.2</v>
      </c>
      <c r="AH138" s="15">
        <f>SUM(AI117:AI118)</f>
        <v>10.7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-216.5</v>
      </c>
      <c r="AE139" s="15">
        <f>SUM(AF131:AF132)</f>
        <v>-16.4</v>
      </c>
      <c r="AF139" s="15">
        <f>SUM(AG131:AG132)</f>
        <v>17.4</v>
      </c>
      <c r="AG139" s="15">
        <f>SUM(AH131:AH132)</f>
        <v>25.3</v>
      </c>
      <c r="AH139" s="15">
        <f>SUM(AI131:AI132)</f>
        <v>2.6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-1555</v>
      </c>
      <c r="AE140" s="15">
        <f>(AF124-AF125)</f>
        <v>-1123</v>
      </c>
      <c r="AF140" s="15">
        <f>(AG124-AG125)</f>
        <v>-1174</v>
      </c>
      <c r="AG140" s="15">
        <f>(AH124-AH125)</f>
        <v>-1188</v>
      </c>
      <c r="AH140" s="15">
        <f>(AI124-AI125)</f>
        <v>-1218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809.012779502199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57" customWidth="1"/>
    <col min="2" max="27" width="10.4844" style="257" customWidth="1"/>
    <col min="28" max="28" width="18.9766" style="259" customWidth="1"/>
    <col min="29" max="47" width="9" style="259" customWidth="1"/>
    <col min="48" max="16384" width="16.3516" style="259" customWidth="1"/>
  </cols>
  <sheetData>
    <row r="1" ht="11.65" customHeight="1"/>
    <row r="2" ht="27.65" customHeight="1">
      <c r="B2" t="s" s="2">
        <v>617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200</v>
      </c>
      <c r="AA3" t="s" s="3">
        <v>19</v>
      </c>
    </row>
    <row r="4" ht="20.25" customHeight="1">
      <c r="B4" s="6">
        <v>2017</v>
      </c>
      <c r="C4" s="7">
        <v>17834</v>
      </c>
      <c r="D4" s="8">
        <v>650</v>
      </c>
      <c r="E4" s="8">
        <v>1762</v>
      </c>
      <c r="F4" s="8">
        <v>13302</v>
      </c>
      <c r="G4" s="8">
        <v>38822</v>
      </c>
      <c r="H4" s="8">
        <v>84697</v>
      </c>
      <c r="I4" s="8">
        <v>17212</v>
      </c>
      <c r="J4" s="8">
        <v>268</v>
      </c>
      <c r="K4" s="8">
        <v>-1484</v>
      </c>
      <c r="L4" s="8">
        <v>591.2714999999999</v>
      </c>
      <c r="M4" s="8">
        <v>-630.1715</v>
      </c>
      <c r="N4" s="59"/>
      <c r="O4" s="9"/>
      <c r="P4" s="9"/>
      <c r="Q4" s="9"/>
      <c r="R4" s="9"/>
      <c r="S4" s="9"/>
      <c r="T4" s="9"/>
      <c r="U4" s="9"/>
      <c r="V4" s="8">
        <f>-(L4+M4)</f>
        <v>38.9</v>
      </c>
      <c r="W4" s="9"/>
      <c r="X4" s="8">
        <f>F4-G4</f>
        <v>-25520</v>
      </c>
      <c r="Y4" s="9"/>
      <c r="Z4" s="79"/>
      <c r="AA4" s="9"/>
    </row>
    <row r="5" ht="20.05" customHeight="1">
      <c r="B5" s="13"/>
      <c r="C5" s="14">
        <v>17816</v>
      </c>
      <c r="D5" s="15">
        <v>670</v>
      </c>
      <c r="E5" s="15">
        <v>1227</v>
      </c>
      <c r="F5" s="15">
        <v>16346</v>
      </c>
      <c r="G5" s="15">
        <v>45319</v>
      </c>
      <c r="H5" s="15">
        <v>89778</v>
      </c>
      <c r="I5" s="15">
        <v>17173</v>
      </c>
      <c r="J5" s="15">
        <v>2876</v>
      </c>
      <c r="K5" s="15">
        <v>-1848</v>
      </c>
      <c r="L5" s="15">
        <v>591.2714999999999</v>
      </c>
      <c r="M5" s="15">
        <v>-630.1715</v>
      </c>
      <c r="N5" s="26"/>
      <c r="O5" s="17"/>
      <c r="P5" s="17"/>
      <c r="Q5" s="17"/>
      <c r="R5" s="17"/>
      <c r="S5" s="17"/>
      <c r="T5" s="17"/>
      <c r="U5" s="17"/>
      <c r="V5" s="15">
        <f>-(L5+M5)+V4</f>
        <v>77.8</v>
      </c>
      <c r="W5" s="17"/>
      <c r="X5" s="15">
        <f>F5-G5</f>
        <v>-28973</v>
      </c>
      <c r="Y5" s="17"/>
      <c r="Z5" s="80"/>
      <c r="AA5" s="17"/>
    </row>
    <row r="6" ht="20.05" customHeight="1">
      <c r="B6" s="13"/>
      <c r="C6" s="14">
        <v>17470</v>
      </c>
      <c r="D6" s="15">
        <v>750</v>
      </c>
      <c r="E6" s="15">
        <v>1251</v>
      </c>
      <c r="F6" s="15">
        <v>13019</v>
      </c>
      <c r="G6" s="15">
        <v>42280</v>
      </c>
      <c r="H6" s="15">
        <v>88244</v>
      </c>
      <c r="I6" s="15">
        <v>17944</v>
      </c>
      <c r="J6" s="15">
        <v>556</v>
      </c>
      <c r="K6" s="15">
        <v>-1848</v>
      </c>
      <c r="L6" s="15">
        <v>591.2714999999999</v>
      </c>
      <c r="M6" s="15">
        <v>-630.1715</v>
      </c>
      <c r="N6" s="26"/>
      <c r="O6" s="17"/>
      <c r="P6" s="17"/>
      <c r="Q6" s="17"/>
      <c r="R6" s="17"/>
      <c r="S6" s="17"/>
      <c r="T6" s="17"/>
      <c r="U6" s="17"/>
      <c r="V6" s="15">
        <f>-(L6+M6)+V5</f>
        <v>116.7</v>
      </c>
      <c r="W6" s="17"/>
      <c r="X6" s="15">
        <f>F6-G6</f>
        <v>-29261</v>
      </c>
      <c r="Y6" s="17"/>
      <c r="Z6" s="80"/>
      <c r="AA6" s="17"/>
    </row>
    <row r="7" ht="20.05" customHeight="1">
      <c r="B7" s="13"/>
      <c r="C7" s="14">
        <v>17066</v>
      </c>
      <c r="D7" s="15">
        <v>930</v>
      </c>
      <c r="E7" s="15">
        <v>857</v>
      </c>
      <c r="F7" s="15">
        <v>13690</v>
      </c>
      <c r="G7" s="15">
        <v>41298</v>
      </c>
      <c r="H7" s="15">
        <v>88401</v>
      </c>
      <c r="I7" s="15">
        <v>17597</v>
      </c>
      <c r="J7" s="15">
        <v>2807</v>
      </c>
      <c r="K7" s="15">
        <v>-877</v>
      </c>
      <c r="L7" s="15">
        <v>869.6605</v>
      </c>
      <c r="M7" s="15">
        <v>-857.62925</v>
      </c>
      <c r="N7" s="26"/>
      <c r="O7" s="17"/>
      <c r="P7" s="17"/>
      <c r="Q7" s="17"/>
      <c r="R7" s="17"/>
      <c r="S7" s="17"/>
      <c r="T7" s="17"/>
      <c r="U7" s="17"/>
      <c r="V7" s="15">
        <f>-(L7+M7)+V6</f>
        <v>104.66875</v>
      </c>
      <c r="W7" s="17"/>
      <c r="X7" s="15">
        <f>F7-G7</f>
        <v>-27608</v>
      </c>
      <c r="Y7" s="17"/>
      <c r="Z7" s="80"/>
      <c r="AA7" s="17"/>
    </row>
    <row r="8" ht="20.05" customHeight="1">
      <c r="B8" s="21">
        <v>2018</v>
      </c>
      <c r="C8" s="14">
        <v>17600</v>
      </c>
      <c r="D8" s="15">
        <v>670</v>
      </c>
      <c r="E8" s="15">
        <v>1456</v>
      </c>
      <c r="F8" s="15">
        <v>14275</v>
      </c>
      <c r="G8" s="15">
        <v>44226</v>
      </c>
      <c r="H8" s="15">
        <v>92958</v>
      </c>
      <c r="I8" s="15">
        <v>16879</v>
      </c>
      <c r="J8" s="15">
        <v>1143</v>
      </c>
      <c r="K8" s="15">
        <v>-1228</v>
      </c>
      <c r="L8" s="15">
        <v>-1447.71225</v>
      </c>
      <c r="M8" s="15">
        <v>-467.3465</v>
      </c>
      <c r="N8" s="15">
        <f>SUM(C5:C8)/4</f>
        <v>17488</v>
      </c>
      <c r="O8" s="17"/>
      <c r="P8" s="16"/>
      <c r="Q8" s="16">
        <f>((D8+E8)/C8)</f>
        <v>0.120795454545455</v>
      </c>
      <c r="R8" s="16"/>
      <c r="S8" s="17"/>
      <c r="T8" s="15">
        <f>SUM(J5:K8)/4</f>
        <v>395.25</v>
      </c>
      <c r="U8" s="17"/>
      <c r="V8" s="15">
        <f>-(L8+M8)+V7</f>
        <v>2019.7275</v>
      </c>
      <c r="W8" s="17"/>
      <c r="X8" s="15">
        <f>F8-G8</f>
        <v>-29951</v>
      </c>
      <c r="Y8" s="24"/>
      <c r="Z8" s="258">
        <v>7200</v>
      </c>
      <c r="AA8" s="24"/>
    </row>
    <row r="9" ht="20.05" customHeight="1">
      <c r="B9" s="13"/>
      <c r="C9" s="14">
        <v>18400</v>
      </c>
      <c r="D9" s="15">
        <v>740</v>
      </c>
      <c r="E9" s="15">
        <v>977</v>
      </c>
      <c r="F9" s="15">
        <v>14157</v>
      </c>
      <c r="G9" s="15">
        <v>46446</v>
      </c>
      <c r="H9" s="15">
        <v>93619</v>
      </c>
      <c r="I9" s="15">
        <v>18115</v>
      </c>
      <c r="J9" s="15">
        <v>2732</v>
      </c>
      <c r="K9" s="15">
        <v>-1562</v>
      </c>
      <c r="L9" s="15">
        <v>869.6605</v>
      </c>
      <c r="M9" s="15">
        <v>-857.62925</v>
      </c>
      <c r="N9" s="15">
        <f>SUM(C6:C9)/4</f>
        <v>17634</v>
      </c>
      <c r="O9" s="17"/>
      <c r="P9" s="16"/>
      <c r="Q9" s="16">
        <f>((D9+E9)/C9)</f>
        <v>0.0933152173913043</v>
      </c>
      <c r="R9" s="16"/>
      <c r="S9" s="17"/>
      <c r="T9" s="15">
        <f>SUM(J6:K9)/4</f>
        <v>430.75</v>
      </c>
      <c r="U9" s="17"/>
      <c r="V9" s="15">
        <f>-(L9+M9)+V8</f>
        <v>2007.69625</v>
      </c>
      <c r="W9" s="17"/>
      <c r="X9" s="15">
        <f>F9-G9</f>
        <v>-32289</v>
      </c>
      <c r="Y9" s="24"/>
      <c r="Z9" s="258">
        <v>6650</v>
      </c>
      <c r="AA9" s="24"/>
    </row>
    <row r="10" ht="20.05" customHeight="1">
      <c r="B10" s="13"/>
      <c r="C10" s="14">
        <v>18740</v>
      </c>
      <c r="D10" s="15">
        <v>810</v>
      </c>
      <c r="E10" s="15">
        <v>1147</v>
      </c>
      <c r="F10" s="15">
        <v>12661</v>
      </c>
      <c r="G10" s="15">
        <v>47435</v>
      </c>
      <c r="H10" s="15">
        <v>95989</v>
      </c>
      <c r="I10" s="15">
        <v>19079</v>
      </c>
      <c r="J10" s="15">
        <v>-237</v>
      </c>
      <c r="K10" s="15">
        <v>-2741</v>
      </c>
      <c r="L10" s="15">
        <v>869.6605</v>
      </c>
      <c r="M10" s="15">
        <v>-857.62925</v>
      </c>
      <c r="N10" s="15">
        <f>SUM(C7:C10)/4</f>
        <v>17951.5</v>
      </c>
      <c r="O10" s="17"/>
      <c r="P10" s="16"/>
      <c r="Q10" s="16">
        <f>((D10+E10)/C10)</f>
        <v>0.104429028815368</v>
      </c>
      <c r="R10" s="16"/>
      <c r="S10" s="17"/>
      <c r="T10" s="15">
        <f>SUM(J7:K10)/4</f>
        <v>9.25</v>
      </c>
      <c r="U10" s="17"/>
      <c r="V10" s="15">
        <f>-(L10+M10)+V9</f>
        <v>1995.665</v>
      </c>
      <c r="W10" s="17"/>
      <c r="X10" s="15">
        <f>F10-G10</f>
        <v>-34774</v>
      </c>
      <c r="Y10" s="24"/>
      <c r="Z10" s="258">
        <v>5900</v>
      </c>
      <c r="AA10" s="24"/>
    </row>
    <row r="11" ht="20.05" customHeight="1">
      <c r="B11" s="13"/>
      <c r="C11" s="14">
        <v>18655</v>
      </c>
      <c r="D11" s="15">
        <v>800</v>
      </c>
      <c r="E11" s="15">
        <v>1380</v>
      </c>
      <c r="F11" s="15">
        <v>8809</v>
      </c>
      <c r="G11" s="15">
        <v>46621</v>
      </c>
      <c r="H11" s="15">
        <v>96538</v>
      </c>
      <c r="I11" s="15">
        <v>19418</v>
      </c>
      <c r="J11" s="15">
        <v>2297</v>
      </c>
      <c r="K11" s="15">
        <v>-5692</v>
      </c>
      <c r="L11" s="15">
        <v>-1447.71225</v>
      </c>
      <c r="M11" s="15">
        <v>-467.3465</v>
      </c>
      <c r="N11" s="15">
        <f>SUM(C8:C11)/4</f>
        <v>18348.75</v>
      </c>
      <c r="O11" s="17"/>
      <c r="P11" s="16"/>
      <c r="Q11" s="16">
        <f>((D11+E11)/C11)</f>
        <v>0.116858751005092</v>
      </c>
      <c r="R11" s="16"/>
      <c r="S11" s="17"/>
      <c r="T11" s="15">
        <f>SUM(J8:K11)/4</f>
        <v>-1322</v>
      </c>
      <c r="U11" s="17"/>
      <c r="V11" s="15">
        <f>-(L11+M11)+V10</f>
        <v>3910.72375</v>
      </c>
      <c r="W11" s="17"/>
      <c r="X11" s="15">
        <f>F11-G11</f>
        <v>-37812</v>
      </c>
      <c r="Y11" s="24"/>
      <c r="Z11" s="258">
        <v>7450</v>
      </c>
      <c r="AA11" s="24"/>
    </row>
    <row r="12" ht="20.05" customHeight="1">
      <c r="B12" s="21">
        <v>2019</v>
      </c>
      <c r="C12" s="14">
        <v>19169</v>
      </c>
      <c r="D12" s="15">
        <v>720</v>
      </c>
      <c r="E12" s="15">
        <v>1630</v>
      </c>
      <c r="F12" s="15">
        <v>8923</v>
      </c>
      <c r="G12" s="15">
        <v>46290</v>
      </c>
      <c r="H12" s="15">
        <v>98091</v>
      </c>
      <c r="I12" s="15">
        <v>18147</v>
      </c>
      <c r="J12" s="15">
        <v>1152</v>
      </c>
      <c r="K12" s="15">
        <v>-450</v>
      </c>
      <c r="L12" s="15">
        <v>-1447.71225</v>
      </c>
      <c r="M12" s="15">
        <v>-467.3465</v>
      </c>
      <c r="N12" s="15">
        <f>SUM(C9:C12)/4</f>
        <v>18741</v>
      </c>
      <c r="O12" s="17"/>
      <c r="P12" s="16"/>
      <c r="Q12" s="16">
        <f>((D12+E12)/C12)</f>
        <v>0.122593771193072</v>
      </c>
      <c r="R12" s="16">
        <f>AVERAGE(Q9:Q12)</f>
        <v>0.109299192101209</v>
      </c>
      <c r="S12" s="17"/>
      <c r="T12" s="15">
        <f>SUM(J9:K12)/4</f>
        <v>-1125.25</v>
      </c>
      <c r="U12" s="17"/>
      <c r="V12" s="15">
        <f>-(L12+M12)+V11</f>
        <v>5825.7825</v>
      </c>
      <c r="W12" s="17"/>
      <c r="X12" s="15">
        <f>F12-G12</f>
        <v>-37367</v>
      </c>
      <c r="Y12" s="24"/>
      <c r="Z12" s="258">
        <v>6375</v>
      </c>
      <c r="AA12" s="24"/>
    </row>
    <row r="13" ht="20.05" customHeight="1">
      <c r="B13" s="13"/>
      <c r="C13" s="14">
        <v>19431</v>
      </c>
      <c r="D13" s="15">
        <v>830</v>
      </c>
      <c r="E13" s="15">
        <v>1300</v>
      </c>
      <c r="F13" s="15">
        <v>9533</v>
      </c>
      <c r="G13" s="15">
        <v>46120</v>
      </c>
      <c r="H13" s="15">
        <v>97368</v>
      </c>
      <c r="I13" s="15">
        <v>19613</v>
      </c>
      <c r="J13" s="15">
        <v>3978</v>
      </c>
      <c r="K13" s="15">
        <v>-439</v>
      </c>
      <c r="L13" s="15">
        <v>-1447.71225</v>
      </c>
      <c r="M13" s="15">
        <v>-467.3465</v>
      </c>
      <c r="N13" s="15">
        <f>SUM(C10:C13)/4</f>
        <v>18998.75</v>
      </c>
      <c r="O13" s="17"/>
      <c r="P13" s="16"/>
      <c r="Q13" s="16">
        <f>((D13+E13)/C13)</f>
        <v>0.10961865060985</v>
      </c>
      <c r="R13" s="16">
        <f>AVERAGE(Q10:Q13)</f>
        <v>0.113375050405846</v>
      </c>
      <c r="S13" s="17"/>
      <c r="T13" s="15">
        <f>SUM(J10:K13)/4</f>
        <v>-533</v>
      </c>
      <c r="U13" s="17"/>
      <c r="V13" s="15">
        <f>-(L13+M13)+V12</f>
        <v>7740.84125</v>
      </c>
      <c r="W13" s="17"/>
      <c r="X13" s="15">
        <f>F13-G13</f>
        <v>-36587</v>
      </c>
      <c r="Y13" s="24"/>
      <c r="Z13" s="258">
        <v>7025</v>
      </c>
      <c r="AA13" s="24"/>
    </row>
    <row r="14" ht="20.05" customHeight="1">
      <c r="B14" s="13"/>
      <c r="C14" s="14">
        <v>19240</v>
      </c>
      <c r="D14" s="15">
        <v>880</v>
      </c>
      <c r="E14" s="15">
        <v>1260</v>
      </c>
      <c r="F14" s="15">
        <v>9408</v>
      </c>
      <c r="G14" s="15">
        <v>45095</v>
      </c>
      <c r="H14" s="15">
        <v>97062</v>
      </c>
      <c r="I14" s="15">
        <v>20537</v>
      </c>
      <c r="J14" s="15">
        <v>2520</v>
      </c>
      <c r="K14" s="15">
        <v>-2691</v>
      </c>
      <c r="L14" s="15">
        <v>-1447.71225</v>
      </c>
      <c r="M14" s="15">
        <v>-467.3465</v>
      </c>
      <c r="N14" s="15">
        <f>SUM(C11:C14)/4</f>
        <v>19123.75</v>
      </c>
      <c r="O14" s="17"/>
      <c r="P14" s="16"/>
      <c r="Q14" s="16">
        <f>((D14+E14)/C14)</f>
        <v>0.111226611226611</v>
      </c>
      <c r="R14" s="16">
        <f>AVERAGE(Q11:Q14)</f>
        <v>0.115074446008656</v>
      </c>
      <c r="S14" s="17"/>
      <c r="T14" s="15">
        <f>SUM(J11:K14)/4</f>
        <v>168.75</v>
      </c>
      <c r="U14" s="17"/>
      <c r="V14" s="15">
        <f>-(L14+M14)+V13</f>
        <v>9655.9</v>
      </c>
      <c r="W14" s="17"/>
      <c r="X14" s="15">
        <f>F14-G14</f>
        <v>-35687</v>
      </c>
      <c r="Y14" s="24"/>
      <c r="Z14" s="258">
        <v>7700</v>
      </c>
      <c r="AA14" s="24"/>
    </row>
    <row r="15" ht="20.05" customHeight="1">
      <c r="B15" s="13"/>
      <c r="C15" s="14">
        <v>18752</v>
      </c>
      <c r="D15" s="15">
        <v>800</v>
      </c>
      <c r="E15" s="15">
        <v>1710</v>
      </c>
      <c r="F15" s="15">
        <v>13745</v>
      </c>
      <c r="G15" s="15">
        <v>41996</v>
      </c>
      <c r="H15" s="15">
        <v>96198</v>
      </c>
      <c r="I15" s="15">
        <v>18488</v>
      </c>
      <c r="J15" s="15">
        <v>5690</v>
      </c>
      <c r="K15" s="15">
        <v>3000</v>
      </c>
      <c r="L15" s="15">
        <v>3300</v>
      </c>
      <c r="M15" s="15">
        <v>0</v>
      </c>
      <c r="N15" s="15">
        <f>SUM(C12:C15)/4</f>
        <v>19148</v>
      </c>
      <c r="O15" s="17"/>
      <c r="P15" s="16"/>
      <c r="Q15" s="16">
        <f>((D15+E15)/C15)</f>
        <v>0.133852389078498</v>
      </c>
      <c r="R15" s="16">
        <f>AVERAGE(Q12:Q15)</f>
        <v>0.119322855527008</v>
      </c>
      <c r="S15" s="17"/>
      <c r="T15" s="15">
        <f>SUM(J12:K15)/4</f>
        <v>3190</v>
      </c>
      <c r="U15" s="17"/>
      <c r="V15" s="15">
        <f>-(L15+M15)+V14</f>
        <v>6355.9</v>
      </c>
      <c r="W15" s="17"/>
      <c r="X15" s="15">
        <f>F15-G15</f>
        <v>-28251</v>
      </c>
      <c r="Y15" s="24"/>
      <c r="Z15" s="258">
        <v>7925</v>
      </c>
      <c r="AA15" s="24"/>
    </row>
    <row r="16" ht="20.05" customHeight="1">
      <c r="B16" s="21">
        <v>2020</v>
      </c>
      <c r="C16" s="14">
        <v>19300</v>
      </c>
      <c r="D16" s="15">
        <v>840</v>
      </c>
      <c r="E16" s="15">
        <v>1800</v>
      </c>
      <c r="F16" s="15">
        <v>16133</v>
      </c>
      <c r="G16" s="15">
        <v>46092</v>
      </c>
      <c r="H16" s="15">
        <v>102662</v>
      </c>
      <c r="I16" s="15">
        <v>18590</v>
      </c>
      <c r="J16" s="15">
        <v>1144</v>
      </c>
      <c r="K16" s="15">
        <v>-3258</v>
      </c>
      <c r="L16" s="15">
        <v>50</v>
      </c>
      <c r="M16" s="15">
        <v>0</v>
      </c>
      <c r="N16" s="15">
        <f>SUM(C13:C16)/4</f>
        <v>19180.75</v>
      </c>
      <c r="O16" s="15"/>
      <c r="P16" s="16"/>
      <c r="Q16" s="16">
        <f>((D16+E16)/C16)</f>
        <v>0.136787564766839</v>
      </c>
      <c r="R16" s="16">
        <f>AVERAGE(Q13:Q16)</f>
        <v>0.12287130392045</v>
      </c>
      <c r="S16" s="17"/>
      <c r="T16" s="15">
        <f>SUM(J13:K16)/4</f>
        <v>2486</v>
      </c>
      <c r="U16" s="17"/>
      <c r="V16" s="15">
        <f>-(L16+M16)+V15</f>
        <v>6305.9</v>
      </c>
      <c r="W16" s="17"/>
      <c r="X16" s="15">
        <f>F16-G16</f>
        <v>-29959</v>
      </c>
      <c r="Y16" s="24"/>
      <c r="Z16" s="258">
        <v>6350</v>
      </c>
      <c r="AA16" s="24"/>
    </row>
    <row r="17" ht="20.05" customHeight="1">
      <c r="B17" s="13"/>
      <c r="C17" s="14">
        <v>20100</v>
      </c>
      <c r="D17" s="15">
        <v>910</v>
      </c>
      <c r="E17" s="15">
        <v>1660</v>
      </c>
      <c r="F17" s="15">
        <v>15827</v>
      </c>
      <c r="G17" s="15">
        <v>46055</v>
      </c>
      <c r="H17" s="15">
        <v>103395</v>
      </c>
      <c r="I17" s="15">
        <v>20480</v>
      </c>
      <c r="J17" s="15">
        <v>4606</v>
      </c>
      <c r="K17" s="15">
        <v>-3942</v>
      </c>
      <c r="L17" s="15">
        <v>27788.2</v>
      </c>
      <c r="M17" s="15">
        <v>-3178.2</v>
      </c>
      <c r="N17" s="15">
        <f>SUM(C14:C17)/4</f>
        <v>19348</v>
      </c>
      <c r="O17" s="15"/>
      <c r="P17" s="16"/>
      <c r="Q17" s="16">
        <f>((D17+E17)/C17)</f>
        <v>0.127860696517413</v>
      </c>
      <c r="R17" s="16">
        <f>AVERAGE(Q14:Q17)</f>
        <v>0.12743181539734</v>
      </c>
      <c r="S17" s="17"/>
      <c r="T17" s="15">
        <f>SUM(J14:K17)/4</f>
        <v>1767.25</v>
      </c>
      <c r="U17" s="17"/>
      <c r="V17" s="15">
        <f>-(L17+M17)+V16</f>
        <v>-18304.1</v>
      </c>
      <c r="W17" s="17"/>
      <c r="X17" s="15">
        <f>F17-G17</f>
        <v>-30228</v>
      </c>
      <c r="Y17" s="24"/>
      <c r="Z17" s="258">
        <v>6525</v>
      </c>
      <c r="AA17" s="24"/>
    </row>
    <row r="18" ht="20.05" customHeight="1">
      <c r="B18" s="13"/>
      <c r="C18" s="14">
        <v>19370</v>
      </c>
      <c r="D18" s="15">
        <v>950</v>
      </c>
      <c r="E18" s="15">
        <v>1260</v>
      </c>
      <c r="F18" s="15">
        <v>14820</v>
      </c>
      <c r="G18" s="15">
        <v>86258</v>
      </c>
      <c r="H18" s="15">
        <v>161532</v>
      </c>
      <c r="I18" s="15">
        <v>19227</v>
      </c>
      <c r="J18" s="15">
        <v>3600</v>
      </c>
      <c r="K18" s="15">
        <v>-29470</v>
      </c>
      <c r="L18" s="15">
        <v>60.6</v>
      </c>
      <c r="M18" s="15">
        <v>-400.6</v>
      </c>
      <c r="N18" s="15">
        <f>SUM(C15:C18)/4</f>
        <v>19380.5</v>
      </c>
      <c r="O18" s="15"/>
      <c r="P18" s="16"/>
      <c r="Q18" s="16">
        <f>((D18+E18)/C18)</f>
        <v>0.114093959731544</v>
      </c>
      <c r="R18" s="16">
        <f>AVERAGE(Q15:Q18)</f>
        <v>0.128148652523574</v>
      </c>
      <c r="S18" s="17"/>
      <c r="T18" s="15">
        <f>SUM(J15:K18)/4</f>
        <v>-4657.5</v>
      </c>
      <c r="U18" s="17"/>
      <c r="V18" s="15">
        <f>-(L18+M18)+V17</f>
        <v>-17964.1</v>
      </c>
      <c r="W18" s="17"/>
      <c r="X18" s="15">
        <f>F18-G18</f>
        <v>-71438</v>
      </c>
      <c r="Y18" s="24"/>
      <c r="Z18" s="15">
        <v>7150</v>
      </c>
      <c r="AA18" s="24"/>
    </row>
    <row r="19" ht="20.05" customHeight="1">
      <c r="B19" s="13"/>
      <c r="C19" s="14">
        <v>22961</v>
      </c>
      <c r="D19" s="15">
        <v>2115</v>
      </c>
      <c r="E19" s="15">
        <v>4030</v>
      </c>
      <c r="F19" s="15">
        <v>17337</v>
      </c>
      <c r="G19" s="15">
        <v>83998</v>
      </c>
      <c r="H19" s="15">
        <v>163136</v>
      </c>
      <c r="I19" s="15">
        <v>23673</v>
      </c>
      <c r="J19" s="15">
        <v>4160</v>
      </c>
      <c r="K19" s="15">
        <v>-970</v>
      </c>
      <c r="L19" s="15">
        <v>481.704</v>
      </c>
      <c r="M19" s="15">
        <v>-199.159</v>
      </c>
      <c r="N19" s="15">
        <f>SUM(C16:C19)/4</f>
        <v>20432.75</v>
      </c>
      <c r="O19" s="15"/>
      <c r="P19" s="16"/>
      <c r="Q19" s="16">
        <f>((D19+E19)/C19)</f>
        <v>0.267627716562867</v>
      </c>
      <c r="R19" s="16">
        <f>AVERAGE(Q16:Q19)</f>
        <v>0.161592484394666</v>
      </c>
      <c r="S19" s="17"/>
      <c r="T19" s="15">
        <f>SUM(J16:K19)/4</f>
        <v>-6032.5</v>
      </c>
      <c r="U19" s="17"/>
      <c r="V19" s="15">
        <f>-(L19+M19)+V18</f>
        <v>-18246.645</v>
      </c>
      <c r="W19" s="17"/>
      <c r="X19" s="15">
        <f>F19-G19</f>
        <v>-66661</v>
      </c>
      <c r="Y19" s="24"/>
      <c r="Z19" s="15">
        <v>6850</v>
      </c>
      <c r="AA19" s="24"/>
    </row>
    <row r="20" ht="20.05" customHeight="1">
      <c r="B20" s="21">
        <v>2021</v>
      </c>
      <c r="C20" s="14">
        <v>24550</v>
      </c>
      <c r="D20" s="15">
        <v>890</v>
      </c>
      <c r="E20" s="15">
        <v>2630</v>
      </c>
      <c r="F20" s="15">
        <v>17408</v>
      </c>
      <c r="G20" s="15">
        <v>87647</v>
      </c>
      <c r="H20" s="15">
        <v>169576</v>
      </c>
      <c r="I20" s="15">
        <v>22900</v>
      </c>
      <c r="J20" s="15">
        <v>2440</v>
      </c>
      <c r="K20" s="15">
        <v>-2800</v>
      </c>
      <c r="L20" s="15">
        <v>-479.445</v>
      </c>
      <c r="M20" s="15">
        <v>-263.4</v>
      </c>
      <c r="N20" s="15">
        <f>SUM(C17:C20)/4</f>
        <v>21745.25</v>
      </c>
      <c r="O20" s="15">
        <v>22273.3</v>
      </c>
      <c r="P20" s="16"/>
      <c r="Q20" s="16">
        <f>((D20+E20)/C20)</f>
        <v>0.143380855397149</v>
      </c>
      <c r="R20" s="16">
        <f>AVERAGE(Q17:Q20)</f>
        <v>0.163240807052243</v>
      </c>
      <c r="S20" s="17"/>
      <c r="T20" s="15">
        <f>SUM(J17:K20)/4</f>
        <v>-5594</v>
      </c>
      <c r="U20" s="17"/>
      <c r="V20" s="15">
        <f>-(L20+M20)+V19</f>
        <v>-17503.8</v>
      </c>
      <c r="W20" s="17"/>
      <c r="X20" s="15">
        <f>F20-G20</f>
        <v>-70239</v>
      </c>
      <c r="Y20" s="15"/>
      <c r="Z20" s="15">
        <v>6600</v>
      </c>
      <c r="AA20" s="17"/>
    </row>
    <row r="21" ht="20.05" customHeight="1">
      <c r="B21" s="13"/>
      <c r="C21" s="14">
        <v>22742.7</v>
      </c>
      <c r="D21" s="15">
        <v>988.2</v>
      </c>
      <c r="E21" s="15">
        <v>2411.5</v>
      </c>
      <c r="F21" s="15">
        <v>18280</v>
      </c>
      <c r="G21" s="15">
        <v>85719</v>
      </c>
      <c r="H21" s="15">
        <v>169392</v>
      </c>
      <c r="I21" s="15">
        <v>23604.3</v>
      </c>
      <c r="J21" s="15">
        <v>3468.9</v>
      </c>
      <c r="K21" s="15">
        <v>-1841.6</v>
      </c>
      <c r="L21" s="15">
        <v>2760.299</v>
      </c>
      <c r="M21" s="15">
        <v>-3722.845</v>
      </c>
      <c r="N21" s="15">
        <f>SUM(C18:C21)/4</f>
        <v>22405.925</v>
      </c>
      <c r="O21" s="15">
        <v>23032.2</v>
      </c>
      <c r="P21" s="16">
        <f>C21/C20-1</f>
        <v>-0.07361710794297351</v>
      </c>
      <c r="Q21" s="16">
        <f>((D21+E21)/C21)</f>
        <v>0.149485329358431</v>
      </c>
      <c r="R21" s="16">
        <f>AVERAGE(Q18:Q21)</f>
        <v>0.168646965262498</v>
      </c>
      <c r="S21" s="17"/>
      <c r="T21" s="15">
        <f>SUM(J18:K21)/4</f>
        <v>-5353.175</v>
      </c>
      <c r="U21" s="17"/>
      <c r="V21" s="15">
        <f>-(L21+M21)+V20</f>
        <v>-16541.254</v>
      </c>
      <c r="W21" s="17"/>
      <c r="X21" s="15">
        <f>F21-G21</f>
        <v>-67439</v>
      </c>
      <c r="Y21" s="15"/>
      <c r="Z21" s="15">
        <v>6175</v>
      </c>
      <c r="AA21" s="17"/>
    </row>
    <row r="22" ht="20.05" customHeight="1">
      <c r="B22" s="13"/>
      <c r="C22" s="14">
        <v>25515.6</v>
      </c>
      <c r="D22" s="15">
        <v>980.4</v>
      </c>
      <c r="E22" s="15">
        <v>2959.9</v>
      </c>
      <c r="F22" s="15">
        <v>17802</v>
      </c>
      <c r="G22" s="15">
        <v>89166</v>
      </c>
      <c r="H22" s="15">
        <v>172127</v>
      </c>
      <c r="I22" s="15">
        <v>25245.8</v>
      </c>
      <c r="J22" s="15">
        <v>2514.5</v>
      </c>
      <c r="K22" s="15">
        <v>-1960.5</v>
      </c>
      <c r="L22" s="15">
        <v>5558.296</v>
      </c>
      <c r="M22" s="15">
        <v>58.704</v>
      </c>
      <c r="N22" s="15">
        <f>SUM(C19:C22)/4</f>
        <v>23942.325</v>
      </c>
      <c r="O22" s="23">
        <v>22902.96825</v>
      </c>
      <c r="P22" s="16">
        <f>C22/C21-1</f>
        <v>0.121924837420359</v>
      </c>
      <c r="Q22" s="16">
        <f>((D22+E22)/C22)</f>
        <v>0.154427095580743</v>
      </c>
      <c r="R22" s="16">
        <f>AVERAGE(Q19:Q22)</f>
        <v>0.178730249224798</v>
      </c>
      <c r="S22" s="17"/>
      <c r="T22" s="15">
        <f>SUM(J19:K22)/4</f>
        <v>1252.825</v>
      </c>
      <c r="U22" s="17"/>
      <c r="V22" s="15">
        <f>-(L22+M22)+V21</f>
        <v>-22158.254</v>
      </c>
      <c r="W22" s="17"/>
      <c r="X22" s="15">
        <f>F22-G22</f>
        <v>-71364</v>
      </c>
      <c r="Y22" s="15"/>
      <c r="Z22" s="15">
        <v>6350</v>
      </c>
      <c r="AA22" s="17"/>
    </row>
    <row r="23" ht="20.05" customHeight="1">
      <c r="B23" s="13"/>
      <c r="C23" s="14">
        <v>26537.3</v>
      </c>
      <c r="D23" s="15">
        <v>1012.2</v>
      </c>
      <c r="E23" s="15">
        <v>3202.2</v>
      </c>
      <c r="F23" s="15">
        <v>29478</v>
      </c>
      <c r="G23" s="15">
        <v>92724</v>
      </c>
      <c r="H23" s="15">
        <v>179356</v>
      </c>
      <c r="I23" s="15">
        <v>26684</v>
      </c>
      <c r="J23" s="15">
        <v>5927.4</v>
      </c>
      <c r="K23" s="15">
        <v>112.4</v>
      </c>
      <c r="L23" s="15">
        <v>1380</v>
      </c>
      <c r="M23" s="15">
        <v>0</v>
      </c>
      <c r="N23" s="15">
        <f>SUM(C20:C23)/4</f>
        <v>24836.4</v>
      </c>
      <c r="O23" s="23">
        <v>24289.16325</v>
      </c>
      <c r="P23" s="16">
        <f>C23/C22-1</f>
        <v>0.0400421702801423</v>
      </c>
      <c r="Q23" s="16">
        <f>((D23+E23)/C23)</f>
        <v>0.158810429094143</v>
      </c>
      <c r="R23" s="16">
        <f>AVERAGE(Q20:Q23)</f>
        <v>0.151525927357617</v>
      </c>
      <c r="S23" s="17"/>
      <c r="T23" s="15">
        <f>SUM(J20:K23)/4</f>
        <v>1965.275</v>
      </c>
      <c r="U23" s="17"/>
      <c r="V23" s="15">
        <f>-(L23+M23)+V22</f>
        <v>-23538.254</v>
      </c>
      <c r="W23" s="17"/>
      <c r="X23" s="15">
        <f>F23-G23</f>
        <v>-63246</v>
      </c>
      <c r="Y23" s="15"/>
      <c r="Z23" s="15">
        <v>6325</v>
      </c>
      <c r="AA23" s="17"/>
    </row>
    <row r="24" ht="20.05" customHeight="1">
      <c r="B24" s="21">
        <v>2022</v>
      </c>
      <c r="C24" s="14">
        <v>27447</v>
      </c>
      <c r="D24" s="15">
        <v>1092</v>
      </c>
      <c r="E24" s="15">
        <v>3303</v>
      </c>
      <c r="F24" s="15">
        <v>28493</v>
      </c>
      <c r="G24" s="15">
        <v>96390</v>
      </c>
      <c r="H24" s="15">
        <v>187699</v>
      </c>
      <c r="I24" s="15">
        <v>26084</v>
      </c>
      <c r="J24" s="15">
        <v>788.6</v>
      </c>
      <c r="K24" s="15">
        <v>-3259</v>
      </c>
      <c r="L24" s="15">
        <v>-8874.700000000001</v>
      </c>
      <c r="M24" s="15">
        <v>-284.2</v>
      </c>
      <c r="N24" s="15">
        <f>SUM(C21:C24)/4</f>
        <v>25560.65</v>
      </c>
      <c r="O24" s="23">
        <v>25032.145</v>
      </c>
      <c r="P24" s="16">
        <f>C24/C23-1</f>
        <v>0.0342800510978886</v>
      </c>
      <c r="Q24" s="16">
        <f>((D24+E24)/C24)</f>
        <v>0.160126789813094</v>
      </c>
      <c r="R24" s="16">
        <f>AVERAGE(Q21:Q24)</f>
        <v>0.155712410961603</v>
      </c>
      <c r="S24" s="35"/>
      <c r="T24" s="15">
        <f>SUM(J21:K24)/4</f>
        <v>1437.675</v>
      </c>
      <c r="U24" s="15">
        <v>3505.373318208</v>
      </c>
      <c r="V24" s="15">
        <f>-(L24+M24)+V23</f>
        <v>-14379.354</v>
      </c>
      <c r="W24" s="15"/>
      <c r="X24" s="15">
        <f>F24-G24</f>
        <v>-67897</v>
      </c>
      <c r="Y24" s="15">
        <v>-52307.0779265536</v>
      </c>
      <c r="Z24" s="26">
        <v>5950</v>
      </c>
      <c r="AA24" s="15"/>
    </row>
    <row r="25" ht="20.05" customHeight="1">
      <c r="B25" s="13"/>
      <c r="C25" s="14">
        <v>25340.3</v>
      </c>
      <c r="D25" s="15">
        <v>820.5</v>
      </c>
      <c r="E25" s="15">
        <v>859</v>
      </c>
      <c r="F25" s="15">
        <v>24794</v>
      </c>
      <c r="G25" s="15">
        <v>88142</v>
      </c>
      <c r="H25" s="15">
        <v>179166</v>
      </c>
      <c r="I25" s="15">
        <v>26122.2</v>
      </c>
      <c r="J25" s="15">
        <v>2729.4</v>
      </c>
      <c r="K25" s="15">
        <v>2072</v>
      </c>
      <c r="L25" s="15">
        <v>0</v>
      </c>
      <c r="M25" s="15">
        <v>0</v>
      </c>
      <c r="N25" s="15">
        <f>SUM(C22:C25)/4</f>
        <v>26210.05</v>
      </c>
      <c r="O25" s="23">
        <v>25893.63</v>
      </c>
      <c r="P25" s="16">
        <f>C25/C24-1</f>
        <v>-0.0767552009327067</v>
      </c>
      <c r="Q25" s="16">
        <f>((D25+E25)/C25)</f>
        <v>0.0662778262293659</v>
      </c>
      <c r="R25" s="16">
        <f>AVERAGE(Q22:Q25)</f>
        <v>0.134910535179336</v>
      </c>
      <c r="S25" s="35"/>
      <c r="T25" s="15">
        <f>SUM(J22:K25)/4</f>
        <v>2231.2</v>
      </c>
      <c r="U25" s="15">
        <v>3457.781481329580</v>
      </c>
      <c r="V25" s="15">
        <f>-(L25+M25)+V24</f>
        <v>-14379.354</v>
      </c>
      <c r="W25" s="15"/>
      <c r="X25" s="15">
        <f>F25-G25</f>
        <v>-63348</v>
      </c>
      <c r="Y25" s="15">
        <v>-53761.8740746817</v>
      </c>
      <c r="Z25" s="15">
        <v>7050</v>
      </c>
      <c r="AA25" s="15"/>
    </row>
    <row r="26" ht="20.05" customHeight="1">
      <c r="B26" s="13"/>
      <c r="C26" s="14">
        <f>C42-C25-C24</f>
        <v>28034.7</v>
      </c>
      <c r="D26" s="15">
        <f>D42-D25-D24</f>
        <v>966.5</v>
      </c>
      <c r="E26" s="15">
        <f>E42-E25-E24</f>
        <v>2522</v>
      </c>
      <c r="F26" s="15">
        <v>26492</v>
      </c>
      <c r="G26" s="15">
        <v>92814</v>
      </c>
      <c r="H26" s="15">
        <v>183744</v>
      </c>
      <c r="I26" s="15">
        <f>I42-I25-I24</f>
        <v>27709.8</v>
      </c>
      <c r="J26" s="15">
        <f>J42-J25-J24</f>
        <v>3425</v>
      </c>
      <c r="K26" s="15">
        <f>K42-K25-K24</f>
        <v>-1975</v>
      </c>
      <c r="L26" s="15">
        <f>L42-L25-L24</f>
        <v>5272.7</v>
      </c>
      <c r="M26" s="15">
        <f>M42-M25-M24</f>
        <v>-3535.8</v>
      </c>
      <c r="N26" s="15">
        <f>AVERAGE(C26)</f>
        <v>28034.7</v>
      </c>
      <c r="O26" s="23">
        <v>28628.62024806</v>
      </c>
      <c r="P26" s="16">
        <f>C26/C25-1</f>
        <v>0.106328654356894</v>
      </c>
      <c r="Q26" s="16">
        <f>((D26+E26)/C26)</f>
        <v>0.124435075103354</v>
      </c>
      <c r="R26" s="16">
        <f>AVERAGE(Q23:Q26)</f>
        <v>0.127412530059989</v>
      </c>
      <c r="S26" s="35">
        <f>S27</f>
        <v>0.151525927357617</v>
      </c>
      <c r="T26" s="15">
        <f>SUM(J23:K26)/4</f>
        <v>2455.2</v>
      </c>
      <c r="U26" s="15">
        <v>3160.016980220650</v>
      </c>
      <c r="V26" s="15">
        <f>-(L26+M26)+V25</f>
        <v>-16116.254</v>
      </c>
      <c r="W26" s="15">
        <f>W27</f>
        <v>-6237.945997901970</v>
      </c>
      <c r="X26" s="15">
        <f>F26-G26</f>
        <v>-66322</v>
      </c>
      <c r="Y26" s="15">
        <v>-54952.9320791174</v>
      </c>
      <c r="Z26" s="15">
        <v>6025</v>
      </c>
      <c r="AA26" s="15">
        <v>10593.7197361822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AVERAGE(AD53:AG53)</f>
        <v>29332.122086505</v>
      </c>
      <c r="P27" s="17"/>
      <c r="Q27" s="17"/>
      <c r="R27" s="17"/>
      <c r="S27" s="35">
        <f>AD54</f>
        <v>0.151525927357617</v>
      </c>
      <c r="T27" s="17"/>
      <c r="U27" s="15">
        <f>SUM(AD56:AG56)/4</f>
        <v>2469.577000524510</v>
      </c>
      <c r="V27" s="17"/>
      <c r="W27" s="15">
        <f>-SUM(AD77:AG77)+V26</f>
        <v>-6237.945997901970</v>
      </c>
      <c r="X27" s="17"/>
      <c r="Y27" s="15">
        <f>AG76</f>
        <v>-56443.691997902</v>
      </c>
      <c r="Z27" s="15">
        <v>6700</v>
      </c>
      <c r="AA27" s="15">
        <v>10077.0089916215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172735.3</v>
      </c>
      <c r="O28" s="15">
        <f>SUM(O20:O26)</f>
        <v>172052.02674806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AG89</f>
        <v>10125.3319731233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>
        <v>80822</v>
      </c>
      <c r="D42" s="15">
        <v>2879</v>
      </c>
      <c r="E42" s="15">
        <v>6684</v>
      </c>
      <c r="F42" s="15"/>
      <c r="G42" s="15"/>
      <c r="H42" s="15"/>
      <c r="I42" s="15">
        <v>79916</v>
      </c>
      <c r="J42" s="15">
        <v>6943</v>
      </c>
      <c r="K42" s="15">
        <v>-3162</v>
      </c>
      <c r="L42" s="15">
        <v>-3602</v>
      </c>
      <c r="M42" s="15">
        <f>-1379-2441</f>
        <v>-3820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5"/>
      <c r="Z45" s="15"/>
      <c r="AA45" s="15"/>
    </row>
    <row r="47" ht="27.65" customHeight="1">
      <c r="AB47" t="s" s="2">
        <v>200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ht="20.25" customHeight="1">
      <c r="AB48" t="s" s="28">
        <v>366</v>
      </c>
      <c r="AC48" t="s" s="29">
        <v>23</v>
      </c>
      <c r="AD48" t="s" s="29">
        <v>24</v>
      </c>
      <c r="AE48" t="s" s="29">
        <v>25</v>
      </c>
      <c r="AF48" t="s" s="29">
        <v>26</v>
      </c>
      <c r="AG48" t="s" s="29">
        <v>23</v>
      </c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ht="20.25" customHeight="1">
      <c r="AB49" t="s" s="31">
        <v>15</v>
      </c>
      <c r="AC49" s="32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</row>
    <row r="50" ht="20.05" customHeight="1">
      <c r="AB50" t="s" s="33">
        <v>27</v>
      </c>
      <c r="AC50" s="34"/>
      <c r="AD50" s="16">
        <f>AVERAGE(P23:P26)</f>
        <v>0.0259739187005546</v>
      </c>
      <c r="AE50" s="35"/>
      <c r="AF50" s="35"/>
      <c r="AG50" s="35">
        <f>AVERAGE(AD52:AG52)</f>
        <v>0.025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s="36"/>
      <c r="AC51" s="37"/>
      <c r="AD51" s="35">
        <f>P23</f>
        <v>0.0400421702801423</v>
      </c>
      <c r="AE51" s="35">
        <f>P24</f>
        <v>0.0342800510978886</v>
      </c>
      <c r="AF51" s="35">
        <f>P25</f>
        <v>-0.0767552009327067</v>
      </c>
      <c r="AG51" s="35">
        <f>P26</f>
        <v>0.106328654356894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13</v>
      </c>
      <c r="AC52" s="37"/>
      <c r="AD52" s="35">
        <v>0.03</v>
      </c>
      <c r="AE52" s="35">
        <v>0.03</v>
      </c>
      <c r="AF52" s="35">
        <v>-0.06</v>
      </c>
      <c r="AG52" s="35">
        <v>0.1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20.05" customHeight="1">
      <c r="AB53" t="s" s="33">
        <v>28</v>
      </c>
      <c r="AC53" s="38">
        <f>C26</f>
        <v>28034.7</v>
      </c>
      <c r="AD53" s="23">
        <f>C26*(1+AD52)</f>
        <v>28875.741</v>
      </c>
      <c r="AE53" s="23">
        <f>AD53*(1+AE52)</f>
        <v>29742.01323</v>
      </c>
      <c r="AF53" s="23">
        <f>AE53*(1+AF52)</f>
        <v>27957.4924362</v>
      </c>
      <c r="AG53" s="23">
        <f>AF53*(1+AG52)</f>
        <v>30753.24167982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ht="20.05" customHeight="1">
      <c r="AB54" t="s" s="33">
        <v>14</v>
      </c>
      <c r="AC54" s="37"/>
      <c r="AD54" s="35">
        <f>AVERAGE(R23)</f>
        <v>0.151525927357617</v>
      </c>
      <c r="AE54" s="35">
        <f>AD54</f>
        <v>0.151525927357617</v>
      </c>
      <c r="AF54" s="35">
        <f>AE54</f>
        <v>0.151525927357617</v>
      </c>
      <c r="AG54" s="35">
        <f>AF54</f>
        <v>0.151525927357617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</row>
    <row r="55" ht="20.05" customHeight="1">
      <c r="AB55" t="s" s="33">
        <v>29</v>
      </c>
      <c r="AC55" s="14"/>
      <c r="AD55" s="15">
        <f>AVERAGE(K26)</f>
        <v>-1975</v>
      </c>
      <c r="AE55" s="15">
        <f>AD55</f>
        <v>-1975</v>
      </c>
      <c r="AF55" s="15">
        <f>AE55</f>
        <v>-1975</v>
      </c>
      <c r="AG55" s="15">
        <f>AF55</f>
        <v>-1975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30</v>
      </c>
      <c r="AC56" s="14"/>
      <c r="AD56" s="15">
        <f>(AD53*AD54)+AD55</f>
        <v>2400.423433163360</v>
      </c>
      <c r="AE56" s="15">
        <f>(AE53*AE54)+AE55</f>
        <v>2531.686136158260</v>
      </c>
      <c r="AF56" s="15">
        <f>(AF53*AF54)+AF55</f>
        <v>2261.284967988770</v>
      </c>
      <c r="AG56" s="15">
        <f>(AG53*AG54)+AG55</f>
        <v>2684.913464787640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31</v>
      </c>
      <c r="AC57" s="14"/>
      <c r="AD57" s="15">
        <f>-G26/20</f>
        <v>-4640.7</v>
      </c>
      <c r="AE57" s="15">
        <f>-AD72/20</f>
        <v>-4408.665</v>
      </c>
      <c r="AF57" s="15">
        <f>-AE72/20</f>
        <v>-4188.23175</v>
      </c>
      <c r="AG57" s="15">
        <f>-AF72/20</f>
        <v>-3978.8201625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32</v>
      </c>
      <c r="AC58" s="39"/>
      <c r="AD58" s="40">
        <v>0</v>
      </c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33</v>
      </c>
      <c r="AC59" s="14"/>
      <c r="AD59" s="15">
        <f>IF(AD67&gt;0,AD67*$AD$58,0)</f>
        <v>0</v>
      </c>
      <c r="AE59" s="15">
        <f>IF(AE67&gt;0,AE67*$AD$58,0)</f>
        <v>0</v>
      </c>
      <c r="AF59" s="15">
        <f>IF(AF67&gt;0,AF67*$AD$58,0)</f>
        <v>0</v>
      </c>
      <c r="AG59" s="15">
        <f>IF(AG67&gt;0,AG67*$AD$58,0)</f>
        <v>0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34</v>
      </c>
      <c r="AC60" s="14"/>
      <c r="AD60" s="15">
        <f>AD56+AD57+AD59</f>
        <v>-2240.276566836640</v>
      </c>
      <c r="AE60" s="15">
        <f>AE56+AE57+AE59</f>
        <v>-1876.978863841740</v>
      </c>
      <c r="AF60" s="15">
        <f>AF56+AF57+AF59</f>
        <v>-1926.946782011230</v>
      </c>
      <c r="AG60" s="15">
        <f>AG56+AG57+AG59</f>
        <v>-1293.906697712360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35</v>
      </c>
      <c r="AC61" s="14"/>
      <c r="AD61" s="15">
        <f>-MIN(0,AD60)</f>
        <v>2240.276566836640</v>
      </c>
      <c r="AE61" s="15">
        <f>-MIN(AD73,AE60)</f>
        <v>1876.978863841740</v>
      </c>
      <c r="AF61" s="15">
        <f>-MIN(AE73,AF60)</f>
        <v>1926.946782011230</v>
      </c>
      <c r="AG61" s="15">
        <f>-MIN(AF73,AG60)</f>
        <v>1293.906697712360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36</v>
      </c>
      <c r="AC62" s="14"/>
      <c r="AD62" s="15">
        <f>F26</f>
        <v>26492</v>
      </c>
      <c r="AE62" s="15">
        <f>AD64</f>
        <v>26492</v>
      </c>
      <c r="AF62" s="15">
        <f>AE64</f>
        <v>26492</v>
      </c>
      <c r="AG62" s="15">
        <f>AF64</f>
        <v>26492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37</v>
      </c>
      <c r="AC63" s="14"/>
      <c r="AD63" s="15">
        <f>AD56+AD57+AD59+AD61</f>
        <v>0</v>
      </c>
      <c r="AE63" s="15">
        <f>AE56+AE57+AE59+AE61</f>
        <v>0</v>
      </c>
      <c r="AF63" s="15">
        <f>AF56+AF57+AF59+AF61</f>
        <v>0</v>
      </c>
      <c r="AG63" s="15">
        <f>AG56+AG57+AG59+AG61</f>
        <v>0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38</v>
      </c>
      <c r="AC64" s="14"/>
      <c r="AD64" s="15">
        <f>AD62+AD63</f>
        <v>26492</v>
      </c>
      <c r="AE64" s="15">
        <f>AE62+AE63</f>
        <v>26492</v>
      </c>
      <c r="AF64" s="15">
        <f>AF62+AF63</f>
        <v>26492</v>
      </c>
      <c r="AG64" s="15">
        <f>AG62+AG63</f>
        <v>26492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4</v>
      </c>
      <c r="AC65" s="14"/>
      <c r="AD65" s="15"/>
      <c r="AE65" s="15"/>
      <c r="AF65" s="15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ht="20.05" customHeight="1">
      <c r="AB66" t="s" s="33">
        <v>3</v>
      </c>
      <c r="AC66" s="14"/>
      <c r="AD66" s="15">
        <f>-AVERAGE(D24:D26)</f>
        <v>-959.666666666667</v>
      </c>
      <c r="AE66" s="15">
        <f>AD66</f>
        <v>-959.666666666667</v>
      </c>
      <c r="AF66" s="15">
        <f>AE66</f>
        <v>-959.666666666667</v>
      </c>
      <c r="AG66" s="15">
        <f>AF66</f>
        <v>-959.666666666667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</v>
      </c>
      <c r="AC67" s="14"/>
      <c r="AD67" s="15">
        <f>(AD53*AD54)+AD66</f>
        <v>3415.7567664967</v>
      </c>
      <c r="AE67" s="15">
        <f>(AE53*AE54)+AE66</f>
        <v>3547.0194694916</v>
      </c>
      <c r="AF67" s="15">
        <f>(AF53*AF54)+AF66</f>
        <v>3276.6183013221</v>
      </c>
      <c r="AG67" s="15">
        <f>(AG53*AG54)+AG66</f>
        <v>3700.246798120980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41">
        <v>39</v>
      </c>
      <c r="AC68" s="14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40</v>
      </c>
      <c r="AC69" s="14"/>
      <c r="AD69" s="15">
        <f>H26-F26-AD55</f>
        <v>159227</v>
      </c>
      <c r="AE69" s="15">
        <f>AD69-AE55</f>
        <v>161202</v>
      </c>
      <c r="AF69" s="15">
        <f>AE69-AF55</f>
        <v>163177</v>
      </c>
      <c r="AG69" s="15">
        <f>AF69-AG55</f>
        <v>165152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41</v>
      </c>
      <c r="AC70" s="14"/>
      <c r="AD70" s="15">
        <f>0-AD66</f>
        <v>959.666666666667</v>
      </c>
      <c r="AE70" s="15">
        <f>AD70-AE66</f>
        <v>1919.333333333330</v>
      </c>
      <c r="AF70" s="15">
        <f>AE70-AF66</f>
        <v>2879</v>
      </c>
      <c r="AG70" s="15">
        <f>AF70-AG66</f>
        <v>3838.666666666670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42</v>
      </c>
      <c r="AC71" s="14"/>
      <c r="AD71" s="15">
        <f>AD69-AD70</f>
        <v>158267.333333333</v>
      </c>
      <c r="AE71" s="15">
        <f>AE69-AE70</f>
        <v>159282.666666667</v>
      </c>
      <c r="AF71" s="15">
        <f>AF69-AF70</f>
        <v>160298</v>
      </c>
      <c r="AG71" s="15">
        <f>AG69-AG70</f>
        <v>161313.333333333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6</v>
      </c>
      <c r="AC72" s="14"/>
      <c r="AD72" s="15">
        <f>G26+AD57</f>
        <v>88173.3</v>
      </c>
      <c r="AE72" s="15">
        <f>AD72+AE57</f>
        <v>83764.634999999995</v>
      </c>
      <c r="AF72" s="15">
        <f>AE72+AF57</f>
        <v>79576.40325</v>
      </c>
      <c r="AG72" s="15">
        <f>AF72+AG57</f>
        <v>75597.5830875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35</v>
      </c>
      <c r="AC73" s="14"/>
      <c r="AD73" s="15">
        <f>AD61</f>
        <v>2240.276566836640</v>
      </c>
      <c r="AE73" s="15">
        <f>AD73+AE61</f>
        <v>4117.255430678380</v>
      </c>
      <c r="AF73" s="15">
        <f>AE73+AF61</f>
        <v>6044.202212689610</v>
      </c>
      <c r="AG73" s="15">
        <f>AF73+AG61</f>
        <v>7338.108910401970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11</v>
      </c>
      <c r="AC74" s="14"/>
      <c r="AD74" s="15">
        <f>(H26-G26)+AD67+AD59</f>
        <v>94345.756766496706</v>
      </c>
      <c r="AE74" s="15">
        <f>AD74+AE67+AE59</f>
        <v>97892.776235988305</v>
      </c>
      <c r="AF74" s="15">
        <f>AE74+AF67+AF59</f>
        <v>101169.39453731</v>
      </c>
      <c r="AG74" s="15">
        <f>AF74+AG67+AG59</f>
        <v>104869.641335431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43</v>
      </c>
      <c r="AC75" s="14"/>
      <c r="AD75" s="15">
        <f>AD72+AD73+AD74-AD64-AD71</f>
        <v>3.4e-10</v>
      </c>
      <c r="AE75" s="15">
        <f>AE72+AE73+AE74-AE64-AE71</f>
        <v>-3.2e-10</v>
      </c>
      <c r="AF75" s="15">
        <f>AF72+AF73+AF74-AF64-AF71</f>
        <v>-3.9e-10</v>
      </c>
      <c r="AG75" s="15">
        <f>AG72+AG73+AG74-AG64-AG71</f>
        <v>-3e-11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18</v>
      </c>
      <c r="AC76" s="14"/>
      <c r="AD76" s="15">
        <f>AD64-AD72-AD73</f>
        <v>-63921.5765668366</v>
      </c>
      <c r="AE76" s="15">
        <f>AE64-AE72-AE73</f>
        <v>-61389.8904306784</v>
      </c>
      <c r="AF76" s="15">
        <f>AF64-AF72-AF73</f>
        <v>-59128.6054626896</v>
      </c>
      <c r="AG76" s="15">
        <f>AG64-AG72-AG73</f>
        <v>-56443.691997902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44</v>
      </c>
      <c r="AC77" s="14"/>
      <c r="AD77" s="15">
        <f>AD57+AD59+AD61</f>
        <v>-2400.423433163360</v>
      </c>
      <c r="AE77" s="15">
        <f>AE57+AE59+AE61</f>
        <v>-2531.686136158260</v>
      </c>
      <c r="AF77" s="15">
        <f>AF57+AF59+AF61</f>
        <v>-2261.284967988770</v>
      </c>
      <c r="AG77" s="15">
        <f>AG57+AG59+AG61</f>
        <v>-2684.913464787640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45</v>
      </c>
      <c r="AC78" s="14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200</v>
      </c>
      <c r="AC79" s="14"/>
      <c r="AD79" s="15"/>
      <c r="AE79" s="15"/>
      <c r="AF79" s="15"/>
      <c r="AG79" s="15">
        <v>6700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f>$AB79</f>
        <v>618</v>
      </c>
      <c r="AC80" s="14"/>
      <c r="AD80" s="15"/>
      <c r="AE80" s="15"/>
      <c r="AF80" s="15"/>
      <c r="AG80" s="15">
        <v>58828883251200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46</v>
      </c>
      <c r="AC81" s="14"/>
      <c r="AD81" s="15"/>
      <c r="AE81" s="15"/>
      <c r="AF81" s="15"/>
      <c r="AG81" s="15">
        <f>AG80/1000000000</f>
        <v>58828.8832512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47</v>
      </c>
      <c r="AC82" s="14"/>
      <c r="AD82" s="15"/>
      <c r="AE82" s="15"/>
      <c r="AF82" s="15"/>
      <c r="AG82" s="15">
        <f>AG81/AG79</f>
        <v>8.780430336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48</v>
      </c>
      <c r="AC83" s="14"/>
      <c r="AD83" s="15"/>
      <c r="AE83" s="15"/>
      <c r="AF83" s="15"/>
      <c r="AG83" s="43">
        <f>AG81/(AG64+AG71)</f>
        <v>0.313243943646613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ht="20.05" customHeight="1">
      <c r="AB84" t="s" s="33">
        <v>49</v>
      </c>
      <c r="AC84" s="14"/>
      <c r="AD84" s="15"/>
      <c r="AE84" s="15"/>
      <c r="AF84" s="15"/>
      <c r="AG84" s="16">
        <f>-(AD59+AE59+AF59+AG59)/AG81</f>
        <v>0</v>
      </c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ht="20.05" customHeight="1">
      <c r="AB85" t="s" s="33">
        <v>50</v>
      </c>
      <c r="AC85" s="14"/>
      <c r="AD85" s="15"/>
      <c r="AE85" s="15"/>
      <c r="AF85" s="15"/>
      <c r="AG85" s="15">
        <f>SUM(AD56:AG56)</f>
        <v>9878.308002098031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51</v>
      </c>
      <c r="AC86" s="14"/>
      <c r="AD86" s="15"/>
      <c r="AE86" s="15"/>
      <c r="AF86" s="15"/>
      <c r="AG86" s="15">
        <f>(H26+F26)/AG85</f>
        <v>21.2825921155069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52</v>
      </c>
      <c r="AC87" s="14"/>
      <c r="AD87" s="15"/>
      <c r="AE87" s="15"/>
      <c r="AF87" s="15">
        <f>AG81/AG85</f>
        <v>5.95536029436473</v>
      </c>
      <c r="AG87" s="15">
        <v>9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53</v>
      </c>
      <c r="AC88" s="14"/>
      <c r="AD88" s="15"/>
      <c r="AE88" s="15"/>
      <c r="AF88" s="15"/>
      <c r="AG88" s="15">
        <f>AG85*AG87</f>
        <v>88904.7720188823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54</v>
      </c>
      <c r="AC89" s="14"/>
      <c r="AD89" s="15"/>
      <c r="AE89" s="15"/>
      <c r="AF89" s="15"/>
      <c r="AG89" s="15">
        <f>(AG88/AG82)</f>
        <v>10125.3319731233</v>
      </c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ht="20.05" customHeight="1">
      <c r="AB90" t="s" s="33">
        <v>55</v>
      </c>
      <c r="AC90" s="38"/>
      <c r="AD90" s="23"/>
      <c r="AE90" s="23"/>
      <c r="AF90" s="23"/>
      <c r="AG90" s="16">
        <f>AG89/AG79-1</f>
        <v>0.5112435780781041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56</v>
      </c>
      <c r="AC91" s="38"/>
      <c r="AD91" s="23"/>
      <c r="AE91" s="23"/>
      <c r="AF91" s="23"/>
      <c r="AG91" s="16">
        <f>C26/C22-1</f>
        <v>0.0987278370878992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t="s" s="33">
        <v>57</v>
      </c>
      <c r="AC92" s="38"/>
      <c r="AD92" s="23"/>
      <c r="AE92" s="23"/>
      <c r="AF92" s="23"/>
      <c r="AG92" s="16">
        <f>O28/N28-1</f>
        <v>-0.00395560867952295</v>
      </c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38"/>
      <c r="AD94" s="23"/>
      <c r="AE94" s="23"/>
      <c r="AF94" s="23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ht="20.05" customHeight="1">
      <c r="AB95" s="36"/>
      <c r="AC95" s="45"/>
      <c r="AD95" t="s" s="44">
        <f>$AB79</f>
        <v>618</v>
      </c>
      <c r="AE95" t="s" s="44">
        <v>60</v>
      </c>
      <c r="AF95" s="15">
        <f>AG79</f>
        <v>6700</v>
      </c>
      <c r="AG95" t="s" s="44">
        <v>61</v>
      </c>
      <c r="AH95" s="15">
        <f>AG89</f>
        <v>10125.3319731233</v>
      </c>
      <c r="AI95" t="s" s="44">
        <f>IF(AJ95&gt;0,"+","")</f>
        <v>361</v>
      </c>
      <c r="AJ95" s="16">
        <f>AH95/AF95-1</f>
        <v>0.5112435780781041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20.05" customHeight="1">
      <c r="AB96" s="36"/>
      <c r="AC96" s="46"/>
      <c r="AD96" s="47">
        <f>TODAY()</f>
        <v>44942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62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64</v>
      </c>
      <c r="AF98" t="s" s="44">
        <f>IF(AG98&gt;0,"+","")</f>
        <v>361</v>
      </c>
      <c r="AG98" s="16">
        <f>AH105/AD105-1</f>
        <v>0.0987278370878992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65</v>
      </c>
      <c r="AF99" t="s" s="44">
        <f>IF(AG99&gt;0,"+","")</f>
        <v>361</v>
      </c>
      <c r="AG99" s="16">
        <f>SUM(AE118:AH119)/AE135</f>
        <v>0.166938406055833</v>
      </c>
      <c r="AH99" t="s" s="44"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63</v>
      </c>
      <c r="AE100" t="s" s="44">
        <v>17</v>
      </c>
      <c r="AF100" t="s" s="44">
        <f>IF(AG100&gt;0,"+","")</f>
        <v>361</v>
      </c>
      <c r="AG100" s="16">
        <f>SUM(AE132:AH133)/AE135</f>
        <v>0.102704652308299</v>
      </c>
      <c r="AH100" t="s" s="44">
        <f>AH99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32.05" customHeight="1">
      <c r="AB101" s="36"/>
      <c r="AC101" s="34"/>
      <c r="AD101" t="s" s="44">
        <v>68</v>
      </c>
      <c r="AE101" t="s" s="44">
        <v>369</v>
      </c>
      <c r="AF101" s="16">
        <f>AO128/AE135</f>
        <v>-1.12737139198792</v>
      </c>
      <c r="AG101" t="s" s="44">
        <f>AH100</f>
        <v>66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t="s" s="44">
        <v>28</v>
      </c>
      <c r="AE102" t="s" s="44">
        <f>AE106</f>
        <v>362</v>
      </c>
      <c r="AF102" s="16">
        <f>AF106</f>
        <v>0.106328654356894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32.05" customHeight="1">
      <c r="AB103" s="36"/>
      <c r="AC103" s="34"/>
      <c r="AD103" t="s" s="44">
        <v>70</v>
      </c>
      <c r="AE103" t="s" s="44">
        <v>371</v>
      </c>
      <c r="AF103" t="s" s="44">
        <f>AL106</f>
        <v>372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71"/>
      <c r="AD104" s="16">
        <f>P22</f>
        <v>0.121924837420359</v>
      </c>
      <c r="AE104" s="16">
        <f>P23</f>
        <v>0.0400421702801423</v>
      </c>
      <c r="AF104" s="16">
        <f>P24</f>
        <v>0.0342800510978886</v>
      </c>
      <c r="AG104" s="16">
        <f>P25</f>
        <v>-0.0767552009327067</v>
      </c>
      <c r="AH104" s="16">
        <f>P26</f>
        <v>0.106328654356894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20.05" customHeight="1">
      <c r="AB105" s="36"/>
      <c r="AC105" s="34"/>
      <c r="AD105" s="15">
        <f>C22</f>
        <v>25515.6</v>
      </c>
      <c r="AE105" s="15">
        <f>C23</f>
        <v>26537.3</v>
      </c>
      <c r="AF105" s="15">
        <f>C24</f>
        <v>27447</v>
      </c>
      <c r="AG105" s="15">
        <f>C25</f>
        <v>25340.3</v>
      </c>
      <c r="AH105" s="15">
        <f>C26</f>
        <v>28034.7</v>
      </c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44.05" customHeight="1">
      <c r="AB106" s="36"/>
      <c r="AC106" s="34"/>
      <c r="AD106" t="s" s="44">
        <v>2</v>
      </c>
      <c r="AE106" t="s" s="44">
        <f>IF(AF106&lt;0,"declined","grew")</f>
        <v>362</v>
      </c>
      <c r="AF106" s="16">
        <f>AH105/AG105-1</f>
        <v>0.106328654356894</v>
      </c>
      <c r="AG106" t="s" s="44">
        <v>73</v>
      </c>
      <c r="AH106" t="s" s="44">
        <v>74</v>
      </c>
      <c r="AI106" t="s" s="44">
        <v>75</v>
      </c>
      <c r="AJ106" t="s" s="44">
        <v>76</v>
      </c>
      <c r="AK106" s="15">
        <f>AH105</f>
        <v>28034.7</v>
      </c>
      <c r="AL106" t="s" s="44">
        <v>372</v>
      </c>
      <c r="AM106" t="s" s="44">
        <v>378</v>
      </c>
      <c r="AN106" s="16">
        <v>0.0297063450445726</v>
      </c>
      <c r="AO106" t="s" s="44">
        <v>78</v>
      </c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79</v>
      </c>
      <c r="AE107" s="16">
        <f>AVERAGE(AE104:AH104)</f>
        <v>0.0259739187005546</v>
      </c>
      <c r="AF107" t="s" s="44">
        <v>80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56.05" customHeight="1">
      <c r="AB108" s="36"/>
      <c r="AC108" s="34"/>
      <c r="AD108" t="s" s="44">
        <v>81</v>
      </c>
      <c r="AE108" s="35">
        <f>AG50</f>
        <v>0.025</v>
      </c>
      <c r="AF108" t="s" s="44">
        <v>82</v>
      </c>
      <c r="AG108" t="s" s="44">
        <v>83</v>
      </c>
      <c r="AH108" s="23">
        <f>AG53</f>
        <v>30753.24167982</v>
      </c>
      <c r="AI108" t="s" s="44">
        <f>AL106</f>
        <v>372</v>
      </c>
      <c r="AJ108" t="s" s="44">
        <v>84</v>
      </c>
      <c r="AK108" t="s" s="44">
        <f>AH106</f>
        <v>74</v>
      </c>
      <c r="AL108" t="s" s="44">
        <f>AI106</f>
        <v>75</v>
      </c>
      <c r="AM108" t="s" s="44">
        <v>85</v>
      </c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t="s" s="44">
        <v>14</v>
      </c>
      <c r="AE109" t="s" s="44">
        <f>IF(AG113&lt;AE113,"down","up")</f>
        <v>108</v>
      </c>
      <c r="AF109" t="s" s="44">
        <v>86</v>
      </c>
      <c r="AG109" t="s" s="44">
        <f>IF(AK113&gt;AI113,"up","down")</f>
        <v>108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44.05" customHeight="1">
      <c r="AB110" s="36"/>
      <c r="AC110" s="34"/>
      <c r="AD110" t="s" s="44">
        <f>AD103</f>
        <v>70</v>
      </c>
      <c r="AE110" t="s" s="44">
        <v>88</v>
      </c>
      <c r="AF110" t="s" s="44">
        <f>AL106</f>
        <v>372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71"/>
      <c r="AD111" s="16">
        <f>(D22+E22)/C22</f>
        <v>0.154427095580743</v>
      </c>
      <c r="AE111" s="16">
        <f>(D23+E23)/C23</f>
        <v>0.158810429094143</v>
      </c>
      <c r="AF111" s="16">
        <f>((E24+D24)/C24)</f>
        <v>0.160126789813094</v>
      </c>
      <c r="AG111" s="16">
        <f>(D25+E25)/C25</f>
        <v>0.0662778262293659</v>
      </c>
      <c r="AH111" s="16">
        <f>(D26+E26)/C26</f>
        <v>0.124435075103354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20.05" customHeight="1">
      <c r="AB112" s="36"/>
      <c r="AC112" s="34"/>
      <c r="AD112" s="15">
        <f>E22</f>
        <v>2959.9</v>
      </c>
      <c r="AE112" s="15">
        <f>E23</f>
        <v>3202.2</v>
      </c>
      <c r="AF112" s="15">
        <f>E24</f>
        <v>3303</v>
      </c>
      <c r="AG112" s="15">
        <f>E25</f>
        <v>859</v>
      </c>
      <c r="AH112" s="15">
        <f>E26</f>
        <v>2522</v>
      </c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44.05" customHeight="1">
      <c r="AB113" s="36"/>
      <c r="AC113" s="34"/>
      <c r="AD113" t="s" s="44">
        <v>89</v>
      </c>
      <c r="AE113" s="16">
        <f>AG111</f>
        <v>0.0662778262293659</v>
      </c>
      <c r="AF113" t="s" s="44">
        <v>76</v>
      </c>
      <c r="AG113" s="16">
        <f>AH111</f>
        <v>0.124435075103354</v>
      </c>
      <c r="AH113" t="s" s="44">
        <v>90</v>
      </c>
      <c r="AI113" s="15">
        <f>AG112</f>
        <v>859</v>
      </c>
      <c r="AJ113" t="s" s="44">
        <v>76</v>
      </c>
      <c r="AK113" s="15">
        <f>AH112</f>
        <v>2522</v>
      </c>
      <c r="AL113" t="s" s="44">
        <f>AI108</f>
        <v>372</v>
      </c>
      <c r="AM113" t="s" s="44">
        <v>73</v>
      </c>
      <c r="AN113" t="s" s="44">
        <f>AK108</f>
        <v>74</v>
      </c>
      <c r="AO113" t="s" s="44">
        <v>91</v>
      </c>
      <c r="AP113" s="17"/>
      <c r="AQ113" s="17"/>
      <c r="AR113" s="17"/>
      <c r="AS113" s="17"/>
      <c r="AT113" s="17"/>
      <c r="AU113" s="17"/>
    </row>
    <row r="114" ht="68.05" customHeight="1">
      <c r="AB114" s="36"/>
      <c r="AC114" s="34"/>
      <c r="AD114" t="s" s="44">
        <v>92</v>
      </c>
      <c r="AE114" s="16">
        <f>AVERAGE(AE111:AH111)</f>
        <v>0.127412530059989</v>
      </c>
      <c r="AF114" t="s" s="44">
        <v>78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44.05" customHeight="1">
      <c r="AB115" s="36"/>
      <c r="AC115" s="34"/>
      <c r="AD115" t="s" s="44">
        <v>93</v>
      </c>
      <c r="AE115" s="35">
        <f>AD54</f>
        <v>0.151525927357617</v>
      </c>
      <c r="AF115" t="s" s="44">
        <v>94</v>
      </c>
      <c r="AG115" s="15">
        <f>AG67</f>
        <v>3700.246798120980</v>
      </c>
      <c r="AH115" t="s" s="44">
        <f>AL113</f>
        <v>372</v>
      </c>
      <c r="AI115" t="s" s="44">
        <v>95</v>
      </c>
      <c r="AJ115" t="s" s="44">
        <f>AN113</f>
        <v>74</v>
      </c>
      <c r="AK115" t="s" s="44">
        <f>AI106</f>
        <v>75</v>
      </c>
      <c r="AL115" t="s" s="44">
        <f>AM108</f>
        <v>85</v>
      </c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t="s" s="44">
        <v>15</v>
      </c>
      <c r="AE116" t="s" s="44">
        <f>IF(AG120&lt;AE120,"lower","higher")</f>
        <v>104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56.05" customHeight="1">
      <c r="AB117" s="36"/>
      <c r="AC117" s="34"/>
      <c r="AD117" t="s" s="44">
        <f>AD110</f>
        <v>70</v>
      </c>
      <c r="AE117" t="s" s="44">
        <v>96</v>
      </c>
      <c r="AF117" t="s" s="44">
        <f>AL106</f>
        <v>372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J22</f>
        <v>2514.5</v>
      </c>
      <c r="AE118" s="15">
        <f>J23</f>
        <v>5927.4</v>
      </c>
      <c r="AF118" s="15">
        <f>J24</f>
        <v>788.6</v>
      </c>
      <c r="AG118" s="15">
        <f>J25</f>
        <v>2729.4</v>
      </c>
      <c r="AH118" s="15">
        <f>J26</f>
        <v>3425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20.05" customHeight="1">
      <c r="AB119" s="36"/>
      <c r="AC119" s="34"/>
      <c r="AD119" s="15">
        <f>K22</f>
        <v>-1960.5</v>
      </c>
      <c r="AE119" s="15">
        <f>K23</f>
        <v>112.4</v>
      </c>
      <c r="AF119" s="15">
        <f>K24</f>
        <v>-3259</v>
      </c>
      <c r="AG119" s="15">
        <f>K25</f>
        <v>2072</v>
      </c>
      <c r="AH119" s="15">
        <f>K26</f>
        <v>-1975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44.05" customHeight="1">
      <c r="AB120" s="36"/>
      <c r="AC120" s="34"/>
      <c r="AD120" t="s" s="44">
        <v>97</v>
      </c>
      <c r="AE120" s="15">
        <f>AG118+AG119</f>
        <v>4801.4</v>
      </c>
      <c r="AF120" t="s" s="44">
        <v>76</v>
      </c>
      <c r="AG120" s="15">
        <f>AH118+AH119</f>
        <v>1450</v>
      </c>
      <c r="AH120" t="s" s="44">
        <f>AH115</f>
        <v>372</v>
      </c>
      <c r="AI120" t="s" s="44">
        <v>84</v>
      </c>
      <c r="AJ120" t="s" s="44">
        <f>AJ115</f>
        <v>74</v>
      </c>
      <c r="AK120" t="s" s="44">
        <v>98</v>
      </c>
      <c r="AL120" s="15">
        <f>AH119</f>
        <v>-1975</v>
      </c>
      <c r="AM120" t="s" s="44">
        <f>AL106</f>
        <v>372</v>
      </c>
      <c r="AN120" t="s" s="44">
        <v>99</v>
      </c>
      <c r="AO120" s="17"/>
      <c r="AP120" s="17"/>
      <c r="AQ120" s="17"/>
      <c r="AR120" s="17"/>
      <c r="AS120" s="17"/>
      <c r="AT120" s="17"/>
      <c r="AU120" s="17"/>
    </row>
    <row r="121" ht="56.05" customHeight="1">
      <c r="AB121" s="36"/>
      <c r="AC121" s="34"/>
      <c r="AD121" t="s" s="44">
        <v>100</v>
      </c>
      <c r="AE121" s="15">
        <f>SUM(AE118:AH119)/4</f>
        <v>2455.2</v>
      </c>
      <c r="AF121" t="s" s="44">
        <f>AL106</f>
        <v>372</v>
      </c>
      <c r="AG121" t="s" s="44">
        <v>78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44.05" customHeight="1">
      <c r="AB122" s="36"/>
      <c r="AC122" s="34"/>
      <c r="AD122" t="s" s="44">
        <v>101</v>
      </c>
      <c r="AE122" s="15">
        <f>AD55</f>
        <v>-1975</v>
      </c>
      <c r="AF122" t="s" s="44">
        <f>AF121</f>
        <v>372</v>
      </c>
      <c r="AG122" t="s" s="44">
        <v>102</v>
      </c>
      <c r="AH122" t="s" s="44">
        <v>103</v>
      </c>
      <c r="AI122" t="s" s="44">
        <f>IF(AH108&gt;AK106,"higher","lower")</f>
        <v>363</v>
      </c>
      <c r="AJ122" t="s" s="44">
        <v>105</v>
      </c>
      <c r="AK122" s="15">
        <f>SUM(AD56:AG56)/4</f>
        <v>2469.577000524510</v>
      </c>
      <c r="AL122" t="s" s="44">
        <f>AF122</f>
        <v>372</v>
      </c>
      <c r="AM122" t="s" s="44">
        <v>106</v>
      </c>
      <c r="AN122" t="s" s="44">
        <v>107</v>
      </c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t="s" s="44">
        <v>18</v>
      </c>
      <c r="AE123" t="s" s="44">
        <f>AL128</f>
        <v>87</v>
      </c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32.05" customHeight="1">
      <c r="AB124" s="36"/>
      <c r="AC124" s="34"/>
      <c r="AD124" t="s" s="44">
        <f>AD103</f>
        <v>70</v>
      </c>
      <c r="AE124" t="s" s="44">
        <v>109</v>
      </c>
      <c r="AF124" t="s" s="44">
        <f>AL106</f>
        <v>372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F22</f>
        <v>17802</v>
      </c>
      <c r="AE125" s="15">
        <f>F23</f>
        <v>29478</v>
      </c>
      <c r="AF125" s="15">
        <f>F24</f>
        <v>28493</v>
      </c>
      <c r="AG125" s="15">
        <f>F25</f>
        <v>24794</v>
      </c>
      <c r="AH125" s="15">
        <f>F26</f>
        <v>26492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20.05" customHeight="1">
      <c r="AB126" s="36"/>
      <c r="AC126" s="34"/>
      <c r="AD126" s="15">
        <f>G22</f>
        <v>89166</v>
      </c>
      <c r="AE126" s="15">
        <f>G23</f>
        <v>92724</v>
      </c>
      <c r="AF126" s="15">
        <f>G24</f>
        <v>96390</v>
      </c>
      <c r="AG126" s="15">
        <f>G25</f>
        <v>88142</v>
      </c>
      <c r="AH126" s="15">
        <f>G26</f>
        <v>92814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110</v>
      </c>
      <c r="AE127" t="s" s="44">
        <f>IF(AH127&lt;AF127,"declined","increased")</f>
        <v>111</v>
      </c>
      <c r="AF127" s="15">
        <f>AG125</f>
        <v>24794</v>
      </c>
      <c r="AG127" t="s" s="44">
        <v>76</v>
      </c>
      <c r="AH127" s="15">
        <f>AH125</f>
        <v>26492</v>
      </c>
      <c r="AI127" t="s" s="44">
        <f>AL122</f>
        <v>372</v>
      </c>
      <c r="AJ127" t="s" s="44">
        <v>84</v>
      </c>
      <c r="AK127" t="s" s="44">
        <f>AH106</f>
        <v>74</v>
      </c>
      <c r="AL127" t="s" s="44">
        <f>AO113</f>
        <v>91</v>
      </c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32.05" customHeight="1">
      <c r="AB128" s="36"/>
      <c r="AC128" s="34"/>
      <c r="AD128" t="s" s="44">
        <v>112</v>
      </c>
      <c r="AE128" t="s" s="44">
        <f>IF(AH128&lt;AF128,"declined","increased")</f>
        <v>111</v>
      </c>
      <c r="AF128" s="15">
        <f>AG126</f>
        <v>88142</v>
      </c>
      <c r="AG128" t="s" s="44">
        <v>76</v>
      </c>
      <c r="AH128" s="15">
        <f>AH126</f>
        <v>92814</v>
      </c>
      <c r="AI128" t="s" s="44">
        <f>AI127</f>
        <v>372</v>
      </c>
      <c r="AJ128" t="s" s="44">
        <v>113</v>
      </c>
      <c r="AK128" t="s" s="44">
        <v>114</v>
      </c>
      <c r="AL128" t="s" s="44">
        <f>IF(AO128&lt;AM128,"down","up")</f>
        <v>87</v>
      </c>
      <c r="AM128" s="15">
        <f>AF127-AF128</f>
        <v>-63348</v>
      </c>
      <c r="AN128" t="s" s="44">
        <v>76</v>
      </c>
      <c r="AO128" s="15">
        <f>AH127-AH128</f>
        <v>-66322</v>
      </c>
      <c r="AP128" t="s" s="44">
        <f>AI128</f>
        <v>372</v>
      </c>
      <c r="AQ128" t="s" s="44">
        <v>115</v>
      </c>
      <c r="AR128" s="17"/>
      <c r="AS128" s="17"/>
      <c r="AT128" s="17"/>
      <c r="AU128" s="17"/>
    </row>
    <row r="129" ht="56.05" customHeight="1">
      <c r="AB129" s="36"/>
      <c r="AC129" s="34"/>
      <c r="AD129" t="s" s="44">
        <v>116</v>
      </c>
      <c r="AE129" s="15">
        <f>SUM(AD59:AG59)</f>
        <v>0</v>
      </c>
      <c r="AF129" t="s" s="44">
        <f>AI128</f>
        <v>372</v>
      </c>
      <c r="AG129" t="s" s="44">
        <v>117</v>
      </c>
      <c r="AH129" t="s" s="44">
        <f>IF(AI129&gt;0,"+","")</f>
      </c>
      <c r="AI129" s="15">
        <f>AD57+AE57+AF57+AG57+AD61+AE61+AF61+AG61</f>
        <v>-9878.308002098031</v>
      </c>
      <c r="AJ129" t="s" s="44">
        <f>AP128</f>
        <v>372</v>
      </c>
      <c r="AK129" t="s" s="44">
        <v>118</v>
      </c>
      <c r="AL129" t="s" s="44">
        <v>119</v>
      </c>
      <c r="AM129" s="15">
        <f>AG76</f>
        <v>-56443.691997902</v>
      </c>
      <c r="AN129" t="s" s="44">
        <f>AI128</f>
        <v>372</v>
      </c>
      <c r="AO129" t="s" s="44">
        <v>120</v>
      </c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t="s" s="44">
        <v>17</v>
      </c>
      <c r="AE130" t="s" s="44">
        <f>AE134</f>
        <v>121</v>
      </c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56.05" customHeight="1">
      <c r="AB131" s="36"/>
      <c r="AC131" s="34"/>
      <c r="AD131" t="s" s="44">
        <f>AD103</f>
        <v>70</v>
      </c>
      <c r="AE131" t="s" s="44">
        <v>379</v>
      </c>
      <c r="AF131" t="s" s="44">
        <f>AL106</f>
        <v>372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-L22</f>
        <v>-5558.296</v>
      </c>
      <c r="AE132" s="15">
        <f>-L23</f>
        <v>-1380</v>
      </c>
      <c r="AF132" s="15">
        <f>-L24</f>
        <v>8874.700000000001</v>
      </c>
      <c r="AG132" s="15">
        <f>-L25</f>
        <v>0</v>
      </c>
      <c r="AH132" s="15">
        <f>-L26</f>
        <v>-5272.7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20.05" customHeight="1">
      <c r="AB133" s="36"/>
      <c r="AC133" s="34"/>
      <c r="AD133" s="15">
        <f>-M22</f>
        <v>-58.704</v>
      </c>
      <c r="AE133" s="15">
        <f>-M23</f>
        <v>0</v>
      </c>
      <c r="AF133" s="15">
        <f>-M24</f>
        <v>284.2</v>
      </c>
      <c r="AG133" s="15">
        <f>-M25</f>
        <v>0</v>
      </c>
      <c r="AH133" s="15">
        <f>-M26</f>
        <v>3535.8</v>
      </c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ht="44.05" customHeight="1">
      <c r="AB134" s="36"/>
      <c r="AC134" s="34"/>
      <c r="AD134" t="s" s="44">
        <f>AD95</f>
        <v>618</v>
      </c>
      <c r="AE134" t="s" s="44">
        <f>IF(AF134&gt;0,"paid","(raised)")</f>
        <v>121</v>
      </c>
      <c r="AF134" s="15">
        <f>SUM(AH132:AH133)</f>
        <v>-1736.9</v>
      </c>
      <c r="AG134" t="s" s="44">
        <f>AL106</f>
        <v>372</v>
      </c>
      <c r="AH134" t="s" s="44">
        <f>AG106</f>
        <v>73</v>
      </c>
      <c r="AI134" t="s" s="44">
        <f>AH106</f>
        <v>74</v>
      </c>
      <c r="AJ134" t="s" s="44">
        <f>AI106</f>
        <v>75</v>
      </c>
      <c r="AK134" s="15">
        <f>AH132</f>
        <v>-5272.7</v>
      </c>
      <c r="AL134" t="s" s="44">
        <f>AL106</f>
        <v>372</v>
      </c>
      <c r="AM134" t="s" s="44">
        <v>123</v>
      </c>
      <c r="AN134" s="15">
        <f>AH133</f>
        <v>3535.8</v>
      </c>
      <c r="AO134" t="s" s="44">
        <f>AL106</f>
        <v>372</v>
      </c>
      <c r="AP134" t="s" s="44">
        <v>389</v>
      </c>
      <c r="AQ134" t="s" s="44">
        <v>390</v>
      </c>
      <c r="AR134" t="s" s="44">
        <f>IF(AS134&gt;0,"pay","raise")</f>
        <v>364</v>
      </c>
      <c r="AS134" s="15">
        <f>-SUM(AD77:AG77)</f>
        <v>9878.308002098031</v>
      </c>
      <c r="AT134" t="s" s="44">
        <f>AL106</f>
        <v>372</v>
      </c>
      <c r="AU134" t="s" s="44">
        <v>126</v>
      </c>
    </row>
    <row r="135" ht="56.05" customHeight="1">
      <c r="AB135" s="36"/>
      <c r="AC135" s="34"/>
      <c r="AD135" t="s" s="44">
        <v>375</v>
      </c>
      <c r="AE135" s="15">
        <f>AG81</f>
        <v>58828.8832512</v>
      </c>
      <c r="AF135" t="s" s="44">
        <f>AL106</f>
        <v>372</v>
      </c>
      <c r="AG135" t="s" s="44">
        <v>128</v>
      </c>
      <c r="AH135" t="s" s="44">
        <v>129</v>
      </c>
      <c r="AI135" s="43">
        <f>AG83</f>
        <v>0.313243943646613</v>
      </c>
      <c r="AJ135" t="s" s="44">
        <v>130</v>
      </c>
      <c r="AK135" t="s" s="44">
        <v>131</v>
      </c>
      <c r="AL135" t="s" s="44">
        <v>132</v>
      </c>
      <c r="AM135" s="15">
        <f>AG86</f>
        <v>21.2825921155069</v>
      </c>
      <c r="AN135" t="s" s="44">
        <v>133</v>
      </c>
      <c r="AO135" s="16">
        <f>-AE129/AE135</f>
        <v>0</v>
      </c>
      <c r="AP135" t="s" s="44">
        <v>134</v>
      </c>
      <c r="AQ135" s="17"/>
      <c r="AR135" s="17"/>
      <c r="AS135" s="17"/>
      <c r="AT135" s="17"/>
      <c r="AU135" s="17"/>
    </row>
    <row r="136" ht="56.05" customHeight="1">
      <c r="AB136" s="36"/>
      <c r="AC136" s="34"/>
      <c r="AD136" t="s" s="44">
        <v>135</v>
      </c>
      <c r="AE136" s="15">
        <f>AG85</f>
        <v>9878.308002098031</v>
      </c>
      <c r="AF136" t="s" s="44">
        <f>AF135</f>
        <v>372</v>
      </c>
      <c r="AG136" t="s" s="44">
        <v>136</v>
      </c>
      <c r="AH136" s="15">
        <f>AE135/AE136</f>
        <v>5.95536029436473</v>
      </c>
      <c r="AI136" t="s" s="44">
        <v>130</v>
      </c>
      <c r="AJ136" t="s" s="44">
        <v>137</v>
      </c>
      <c r="AK136" t="s" s="44">
        <v>138</v>
      </c>
      <c r="AL136" s="15">
        <f>AG87</f>
        <v>9</v>
      </c>
      <c r="AM136" t="s" s="44">
        <v>139</v>
      </c>
      <c r="AN136" t="s" s="44">
        <v>140</v>
      </c>
      <c r="AO136" t="s" s="44">
        <v>141</v>
      </c>
      <c r="AP136" s="16">
        <f>AJ95</f>
        <v>0.5112435780781041</v>
      </c>
      <c r="AQ136" t="s" s="44">
        <f>IF(AP136&gt;0,"higher","lower")</f>
        <v>363</v>
      </c>
      <c r="AR136" t="s" s="44">
        <v>142</v>
      </c>
      <c r="AS136" s="15">
        <f>AH95</f>
        <v>10125.3319731233</v>
      </c>
      <c r="AT136" t="s" s="44">
        <v>143</v>
      </c>
      <c r="AU136" s="17"/>
    </row>
    <row r="137" ht="20.05" customHeight="1">
      <c r="AB137" s="36"/>
      <c r="AC137" s="34"/>
      <c r="AD137" s="17"/>
      <c r="AE137" s="17"/>
      <c r="AF137" s="17"/>
      <c r="AG137" s="17"/>
      <c r="AH137" s="15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28</v>
      </c>
      <c r="AC138" s="14">
        <f>AD105</f>
        <v>25515.6</v>
      </c>
      <c r="AD138" s="15">
        <f>AE105</f>
        <v>26537.3</v>
      </c>
      <c r="AE138" s="15">
        <f>AF105</f>
        <v>27447</v>
      </c>
      <c r="AF138" s="15">
        <f>AG105</f>
        <v>25340.3</v>
      </c>
      <c r="AG138" s="15">
        <f>AH105</f>
        <v>28034.7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144</v>
      </c>
      <c r="AC139" s="14">
        <f>SUM(AD118:AD119)</f>
        <v>554</v>
      </c>
      <c r="AD139" s="15">
        <f>SUM(AE118:AE119)</f>
        <v>6039.8</v>
      </c>
      <c r="AE139" s="15">
        <f>SUM(AF118:AF119)</f>
        <v>-2470.4</v>
      </c>
      <c r="AF139" s="15">
        <f>SUM(AG118:AG119)</f>
        <v>4801.4</v>
      </c>
      <c r="AG139" s="15">
        <f>SUM(AH118:AH119)</f>
        <v>1450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145</v>
      </c>
      <c r="AC140" s="14">
        <f>SUM(AD132:AD133)</f>
        <v>-5617</v>
      </c>
      <c r="AD140" s="15">
        <f>SUM(AE132:AE133)</f>
        <v>-1380</v>
      </c>
      <c r="AE140" s="15">
        <f>SUM(AF132:AF133)</f>
        <v>9158.9</v>
      </c>
      <c r="AF140" s="15">
        <f>SUM(AG132:AG133)</f>
        <v>0</v>
      </c>
      <c r="AG140" s="15">
        <f>SUM(AH132:AH133)</f>
        <v>-1736.9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t="s" s="33">
        <v>146</v>
      </c>
      <c r="AC141" s="14">
        <f>(AD125-AD126)</f>
        <v>-71364</v>
      </c>
      <c r="AD141" s="15">
        <f>(AE125-AE126)</f>
        <v>-63246</v>
      </c>
      <c r="AE141" s="15">
        <f>(AF125-AF126)</f>
        <v>-67897</v>
      </c>
      <c r="AF141" s="15">
        <f>(AG125-AG126)</f>
        <v>-63348</v>
      </c>
      <c r="AG141" s="15">
        <f>(AH125-AH126)</f>
        <v>-66322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5">
        <f>AS136</f>
        <v>10125.3319731233</v>
      </c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ht="20.05" customHeight="1">
      <c r="AB149" s="36"/>
      <c r="AC149" s="34"/>
      <c r="AD149" s="17"/>
      <c r="AE149" s="17"/>
      <c r="AF149" s="17"/>
      <c r="AG149" s="17"/>
      <c r="AH149" s="15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</sheetData>
  <mergeCells count="2">
    <mergeCell ref="B2:AA2"/>
    <mergeCell ref="AB47:AU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60" customWidth="1"/>
    <col min="2" max="28" width="10.4844" style="260" customWidth="1"/>
    <col min="29" max="29" width="18.9766" style="264" customWidth="1"/>
    <col min="30" max="33" width="9" style="264" customWidth="1"/>
    <col min="34" max="47" hidden="1" width="16.3333" style="264" customWidth="1"/>
    <col min="48" max="16384" width="16.3516" style="264" customWidth="1"/>
  </cols>
  <sheetData>
    <row r="1" ht="11.65" customHeight="1"/>
    <row r="2" ht="27.65" customHeight="1">
      <c r="B2" t="s" s="2">
        <v>617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3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471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90">
        <v>283</v>
      </c>
      <c r="AA3" t="s" s="3">
        <v>19</v>
      </c>
      <c r="AB3" t="s" s="3">
        <v>20</v>
      </c>
    </row>
    <row r="4" ht="20.7" customHeight="1">
      <c r="B4" s="6">
        <v>2017</v>
      </c>
      <c r="C4" s="7">
        <v>2625.42</v>
      </c>
      <c r="D4" s="8">
        <v>122.36</v>
      </c>
      <c r="E4" s="8">
        <v>35.91</v>
      </c>
      <c r="F4" s="8">
        <v>412.3</v>
      </c>
      <c r="G4" s="8">
        <v>7620.9</v>
      </c>
      <c r="H4" s="8">
        <v>11624.2</v>
      </c>
      <c r="I4" s="8">
        <v>2403.177</v>
      </c>
      <c r="J4" s="8">
        <v>452.2</v>
      </c>
      <c r="K4" s="8">
        <v>-131.271</v>
      </c>
      <c r="L4" s="8">
        <v>-152.95</v>
      </c>
      <c r="M4" s="8">
        <v>0</v>
      </c>
      <c r="N4" s="9"/>
      <c r="O4" s="8"/>
      <c r="P4" s="55"/>
      <c r="Q4" s="55">
        <f>(E4+D4)/C4</f>
        <v>0.0602836879432624</v>
      </c>
      <c r="R4" s="55"/>
      <c r="S4" s="9"/>
      <c r="T4" s="9"/>
      <c r="U4" s="9"/>
      <c r="V4" s="8">
        <f>-(L4+M4)</f>
        <v>152.95</v>
      </c>
      <c r="W4" s="9"/>
      <c r="X4" s="8">
        <f>F4-G4</f>
        <v>-7208.6</v>
      </c>
      <c r="Y4" s="73"/>
      <c r="Z4" s="91"/>
      <c r="AA4" s="261"/>
      <c r="AB4" s="12">
        <v>13.3</v>
      </c>
    </row>
    <row r="5" ht="20.7" customHeight="1">
      <c r="B5" s="13"/>
      <c r="C5" s="14">
        <v>2198.955</v>
      </c>
      <c r="D5" s="15">
        <v>95.95440000000001</v>
      </c>
      <c r="E5" s="15">
        <v>49.030033</v>
      </c>
      <c r="F5" s="15">
        <v>373.156</v>
      </c>
      <c r="G5" s="15">
        <v>7303.196</v>
      </c>
      <c r="H5" s="15">
        <v>11341.277</v>
      </c>
      <c r="I5" s="15">
        <v>2398.99327</v>
      </c>
      <c r="J5" s="15">
        <v>127.646006</v>
      </c>
      <c r="K5" s="15">
        <v>-26.494076</v>
      </c>
      <c r="L5" s="15">
        <v>-153.2605</v>
      </c>
      <c r="M5" s="15">
        <v>0</v>
      </c>
      <c r="N5" s="17"/>
      <c r="O5" s="15"/>
      <c r="P5" s="16">
        <f>C5/C4-1</f>
        <v>-0.162436867244098</v>
      </c>
      <c r="Q5" s="16">
        <f>(E5+D5)/C5</f>
        <v>0.0659333333333333</v>
      </c>
      <c r="R5" s="16"/>
      <c r="S5" s="17"/>
      <c r="T5" s="17"/>
      <c r="U5" s="17"/>
      <c r="V5" s="15">
        <f>-(L5+M5)+V4</f>
        <v>306.2105</v>
      </c>
      <c r="W5" s="17"/>
      <c r="X5" s="15">
        <f>F5-G5</f>
        <v>-6930.04</v>
      </c>
      <c r="Y5" s="24"/>
      <c r="Z5" s="91"/>
      <c r="AA5" s="262"/>
      <c r="AB5" s="20">
        <v>13.327</v>
      </c>
    </row>
    <row r="6" ht="20.7" customHeight="1">
      <c r="B6" s="13"/>
      <c r="C6" s="14">
        <v>2821.85745</v>
      </c>
      <c r="D6" s="15">
        <v>149.016</v>
      </c>
      <c r="E6" s="15">
        <v>-20.077245</v>
      </c>
      <c r="F6" s="15">
        <v>324.642</v>
      </c>
      <c r="G6" s="15">
        <v>7011.735</v>
      </c>
      <c r="H6" s="15">
        <v>11003.235</v>
      </c>
      <c r="I6" s="15">
        <v>2638.3815</v>
      </c>
      <c r="J6" s="15">
        <v>202.52871</v>
      </c>
      <c r="K6" s="15">
        <v>-37.81281</v>
      </c>
      <c r="L6" s="15">
        <v>-153.0075</v>
      </c>
      <c r="M6" s="15">
        <v>0</v>
      </c>
      <c r="N6" s="17"/>
      <c r="O6" s="15"/>
      <c r="P6" s="16">
        <f>C6/C5-1</f>
        <v>0.283272031487684</v>
      </c>
      <c r="Q6" s="16">
        <f>(E6+D6)/C6</f>
        <v>0.0456928662360319</v>
      </c>
      <c r="R6" s="16"/>
      <c r="S6" s="17"/>
      <c r="T6" s="17"/>
      <c r="U6" s="17"/>
      <c r="V6" s="15">
        <f>-(L6+M6)+V5</f>
        <v>459.218</v>
      </c>
      <c r="W6" s="17"/>
      <c r="X6" s="15">
        <f>F6-G6</f>
        <v>-6687.093</v>
      </c>
      <c r="Y6" s="24"/>
      <c r="Z6" s="91"/>
      <c r="AA6" s="262"/>
      <c r="AB6" s="20">
        <v>13.305</v>
      </c>
    </row>
    <row r="7" ht="20.35" customHeight="1">
      <c r="B7" s="13"/>
      <c r="C7" s="14">
        <v>2757.90051</v>
      </c>
      <c r="D7" s="15">
        <v>44.7381</v>
      </c>
      <c r="E7" s="15">
        <v>-41.61999</v>
      </c>
      <c r="F7" s="15">
        <v>298.254</v>
      </c>
      <c r="G7" s="15">
        <v>6995.412</v>
      </c>
      <c r="H7" s="15">
        <v>10845.6</v>
      </c>
      <c r="I7" s="15">
        <v>2730.24423</v>
      </c>
      <c r="J7" s="15">
        <v>31.72338</v>
      </c>
      <c r="K7" s="15">
        <v>-17.6241</v>
      </c>
      <c r="L7" s="15">
        <v>-155.9055</v>
      </c>
      <c r="M7" s="15">
        <v>0</v>
      </c>
      <c r="N7" s="17"/>
      <c r="O7" s="15"/>
      <c r="P7" s="16">
        <f>C7/C6-1</f>
        <v>-0.0226648373042373</v>
      </c>
      <c r="Q7" s="16">
        <f>(E7+D7)/C7</f>
        <v>0.00113061003785086</v>
      </c>
      <c r="R7" s="16"/>
      <c r="S7" s="17"/>
      <c r="T7" s="17"/>
      <c r="U7" s="17"/>
      <c r="V7" s="15">
        <f>-(L7+M7)+V6</f>
        <v>615.1235</v>
      </c>
      <c r="W7" s="17"/>
      <c r="X7" s="15">
        <f>F7-G7</f>
        <v>-6697.158</v>
      </c>
      <c r="Y7" s="24"/>
      <c r="Z7" s="92"/>
      <c r="AA7" s="262"/>
      <c r="AB7" s="20">
        <v>13.557</v>
      </c>
    </row>
    <row r="8" ht="20.05" customHeight="1">
      <c r="B8" s="21">
        <v>2018</v>
      </c>
      <c r="C8" s="14">
        <v>3027.42</v>
      </c>
      <c r="D8" s="15">
        <v>105.9597</v>
      </c>
      <c r="E8" s="15">
        <v>186.709248</v>
      </c>
      <c r="F8" s="15">
        <v>418.3344</v>
      </c>
      <c r="G8" s="15">
        <v>7527.267</v>
      </c>
      <c r="H8" s="15">
        <v>11628.045</v>
      </c>
      <c r="I8" s="15">
        <v>2895.3144</v>
      </c>
      <c r="J8" s="15">
        <v>294.581727</v>
      </c>
      <c r="K8" s="15">
        <v>-56.543949</v>
      </c>
      <c r="L8" s="15">
        <v>-230.49675</v>
      </c>
      <c r="M8" s="15">
        <v>0</v>
      </c>
      <c r="N8" s="15">
        <f>SUM(C5:C8)/4</f>
        <v>2701.53324</v>
      </c>
      <c r="O8" s="15"/>
      <c r="P8" s="16">
        <f>C8/C7-1</f>
        <v>0.097726328061051</v>
      </c>
      <c r="Q8" s="16">
        <f>(E8+D8)/C8</f>
        <v>0.0966727272727273</v>
      </c>
      <c r="R8" s="16">
        <f>AVERAGE(Q3:Q8)</f>
        <v>0.0539426449646412</v>
      </c>
      <c r="S8" s="17"/>
      <c r="T8" s="15">
        <f>SUM(J5:K8)/4</f>
        <v>129.501222</v>
      </c>
      <c r="U8" s="17"/>
      <c r="V8" s="15">
        <f>-(L8+M8)+V7</f>
        <v>845.6202500000001</v>
      </c>
      <c r="W8" s="17"/>
      <c r="X8" s="15">
        <f>F8-G8</f>
        <v>-7108.9326</v>
      </c>
      <c r="Y8" s="24"/>
      <c r="Z8" s="18">
        <v>1400</v>
      </c>
      <c r="AA8" s="262"/>
      <c r="AB8" s="20">
        <v>13.761</v>
      </c>
    </row>
    <row r="9" ht="20.05" customHeight="1">
      <c r="B9" s="13"/>
      <c r="C9" s="14">
        <v>2731.4</v>
      </c>
      <c r="D9" s="15">
        <v>107.8</v>
      </c>
      <c r="E9" s="15">
        <v>146.048</v>
      </c>
      <c r="F9" s="15">
        <v>966</v>
      </c>
      <c r="G9" s="15">
        <v>7826</v>
      </c>
      <c r="H9" s="15">
        <v>12138</v>
      </c>
      <c r="I9" s="15">
        <v>3207.4</v>
      </c>
      <c r="J9" s="15">
        <v>522.102</v>
      </c>
      <c r="K9" s="15">
        <v>-139.874</v>
      </c>
      <c r="L9" s="15">
        <v>-234.5</v>
      </c>
      <c r="M9" s="15">
        <v>0</v>
      </c>
      <c r="N9" s="15">
        <f>SUM(C6:C9)/4</f>
        <v>2834.64449</v>
      </c>
      <c r="O9" s="15"/>
      <c r="P9" s="16">
        <f>C9/C8-1</f>
        <v>-0.0977796275376393</v>
      </c>
      <c r="Q9" s="16">
        <f>(E9+D9)/C9</f>
        <v>0.0929369554074833</v>
      </c>
      <c r="R9" s="16">
        <f>AVERAGE(Q3:Q9)</f>
        <v>0.0604416967051148</v>
      </c>
      <c r="S9" s="17"/>
      <c r="T9" s="15">
        <f>SUM(J6:K9)/4</f>
        <v>199.7702395</v>
      </c>
      <c r="U9" s="17"/>
      <c r="V9" s="15">
        <f>-(L9+M9)+V8</f>
        <v>1080.12025</v>
      </c>
      <c r="W9" s="17"/>
      <c r="X9" s="15">
        <f>F9-G9</f>
        <v>-6860</v>
      </c>
      <c r="Y9" s="24"/>
      <c r="Z9" s="18">
        <v>6450</v>
      </c>
      <c r="AA9" s="262"/>
      <c r="AB9" s="20">
        <v>14</v>
      </c>
    </row>
    <row r="10" ht="20.05" customHeight="1">
      <c r="B10" s="13"/>
      <c r="C10" s="14">
        <v>3300.793</v>
      </c>
      <c r="D10" s="15">
        <v>114.7454</v>
      </c>
      <c r="E10" s="15">
        <v>825.5708</v>
      </c>
      <c r="F10" s="15">
        <v>700.394</v>
      </c>
      <c r="G10" s="15">
        <v>7212.568</v>
      </c>
      <c r="H10" s="15">
        <v>12636.896</v>
      </c>
      <c r="I10" s="15">
        <v>3002.753</v>
      </c>
      <c r="J10" s="15">
        <v>-168.3926</v>
      </c>
      <c r="K10" s="15">
        <v>765.9628</v>
      </c>
      <c r="L10" s="15">
        <v>-249.6085</v>
      </c>
      <c r="M10" s="15">
        <v>0</v>
      </c>
      <c r="N10" s="15">
        <f>SUM(C7:C10)/4</f>
        <v>2954.3783775</v>
      </c>
      <c r="O10" s="15"/>
      <c r="P10" s="16">
        <f>C10/C9-1</f>
        <v>0.208461960899173</v>
      </c>
      <c r="Q10" s="16">
        <f>(E10+D10)/C10</f>
        <v>0.284875846501129</v>
      </c>
      <c r="R10" s="16">
        <f>AVERAGE(Q3:Q10)</f>
        <v>0.0925037181045454</v>
      </c>
      <c r="S10" s="17"/>
      <c r="T10" s="15">
        <f>SUM(J7:K10)/4</f>
        <v>307.9838145</v>
      </c>
      <c r="U10" s="17"/>
      <c r="V10" s="15">
        <f>-(L10+M10)+V9</f>
        <v>1329.72875</v>
      </c>
      <c r="W10" s="17"/>
      <c r="X10" s="15">
        <f>F10-G10</f>
        <v>-6512.174</v>
      </c>
      <c r="Y10" s="24"/>
      <c r="Z10" s="18">
        <v>5400</v>
      </c>
      <c r="AA10" s="262"/>
      <c r="AB10" s="20">
        <v>14.902</v>
      </c>
    </row>
    <row r="11" ht="20.05" customHeight="1">
      <c r="B11" s="13"/>
      <c r="C11" s="14">
        <v>2916.264</v>
      </c>
      <c r="D11" s="15">
        <v>110.726</v>
      </c>
      <c r="E11" s="15">
        <v>-244.46</v>
      </c>
      <c r="F11" s="15">
        <v>517.6799999999999</v>
      </c>
      <c r="G11" s="15">
        <v>6629.18</v>
      </c>
      <c r="H11" s="15">
        <v>11647.8</v>
      </c>
      <c r="I11" s="15">
        <v>2969.47</v>
      </c>
      <c r="J11" s="15">
        <v>5.752</v>
      </c>
      <c r="K11" s="15">
        <v>5.752</v>
      </c>
      <c r="L11" s="15">
        <v>-240.865</v>
      </c>
      <c r="M11" s="15">
        <v>0</v>
      </c>
      <c r="N11" s="15">
        <f>SUM(C8:C11)/4</f>
        <v>2993.96925</v>
      </c>
      <c r="O11" s="15"/>
      <c r="P11" s="16">
        <f>C11/C10-1</f>
        <v>-0.116495945065322</v>
      </c>
      <c r="Q11" s="16">
        <f>(E11+D11)/C11</f>
        <v>-0.0458579881656805</v>
      </c>
      <c r="R11" s="16">
        <f>AVERAGE(Q3:Q11)</f>
        <v>0.0752085048207672</v>
      </c>
      <c r="S11" s="17"/>
      <c r="T11" s="15">
        <f>SUM(J8:K11)/4</f>
        <v>307.3349945</v>
      </c>
      <c r="U11" s="17"/>
      <c r="V11" s="15">
        <f>-(L11+M11)+V10</f>
        <v>1570.59375</v>
      </c>
      <c r="W11" s="17"/>
      <c r="X11" s="15">
        <f>F11-G11</f>
        <v>-6111.5</v>
      </c>
      <c r="Y11" s="24"/>
      <c r="Z11" s="18">
        <v>5925</v>
      </c>
      <c r="AA11" s="262"/>
      <c r="AB11" s="20">
        <v>14.38</v>
      </c>
    </row>
    <row r="12" ht="20.05" customHeight="1">
      <c r="B12" s="21">
        <v>2019</v>
      </c>
      <c r="C12" s="14">
        <v>2922.048</v>
      </c>
      <c r="D12" s="15">
        <v>109.648</v>
      </c>
      <c r="E12" s="15">
        <v>467.072</v>
      </c>
      <c r="F12" s="15">
        <v>356</v>
      </c>
      <c r="G12" s="15">
        <v>5724.48</v>
      </c>
      <c r="H12" s="15">
        <v>11164.16</v>
      </c>
      <c r="I12" s="15">
        <v>2771.104</v>
      </c>
      <c r="J12" s="15">
        <v>-86.864</v>
      </c>
      <c r="K12" s="15">
        <v>626.5599999999999</v>
      </c>
      <c r="L12" s="15">
        <v>-160.2</v>
      </c>
      <c r="M12" s="15">
        <v>-53.4</v>
      </c>
      <c r="N12" s="15">
        <f>SUM(C9:C12)/4</f>
        <v>2967.62625</v>
      </c>
      <c r="O12" s="15"/>
      <c r="P12" s="16">
        <f>C12/C11-1</f>
        <v>0.00198335953123586</v>
      </c>
      <c r="Q12" s="16">
        <f>(E12+D12)/C12</f>
        <v>0.197368421052632</v>
      </c>
      <c r="R12" s="16">
        <f>AVERAGE(Q3:Q12)</f>
        <v>0.08878182884653001</v>
      </c>
      <c r="S12" s="17"/>
      <c r="T12" s="15">
        <f>SUM(J9:K12)/4</f>
        <v>382.74955</v>
      </c>
      <c r="U12" s="17"/>
      <c r="V12" s="15">
        <f>-(L12+M12)+V11</f>
        <v>1784.19375</v>
      </c>
      <c r="W12" s="17"/>
      <c r="X12" s="15">
        <f>F12-G12</f>
        <v>-5368.48</v>
      </c>
      <c r="Y12" s="24"/>
      <c r="Z12" s="18">
        <v>6200</v>
      </c>
      <c r="AA12" s="262"/>
      <c r="AB12" s="20">
        <v>14.24</v>
      </c>
    </row>
    <row r="13" ht="20.05" customHeight="1">
      <c r="B13" s="13"/>
      <c r="C13" s="14">
        <v>2730.7491</v>
      </c>
      <c r="D13" s="15">
        <v>104.5398</v>
      </c>
      <c r="E13" s="15">
        <v>35.3175</v>
      </c>
      <c r="F13" s="15">
        <v>282.54</v>
      </c>
      <c r="G13" s="15">
        <v>5679.054</v>
      </c>
      <c r="H13" s="15">
        <v>10891.917</v>
      </c>
      <c r="I13" s="15">
        <v>2986.4478</v>
      </c>
      <c r="J13" s="15">
        <v>73.46040000000001</v>
      </c>
      <c r="K13" s="15">
        <v>-101.7144</v>
      </c>
      <c r="L13" s="15">
        <v>-158.92875</v>
      </c>
      <c r="M13" s="15">
        <v>-52.97625</v>
      </c>
      <c r="N13" s="15">
        <f>SUM(C10:C13)/4</f>
        <v>2967.463525</v>
      </c>
      <c r="O13" s="15"/>
      <c r="P13" s="16">
        <f>C13/C12-1</f>
        <v>-0.0654674050528944</v>
      </c>
      <c r="Q13" s="16">
        <f>(E13+D13)/C13</f>
        <v>0.0512157268494568</v>
      </c>
      <c r="R13" s="16">
        <f>AVERAGE(Q3:Q13)</f>
        <v>0.0850252186468226</v>
      </c>
      <c r="S13" s="17"/>
      <c r="T13" s="15">
        <f>SUM(J10:K13)/4</f>
        <v>280.12905</v>
      </c>
      <c r="U13" s="17"/>
      <c r="V13" s="15">
        <f>-(L13+M13)+V12</f>
        <v>1996.09875</v>
      </c>
      <c r="W13" s="17"/>
      <c r="X13" s="15">
        <f>F13-G13</f>
        <v>-5396.514</v>
      </c>
      <c r="Y13" s="24"/>
      <c r="Z13" s="18">
        <v>4880</v>
      </c>
      <c r="AA13" s="18"/>
      <c r="AB13" s="15">
        <v>14.127</v>
      </c>
    </row>
    <row r="14" ht="20.05" customHeight="1">
      <c r="B14" s="13"/>
      <c r="C14" s="14">
        <v>2790.737</v>
      </c>
      <c r="D14" s="15">
        <v>96.526</v>
      </c>
      <c r="E14" s="15">
        <v>79.492</v>
      </c>
      <c r="F14" s="15">
        <v>340.68</v>
      </c>
      <c r="G14" s="15">
        <v>5692.195</v>
      </c>
      <c r="H14" s="15">
        <v>11015.32</v>
      </c>
      <c r="I14" s="15">
        <v>2928.4285</v>
      </c>
      <c r="J14" s="15">
        <v>289.578</v>
      </c>
      <c r="K14" s="15">
        <v>-273.9635</v>
      </c>
      <c r="L14" s="15">
        <v>-159.69375</v>
      </c>
      <c r="M14" s="15">
        <v>-53.23125</v>
      </c>
      <c r="N14" s="15">
        <f>SUM(C11:C14)/4</f>
        <v>2839.949525</v>
      </c>
      <c r="O14" s="15"/>
      <c r="P14" s="16">
        <f>C14/C13-1</f>
        <v>0.0219675619411538</v>
      </c>
      <c r="Q14" s="16">
        <f>(E14+D14)/C14</f>
        <v>0.0630722278738555</v>
      </c>
      <c r="R14" s="16">
        <f>AVERAGE(Q3:Q14)</f>
        <v>0.0830294922129165</v>
      </c>
      <c r="S14" s="17"/>
      <c r="T14" s="15">
        <f>SUM(J11:K14)/4</f>
        <v>134.640125</v>
      </c>
      <c r="U14" s="17"/>
      <c r="V14" s="15">
        <f>-(L14+M14)+V13</f>
        <v>2209.02375</v>
      </c>
      <c r="W14" s="17"/>
      <c r="X14" s="15">
        <f>F14-G14</f>
        <v>-5351.515</v>
      </c>
      <c r="Y14" s="24"/>
      <c r="Z14" s="18">
        <v>3570</v>
      </c>
      <c r="AA14" s="18"/>
      <c r="AB14" s="15">
        <v>14.195</v>
      </c>
    </row>
    <row r="15" ht="20.05" customHeight="1">
      <c r="B15" s="13"/>
      <c r="C15" s="14">
        <v>2396.0332</v>
      </c>
      <c r="D15" s="15">
        <v>97.17400000000001</v>
      </c>
      <c r="E15" s="15">
        <v>-38.8696</v>
      </c>
      <c r="F15" s="15">
        <v>263.758</v>
      </c>
      <c r="G15" s="15">
        <v>5358.452</v>
      </c>
      <c r="H15" s="15">
        <v>10467.028</v>
      </c>
      <c r="I15" s="15">
        <v>2795.8348</v>
      </c>
      <c r="J15" s="15">
        <v>240.1586</v>
      </c>
      <c r="K15" s="15">
        <v>-133.2672</v>
      </c>
      <c r="L15" s="15">
        <v>-156.1725</v>
      </c>
      <c r="M15" s="15">
        <v>-52.0575</v>
      </c>
      <c r="N15" s="15">
        <f>SUM(C12:C15)/4</f>
        <v>2709.891825</v>
      </c>
      <c r="O15" s="15"/>
      <c r="P15" s="16">
        <f>C15/C14-1</f>
        <v>-0.141433535299098</v>
      </c>
      <c r="Q15" s="16">
        <f>(E15+D15)/C15</f>
        <v>0.0243337195828505</v>
      </c>
      <c r="R15" s="16">
        <f>AVERAGE(Q3:Q15)</f>
        <v>0.0781381778270777</v>
      </c>
      <c r="S15" s="17"/>
      <c r="T15" s="15">
        <f>SUM(J12:K15)/4</f>
        <v>158.486975</v>
      </c>
      <c r="U15" s="17"/>
      <c r="V15" s="15">
        <f>-(L15+M15)+V14</f>
        <v>2417.25375</v>
      </c>
      <c r="W15" s="17"/>
      <c r="X15" s="15">
        <f>F15-G15</f>
        <v>-5094.694</v>
      </c>
      <c r="Y15" s="24"/>
      <c r="Z15" s="18">
        <v>2430</v>
      </c>
      <c r="AA15" s="18"/>
      <c r="AB15" s="15">
        <v>13.882</v>
      </c>
    </row>
    <row r="16" ht="20.05" customHeight="1">
      <c r="B16" s="21">
        <v>2020</v>
      </c>
      <c r="C16" s="14">
        <v>2991.254</v>
      </c>
      <c r="D16" s="15">
        <v>123.956</v>
      </c>
      <c r="E16" s="15">
        <v>70.133</v>
      </c>
      <c r="F16" s="15">
        <v>913.36</v>
      </c>
      <c r="G16" s="15">
        <v>6670.79</v>
      </c>
      <c r="H16" s="15">
        <v>12803.35</v>
      </c>
      <c r="I16" s="15">
        <v>3250.583</v>
      </c>
      <c r="J16" s="15">
        <v>150.052</v>
      </c>
      <c r="K16" s="15">
        <v>-101.122</v>
      </c>
      <c r="L16" s="15">
        <v>142.7125</v>
      </c>
      <c r="M16" s="15">
        <v>0</v>
      </c>
      <c r="N16" s="15">
        <f>SUM(C13:C16)/4</f>
        <v>2727.193325</v>
      </c>
      <c r="O16" s="15"/>
      <c r="P16" s="16">
        <f>C16/C15-1</f>
        <v>0.248419262304045</v>
      </c>
      <c r="Q16" s="16">
        <f>(E16+D16)/C16</f>
        <v>0.0648854961832061</v>
      </c>
      <c r="R16" s="16">
        <f>AVERAGE(Q3:Q16)</f>
        <v>0.0771187407775491</v>
      </c>
      <c r="S16" s="17"/>
      <c r="T16" s="15">
        <f>SUM(J13:K16)/4</f>
        <v>35.795475</v>
      </c>
      <c r="U16" s="17"/>
      <c r="V16" s="15">
        <f>-(L16+M16)+V15</f>
        <v>2274.54125</v>
      </c>
      <c r="W16" s="17"/>
      <c r="X16" s="15">
        <f>F16-G16</f>
        <v>-5757.43</v>
      </c>
      <c r="Y16" s="24"/>
      <c r="Z16" s="18">
        <v>1680</v>
      </c>
      <c r="AA16" s="18"/>
      <c r="AB16" s="15">
        <v>16.31</v>
      </c>
    </row>
    <row r="17" ht="20.05" customHeight="1">
      <c r="B17" s="13"/>
      <c r="C17" s="14">
        <v>1451.159</v>
      </c>
      <c r="D17" s="15">
        <v>106.9125</v>
      </c>
      <c r="E17" s="15">
        <v>-45.616</v>
      </c>
      <c r="F17" s="15">
        <v>712.75</v>
      </c>
      <c r="G17" s="15">
        <v>5431.155</v>
      </c>
      <c r="H17" s="15">
        <v>10734.015</v>
      </c>
      <c r="I17" s="15">
        <v>1361.3525</v>
      </c>
      <c r="J17" s="15">
        <v>-74.126</v>
      </c>
      <c r="K17" s="15">
        <v>-34.212</v>
      </c>
      <c r="L17" s="15">
        <v>124.73125</v>
      </c>
      <c r="M17" s="15">
        <v>0</v>
      </c>
      <c r="N17" s="15">
        <f>SUM(C14:C17)/4</f>
        <v>2407.2958</v>
      </c>
      <c r="O17" s="15"/>
      <c r="P17" s="16">
        <f>C17/C16-1</f>
        <v>-0.514866006029578</v>
      </c>
      <c r="Q17" s="16">
        <f>(E17+D17)/C17</f>
        <v>0.0422396856581532</v>
      </c>
      <c r="R17" s="16">
        <f>AVERAGE(Q3:Q17)</f>
        <v>0.0746273796975923</v>
      </c>
      <c r="S17" s="17"/>
      <c r="T17" s="15">
        <f>SUM(J14:K17)/4</f>
        <v>15.774475</v>
      </c>
      <c r="U17" s="17"/>
      <c r="V17" s="15">
        <f>-(L17+M17)+V16</f>
        <v>2149.81</v>
      </c>
      <c r="W17" s="17"/>
      <c r="X17" s="15">
        <f>F17-G17</f>
        <v>-4718.405</v>
      </c>
      <c r="Y17" s="24"/>
      <c r="Z17" s="18">
        <v>2200</v>
      </c>
      <c r="AA17" s="18"/>
      <c r="AB17" s="15">
        <v>14.255</v>
      </c>
    </row>
    <row r="18" ht="20.05" customHeight="1">
      <c r="B18" s="13"/>
      <c r="C18" s="14">
        <v>2322.03</v>
      </c>
      <c r="D18" s="15">
        <v>112.404</v>
      </c>
      <c r="E18" s="15">
        <v>19.227</v>
      </c>
      <c r="F18" s="15">
        <v>532.4400000000001</v>
      </c>
      <c r="G18" s="15">
        <v>5220.87</v>
      </c>
      <c r="H18" s="15">
        <v>10752.33</v>
      </c>
      <c r="I18" s="15">
        <v>2166.735</v>
      </c>
      <c r="J18" s="15">
        <v>-140.505</v>
      </c>
      <c r="K18" s="15">
        <v>325.38</v>
      </c>
      <c r="L18" s="15">
        <v>129.4125</v>
      </c>
      <c r="M18" s="15">
        <v>0</v>
      </c>
      <c r="N18" s="15">
        <f>SUM(C15:C18)/4</f>
        <v>2290.11905</v>
      </c>
      <c r="O18" s="15"/>
      <c r="P18" s="16">
        <f>C18/C17-1</f>
        <v>0.600121006726348</v>
      </c>
      <c r="Q18" s="16">
        <f>(E18+D18)/C18</f>
        <v>0.056687898089172</v>
      </c>
      <c r="R18" s="16">
        <f>AVERAGE(Q3:Q18)</f>
        <v>0.0734314142570309</v>
      </c>
      <c r="S18" s="17"/>
      <c r="T18" s="15">
        <f>SUM(J15:K18)/4</f>
        <v>58.0896</v>
      </c>
      <c r="U18" s="17"/>
      <c r="V18" s="15">
        <f>-(L18+M18)+V17</f>
        <v>2020.3975</v>
      </c>
      <c r="W18" s="17"/>
      <c r="X18" s="15">
        <f>F18-G18</f>
        <v>-4688.43</v>
      </c>
      <c r="Y18" s="24"/>
      <c r="Z18" s="18">
        <v>2150</v>
      </c>
      <c r="AA18" s="18"/>
      <c r="AB18" s="15">
        <v>14.79</v>
      </c>
    </row>
    <row r="19" ht="20.05" customHeight="1">
      <c r="B19" s="13"/>
      <c r="C19" s="14">
        <v>2069.88</v>
      </c>
      <c r="D19" s="15">
        <v>126.9</v>
      </c>
      <c r="E19" s="15">
        <v>53.58</v>
      </c>
      <c r="F19" s="15">
        <v>521.7</v>
      </c>
      <c r="G19" s="15">
        <v>5456.7</v>
      </c>
      <c r="H19" s="15">
        <v>10772.4</v>
      </c>
      <c r="I19" s="15">
        <v>2365.98</v>
      </c>
      <c r="J19" s="15">
        <v>186.12</v>
      </c>
      <c r="K19" s="15">
        <v>-547.08</v>
      </c>
      <c r="L19" s="15">
        <v>123.375</v>
      </c>
      <c r="M19" s="15">
        <v>0</v>
      </c>
      <c r="N19" s="15">
        <f>SUM(C16:C19)/4</f>
        <v>2208.58075</v>
      </c>
      <c r="O19" s="15"/>
      <c r="P19" s="16">
        <f>C19/C18-1</f>
        <v>-0.108590328290332</v>
      </c>
      <c r="Q19" s="16">
        <f>(E19+D19)/C19</f>
        <v>0.0871934604904632</v>
      </c>
      <c r="R19" s="16">
        <f>AVERAGE(Q16:Q19)</f>
        <v>0.0627516351052486</v>
      </c>
      <c r="S19" s="17"/>
      <c r="T19" s="15">
        <f>SUM(J16:K19)/4</f>
        <v>-58.87325</v>
      </c>
      <c r="U19" s="17"/>
      <c r="V19" s="15">
        <f>-(L19+M19)+V18</f>
        <v>1897.0225</v>
      </c>
      <c r="W19" s="17"/>
      <c r="X19" s="15">
        <f>F19-G19</f>
        <v>-4935</v>
      </c>
      <c r="Y19" s="24"/>
      <c r="Z19" s="18">
        <v>3050</v>
      </c>
      <c r="AA19" s="18"/>
      <c r="AB19" s="15">
        <v>14.1</v>
      </c>
    </row>
    <row r="20" ht="20.05" customHeight="1">
      <c r="B20" s="21">
        <v>2021</v>
      </c>
      <c r="C20" s="14">
        <v>3052.654</v>
      </c>
      <c r="D20" s="15">
        <v>112.4662</v>
      </c>
      <c r="E20" s="15">
        <v>268.7504</v>
      </c>
      <c r="F20" s="15">
        <v>496.604</v>
      </c>
      <c r="G20" s="15">
        <v>6046.884</v>
      </c>
      <c r="H20" s="15">
        <v>11860.072</v>
      </c>
      <c r="I20" s="15">
        <v>2760.534</v>
      </c>
      <c r="J20" s="15">
        <v>528.7372</v>
      </c>
      <c r="K20" s="15">
        <v>-354.9258</v>
      </c>
      <c r="L20" s="15">
        <v>-219.557392</v>
      </c>
      <c r="M20" s="15">
        <v>0</v>
      </c>
      <c r="N20" s="15">
        <f>SUM(C17:C20)/4</f>
        <v>2223.93075</v>
      </c>
      <c r="O20" s="15">
        <v>2176.323212</v>
      </c>
      <c r="P20" s="16">
        <f>C20/C19-1</f>
        <v>0.474797572806153</v>
      </c>
      <c r="Q20" s="16">
        <f>(E20+D20)/C20</f>
        <v>0.12488038277512</v>
      </c>
      <c r="R20" s="16">
        <f>AVERAGE(Q17:Q20)</f>
        <v>0.0777503567532271</v>
      </c>
      <c r="S20" s="17"/>
      <c r="T20" s="15">
        <f>SUM(J17:K20)/4</f>
        <v>-27.6529</v>
      </c>
      <c r="U20" s="17"/>
      <c r="V20" s="15">
        <f>-(L20+M20)+V19</f>
        <v>2116.579892</v>
      </c>
      <c r="W20" s="17"/>
      <c r="X20" s="15">
        <f>F20-G20</f>
        <v>-5550.28</v>
      </c>
      <c r="Y20" s="15"/>
      <c r="Z20" s="18">
        <v>3450</v>
      </c>
      <c r="AA20" s="263"/>
      <c r="AB20" s="15">
        <v>14.606</v>
      </c>
    </row>
    <row r="21" ht="20.05" customHeight="1">
      <c r="B21" s="13"/>
      <c r="C21" s="14">
        <v>2926.125</v>
      </c>
      <c r="D21" s="15">
        <v>115.6</v>
      </c>
      <c r="E21" s="15">
        <v>312.12</v>
      </c>
      <c r="F21" s="15">
        <v>765.85</v>
      </c>
      <c r="G21" s="15">
        <v>5938.95</v>
      </c>
      <c r="H21" s="15">
        <v>12007.95</v>
      </c>
      <c r="I21" s="15">
        <v>3102.415</v>
      </c>
      <c r="J21" s="15">
        <v>900.235</v>
      </c>
      <c r="K21" s="15">
        <v>-57.8</v>
      </c>
      <c r="L21" s="15">
        <v>-559.63405</v>
      </c>
      <c r="M21" s="15">
        <v>0</v>
      </c>
      <c r="N21" s="15">
        <f>SUM(C18:C21)/4</f>
        <v>2592.67225</v>
      </c>
      <c r="O21" s="15">
        <v>2381.668266666660</v>
      </c>
      <c r="P21" s="16">
        <f>C21/C20-1</f>
        <v>-0.0414488507377515</v>
      </c>
      <c r="Q21" s="16">
        <f>(E21+D21)/C21</f>
        <v>0.146172839506173</v>
      </c>
      <c r="R21" s="16">
        <f>AVERAGE(Q18:Q21)</f>
        <v>0.103733645215232</v>
      </c>
      <c r="S21" s="17"/>
      <c r="T21" s="15">
        <f>SUM(J18:K21)/4</f>
        <v>210.04035</v>
      </c>
      <c r="U21" s="17"/>
      <c r="V21" s="15">
        <f>-(L21+M21)+V20</f>
        <v>2676.213942</v>
      </c>
      <c r="W21" s="17"/>
      <c r="X21" s="15">
        <f>F21-G21</f>
        <v>-5173.1</v>
      </c>
      <c r="Y21" s="15"/>
      <c r="Z21" s="18">
        <v>4180</v>
      </c>
      <c r="AA21" s="140">
        <v>12063.6667633615</v>
      </c>
      <c r="AB21" s="15">
        <v>14.45</v>
      </c>
    </row>
    <row r="22" ht="20.05" customHeight="1">
      <c r="B22" s="13"/>
      <c r="C22" s="14">
        <v>3255.3216</v>
      </c>
      <c r="D22" s="15">
        <v>114.624</v>
      </c>
      <c r="E22" s="15">
        <v>207.756</v>
      </c>
      <c r="F22" s="15">
        <v>630.432</v>
      </c>
      <c r="G22" s="15">
        <v>5917.464</v>
      </c>
      <c r="H22" s="15">
        <v>12135.816</v>
      </c>
      <c r="I22" s="15">
        <v>3061.8936</v>
      </c>
      <c r="J22" s="15">
        <v>60.1776</v>
      </c>
      <c r="K22" s="15">
        <v>-126.0864</v>
      </c>
      <c r="L22" s="15">
        <v>-127.146672</v>
      </c>
      <c r="M22" s="15">
        <v>0</v>
      </c>
      <c r="N22" s="15">
        <f>SUM(C19:C22)/4</f>
        <v>2825.99515</v>
      </c>
      <c r="O22" s="15">
        <v>2482.017948</v>
      </c>
      <c r="P22" s="16">
        <f>C22/C21-1</f>
        <v>0.112502575932334</v>
      </c>
      <c r="Q22" s="16">
        <f>(E22+D22)/C22</f>
        <v>0.09903169014084511</v>
      </c>
      <c r="R22" s="16">
        <f>AVERAGE(Q19:Q22)</f>
        <v>0.11431959322815</v>
      </c>
      <c r="S22" s="17"/>
      <c r="T22" s="15">
        <f>SUM(J19:K22)/4</f>
        <v>147.3444</v>
      </c>
      <c r="U22" s="17"/>
      <c r="V22" s="15">
        <f>-(L22+M22)+V21</f>
        <v>2803.360614</v>
      </c>
      <c r="W22" s="17"/>
      <c r="X22" s="15">
        <f>F22-G22</f>
        <v>-5287.032</v>
      </c>
      <c r="Y22" s="15"/>
      <c r="Z22" s="18">
        <v>4250</v>
      </c>
      <c r="AA22" s="140">
        <v>12063.6667633615</v>
      </c>
      <c r="AB22" s="15">
        <v>14.328</v>
      </c>
    </row>
    <row r="23" ht="20.05" customHeight="1">
      <c r="B23" s="13"/>
      <c r="C23" s="14">
        <v>3503.085</v>
      </c>
      <c r="D23" s="15">
        <v>115.6275</v>
      </c>
      <c r="E23" s="15">
        <v>429.6775</v>
      </c>
      <c r="F23" s="15">
        <v>728.025</v>
      </c>
      <c r="G23" s="15">
        <v>6309.55</v>
      </c>
      <c r="H23" s="15">
        <v>12933.15</v>
      </c>
      <c r="I23" s="15">
        <v>3648.69</v>
      </c>
      <c r="J23" s="15">
        <v>-72.80249999999999</v>
      </c>
      <c r="K23" s="15">
        <v>-205.56</v>
      </c>
      <c r="L23" s="15">
        <v>435.887125</v>
      </c>
      <c r="M23" s="15">
        <v>4.2825</v>
      </c>
      <c r="N23" s="15">
        <f>SUM(C20:C23)/4</f>
        <v>3184.2964</v>
      </c>
      <c r="O23" s="15">
        <v>2857.0627375</v>
      </c>
      <c r="P23" s="16">
        <f>C23/C22-1</f>
        <v>0.07611026818364119</v>
      </c>
      <c r="Q23" s="16">
        <f>(E23+D23)/C23</f>
        <v>0.155664221678892</v>
      </c>
      <c r="R23" s="16">
        <f>AVERAGE(Q20:Q23)</f>
        <v>0.131437283525258</v>
      </c>
      <c r="S23" s="17"/>
      <c r="T23" s="15">
        <f>SUM(J20:K23)/4</f>
        <v>167.993775</v>
      </c>
      <c r="U23" s="17"/>
      <c r="V23" s="15">
        <f>-(L23+M23)+V22</f>
        <v>2363.190989</v>
      </c>
      <c r="W23" s="17"/>
      <c r="X23" s="15">
        <f>F23-G23</f>
        <v>-5581.525</v>
      </c>
      <c r="Y23" s="15"/>
      <c r="Z23" s="18">
        <v>4180</v>
      </c>
      <c r="AA23" s="15">
        <v>8521.353007875479</v>
      </c>
      <c r="AB23" s="15">
        <v>14.275</v>
      </c>
    </row>
    <row r="24" ht="20.05" customHeight="1">
      <c r="B24" s="21">
        <v>2022</v>
      </c>
      <c r="C24" s="14">
        <v>3889.7805</v>
      </c>
      <c r="D24" s="15">
        <v>117.4814</v>
      </c>
      <c r="E24" s="15">
        <v>487.118</v>
      </c>
      <c r="F24" s="15">
        <v>845.293</v>
      </c>
      <c r="G24" s="15">
        <v>6318.207</v>
      </c>
      <c r="H24" s="15">
        <v>13453.053</v>
      </c>
      <c r="I24" s="15">
        <v>4060.2718</v>
      </c>
      <c r="J24" s="15">
        <v>362.4731</v>
      </c>
      <c r="K24" s="15">
        <v>-196.2799</v>
      </c>
      <c r="L24" s="15">
        <v>-54.4426</v>
      </c>
      <c r="M24" s="15">
        <v>0</v>
      </c>
      <c r="N24" s="15">
        <f>SUM(C21:C24)/4</f>
        <v>3393.578025</v>
      </c>
      <c r="O24" s="15">
        <v>3180.3576045</v>
      </c>
      <c r="P24" s="16">
        <f>C24/C23-1</f>
        <v>0.110387130200951</v>
      </c>
      <c r="Q24" s="16">
        <f>(E24+D24)/C24</f>
        <v>0.155432780847145</v>
      </c>
      <c r="R24" s="16">
        <f>AVERAGE(Q21:Q24)</f>
        <v>0.139075383043264</v>
      </c>
      <c r="S24" s="16"/>
      <c r="T24" s="15">
        <f>SUM(J21:K24)/4</f>
        <v>166.089225</v>
      </c>
      <c r="U24" s="15"/>
      <c r="V24" s="15">
        <f>-(L24+M24)+V23</f>
        <v>2417.633589</v>
      </c>
      <c r="W24" s="15"/>
      <c r="X24" s="15">
        <f>F24-G24</f>
        <v>-5472.914</v>
      </c>
      <c r="Y24" s="15">
        <v>-4379.930974710310</v>
      </c>
      <c r="Z24" s="18">
        <v>5050</v>
      </c>
      <c r="AA24" s="15">
        <v>8979.400288523229</v>
      </c>
      <c r="AB24" s="15">
        <v>14.327</v>
      </c>
    </row>
    <row r="25" ht="20.05" customHeight="1">
      <c r="B25" s="13"/>
      <c r="C25" s="14">
        <v>3574.108</v>
      </c>
      <c r="D25" s="15">
        <v>121.678</v>
      </c>
      <c r="E25" s="15">
        <v>293.2</v>
      </c>
      <c r="F25" s="15">
        <v>776.98</v>
      </c>
      <c r="G25" s="15">
        <v>6626.32</v>
      </c>
      <c r="H25" s="15">
        <v>13604.48</v>
      </c>
      <c r="I25" s="15">
        <v>3450.964</v>
      </c>
      <c r="J25" s="15">
        <v>281.472</v>
      </c>
      <c r="K25" s="15">
        <v>-8.795999999999999</v>
      </c>
      <c r="L25" s="15">
        <v>-359.17</v>
      </c>
      <c r="M25" s="15">
        <v>0</v>
      </c>
      <c r="N25" s="15">
        <f>SUM(C22:C25)/4</f>
        <v>3555.573775</v>
      </c>
      <c r="O25" s="15">
        <v>3519.349235</v>
      </c>
      <c r="P25" s="16">
        <f>C25/C24-1</f>
        <v>-0.0811543222040421</v>
      </c>
      <c r="Q25" s="16">
        <f>(E25+D25)/C25</f>
        <v>0.116078753076292</v>
      </c>
      <c r="R25" s="16">
        <f>AVERAGE(Q22:Q25)</f>
        <v>0.131551861435794</v>
      </c>
      <c r="S25" s="16"/>
      <c r="T25" s="15">
        <f>SUM(J22:K25)/4</f>
        <v>23.649475</v>
      </c>
      <c r="U25" s="15"/>
      <c r="V25" s="15">
        <f>-(L25+M25)+V24</f>
        <v>2776.803589</v>
      </c>
      <c r="W25" s="15"/>
      <c r="X25" s="15">
        <f>F25-G25</f>
        <v>-5849.34</v>
      </c>
      <c r="Y25" s="15">
        <v>-4481.7329579991</v>
      </c>
      <c r="Z25" s="15">
        <v>10750</v>
      </c>
      <c r="AA25" s="140">
        <v>16068.9054308509</v>
      </c>
      <c r="AB25" s="15">
        <v>14.66</v>
      </c>
    </row>
    <row r="26" ht="20.05" customHeight="1">
      <c r="B26" s="13"/>
      <c r="C26" s="14">
        <v>3788.046</v>
      </c>
      <c r="D26" s="15">
        <v>128.781</v>
      </c>
      <c r="E26" s="15">
        <v>50.256</v>
      </c>
      <c r="F26" s="15">
        <v>266.985</v>
      </c>
      <c r="G26" s="15">
        <v>6470.46</v>
      </c>
      <c r="H26" s="15">
        <v>13993.155</v>
      </c>
      <c r="I26" s="15">
        <v>3742.5015</v>
      </c>
      <c r="J26" s="15">
        <v>-100.512</v>
      </c>
      <c r="K26" s="15">
        <v>-86.3775</v>
      </c>
      <c r="L26" s="15">
        <v>271.6965</v>
      </c>
      <c r="M26" s="15">
        <v>-651.7575000000001</v>
      </c>
      <c r="N26" s="15">
        <f>SUM(C23:C26)/4</f>
        <v>3688.754875</v>
      </c>
      <c r="O26" s="15">
        <v>4046.3696925</v>
      </c>
      <c r="P26" s="16">
        <f>C26/C25-1</f>
        <v>0.0598577323348931</v>
      </c>
      <c r="Q26" s="16">
        <f>(E26+D26)/C26</f>
        <v>0.0472636815920398</v>
      </c>
      <c r="R26" s="16">
        <f>AVERAGE(Q23:Q26)</f>
        <v>0.118609859298592</v>
      </c>
      <c r="S26" s="16">
        <f>S27</f>
        <v>0.0734314142570309</v>
      </c>
      <c r="T26" s="15">
        <f>SUM(J23:K26)/4</f>
        <v>-6.5957</v>
      </c>
      <c r="U26" s="15">
        <f>U27</f>
        <v>150.000946662973</v>
      </c>
      <c r="V26" s="15">
        <f>-(L26+M26)+V25</f>
        <v>3156.864589</v>
      </c>
      <c r="W26" s="15">
        <f>V26</f>
        <v>3156.864589</v>
      </c>
      <c r="X26" s="15">
        <f>F26-G26</f>
        <v>-6203.475</v>
      </c>
      <c r="Y26" s="15">
        <v>-4539.7879737465</v>
      </c>
      <c r="Z26" s="15">
        <v>6875</v>
      </c>
      <c r="AA26" s="140">
        <v>16068.9054308509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AVERAGE(AD42:AG42)</f>
        <v>4057.882248246750</v>
      </c>
      <c r="P27" s="17"/>
      <c r="Q27" s="17"/>
      <c r="R27" s="17"/>
      <c r="S27" s="35">
        <f>AD43</f>
        <v>0.0734314142570309</v>
      </c>
      <c r="T27" s="17"/>
      <c r="U27" s="15">
        <f>SUM(AD45:AG45)/4</f>
        <v>150.000946662973</v>
      </c>
      <c r="V27" s="17"/>
      <c r="W27" s="15">
        <f>-SUM(AD66:AG66)+V26</f>
        <v>3756.868375651890</v>
      </c>
      <c r="X27" s="17"/>
      <c r="Y27" s="15">
        <f>AG65</f>
        <v>-5603.471213348110</v>
      </c>
      <c r="Z27" s="15">
        <v>5575</v>
      </c>
      <c r="AA27" s="140">
        <v>16068.9054308509</v>
      </c>
      <c r="AB27" s="60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21464.801225</v>
      </c>
      <c r="O28" s="15">
        <f>SUM(O20:O26)</f>
        <v>20643.1486961667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AG78</f>
        <v>6418.604216940180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6" ht="27.65" customHeight="1">
      <c r="AC36" t="s" s="2">
        <v>283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</row>
    <row r="37" ht="20.25" customHeight="1">
      <c r="AC37" t="s" s="28">
        <v>366</v>
      </c>
      <c r="AD37" t="s" s="29">
        <v>24</v>
      </c>
      <c r="AE37" t="s" s="29">
        <v>25</v>
      </c>
      <c r="AF37" t="s" s="29">
        <v>26</v>
      </c>
      <c r="AG37" t="s" s="29">
        <v>23</v>
      </c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</row>
    <row r="38" ht="20.25" customHeight="1">
      <c r="AC38" t="s" s="31">
        <v>15</v>
      </c>
      <c r="AD38" s="32"/>
      <c r="AE38" s="9"/>
      <c r="AF38" s="9"/>
      <c r="AG38" s="9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</row>
    <row r="39" ht="20.05" customHeight="1">
      <c r="AC39" t="s" s="33">
        <v>27</v>
      </c>
      <c r="AD39" s="71">
        <f>AVERAGE(P23:P26)</f>
        <v>0.0413002021288608</v>
      </c>
      <c r="AE39" s="35"/>
      <c r="AF39" s="35"/>
      <c r="AG39" s="35">
        <f>AVERAGE(AD41:AG41)</f>
        <v>0.0225</v>
      </c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</row>
    <row r="40" ht="8.35" customHeight="1" hidden="1">
      <c r="AC40" s="36"/>
      <c r="AD40" s="37">
        <f>P23</f>
        <v>0.07611026818364119</v>
      </c>
      <c r="AE40" s="35">
        <f>P24</f>
        <v>0.110387130200951</v>
      </c>
      <c r="AF40" s="35">
        <f>P25</f>
        <v>-0.0811543222040421</v>
      </c>
      <c r="AG40" s="35">
        <f>P26</f>
        <v>0.0598577323348931</v>
      </c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</row>
    <row r="41" ht="20.05" customHeight="1">
      <c r="AC41" t="s" s="33">
        <v>13</v>
      </c>
      <c r="AD41" s="37">
        <v>0.05</v>
      </c>
      <c r="AE41" s="35">
        <v>0.06</v>
      </c>
      <c r="AF41" s="35">
        <v>-0.07000000000000001</v>
      </c>
      <c r="AG41" s="35">
        <v>0.05</v>
      </c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</row>
    <row r="42" ht="20.05" customHeight="1">
      <c r="AC42" t="s" s="33">
        <v>28</v>
      </c>
      <c r="AD42" s="38">
        <f>C26*(1+AD41)</f>
        <v>3977.4483</v>
      </c>
      <c r="AE42" s="23">
        <f>AD42*(1+AE41)</f>
        <v>4216.095198</v>
      </c>
      <c r="AF42" s="23">
        <f>AE42*(1+AF41)</f>
        <v>3920.96853414</v>
      </c>
      <c r="AG42" s="23">
        <f>AF42*(1+AG41)</f>
        <v>4117.016960847</v>
      </c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</row>
    <row r="43" ht="20.05" customHeight="1">
      <c r="AC43" t="s" s="33">
        <v>14</v>
      </c>
      <c r="AD43" s="37">
        <f>AVERAGE(R18)</f>
        <v>0.0734314142570309</v>
      </c>
      <c r="AE43" s="35">
        <f>AD43</f>
        <v>0.0734314142570309</v>
      </c>
      <c r="AF43" s="35">
        <f>AE43</f>
        <v>0.0734314142570309</v>
      </c>
      <c r="AG43" s="35">
        <f>AF43</f>
        <v>0.0734314142570309</v>
      </c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</row>
    <row r="44" ht="20.05" customHeight="1">
      <c r="AC44" t="s" s="33">
        <v>29</v>
      </c>
      <c r="AD44" s="14">
        <f>AVERAGE(K20:K26)</f>
        <v>-147.975085714286</v>
      </c>
      <c r="AE44" s="15">
        <f>AD44</f>
        <v>-147.975085714286</v>
      </c>
      <c r="AF44" s="15">
        <f>AE44</f>
        <v>-147.975085714286</v>
      </c>
      <c r="AG44" s="15">
        <f>AF44</f>
        <v>-147.975085714286</v>
      </c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</row>
    <row r="45" ht="20.05" customHeight="1">
      <c r="AC45" t="s" s="33">
        <v>30</v>
      </c>
      <c r="AD45" s="14">
        <f>(AD42*AD43)+AD44</f>
        <v>144.094568088937</v>
      </c>
      <c r="AE45" s="15">
        <f>(AE42*AE43)+AE44</f>
        <v>161.618747317131</v>
      </c>
      <c r="AF45" s="15">
        <f>(AF42*AF43)+AF44</f>
        <v>139.947179004932</v>
      </c>
      <c r="AG45" s="15">
        <f>(AG42*AG43)+AG44</f>
        <v>154.343292240892</v>
      </c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</row>
    <row r="46" ht="20.05" customHeight="1">
      <c r="AC46" t="s" s="33">
        <v>31</v>
      </c>
      <c r="AD46" s="14">
        <f>-G26/20</f>
        <v>-323.523</v>
      </c>
      <c r="AE46" s="15">
        <f>-AD61/20</f>
        <v>-307.34685</v>
      </c>
      <c r="AF46" s="15">
        <f>-AE61/20</f>
        <v>-291.9795075</v>
      </c>
      <c r="AG46" s="15">
        <f>-AF61/20</f>
        <v>-277.380532125</v>
      </c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ht="20.05" customHeight="1">
      <c r="AC47" t="s" s="33">
        <v>32</v>
      </c>
      <c r="AD47" s="39">
        <v>0</v>
      </c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ht="20.05" customHeight="1">
      <c r="AC48" t="s" s="33">
        <v>33</v>
      </c>
      <c r="AD48" s="14">
        <f>IF(AD56&gt;0,AD56*$AD$47,0)</f>
        <v>0</v>
      </c>
      <c r="AE48" s="15">
        <f>IF(AE56&gt;0,AE56*$AD$47,0)</f>
        <v>0</v>
      </c>
      <c r="AF48" s="15">
        <f>IF(AF56&gt;0,AF56*$AD$47,0)</f>
        <v>0</v>
      </c>
      <c r="AG48" s="15">
        <f>IF(AG56&gt;0,AG56*$AD$47,0)</f>
        <v>0</v>
      </c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</row>
    <row r="49" ht="20.05" customHeight="1">
      <c r="AC49" t="s" s="33">
        <v>34</v>
      </c>
      <c r="AD49" s="14">
        <f>AD45+AD46+AD48</f>
        <v>-179.428431911063</v>
      </c>
      <c r="AE49" s="15">
        <f>AE45+AE46+AE48</f>
        <v>-145.728102682869</v>
      </c>
      <c r="AF49" s="15">
        <f>AF45+AF46+AF48</f>
        <v>-152.032328495068</v>
      </c>
      <c r="AG49" s="15">
        <f>AG45+AG46+AG48</f>
        <v>-123.037239884108</v>
      </c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</row>
    <row r="50" ht="20.05" customHeight="1">
      <c r="AC50" t="s" s="33">
        <v>35</v>
      </c>
      <c r="AD50" s="14">
        <f>-MIN(0,AD49)</f>
        <v>179.428431911063</v>
      </c>
      <c r="AE50" s="15">
        <f>-MIN(AD62,AE49)</f>
        <v>145.728102682869</v>
      </c>
      <c r="AF50" s="15">
        <f>-MIN(AE62,AF49)</f>
        <v>152.032328495068</v>
      </c>
      <c r="AG50" s="15">
        <f>-MIN(AF62,AG49)</f>
        <v>123.037239884108</v>
      </c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ht="20.05" customHeight="1">
      <c r="AC51" t="s" s="33">
        <v>36</v>
      </c>
      <c r="AD51" s="14">
        <f>F26</f>
        <v>266.985</v>
      </c>
      <c r="AE51" s="15">
        <f>AD53</f>
        <v>266.985</v>
      </c>
      <c r="AF51" s="15">
        <f>AE53</f>
        <v>266.985</v>
      </c>
      <c r="AG51" s="15">
        <f>AF53</f>
        <v>266.985</v>
      </c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</row>
    <row r="52" ht="20.05" customHeight="1">
      <c r="AC52" t="s" s="33">
        <v>37</v>
      </c>
      <c r="AD52" s="14">
        <f>AD45+AD46+AD48+AD50</f>
        <v>0</v>
      </c>
      <c r="AE52" s="15">
        <f>AE45+AE46+AE48+AE50</f>
        <v>0</v>
      </c>
      <c r="AF52" s="15">
        <f>AF45+AF46+AF48+AF50</f>
        <v>0</v>
      </c>
      <c r="AG52" s="15">
        <f>AG45+AG46+AG48+AG50</f>
        <v>0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C53" t="s" s="33">
        <v>38</v>
      </c>
      <c r="AD53" s="14">
        <f>AD51+AD52</f>
        <v>266.985</v>
      </c>
      <c r="AE53" s="15">
        <f>AE51+AE52</f>
        <v>266.985</v>
      </c>
      <c r="AF53" s="15">
        <f>AF51+AF52</f>
        <v>266.985</v>
      </c>
      <c r="AG53" s="15">
        <f>AG51+AG52</f>
        <v>266.985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C54" t="s" s="41">
        <v>4</v>
      </c>
      <c r="AD54" s="14"/>
      <c r="AE54" s="15"/>
      <c r="AF54" s="15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ht="20.05" customHeight="1">
      <c r="AC55" t="s" s="33">
        <v>3</v>
      </c>
      <c r="AD55" s="14">
        <f>-AVERAGE(D24:D26)</f>
        <v>-122.6468</v>
      </c>
      <c r="AE55" s="15">
        <f>AD55</f>
        <v>-122.6468</v>
      </c>
      <c r="AF55" s="15">
        <f>AE55</f>
        <v>-122.6468</v>
      </c>
      <c r="AG55" s="15">
        <f>AF55</f>
        <v>-122.6468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C56" t="s" s="33">
        <v>4</v>
      </c>
      <c r="AD56" s="14">
        <f>(AD42*AD43)+AD55</f>
        <v>169.422853803223</v>
      </c>
      <c r="AE56" s="15">
        <f>(AE42*AE43)+AE55</f>
        <v>186.947033031417</v>
      </c>
      <c r="AF56" s="15">
        <f>(AF42*AF43)+AF55</f>
        <v>165.275464719218</v>
      </c>
      <c r="AG56" s="15">
        <f>(AG42*AG43)+AG55</f>
        <v>179.671577955178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C57" t="s" s="41">
        <v>39</v>
      </c>
      <c r="AD57" s="14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C58" t="s" s="33">
        <v>40</v>
      </c>
      <c r="AD58" s="14">
        <f>H26-F26-AD44</f>
        <v>13874.1450857143</v>
      </c>
      <c r="AE58" s="15">
        <f>AD58-AE44</f>
        <v>14022.1201714286</v>
      </c>
      <c r="AF58" s="15">
        <f>AE58-AF44</f>
        <v>14170.0952571429</v>
      </c>
      <c r="AG58" s="15">
        <f>AF58-AG44</f>
        <v>14318.0703428572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C59" t="s" s="33">
        <v>41</v>
      </c>
      <c r="AD59" s="14">
        <f>0-AD55</f>
        <v>122.6468</v>
      </c>
      <c r="AE59" s="15">
        <f>AD59-AE55</f>
        <v>245.2936</v>
      </c>
      <c r="AF59" s="15">
        <f>AE59-AF55</f>
        <v>367.9404</v>
      </c>
      <c r="AG59" s="15">
        <f>AF59-AG55</f>
        <v>490.5872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C60" t="s" s="33">
        <v>42</v>
      </c>
      <c r="AD60" s="14">
        <f>AD58-AD59</f>
        <v>13751.4982857143</v>
      </c>
      <c r="AE60" s="15">
        <f>AE58-AE59</f>
        <v>13776.8265714286</v>
      </c>
      <c r="AF60" s="15">
        <f>AF58-AF59</f>
        <v>13802.1548571429</v>
      </c>
      <c r="AG60" s="15">
        <f>AG58-AG59</f>
        <v>13827.4831428572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C61" t="s" s="33">
        <v>6</v>
      </c>
      <c r="AD61" s="14">
        <f>G26+AD46</f>
        <v>6146.937</v>
      </c>
      <c r="AE61" s="15">
        <f>AD61+AE46</f>
        <v>5839.59015</v>
      </c>
      <c r="AF61" s="15">
        <f>AE61+AF46</f>
        <v>5547.6106425</v>
      </c>
      <c r="AG61" s="15">
        <f>AF61+AG46</f>
        <v>5270.230110375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C62" t="s" s="33">
        <v>35</v>
      </c>
      <c r="AD62" s="14">
        <f>AD50</f>
        <v>179.428431911063</v>
      </c>
      <c r="AE62" s="15">
        <f>AD62+AE50</f>
        <v>325.156534593932</v>
      </c>
      <c r="AF62" s="15">
        <f>AE62+AF50</f>
        <v>477.188863089</v>
      </c>
      <c r="AG62" s="15">
        <f>AF62+AG50</f>
        <v>600.226102973108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C63" t="s" s="33">
        <v>11</v>
      </c>
      <c r="AD63" s="14">
        <f>(H26-G26)+AD56+AD48</f>
        <v>7692.117853803220</v>
      </c>
      <c r="AE63" s="15">
        <f>AD63+AE56+AE48</f>
        <v>7879.064886834640</v>
      </c>
      <c r="AF63" s="15">
        <f>AE63+AF56+AF48</f>
        <v>8044.340351553860</v>
      </c>
      <c r="AG63" s="15">
        <f>AF63+AG56+AG48</f>
        <v>8224.011929509041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C64" t="s" s="33">
        <v>43</v>
      </c>
      <c r="AD64" s="14">
        <f>AD61+AD62+AD63-AD53-AD60</f>
        <v>-1.7e-11</v>
      </c>
      <c r="AE64" s="15">
        <f>AE61+AE62+AE63-AE53-AE60</f>
        <v>-2.8e-11</v>
      </c>
      <c r="AF64" s="15">
        <f>AF61+AF62+AF63-AF53-AF60</f>
        <v>-4e-11</v>
      </c>
      <c r="AG64" s="15">
        <f>AG61+AG62+AG63-AG53-AG60</f>
        <v>-5.2e-11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C65" t="s" s="33">
        <v>18</v>
      </c>
      <c r="AD65" s="14">
        <f>AD53-AD61-AD62</f>
        <v>-6059.380431911060</v>
      </c>
      <c r="AE65" s="15">
        <f>AE53-AE61-AE62</f>
        <v>-5897.761684593930</v>
      </c>
      <c r="AF65" s="15">
        <f>AF53-AF61-AF62</f>
        <v>-5757.814505589</v>
      </c>
      <c r="AG65" s="15">
        <f>AG53-AG61-AG62</f>
        <v>-5603.471213348110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C66" t="s" s="33">
        <v>44</v>
      </c>
      <c r="AD66" s="14">
        <f>AD46+AD48+AD50</f>
        <v>-144.094568088937</v>
      </c>
      <c r="AE66" s="15">
        <f>AE46+AE48+AE50</f>
        <v>-161.618747317131</v>
      </c>
      <c r="AF66" s="15">
        <f>AF46+AF48+AF50</f>
        <v>-139.947179004932</v>
      </c>
      <c r="AG66" s="15">
        <f>AG46+AG48+AG50</f>
        <v>-154.343292240892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C67" t="s" s="33">
        <v>45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C68" t="s" s="96">
        <v>283</v>
      </c>
      <c r="AD68" s="14"/>
      <c r="AE68" s="15"/>
      <c r="AF68" s="15"/>
      <c r="AG68" s="15">
        <v>5575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8.35" customHeight="1" hidden="1">
      <c r="AC69" t="s" s="33">
        <f>$AC68</f>
        <v>619</v>
      </c>
      <c r="AD69" s="14"/>
      <c r="AE69" s="15"/>
      <c r="AF69" s="15"/>
      <c r="AG69" s="15">
        <v>3648012400000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C70" t="s" s="33">
        <v>46</v>
      </c>
      <c r="AD70" s="14"/>
      <c r="AE70" s="15"/>
      <c r="AF70" s="15"/>
      <c r="AG70" s="15">
        <f>AG69/1000000000</f>
        <v>3648.0124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C71" t="s" s="33">
        <v>47</v>
      </c>
      <c r="AD71" s="14"/>
      <c r="AE71" s="15"/>
      <c r="AF71" s="15"/>
      <c r="AG71" s="15">
        <f>AG70/AG68</f>
        <v>0.654352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C72" t="s" s="33">
        <v>48</v>
      </c>
      <c r="AD72" s="14"/>
      <c r="AE72" s="15"/>
      <c r="AF72" s="15"/>
      <c r="AG72" s="43">
        <f>AG70/(AG53+AG60)</f>
        <v>0.258825828901443</v>
      </c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</row>
    <row r="73" ht="20.05" customHeight="1">
      <c r="AC73" t="s" s="33">
        <v>49</v>
      </c>
      <c r="AD73" s="14"/>
      <c r="AE73" s="15"/>
      <c r="AF73" s="15"/>
      <c r="AG73" s="16">
        <f>-(AD48+AE48+AF48+AG48)/AG70</f>
        <v>0</v>
      </c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</row>
    <row r="74" ht="20.05" customHeight="1">
      <c r="AC74" t="s" s="33">
        <v>50</v>
      </c>
      <c r="AD74" s="14"/>
      <c r="AE74" s="15"/>
      <c r="AF74" s="15"/>
      <c r="AG74" s="15">
        <f>SUM(AD45:AG45)</f>
        <v>600.003786651892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C75" t="s" s="33">
        <v>51</v>
      </c>
      <c r="AD75" s="14"/>
      <c r="AE75" s="15"/>
      <c r="AF75" s="15"/>
      <c r="AG75" s="15">
        <f>(H26+F26)/AG74</f>
        <v>23.7667500059852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C76" t="s" s="33">
        <v>52</v>
      </c>
      <c r="AD76" s="14"/>
      <c r="AE76" s="15"/>
      <c r="AF76" s="15">
        <f>AG70/AG74</f>
        <v>6.07998229537256</v>
      </c>
      <c r="AG76" s="15">
        <v>7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C77" t="s" s="33">
        <v>53</v>
      </c>
      <c r="AD77" s="14"/>
      <c r="AE77" s="15"/>
      <c r="AF77" s="15"/>
      <c r="AG77" s="15">
        <f>AG74*AG76</f>
        <v>4200.026506563240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C78" t="s" s="33">
        <v>54</v>
      </c>
      <c r="AD78" s="14"/>
      <c r="AE78" s="15"/>
      <c r="AF78" s="15"/>
      <c r="AG78" s="15">
        <f>AG77/AG71</f>
        <v>6418.604216940180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C79" t="s" s="33">
        <v>55</v>
      </c>
      <c r="AD79" s="38"/>
      <c r="AE79" s="23"/>
      <c r="AF79" s="23"/>
      <c r="AG79" s="16">
        <f>AG78/AG68-1</f>
        <v>0.15131914205205</v>
      </c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</row>
    <row r="80" ht="20.05" customHeight="1">
      <c r="AC80" t="s" s="33">
        <v>56</v>
      </c>
      <c r="AD80" s="38"/>
      <c r="AE80" s="23"/>
      <c r="AF80" s="23"/>
      <c r="AG80" s="16">
        <f>C26/C22-1</f>
        <v>0.163647241489136</v>
      </c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</row>
    <row r="81" ht="20.05" customHeight="1">
      <c r="AC81" t="s" s="33">
        <v>57</v>
      </c>
      <c r="AD81" s="38"/>
      <c r="AE81" s="23"/>
      <c r="AF81" s="23"/>
      <c r="AG81" s="16">
        <f>O28/N28-1</f>
        <v>-0.038279065350781</v>
      </c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</row>
    <row r="82" ht="8.35" customHeight="1" hidden="1">
      <c r="AC82" s="98"/>
      <c r="AD82" s="38"/>
      <c r="AE82" s="23"/>
      <c r="AF82" s="23"/>
      <c r="AG82" s="16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</row>
    <row r="83" ht="8.35" customHeight="1" hidden="1">
      <c r="AC83" s="36"/>
      <c r="AD83" t="s" s="100">
        <f>$AC68</f>
        <v>620</v>
      </c>
      <c r="AE83" t="s" s="44">
        <v>60</v>
      </c>
      <c r="AF83" s="15">
        <f>AG68</f>
        <v>5575</v>
      </c>
      <c r="AG83" t="s" s="44">
        <v>61</v>
      </c>
      <c r="AH83" s="198">
        <f>AG78</f>
        <v>6418.604216940180</v>
      </c>
      <c r="AI83" t="s" s="102">
        <f>IF(AJ83&gt;0,"+","")</f>
        <v>361</v>
      </c>
      <c r="AJ83" s="99">
        <f>AH83/AF83-1</f>
        <v>0.15131914205205</v>
      </c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</row>
    <row r="84" ht="8.35" customHeight="1" hidden="1">
      <c r="AC84" s="36"/>
      <c r="AD84" s="46">
        <f>TODAY()</f>
        <v>44942</v>
      </c>
      <c r="AE84" s="17"/>
      <c r="AF84" s="17"/>
      <c r="AG84" s="17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</row>
    <row r="85" ht="8.35" customHeight="1" hidden="1">
      <c r="AC85" s="36"/>
      <c r="AD85" t="s" s="45">
        <v>62</v>
      </c>
      <c r="AE85" s="17"/>
      <c r="AF85" s="17"/>
      <c r="AG85" s="17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</row>
    <row r="86" ht="8.35" customHeight="1" hidden="1">
      <c r="AC86" s="36"/>
      <c r="AD86" t="s" s="45">
        <v>63</v>
      </c>
      <c r="AE86" t="s" s="44">
        <v>64</v>
      </c>
      <c r="AF86" t="s" s="44">
        <f>IF(AG86&gt;0,"+","")</f>
        <v>361</v>
      </c>
      <c r="AG86" s="16">
        <f>AH93/AD93-1</f>
        <v>0.163647241489136</v>
      </c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</row>
    <row r="87" ht="8.35" customHeight="1" hidden="1">
      <c r="AC87" s="36"/>
      <c r="AD87" t="s" s="45">
        <v>63</v>
      </c>
      <c r="AE87" t="s" s="44">
        <v>65</v>
      </c>
      <c r="AF87" t="s" s="44">
        <f>IF(AG87&gt;0,"+","")</f>
      </c>
      <c r="AG87" s="16">
        <f>SUM(AE106:AH107)/AE123</f>
        <v>-0.00723210261017753</v>
      </c>
      <c r="AH87" t="s" s="102">
        <v>66</v>
      </c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</row>
    <row r="88" ht="8.35" customHeight="1" hidden="1">
      <c r="AC88" s="36"/>
      <c r="AD88" t="s" s="45">
        <v>63</v>
      </c>
      <c r="AE88" t="s" s="44">
        <v>17</v>
      </c>
      <c r="AF88" t="s" s="44">
        <f>IF(AG88&gt;0,"+","")</f>
        <v>361</v>
      </c>
      <c r="AG88" s="16">
        <f>SUM(AE120:AH121)/AE123</f>
        <v>0.0969031725330758</v>
      </c>
      <c r="AH88" t="s" s="102">
        <f>AH87</f>
        <v>66</v>
      </c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</row>
    <row r="89" ht="8.35" customHeight="1" hidden="1">
      <c r="AC89" s="36"/>
      <c r="AD89" t="s" s="45">
        <v>68</v>
      </c>
      <c r="AE89" t="s" s="44">
        <v>369</v>
      </c>
      <c r="AF89" s="16">
        <f>AO116/AE123</f>
        <v>-1.70050820002695</v>
      </c>
      <c r="AG89" t="s" s="44">
        <f>AH88</f>
        <v>66</v>
      </c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</row>
    <row r="90" ht="8.35" customHeight="1" hidden="1">
      <c r="AC90" s="36"/>
      <c r="AD90" t="s" s="45">
        <v>28</v>
      </c>
      <c r="AE90" t="s" s="44">
        <f>AE94</f>
        <v>362</v>
      </c>
      <c r="AF90" s="16">
        <f>AF94</f>
        <v>0.0598577323348931</v>
      </c>
      <c r="AG90" s="17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</row>
    <row r="91" ht="8.35" customHeight="1" hidden="1">
      <c r="AC91" s="36"/>
      <c r="AD91" t="s" s="45">
        <v>70</v>
      </c>
      <c r="AE91" t="s" s="44">
        <v>371</v>
      </c>
      <c r="AF91" t="s" s="44">
        <f>AL94</f>
        <v>372</v>
      </c>
      <c r="AG91" s="17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</row>
    <row r="92" ht="8.35" customHeight="1" hidden="1">
      <c r="AC92" s="36"/>
      <c r="AD92" s="71">
        <f>P22</f>
        <v>0.112502575932334</v>
      </c>
      <c r="AE92" s="16">
        <f>P23</f>
        <v>0.07611026818364119</v>
      </c>
      <c r="AF92" s="16">
        <f>P24</f>
        <v>0.110387130200951</v>
      </c>
      <c r="AG92" s="16">
        <f>P25</f>
        <v>-0.0811543222040421</v>
      </c>
      <c r="AH92" s="99">
        <f>P26</f>
        <v>0.0598577323348931</v>
      </c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</row>
    <row r="93" ht="8.35" customHeight="1" hidden="1">
      <c r="AC93" s="36"/>
      <c r="AD93" s="14">
        <f>C22</f>
        <v>3255.3216</v>
      </c>
      <c r="AE93" s="15">
        <f>C23</f>
        <v>3503.085</v>
      </c>
      <c r="AF93" s="15">
        <f>C24</f>
        <v>3889.7805</v>
      </c>
      <c r="AG93" s="15">
        <f>C25</f>
        <v>3574.108</v>
      </c>
      <c r="AH93" s="198">
        <f>C26</f>
        <v>3788.046</v>
      </c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</row>
    <row r="94" ht="8.35" customHeight="1" hidden="1">
      <c r="AC94" s="36"/>
      <c r="AD94" t="s" s="45">
        <v>2</v>
      </c>
      <c r="AE94" t="s" s="44">
        <f>IF(AF94&lt;0,"declined","grew")</f>
        <v>362</v>
      </c>
      <c r="AF94" s="16">
        <f>AH93/AG93-1</f>
        <v>0.0598577323348931</v>
      </c>
      <c r="AG94" t="s" s="44">
        <v>73</v>
      </c>
      <c r="AH94" t="s" s="102">
        <v>74</v>
      </c>
      <c r="AI94" t="s" s="102">
        <v>75</v>
      </c>
      <c r="AJ94" t="s" s="102">
        <v>76</v>
      </c>
      <c r="AK94" s="198">
        <f>AH93</f>
        <v>3788.046</v>
      </c>
      <c r="AL94" t="s" s="102">
        <v>372</v>
      </c>
      <c r="AM94" t="s" s="102">
        <v>378</v>
      </c>
      <c r="AN94" s="99">
        <v>0.0297063450445726</v>
      </c>
      <c r="AO94" t="s" s="102">
        <v>78</v>
      </c>
      <c r="AP94" s="103"/>
      <c r="AQ94" s="103"/>
      <c r="AR94" s="103"/>
      <c r="AS94" s="103"/>
      <c r="AT94" s="103"/>
      <c r="AU94" s="103"/>
    </row>
    <row r="95" ht="8.35" customHeight="1" hidden="1">
      <c r="AC95" s="36"/>
      <c r="AD95" t="s" s="45">
        <v>79</v>
      </c>
      <c r="AE95" s="16">
        <f>AVERAGE(AE92:AH92)</f>
        <v>0.0413002021288608</v>
      </c>
      <c r="AF95" t="s" s="44">
        <v>80</v>
      </c>
      <c r="AG95" s="17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</row>
    <row r="96" ht="8.35" customHeight="1" hidden="1">
      <c r="AC96" s="36"/>
      <c r="AD96" t="s" s="45">
        <v>81</v>
      </c>
      <c r="AE96" s="35">
        <f>AG39</f>
        <v>0.0225</v>
      </c>
      <c r="AF96" t="s" s="44">
        <v>82</v>
      </c>
      <c r="AG96" t="s" s="44">
        <v>83</v>
      </c>
      <c r="AH96" s="199">
        <f>AG42</f>
        <v>4117.016960847</v>
      </c>
      <c r="AI96" t="s" s="102">
        <f>AL94</f>
        <v>372</v>
      </c>
      <c r="AJ96" t="s" s="102">
        <v>84</v>
      </c>
      <c r="AK96" t="s" s="102">
        <f>AH94</f>
        <v>74</v>
      </c>
      <c r="AL96" t="s" s="102">
        <f>AI94</f>
        <v>75</v>
      </c>
      <c r="AM96" t="s" s="102">
        <v>85</v>
      </c>
      <c r="AN96" s="103"/>
      <c r="AO96" s="103"/>
      <c r="AP96" s="103"/>
      <c r="AQ96" s="103"/>
      <c r="AR96" s="103"/>
      <c r="AS96" s="103"/>
      <c r="AT96" s="103"/>
      <c r="AU96" s="103"/>
    </row>
    <row r="97" ht="8.35" customHeight="1" hidden="1">
      <c r="AC97" s="36"/>
      <c r="AD97" t="s" s="45">
        <v>14</v>
      </c>
      <c r="AE97" t="s" s="44">
        <f>IF(AG101&lt;AE101,"down","up")</f>
        <v>87</v>
      </c>
      <c r="AF97" t="s" s="44">
        <v>86</v>
      </c>
      <c r="AG97" t="s" s="44">
        <f>IF(AK101&gt;AI101,"up","down")</f>
        <v>87</v>
      </c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</row>
    <row r="98" ht="8.35" customHeight="1" hidden="1">
      <c r="AC98" s="36"/>
      <c r="AD98" t="s" s="45">
        <f>AD91</f>
        <v>70</v>
      </c>
      <c r="AE98" t="s" s="44">
        <v>474</v>
      </c>
      <c r="AF98" t="s" s="44">
        <f>AL94</f>
        <v>372</v>
      </c>
      <c r="AG98" s="17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  <c r="AU98" s="103"/>
    </row>
    <row r="99" ht="8.35" customHeight="1" hidden="1">
      <c r="AC99" s="36"/>
      <c r="AD99" s="71">
        <f>(D22+E22)/C22</f>
        <v>0.09903169014084511</v>
      </c>
      <c r="AE99" s="16">
        <f>(D23+E23)/C23</f>
        <v>0.155664221678892</v>
      </c>
      <c r="AF99" s="16">
        <f>(D24+E24)/C24</f>
        <v>0.155432780847145</v>
      </c>
      <c r="AG99" s="16">
        <f>(D25+E25)/C25</f>
        <v>0.116078753076292</v>
      </c>
      <c r="AH99" s="99">
        <f>(D26+E26)/C26</f>
        <v>0.0472636815920398</v>
      </c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  <c r="AU99" s="103"/>
    </row>
    <row r="100" ht="8.35" customHeight="1" hidden="1">
      <c r="AC100" s="36"/>
      <c r="AD100" s="14">
        <f>E22</f>
        <v>207.756</v>
      </c>
      <c r="AE100" s="15">
        <f>E23</f>
        <v>429.6775</v>
      </c>
      <c r="AF100" s="15">
        <f>E24</f>
        <v>487.118</v>
      </c>
      <c r="AG100" s="15">
        <f>E25</f>
        <v>293.2</v>
      </c>
      <c r="AH100" s="198">
        <f>E26</f>
        <v>50.256</v>
      </c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</row>
    <row r="101" ht="8.35" customHeight="1" hidden="1">
      <c r="AC101" s="36"/>
      <c r="AD101" t="s" s="45">
        <v>89</v>
      </c>
      <c r="AE101" s="16">
        <f>AG99</f>
        <v>0.116078753076292</v>
      </c>
      <c r="AF101" t="s" s="44">
        <v>76</v>
      </c>
      <c r="AG101" s="16">
        <f>AH99</f>
        <v>0.0472636815920398</v>
      </c>
      <c r="AH101" t="s" s="102">
        <v>90</v>
      </c>
      <c r="AI101" s="198">
        <f>AG100</f>
        <v>293.2</v>
      </c>
      <c r="AJ101" t="s" s="102">
        <v>76</v>
      </c>
      <c r="AK101" s="198">
        <f>AH100</f>
        <v>50.256</v>
      </c>
      <c r="AL101" t="s" s="102">
        <f>AI96</f>
        <v>372</v>
      </c>
      <c r="AM101" t="s" s="102">
        <v>73</v>
      </c>
      <c r="AN101" t="s" s="102">
        <f>AK96</f>
        <v>74</v>
      </c>
      <c r="AO101" t="s" s="102">
        <v>91</v>
      </c>
      <c r="AP101" s="103"/>
      <c r="AQ101" s="103"/>
      <c r="AR101" s="103"/>
      <c r="AS101" s="103"/>
      <c r="AT101" s="103"/>
      <c r="AU101" s="103"/>
    </row>
    <row r="102" ht="8.35" customHeight="1" hidden="1">
      <c r="AC102" s="36"/>
      <c r="AD102" t="s" s="45">
        <v>92</v>
      </c>
      <c r="AE102" s="16">
        <f>AVERAGE(AE99:AH99)</f>
        <v>0.118609859298592</v>
      </c>
      <c r="AF102" t="s" s="44">
        <v>78</v>
      </c>
      <c r="AG102" s="17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  <c r="AU102" s="103"/>
    </row>
    <row r="103" ht="8.35" customHeight="1" hidden="1">
      <c r="AC103" s="36"/>
      <c r="AD103" t="s" s="45">
        <v>93</v>
      </c>
      <c r="AE103" s="35">
        <f>AD43</f>
        <v>0.0734314142570309</v>
      </c>
      <c r="AF103" t="s" s="44">
        <v>94</v>
      </c>
      <c r="AG103" s="15">
        <f>AG56</f>
        <v>179.671577955178</v>
      </c>
      <c r="AH103" t="s" s="102">
        <f>AL101</f>
        <v>372</v>
      </c>
      <c r="AI103" t="s" s="102">
        <v>95</v>
      </c>
      <c r="AJ103" t="s" s="102">
        <f>AN101</f>
        <v>74</v>
      </c>
      <c r="AK103" t="s" s="102">
        <f>AI94</f>
        <v>75</v>
      </c>
      <c r="AL103" t="s" s="102">
        <f>AM96</f>
        <v>85</v>
      </c>
      <c r="AM103" s="103"/>
      <c r="AN103" s="103"/>
      <c r="AO103" s="103"/>
      <c r="AP103" s="103"/>
      <c r="AQ103" s="103"/>
      <c r="AR103" s="103"/>
      <c r="AS103" s="103"/>
      <c r="AT103" s="103"/>
      <c r="AU103" s="103"/>
    </row>
    <row r="104" ht="8.35" customHeight="1" hidden="1">
      <c r="AC104" s="36"/>
      <c r="AD104" t="s" s="45">
        <v>15</v>
      </c>
      <c r="AE104" t="s" s="44">
        <f>IF(AG108&lt;AE108,"lower","higher")</f>
        <v>104</v>
      </c>
      <c r="AF104" s="17"/>
      <c r="AG104" s="17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  <c r="AU104" s="103"/>
    </row>
    <row r="105" ht="8.35" customHeight="1" hidden="1">
      <c r="AC105" s="36"/>
      <c r="AD105" t="s" s="45">
        <f>AD98</f>
        <v>70</v>
      </c>
      <c r="AE105" t="s" s="44">
        <v>96</v>
      </c>
      <c r="AF105" t="s" s="44">
        <f>AL94</f>
        <v>372</v>
      </c>
      <c r="AG105" s="17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  <c r="AU105" s="103"/>
    </row>
    <row r="106" ht="8.35" customHeight="1" hidden="1">
      <c r="AC106" s="36"/>
      <c r="AD106" s="14">
        <f>J22</f>
        <v>60.1776</v>
      </c>
      <c r="AE106" s="15">
        <f>J23</f>
        <v>-72.80249999999999</v>
      </c>
      <c r="AF106" s="15">
        <f>J24</f>
        <v>362.4731</v>
      </c>
      <c r="AG106" s="15">
        <f>J25</f>
        <v>281.472</v>
      </c>
      <c r="AH106" s="198">
        <f>J26</f>
        <v>-100.512</v>
      </c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</row>
    <row r="107" ht="8.35" customHeight="1" hidden="1">
      <c r="AC107" s="36"/>
      <c r="AD107" s="14">
        <f>K22</f>
        <v>-126.0864</v>
      </c>
      <c r="AE107" s="15">
        <f>K23</f>
        <v>-205.56</v>
      </c>
      <c r="AF107" s="15">
        <f>K24</f>
        <v>-196.2799</v>
      </c>
      <c r="AG107" s="15">
        <f>K25</f>
        <v>-8.795999999999999</v>
      </c>
      <c r="AH107" s="198">
        <f>K26</f>
        <v>-86.3775</v>
      </c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  <c r="AU107" s="103"/>
    </row>
    <row r="108" ht="8.35" customHeight="1" hidden="1">
      <c r="AC108" s="36"/>
      <c r="AD108" t="s" s="45">
        <v>97</v>
      </c>
      <c r="AE108" s="15">
        <f>AG106+AG107</f>
        <v>272.676</v>
      </c>
      <c r="AF108" t="s" s="44">
        <v>76</v>
      </c>
      <c r="AG108" s="15">
        <f>AH106+AH107</f>
        <v>-186.8895</v>
      </c>
      <c r="AH108" t="s" s="102">
        <f>AH103</f>
        <v>372</v>
      </c>
      <c r="AI108" t="s" s="102">
        <v>84</v>
      </c>
      <c r="AJ108" t="s" s="102">
        <f>AJ103</f>
        <v>74</v>
      </c>
      <c r="AK108" t="s" s="102">
        <v>98</v>
      </c>
      <c r="AL108" s="198">
        <f>AH107</f>
        <v>-86.3775</v>
      </c>
      <c r="AM108" t="s" s="102">
        <f>AL94</f>
        <v>372</v>
      </c>
      <c r="AN108" t="s" s="102">
        <v>99</v>
      </c>
      <c r="AO108" s="103"/>
      <c r="AP108" s="103"/>
      <c r="AQ108" s="103"/>
      <c r="AR108" s="103"/>
      <c r="AS108" s="103"/>
      <c r="AT108" s="103"/>
      <c r="AU108" s="103"/>
    </row>
    <row r="109" ht="8.35" customHeight="1" hidden="1">
      <c r="AC109" s="36"/>
      <c r="AD109" t="s" s="45">
        <v>100</v>
      </c>
      <c r="AE109" s="15">
        <f>SUM(AE106:AH107)/4</f>
        <v>-6.5957</v>
      </c>
      <c r="AF109" t="s" s="44">
        <f>AL94</f>
        <v>372</v>
      </c>
      <c r="AG109" t="s" s="44">
        <v>78</v>
      </c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  <c r="AU109" s="103"/>
    </row>
    <row r="110" ht="8.35" customHeight="1" hidden="1">
      <c r="AC110" s="36"/>
      <c r="AD110" t="s" s="45">
        <v>101</v>
      </c>
      <c r="AE110" s="15">
        <f>AD44</f>
        <v>-147.975085714286</v>
      </c>
      <c r="AF110" t="s" s="44">
        <f>AF109</f>
        <v>372</v>
      </c>
      <c r="AG110" t="s" s="44">
        <v>102</v>
      </c>
      <c r="AH110" t="s" s="102">
        <v>103</v>
      </c>
      <c r="AI110" t="s" s="102">
        <f>IF(AH96&gt;AK94,"higher","lower")</f>
        <v>363</v>
      </c>
      <c r="AJ110" t="s" s="102">
        <v>105</v>
      </c>
      <c r="AK110" s="198">
        <f>SUM(AD45:AG45)/4</f>
        <v>150.000946662973</v>
      </c>
      <c r="AL110" t="s" s="102">
        <f>AF110</f>
        <v>372</v>
      </c>
      <c r="AM110" t="s" s="102">
        <v>106</v>
      </c>
      <c r="AN110" t="s" s="102">
        <v>107</v>
      </c>
      <c r="AO110" s="103"/>
      <c r="AP110" s="103"/>
      <c r="AQ110" s="103"/>
      <c r="AR110" s="103"/>
      <c r="AS110" s="103"/>
      <c r="AT110" s="103"/>
      <c r="AU110" s="103"/>
    </row>
    <row r="111" ht="8.35" customHeight="1" hidden="1">
      <c r="AC111" s="36"/>
      <c r="AD111" t="s" s="45">
        <v>18</v>
      </c>
      <c r="AE111" t="s" s="44">
        <f>AL116</f>
        <v>87</v>
      </c>
      <c r="AF111" s="17"/>
      <c r="AG111" s="17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103"/>
    </row>
    <row r="112" ht="8.35" customHeight="1" hidden="1">
      <c r="AC112" s="36"/>
      <c r="AD112" t="s" s="45">
        <f>AD91</f>
        <v>70</v>
      </c>
      <c r="AE112" t="s" s="44">
        <v>109</v>
      </c>
      <c r="AF112" t="s" s="44">
        <f>AL94</f>
        <v>372</v>
      </c>
      <c r="AG112" s="17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</row>
    <row r="113" ht="8.35" customHeight="1" hidden="1">
      <c r="AC113" s="36"/>
      <c r="AD113" s="14">
        <f>F22</f>
        <v>630.432</v>
      </c>
      <c r="AE113" s="15">
        <f>F23</f>
        <v>728.025</v>
      </c>
      <c r="AF113" s="15">
        <f>F24</f>
        <v>845.293</v>
      </c>
      <c r="AG113" s="15">
        <f>F25</f>
        <v>776.98</v>
      </c>
      <c r="AH113" s="198">
        <f>F26</f>
        <v>266.985</v>
      </c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</row>
    <row r="114" ht="8.35" customHeight="1" hidden="1">
      <c r="AC114" s="36"/>
      <c r="AD114" s="14">
        <f>G22</f>
        <v>5917.464</v>
      </c>
      <c r="AE114" s="15">
        <f>G23</f>
        <v>6309.55</v>
      </c>
      <c r="AF114" s="15">
        <f>G24</f>
        <v>6318.207</v>
      </c>
      <c r="AG114" s="15">
        <f>G25</f>
        <v>6626.32</v>
      </c>
      <c r="AH114" s="198">
        <f>G26</f>
        <v>6470.46</v>
      </c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</row>
    <row r="115" ht="8.35" customHeight="1" hidden="1">
      <c r="AC115" s="36"/>
      <c r="AD115" t="s" s="45">
        <v>110</v>
      </c>
      <c r="AE115" t="s" s="44">
        <f>IF(AH115&lt;AF115,"declined","increased")</f>
        <v>370</v>
      </c>
      <c r="AF115" s="15">
        <f>AG113</f>
        <v>776.98</v>
      </c>
      <c r="AG115" t="s" s="44">
        <v>76</v>
      </c>
      <c r="AH115" s="198">
        <f>AH113</f>
        <v>266.985</v>
      </c>
      <c r="AI115" t="s" s="102">
        <f>AL110</f>
        <v>372</v>
      </c>
      <c r="AJ115" t="s" s="102">
        <v>84</v>
      </c>
      <c r="AK115" t="s" s="102">
        <f>AH94</f>
        <v>74</v>
      </c>
      <c r="AL115" t="s" s="102">
        <f>AO101</f>
        <v>91</v>
      </c>
      <c r="AM115" s="103"/>
      <c r="AN115" s="103"/>
      <c r="AO115" s="103"/>
      <c r="AP115" s="103"/>
      <c r="AQ115" s="103"/>
      <c r="AR115" s="103"/>
      <c r="AS115" s="103"/>
      <c r="AT115" s="103"/>
      <c r="AU115" s="103"/>
    </row>
    <row r="116" ht="8.35" customHeight="1" hidden="1">
      <c r="AC116" s="36"/>
      <c r="AD116" t="s" s="45">
        <v>112</v>
      </c>
      <c r="AE116" t="s" s="44">
        <f>IF(AH116&lt;AF116,"declined","increased")</f>
        <v>370</v>
      </c>
      <c r="AF116" s="15">
        <f>AG114</f>
        <v>6626.32</v>
      </c>
      <c r="AG116" t="s" s="44">
        <v>76</v>
      </c>
      <c r="AH116" s="198">
        <f>AH114</f>
        <v>6470.46</v>
      </c>
      <c r="AI116" t="s" s="102">
        <f>AI115</f>
        <v>372</v>
      </c>
      <c r="AJ116" t="s" s="102">
        <v>113</v>
      </c>
      <c r="AK116" t="s" s="102">
        <v>114</v>
      </c>
      <c r="AL116" t="s" s="102">
        <f>IF(AO116&lt;AM116,"down","up")</f>
        <v>87</v>
      </c>
      <c r="AM116" s="198">
        <f>AF115-AF116</f>
        <v>-5849.34</v>
      </c>
      <c r="AN116" t="s" s="102">
        <v>76</v>
      </c>
      <c r="AO116" s="198">
        <f>AH115-AH116</f>
        <v>-6203.475</v>
      </c>
      <c r="AP116" t="s" s="102">
        <f>AI116</f>
        <v>372</v>
      </c>
      <c r="AQ116" t="s" s="102">
        <v>115</v>
      </c>
      <c r="AR116" s="103"/>
      <c r="AS116" s="103"/>
      <c r="AT116" s="103"/>
      <c r="AU116" s="103"/>
    </row>
    <row r="117" ht="8.35" customHeight="1" hidden="1">
      <c r="AC117" s="36"/>
      <c r="AD117" t="s" s="45">
        <v>116</v>
      </c>
      <c r="AE117" s="15">
        <f>SUM(AD48:AG48)</f>
        <v>0</v>
      </c>
      <c r="AF117" t="s" s="44">
        <f>AI116</f>
        <v>372</v>
      </c>
      <c r="AG117" t="s" s="44">
        <v>117</v>
      </c>
      <c r="AH117" t="s" s="102">
        <f>IF(AI117&gt;0,"+","")</f>
      </c>
      <c r="AI117" s="198">
        <f>AD46+AE46+AF46+AG46+AD50+AE50+AF50+AG50</f>
        <v>-600.003786651892</v>
      </c>
      <c r="AJ117" t="s" s="102">
        <f>AP116</f>
        <v>372</v>
      </c>
      <c r="AK117" t="s" s="102">
        <v>118</v>
      </c>
      <c r="AL117" t="s" s="102">
        <v>119</v>
      </c>
      <c r="AM117" s="198">
        <f>AG65</f>
        <v>-5603.471213348110</v>
      </c>
      <c r="AN117" t="s" s="102">
        <f>AI116</f>
        <v>372</v>
      </c>
      <c r="AO117" t="s" s="102">
        <v>120</v>
      </c>
      <c r="AP117" s="103"/>
      <c r="AQ117" s="103"/>
      <c r="AR117" s="103"/>
      <c r="AS117" s="103"/>
      <c r="AT117" s="103"/>
      <c r="AU117" s="103"/>
    </row>
    <row r="118" ht="8.35" customHeight="1" hidden="1">
      <c r="AC118" s="36"/>
      <c r="AD118" t="s" s="45">
        <v>17</v>
      </c>
      <c r="AE118" t="s" s="44">
        <f>AE122</f>
        <v>374</v>
      </c>
      <c r="AF118" s="17"/>
      <c r="AG118" s="17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  <c r="AU118" s="103"/>
    </row>
    <row r="119" ht="8.35" customHeight="1" hidden="1">
      <c r="AC119" s="36"/>
      <c r="AD119" t="s" s="45">
        <f>AD91</f>
        <v>70</v>
      </c>
      <c r="AE119" t="s" s="44">
        <v>379</v>
      </c>
      <c r="AF119" t="s" s="44">
        <f>AL94</f>
        <v>372</v>
      </c>
      <c r="AG119" s="17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  <c r="AU119" s="103"/>
    </row>
    <row r="120" ht="8.35" customHeight="1" hidden="1">
      <c r="AC120" s="36"/>
      <c r="AD120" s="14">
        <f>-L22</f>
        <v>127.146672</v>
      </c>
      <c r="AE120" s="15">
        <f>-L23</f>
        <v>-435.887125</v>
      </c>
      <c r="AF120" s="15">
        <f>-L24</f>
        <v>54.4426</v>
      </c>
      <c r="AG120" s="15">
        <f>-L25</f>
        <v>359.17</v>
      </c>
      <c r="AH120" s="198">
        <f>-L26</f>
        <v>-271.6965</v>
      </c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  <c r="AU120" s="103"/>
    </row>
    <row r="121" ht="8.35" customHeight="1" hidden="1">
      <c r="AC121" s="36"/>
      <c r="AD121" s="14">
        <f>-M22</f>
        <v>0</v>
      </c>
      <c r="AE121" s="15">
        <f>-M23</f>
        <v>-4.2825</v>
      </c>
      <c r="AF121" s="15">
        <f>-M24</f>
        <v>0</v>
      </c>
      <c r="AG121" s="15">
        <f>-M25</f>
        <v>0</v>
      </c>
      <c r="AH121" s="198">
        <f>-M26</f>
        <v>651.7575000000001</v>
      </c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  <c r="AU121" s="103"/>
    </row>
    <row r="122" ht="8.35" customHeight="1" hidden="1">
      <c r="AC122" s="36"/>
      <c r="AD122" t="s" s="100">
        <f>AD83</f>
        <v>620</v>
      </c>
      <c r="AE122" t="s" s="44">
        <f>IF(AF122&gt;0,"paid","(raised)")</f>
        <v>374</v>
      </c>
      <c r="AF122" s="15">
        <f>SUM(AH120:AH121)</f>
        <v>380.061</v>
      </c>
      <c r="AG122" t="s" s="44">
        <f>AL94</f>
        <v>372</v>
      </c>
      <c r="AH122" t="s" s="102">
        <f>AG94</f>
        <v>73</v>
      </c>
      <c r="AI122" t="s" s="102">
        <f>AH94</f>
        <v>74</v>
      </c>
      <c r="AJ122" t="s" s="102">
        <f>AI94</f>
        <v>75</v>
      </c>
      <c r="AK122" s="198">
        <f>AH120</f>
        <v>-271.6965</v>
      </c>
      <c r="AL122" t="s" s="102">
        <f>AL94</f>
        <v>372</v>
      </c>
      <c r="AM122" t="s" s="102">
        <v>123</v>
      </c>
      <c r="AN122" s="198">
        <f>AH121</f>
        <v>651.7575000000001</v>
      </c>
      <c r="AO122" t="s" s="102">
        <f>AL94</f>
        <v>372</v>
      </c>
      <c r="AP122" t="s" s="102">
        <v>389</v>
      </c>
      <c r="AQ122" t="s" s="102">
        <v>475</v>
      </c>
      <c r="AR122" t="s" s="102">
        <f>IF(AS122&gt;0,"pay","raise")</f>
        <v>364</v>
      </c>
      <c r="AS122" s="198">
        <f>-SUM(AD66:AG66)</f>
        <v>600.003786651892</v>
      </c>
      <c r="AT122" t="s" s="102">
        <f>AL94</f>
        <v>372</v>
      </c>
      <c r="AU122" t="s" s="102">
        <v>126</v>
      </c>
    </row>
    <row r="123" ht="8.35" customHeight="1" hidden="1">
      <c r="AC123" s="36"/>
      <c r="AD123" t="s" s="45">
        <v>375</v>
      </c>
      <c r="AE123" s="15">
        <f>AG70</f>
        <v>3648.0124</v>
      </c>
      <c r="AF123" t="s" s="44">
        <f>AL94</f>
        <v>372</v>
      </c>
      <c r="AG123" t="s" s="44">
        <v>128</v>
      </c>
      <c r="AH123" t="s" s="102">
        <v>129</v>
      </c>
      <c r="AI123" s="101">
        <f>AG72</f>
        <v>0.258825828901443</v>
      </c>
      <c r="AJ123" t="s" s="102">
        <v>130</v>
      </c>
      <c r="AK123" t="s" s="102">
        <v>131</v>
      </c>
      <c r="AL123" t="s" s="102">
        <v>132</v>
      </c>
      <c r="AM123" s="198">
        <f>AG75</f>
        <v>23.7667500059852</v>
      </c>
      <c r="AN123" t="s" s="102">
        <v>133</v>
      </c>
      <c r="AO123" s="99">
        <f>-AE117/AE123</f>
        <v>0</v>
      </c>
      <c r="AP123" t="s" s="102">
        <v>134</v>
      </c>
      <c r="AQ123" s="103"/>
      <c r="AR123" s="103"/>
      <c r="AS123" s="103"/>
      <c r="AT123" s="103"/>
      <c r="AU123" s="103"/>
    </row>
    <row r="124" ht="8.35" customHeight="1" hidden="1">
      <c r="AC124" s="36"/>
      <c r="AD124" t="s" s="45">
        <v>135</v>
      </c>
      <c r="AE124" s="15">
        <f>AG74</f>
        <v>600.003786651892</v>
      </c>
      <c r="AF124" t="s" s="44">
        <f>AF123</f>
        <v>372</v>
      </c>
      <c r="AG124" t="s" s="44">
        <v>136</v>
      </c>
      <c r="AH124" s="198">
        <f>AE123/AE124</f>
        <v>6.07998229537256</v>
      </c>
      <c r="AI124" t="s" s="102">
        <v>130</v>
      </c>
      <c r="AJ124" t="s" s="102">
        <v>137</v>
      </c>
      <c r="AK124" t="s" s="102">
        <v>138</v>
      </c>
      <c r="AL124" s="198">
        <f>AG76</f>
        <v>7</v>
      </c>
      <c r="AM124" t="s" s="102">
        <v>139</v>
      </c>
      <c r="AN124" t="s" s="102">
        <v>140</v>
      </c>
      <c r="AO124" t="s" s="102">
        <v>141</v>
      </c>
      <c r="AP124" s="99">
        <f>AJ83</f>
        <v>0.15131914205205</v>
      </c>
      <c r="AQ124" t="s" s="102">
        <f>IF(AP124&gt;0,"higher","lower")</f>
        <v>363</v>
      </c>
      <c r="AR124" t="s" s="102">
        <v>142</v>
      </c>
      <c r="AS124" s="198">
        <f>AH83</f>
        <v>6418.604216940180</v>
      </c>
      <c r="AT124" t="s" s="102">
        <v>143</v>
      </c>
      <c r="AU124" s="103"/>
    </row>
    <row r="125" ht="8.35" customHeight="1" hidden="1">
      <c r="AC125" s="36"/>
      <c r="AD125" s="34"/>
      <c r="AE125" s="17"/>
      <c r="AF125" s="17"/>
      <c r="AG125" s="17"/>
      <c r="AH125" s="198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  <c r="AU125" s="103"/>
    </row>
    <row r="126" ht="8.35" customHeight="1" hidden="1">
      <c r="AC126" s="36"/>
      <c r="AD126" s="14">
        <f>AD93</f>
        <v>3255.3216</v>
      </c>
      <c r="AE126" s="15">
        <f>AE93</f>
        <v>3503.085</v>
      </c>
      <c r="AF126" s="15">
        <f>AF93</f>
        <v>3889.7805</v>
      </c>
      <c r="AG126" s="15">
        <f>AG93</f>
        <v>3574.108</v>
      </c>
      <c r="AH126" s="198">
        <f>AH93</f>
        <v>3788.046</v>
      </c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  <c r="AU126" s="103"/>
    </row>
    <row r="127" ht="8.35" customHeight="1" hidden="1">
      <c r="AC127" s="36"/>
      <c r="AD127" s="14">
        <f>SUM(AD106:AD107)</f>
        <v>-65.9088</v>
      </c>
      <c r="AE127" s="15">
        <f>SUM(AE106:AE107)</f>
        <v>-278.3625</v>
      </c>
      <c r="AF127" s="15">
        <f>SUM(AF106:AF107)</f>
        <v>166.1932</v>
      </c>
      <c r="AG127" s="15">
        <f>SUM(AG106:AG107)</f>
        <v>272.676</v>
      </c>
      <c r="AH127" s="198">
        <f>SUM(AH106:AH107)</f>
        <v>-186.8895</v>
      </c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  <c r="AU127" s="103"/>
    </row>
    <row r="128" ht="8.35" customHeight="1" hidden="1">
      <c r="AC128" s="36"/>
      <c r="AD128" s="14">
        <f>SUM(AD120:AD121)</f>
        <v>127.146672</v>
      </c>
      <c r="AE128" s="15">
        <f>SUM(AE120:AE121)</f>
        <v>-440.169625</v>
      </c>
      <c r="AF128" s="15">
        <f>SUM(AF120:AF121)</f>
        <v>54.4426</v>
      </c>
      <c r="AG128" s="15">
        <f>SUM(AG120:AG121)</f>
        <v>359.17</v>
      </c>
      <c r="AH128" s="198">
        <f>SUM(AH120:AH121)</f>
        <v>380.061</v>
      </c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  <c r="AU128" s="103"/>
    </row>
    <row r="129" ht="8.35" customHeight="1" hidden="1">
      <c r="AC129" s="36"/>
      <c r="AD129" s="14">
        <f>AD113-AD114</f>
        <v>-5287.032</v>
      </c>
      <c r="AE129" s="15">
        <f>AE113-AE114</f>
        <v>-5581.525</v>
      </c>
      <c r="AF129" s="15">
        <f>AF113-AF114</f>
        <v>-5472.914</v>
      </c>
      <c r="AG129" s="15">
        <f>AG113-AG114</f>
        <v>-5849.34</v>
      </c>
      <c r="AH129" s="198">
        <f>AH113-AH114</f>
        <v>-6203.475</v>
      </c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  <c r="AU129" s="103"/>
    </row>
    <row r="130" ht="8.35" customHeight="1" hidden="1">
      <c r="AC130" s="36"/>
      <c r="AD130" s="34"/>
      <c r="AE130" s="17"/>
      <c r="AF130" s="17"/>
      <c r="AG130" s="17"/>
      <c r="AH130" s="198">
        <f>AS124</f>
        <v>6418.604216940180</v>
      </c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  <c r="AU130" s="103"/>
    </row>
    <row r="131" ht="8.35" customHeight="1" hidden="1">
      <c r="AC131" s="36"/>
      <c r="AD131" s="34"/>
      <c r="AE131" s="17"/>
      <c r="AF131" s="17"/>
      <c r="AG131" s="17"/>
      <c r="AH131" s="198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  <c r="AU131" s="103"/>
    </row>
    <row r="132" ht="8.35" customHeight="1" hidden="1">
      <c r="AC132" s="36"/>
      <c r="AD132" s="34"/>
      <c r="AE132" s="17"/>
      <c r="AF132" s="17"/>
      <c r="AG132" s="17"/>
      <c r="AH132" s="198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  <c r="AU132" s="103"/>
    </row>
    <row r="133" ht="8.35" customHeight="1" hidden="1">
      <c r="AC133" s="36"/>
      <c r="AD133" s="34"/>
      <c r="AE133" s="17"/>
      <c r="AF133" s="17"/>
      <c r="AG133" s="17"/>
      <c r="AH133" s="198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  <c r="AU133" s="103"/>
    </row>
    <row r="134" ht="8.35" customHeight="1" hidden="1">
      <c r="AC134" s="36"/>
      <c r="AD134" s="34"/>
      <c r="AE134" s="17"/>
      <c r="AF134" s="17"/>
      <c r="AG134" s="17"/>
      <c r="AH134" s="198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</row>
    <row r="135" ht="8.35" customHeight="1" hidden="1">
      <c r="AC135" s="36"/>
      <c r="AD135" s="34"/>
      <c r="AE135" s="17"/>
      <c r="AF135" s="17"/>
      <c r="AG135" s="17"/>
      <c r="AH135" s="198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</row>
    <row r="136" ht="8.35" customHeight="1" hidden="1">
      <c r="AC136" s="36"/>
      <c r="AD136" s="34"/>
      <c r="AE136" s="17"/>
      <c r="AF136" s="17"/>
      <c r="AG136" s="17"/>
      <c r="AH136" s="198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  <c r="AU136" s="103"/>
    </row>
    <row r="137" ht="8.35" customHeight="1" hidden="1">
      <c r="AC137" s="36"/>
      <c r="AD137" s="34"/>
      <c r="AE137" s="17"/>
      <c r="AF137" s="17"/>
      <c r="AG137" s="17"/>
      <c r="AH137" s="198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  <c r="AU137" s="103"/>
    </row>
  </sheetData>
  <mergeCells count="2">
    <mergeCell ref="B2:AB2"/>
    <mergeCell ref="AC36:AU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6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65" customWidth="1"/>
    <col min="2" max="28" width="10.4844" style="265" customWidth="1"/>
    <col min="29" max="29" width="18.9766" style="266" customWidth="1"/>
    <col min="30" max="48" width="9" style="266" customWidth="1"/>
    <col min="49" max="16384" width="16.3516" style="266" customWidth="1"/>
  </cols>
  <sheetData>
    <row r="1" ht="11.65" customHeight="1"/>
    <row r="2" ht="27.65" customHeight="1">
      <c r="B2" t="s" s="2">
        <v>621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158</v>
      </c>
      <c r="AA3" t="s" s="3">
        <v>19</v>
      </c>
      <c r="AB3" t="s" s="3">
        <v>20</v>
      </c>
    </row>
    <row r="4" ht="20.25" customHeight="1">
      <c r="B4" s="6">
        <v>2017</v>
      </c>
      <c r="C4" s="7">
        <v>2952.6</v>
      </c>
      <c r="D4" s="8">
        <v>273.98</v>
      </c>
      <c r="E4" s="8">
        <v>266</v>
      </c>
      <c r="F4" s="8">
        <v>3019.1</v>
      </c>
      <c r="G4" s="8">
        <v>15095.5</v>
      </c>
      <c r="H4" s="8">
        <v>25256.7</v>
      </c>
      <c r="I4" s="8">
        <v>2181.2</v>
      </c>
      <c r="J4" s="8">
        <v>159.6</v>
      </c>
      <c r="K4" s="8">
        <v>-199.5</v>
      </c>
      <c r="L4" s="8">
        <v>-219.45</v>
      </c>
      <c r="M4" s="8">
        <v>33.25</v>
      </c>
      <c r="N4" s="59"/>
      <c r="O4" s="8"/>
      <c r="P4" s="9"/>
      <c r="Q4" s="9"/>
      <c r="R4" s="9"/>
      <c r="S4" s="9"/>
      <c r="T4" s="9"/>
      <c r="U4" s="9"/>
      <c r="V4" s="8">
        <f>-(L4+M4)</f>
        <v>186.2</v>
      </c>
      <c r="W4" s="9"/>
      <c r="X4" s="8">
        <f>F4-G4</f>
        <v>-12076.4</v>
      </c>
      <c r="Y4" s="9"/>
      <c r="Z4" s="8"/>
      <c r="AA4" s="11"/>
      <c r="AB4" s="12">
        <v>13.3</v>
      </c>
    </row>
    <row r="5" ht="20.05" customHeight="1">
      <c r="B5" s="13"/>
      <c r="C5" s="14">
        <v>3078.537</v>
      </c>
      <c r="D5" s="15">
        <v>274.5362</v>
      </c>
      <c r="E5" s="15">
        <v>359.829</v>
      </c>
      <c r="F5" s="15">
        <v>3558.309</v>
      </c>
      <c r="G5" s="15">
        <v>14952.894</v>
      </c>
      <c r="H5" s="15">
        <v>25521.205</v>
      </c>
      <c r="I5" s="15">
        <v>3491.674</v>
      </c>
      <c r="J5" s="15">
        <v>413.137</v>
      </c>
      <c r="K5" s="15">
        <v>53.308</v>
      </c>
      <c r="L5" s="15">
        <v>54.6407</v>
      </c>
      <c r="M5" s="15">
        <v>11.9943</v>
      </c>
      <c r="N5" s="26"/>
      <c r="O5" s="15"/>
      <c r="P5" s="17"/>
      <c r="Q5" s="17"/>
      <c r="R5" s="17"/>
      <c r="S5" s="17"/>
      <c r="T5" s="17"/>
      <c r="U5" s="17"/>
      <c r="V5" s="15">
        <f>-(L5+M5)+V4</f>
        <v>119.565</v>
      </c>
      <c r="W5" s="17"/>
      <c r="X5" s="15">
        <f>F5-G5</f>
        <v>-11394.585</v>
      </c>
      <c r="Y5" s="17"/>
      <c r="Z5" s="15"/>
      <c r="AA5" s="19"/>
      <c r="AB5" s="20">
        <v>13.327</v>
      </c>
    </row>
    <row r="6" ht="20.05" customHeight="1">
      <c r="B6" s="13"/>
      <c r="C6" s="14">
        <v>3219.81</v>
      </c>
      <c r="D6" s="15">
        <v>290.049</v>
      </c>
      <c r="E6" s="15">
        <v>385.845</v>
      </c>
      <c r="F6" s="15">
        <v>4137.855</v>
      </c>
      <c r="G6" s="15">
        <v>14768.55</v>
      </c>
      <c r="H6" s="15">
        <v>25691.955</v>
      </c>
      <c r="I6" s="15">
        <v>4763.19</v>
      </c>
      <c r="J6" s="15">
        <v>1290.585</v>
      </c>
      <c r="K6" s="15">
        <v>-345.93</v>
      </c>
      <c r="L6" s="15">
        <v>-375.201</v>
      </c>
      <c r="M6" s="15">
        <v>2.661</v>
      </c>
      <c r="N6" s="26"/>
      <c r="O6" s="15"/>
      <c r="P6" s="17"/>
      <c r="Q6" s="17"/>
      <c r="R6" s="17"/>
      <c r="S6" s="17"/>
      <c r="T6" s="17"/>
      <c r="U6" s="17"/>
      <c r="V6" s="15">
        <f>-(L6+M6)+V5</f>
        <v>492.105</v>
      </c>
      <c r="W6" s="17"/>
      <c r="X6" s="15">
        <f>F6-G6</f>
        <v>-10630.695</v>
      </c>
      <c r="Y6" s="17"/>
      <c r="Z6" s="15"/>
      <c r="AA6" s="19"/>
      <c r="AB6" s="20">
        <v>13.305</v>
      </c>
    </row>
    <row r="7" ht="20.05" customHeight="1">
      <c r="B7" s="13"/>
      <c r="C7" s="14">
        <v>5477.028</v>
      </c>
      <c r="D7" s="15">
        <v>733.4337</v>
      </c>
      <c r="E7" s="15">
        <v>3335.022</v>
      </c>
      <c r="F7" s="15">
        <v>8432.454</v>
      </c>
      <c r="G7" s="15">
        <v>34177.197</v>
      </c>
      <c r="H7" s="15">
        <v>49293.252</v>
      </c>
      <c r="I7" s="15">
        <v>6561.588</v>
      </c>
      <c r="J7" s="15">
        <v>623.622</v>
      </c>
      <c r="K7" s="15">
        <v>-4012.872</v>
      </c>
      <c r="L7" s="15">
        <v>7654.2822</v>
      </c>
      <c r="M7" s="15">
        <v>-48.8052</v>
      </c>
      <c r="N7" s="26"/>
      <c r="O7" s="15"/>
      <c r="P7" s="17"/>
      <c r="Q7" s="17"/>
      <c r="R7" s="17"/>
      <c r="S7" s="17"/>
      <c r="T7" s="17"/>
      <c r="U7" s="17"/>
      <c r="V7" s="15">
        <f>-(L7+M7)+V6</f>
        <v>-7113.372</v>
      </c>
      <c r="W7" s="17"/>
      <c r="X7" s="15">
        <f>F7-G7</f>
        <v>-25744.743</v>
      </c>
      <c r="Y7" s="17"/>
      <c r="Z7" s="15"/>
      <c r="AA7" s="19"/>
      <c r="AB7" s="20">
        <v>13.557</v>
      </c>
    </row>
    <row r="8" ht="20.05" customHeight="1">
      <c r="B8" s="21">
        <v>2018</v>
      </c>
      <c r="C8" s="14">
        <v>11132.649</v>
      </c>
      <c r="D8" s="15">
        <v>831.1644</v>
      </c>
      <c r="E8" s="15">
        <v>894.465</v>
      </c>
      <c r="F8" s="15">
        <v>10086.813</v>
      </c>
      <c r="G8" s="15">
        <v>35255.682</v>
      </c>
      <c r="H8" s="15">
        <v>51507.423</v>
      </c>
      <c r="I8" s="15">
        <v>10472.121</v>
      </c>
      <c r="J8" s="15">
        <v>2614.59</v>
      </c>
      <c r="K8" s="15">
        <v>-688.05</v>
      </c>
      <c r="L8" s="15">
        <v>-385.308</v>
      </c>
      <c r="M8" s="15">
        <v>0</v>
      </c>
      <c r="N8" s="15">
        <f>SUM(C5:C8)/4</f>
        <v>5727.006</v>
      </c>
      <c r="O8" s="15"/>
      <c r="P8" s="16"/>
      <c r="Q8" s="16">
        <f>((D8+E8)/C8)</f>
        <v>0.155006180469716</v>
      </c>
      <c r="R8" s="16"/>
      <c r="S8" s="17"/>
      <c r="T8" s="15">
        <f>SUM(J5:K8)/4</f>
        <v>-12.9025</v>
      </c>
      <c r="U8" s="17"/>
      <c r="V8" s="15">
        <f>-(L8+M8)+V7</f>
        <v>-6728.064</v>
      </c>
      <c r="W8" s="17"/>
      <c r="X8" s="15">
        <f>F8-G8</f>
        <v>-25168.869</v>
      </c>
      <c r="Y8" s="24"/>
      <c r="Z8" s="18">
        <v>3530</v>
      </c>
      <c r="AA8" s="22"/>
      <c r="AB8" s="20">
        <v>13.761</v>
      </c>
    </row>
    <row r="9" ht="20.05" customHeight="1">
      <c r="B9" s="13"/>
      <c r="C9" s="14">
        <v>8932</v>
      </c>
      <c r="D9" s="15">
        <v>900.2</v>
      </c>
      <c r="E9" s="15">
        <v>294</v>
      </c>
      <c r="F9" s="15">
        <v>8386</v>
      </c>
      <c r="G9" s="15">
        <v>33796</v>
      </c>
      <c r="H9" s="15">
        <v>49882</v>
      </c>
      <c r="I9" s="15">
        <v>10346</v>
      </c>
      <c r="J9" s="15">
        <v>-728</v>
      </c>
      <c r="K9" s="15">
        <v>-448</v>
      </c>
      <c r="L9" s="15">
        <v>70</v>
      </c>
      <c r="M9" s="15">
        <v>-728</v>
      </c>
      <c r="N9" s="15">
        <f>SUM(C6:C9)/4</f>
        <v>7190.37175</v>
      </c>
      <c r="O9" s="15"/>
      <c r="P9" s="16"/>
      <c r="Q9" s="16">
        <f>((D9+E9)/C9)</f>
        <v>0.133699059561129</v>
      </c>
      <c r="R9" s="16"/>
      <c r="S9" s="17"/>
      <c r="T9" s="15">
        <f>SUM(J6:K9)/4</f>
        <v>-423.51375</v>
      </c>
      <c r="U9" s="17"/>
      <c r="V9" s="15">
        <f>-(L9+M9)+V8</f>
        <v>-6070.064</v>
      </c>
      <c r="W9" s="17"/>
      <c r="X9" s="15">
        <f>F9-G9</f>
        <v>-25410</v>
      </c>
      <c r="Y9" s="24"/>
      <c r="Z9" s="18">
        <v>3420</v>
      </c>
      <c r="AA9" s="22"/>
      <c r="AB9" s="20">
        <v>14</v>
      </c>
    </row>
    <row r="10" ht="20.05" customHeight="1">
      <c r="B10" s="13"/>
      <c r="C10" s="14">
        <v>10923.166</v>
      </c>
      <c r="D10" s="15">
        <v>892.6298</v>
      </c>
      <c r="E10" s="15">
        <v>655.688</v>
      </c>
      <c r="F10" s="15">
        <v>9507.476000000001</v>
      </c>
      <c r="G10" s="15">
        <v>36986.764</v>
      </c>
      <c r="H10" s="15">
        <v>54824.458</v>
      </c>
      <c r="I10" s="15">
        <v>10222.772</v>
      </c>
      <c r="J10" s="15">
        <v>1639.22</v>
      </c>
      <c r="K10" s="15">
        <v>-715.296</v>
      </c>
      <c r="L10" s="15">
        <v>-275.687</v>
      </c>
      <c r="M10" s="15">
        <v>-67.059</v>
      </c>
      <c r="N10" s="15">
        <f>SUM(C7:C10)/4</f>
        <v>9116.21075</v>
      </c>
      <c r="O10" s="15"/>
      <c r="P10" s="16"/>
      <c r="Q10" s="16">
        <f>((D10+E10)/C10)</f>
        <v>0.141746248294679</v>
      </c>
      <c r="R10" s="16"/>
      <c r="S10" s="17"/>
      <c r="T10" s="15">
        <f>SUM(J7:K10)/4</f>
        <v>-428.6965</v>
      </c>
      <c r="U10" s="17"/>
      <c r="V10" s="15">
        <f>-(L10+M10)+V9</f>
        <v>-5727.318</v>
      </c>
      <c r="W10" s="17"/>
      <c r="X10" s="15">
        <f>F10-G10</f>
        <v>-27479.288</v>
      </c>
      <c r="Y10" s="24"/>
      <c r="Z10" s="18">
        <v>2800</v>
      </c>
      <c r="AA10" s="22"/>
      <c r="AB10" s="20">
        <v>14.902</v>
      </c>
    </row>
    <row r="11" ht="20.05" customHeight="1">
      <c r="B11" s="13"/>
      <c r="C11" s="14">
        <v>11259.54</v>
      </c>
      <c r="D11" s="15">
        <v>1066.996</v>
      </c>
      <c r="E11" s="15">
        <v>-460.16</v>
      </c>
      <c r="F11" s="15">
        <v>8814.940000000001</v>
      </c>
      <c r="G11" s="15">
        <v>36568.34</v>
      </c>
      <c r="H11" s="15">
        <v>52774.6</v>
      </c>
      <c r="I11" s="15">
        <v>10583.68</v>
      </c>
      <c r="J11" s="15">
        <v>603.96</v>
      </c>
      <c r="K11" s="15">
        <v>-618.34</v>
      </c>
      <c r="L11" s="15">
        <v>-255.964</v>
      </c>
      <c r="M11" s="15">
        <v>-103.536</v>
      </c>
      <c r="N11" s="15">
        <f>SUM(C8:C11)/4</f>
        <v>10561.83875</v>
      </c>
      <c r="O11" s="15"/>
      <c r="P11" s="16"/>
      <c r="Q11" s="16">
        <f>((D11+E11)/C11)</f>
        <v>0.0538952745849298</v>
      </c>
      <c r="R11" s="16"/>
      <c r="S11" s="17"/>
      <c r="T11" s="15">
        <f>SUM(J8:K11)/4</f>
        <v>415.021</v>
      </c>
      <c r="U11" s="17"/>
      <c r="V11" s="15">
        <f>-(L11+M11)+V10</f>
        <v>-5367.818</v>
      </c>
      <c r="W11" s="17"/>
      <c r="X11" s="15">
        <f>F11-G11</f>
        <v>-27753.4</v>
      </c>
      <c r="Y11" s="24"/>
      <c r="Z11" s="18">
        <v>1585</v>
      </c>
      <c r="AA11" s="22"/>
      <c r="AB11" s="20">
        <v>14.38</v>
      </c>
    </row>
    <row r="12" ht="20.05" customHeight="1">
      <c r="B12" s="21">
        <v>2019</v>
      </c>
      <c r="C12" s="14">
        <v>9982.24</v>
      </c>
      <c r="D12" s="15">
        <v>898.544</v>
      </c>
      <c r="E12" s="15">
        <v>263.44</v>
      </c>
      <c r="F12" s="15">
        <v>10708.48</v>
      </c>
      <c r="G12" s="15">
        <v>37693.28</v>
      </c>
      <c r="H12" s="15">
        <v>53741.76</v>
      </c>
      <c r="I12" s="15">
        <v>9939.52</v>
      </c>
      <c r="J12" s="15">
        <v>1096.48</v>
      </c>
      <c r="K12" s="15">
        <v>-270.56</v>
      </c>
      <c r="L12" s="15">
        <v>1124.96</v>
      </c>
      <c r="M12" s="15">
        <v>0</v>
      </c>
      <c r="N12" s="15">
        <f>SUM(C9:C12)/4</f>
        <v>10274.2365</v>
      </c>
      <c r="O12" s="23"/>
      <c r="P12" s="16"/>
      <c r="Q12" s="16">
        <f>((D12+E12)/C12)</f>
        <v>0.116405135520685</v>
      </c>
      <c r="R12" s="16">
        <f>AVERAGE(Q9:Q12)</f>
        <v>0.111436429490356</v>
      </c>
      <c r="S12" s="17"/>
      <c r="T12" s="15">
        <f>SUM(J9:K12)/4</f>
        <v>139.866</v>
      </c>
      <c r="U12" s="17"/>
      <c r="V12" s="15">
        <f>-(L12+M12)+V11</f>
        <v>-6492.778</v>
      </c>
      <c r="W12" s="17"/>
      <c r="X12" s="15">
        <f>F12-G12</f>
        <v>-26984.8</v>
      </c>
      <c r="Y12" s="24"/>
      <c r="Z12" s="18">
        <v>1825</v>
      </c>
      <c r="AA12" s="22"/>
      <c r="AB12" s="20">
        <v>14.24</v>
      </c>
    </row>
    <row r="13" ht="20.05" customHeight="1">
      <c r="B13" s="13"/>
      <c r="C13" s="14">
        <v>9592.233</v>
      </c>
      <c r="D13" s="15">
        <v>943.6836</v>
      </c>
      <c r="E13" s="15">
        <v>77.6985</v>
      </c>
      <c r="F13" s="15">
        <v>8772.867</v>
      </c>
      <c r="G13" s="15">
        <v>35034.96</v>
      </c>
      <c r="H13" s="15">
        <v>50306.247</v>
      </c>
      <c r="I13" s="15">
        <v>9987.789000000001</v>
      </c>
      <c r="J13" s="15">
        <v>-452.064</v>
      </c>
      <c r="K13" s="15">
        <v>-706.35</v>
      </c>
      <c r="L13" s="15">
        <v>-22.6032</v>
      </c>
      <c r="M13" s="15">
        <v>-634.3022999999999</v>
      </c>
      <c r="N13" s="15">
        <f>SUM(C10:C13)/4</f>
        <v>10439.29475</v>
      </c>
      <c r="O13" s="23"/>
      <c r="P13" s="16"/>
      <c r="Q13" s="16">
        <f>((D13+E13)/C13)</f>
        <v>0.106480117820324</v>
      </c>
      <c r="R13" s="16">
        <f>AVERAGE(Q10:Q13)</f>
        <v>0.104631694055154</v>
      </c>
      <c r="S13" s="17"/>
      <c r="T13" s="15">
        <f>SUM(J10:K13)/4</f>
        <v>144.2625</v>
      </c>
      <c r="U13" s="17"/>
      <c r="V13" s="15">
        <f>-(L13+M13)+V12</f>
        <v>-5835.8725</v>
      </c>
      <c r="W13" s="17"/>
      <c r="X13" s="15">
        <f>F13-G13</f>
        <v>-26262.093</v>
      </c>
      <c r="Y13" s="24"/>
      <c r="Z13" s="18">
        <v>1680</v>
      </c>
      <c r="AA13" s="24"/>
      <c r="AB13" s="15">
        <v>14.127</v>
      </c>
    </row>
    <row r="14" ht="20.05" customHeight="1">
      <c r="B14" s="13"/>
      <c r="C14" s="14">
        <v>9936.5</v>
      </c>
      <c r="D14" s="15">
        <v>894.285</v>
      </c>
      <c r="E14" s="15">
        <v>-205.8275</v>
      </c>
      <c r="F14" s="15">
        <v>8673.145</v>
      </c>
      <c r="G14" s="15">
        <v>37077.34</v>
      </c>
      <c r="H14" s="15">
        <v>52464.72</v>
      </c>
      <c r="I14" s="15">
        <v>9950.695</v>
      </c>
      <c r="J14" s="15">
        <v>1745.985</v>
      </c>
      <c r="K14" s="15">
        <v>-979.455</v>
      </c>
      <c r="L14" s="15">
        <v>-773.6275000000001</v>
      </c>
      <c r="M14" s="15">
        <v>-127.755</v>
      </c>
      <c r="N14" s="15">
        <f>SUM(C11:C14)/4</f>
        <v>10192.62825</v>
      </c>
      <c r="O14" s="23"/>
      <c r="P14" s="16"/>
      <c r="Q14" s="16">
        <f>((D14+E14)/C14)</f>
        <v>0.0692857142857143</v>
      </c>
      <c r="R14" s="16">
        <f>AVERAGE(Q11:Q14)</f>
        <v>0.0865165605529133</v>
      </c>
      <c r="S14" s="17"/>
      <c r="T14" s="15">
        <f>SUM(J11:K14)/4</f>
        <v>104.914</v>
      </c>
      <c r="U14" s="17"/>
      <c r="V14" s="15">
        <f>-(L14+M14)+V13</f>
        <v>-4934.49</v>
      </c>
      <c r="W14" s="17"/>
      <c r="X14" s="15">
        <f>F14-G14</f>
        <v>-28404.195</v>
      </c>
      <c r="Y14" s="24"/>
      <c r="Z14" s="18">
        <v>1315</v>
      </c>
      <c r="AA14" s="24"/>
      <c r="AB14" s="15">
        <v>14.195</v>
      </c>
    </row>
    <row r="15" ht="20.05" customHeight="1">
      <c r="B15" s="13"/>
      <c r="C15" s="14">
        <v>9759.046</v>
      </c>
      <c r="D15" s="15">
        <v>834.3082000000001</v>
      </c>
      <c r="E15" s="15">
        <v>-62.469</v>
      </c>
      <c r="F15" s="15">
        <v>7898.858</v>
      </c>
      <c r="G15" s="15">
        <v>35676.74</v>
      </c>
      <c r="H15" s="15">
        <v>50197.312</v>
      </c>
      <c r="I15" s="15">
        <v>9106.592000000001</v>
      </c>
      <c r="J15" s="15">
        <v>-166.584</v>
      </c>
      <c r="K15" s="15">
        <v>-430.342</v>
      </c>
      <c r="L15" s="15">
        <v>-11.1056</v>
      </c>
      <c r="M15" s="15">
        <v>-16.6584</v>
      </c>
      <c r="N15" s="15">
        <f>SUM(C12:C15)/4</f>
        <v>9817.50475</v>
      </c>
      <c r="O15" s="15"/>
      <c r="P15" s="16"/>
      <c r="Q15" s="16">
        <f>((D15+E15)/C15)</f>
        <v>0.0790896159317212</v>
      </c>
      <c r="R15" s="16">
        <f>AVERAGE(Q12:Q15)</f>
        <v>0.09281514588961109</v>
      </c>
      <c r="S15" s="17"/>
      <c r="T15" s="15">
        <f>SUM(J12:K15)/4</f>
        <v>-40.7225</v>
      </c>
      <c r="U15" s="17"/>
      <c r="V15" s="15">
        <f>-(L15+M15)+V14</f>
        <v>-4906.726</v>
      </c>
      <c r="W15" s="17"/>
      <c r="X15" s="15">
        <f>F15-G15</f>
        <v>-27777.882</v>
      </c>
      <c r="Y15" s="24"/>
      <c r="Z15" s="18">
        <v>1195</v>
      </c>
      <c r="AA15" s="24"/>
      <c r="AB15" s="15">
        <v>13.882</v>
      </c>
    </row>
    <row r="16" ht="20.05" customHeight="1">
      <c r="B16" s="21">
        <v>2020</v>
      </c>
      <c r="C16" s="14">
        <v>10471.02</v>
      </c>
      <c r="D16" s="15">
        <v>1035.685</v>
      </c>
      <c r="E16" s="15">
        <v>-293.58</v>
      </c>
      <c r="F16" s="15">
        <v>9459.799999999999</v>
      </c>
      <c r="G16" s="15">
        <v>41117.51</v>
      </c>
      <c r="H16" s="15">
        <v>57427.51</v>
      </c>
      <c r="I16" s="15">
        <v>10307.92</v>
      </c>
      <c r="J16" s="15">
        <v>1533.14</v>
      </c>
      <c r="K16" s="15">
        <v>-1043.84</v>
      </c>
      <c r="L16" s="15">
        <v>-32.62</v>
      </c>
      <c r="M16" s="15">
        <v>0</v>
      </c>
      <c r="N16" s="15">
        <f>SUM(C13:C16)/4</f>
        <v>9939.69975</v>
      </c>
      <c r="O16" s="15"/>
      <c r="P16" s="16"/>
      <c r="Q16" s="16">
        <f>((D16+E16)/C16)</f>
        <v>0.0708722741433022</v>
      </c>
      <c r="R16" s="16">
        <f>AVERAGE(Q13:Q16)</f>
        <v>0.0814319305452654</v>
      </c>
      <c r="S16" s="17"/>
      <c r="T16" s="15">
        <f>SUM(J13:K16)/4</f>
        <v>-124.8775</v>
      </c>
      <c r="U16" s="17"/>
      <c r="V16" s="15">
        <f>-(L16+M16)+V15</f>
        <v>-4874.106</v>
      </c>
      <c r="W16" s="17"/>
      <c r="X16" s="15">
        <f>F16-G16</f>
        <v>-31657.71</v>
      </c>
      <c r="Y16" s="24"/>
      <c r="Z16" s="18">
        <v>695</v>
      </c>
      <c r="AA16" s="24"/>
      <c r="AB16" s="15">
        <v>16.31</v>
      </c>
    </row>
    <row r="17" ht="20.05" customHeight="1">
      <c r="B17" s="13"/>
      <c r="C17" s="14">
        <v>6942.185</v>
      </c>
      <c r="D17" s="15">
        <v>918.022</v>
      </c>
      <c r="E17" s="15">
        <v>28.51</v>
      </c>
      <c r="F17" s="15">
        <v>6956.44</v>
      </c>
      <c r="G17" s="15">
        <v>34269.02</v>
      </c>
      <c r="H17" s="15">
        <v>48025.095</v>
      </c>
      <c r="I17" s="15">
        <v>7540.895</v>
      </c>
      <c r="J17" s="15">
        <v>-684.24</v>
      </c>
      <c r="K17" s="15">
        <v>-171.06</v>
      </c>
      <c r="L17" s="15">
        <v>-135.4225</v>
      </c>
      <c r="M17" s="15">
        <v>-520.3075</v>
      </c>
      <c r="N17" s="15">
        <f>SUM(C14:C17)/4</f>
        <v>9277.187749999999</v>
      </c>
      <c r="O17" s="15"/>
      <c r="P17" s="16"/>
      <c r="Q17" s="16">
        <f>((D17+E17)/C17)</f>
        <v>0.136344969199179</v>
      </c>
      <c r="R17" s="16">
        <f>AVERAGE(Q14:Q17)</f>
        <v>0.0888981433899792</v>
      </c>
      <c r="S17" s="17"/>
      <c r="T17" s="15">
        <f>SUM(J14:K17)/4</f>
        <v>-49.099</v>
      </c>
      <c r="U17" s="17"/>
      <c r="V17" s="15">
        <f>-(L17+M17)+V16</f>
        <v>-4218.376</v>
      </c>
      <c r="W17" s="17"/>
      <c r="X17" s="15">
        <f>F17-G17</f>
        <v>-27312.58</v>
      </c>
      <c r="Y17" s="24"/>
      <c r="Z17" s="18">
        <v>670</v>
      </c>
      <c r="AA17" s="24"/>
      <c r="AB17" s="15">
        <v>14.255</v>
      </c>
    </row>
    <row r="18" ht="20.05" customHeight="1">
      <c r="B18" s="13"/>
      <c r="C18" s="14">
        <v>6063.9</v>
      </c>
      <c r="D18" s="15">
        <v>925.854</v>
      </c>
      <c r="E18" s="15">
        <v>-428.91</v>
      </c>
      <c r="F18" s="15">
        <v>6906.93</v>
      </c>
      <c r="G18" s="15">
        <v>35274.15</v>
      </c>
      <c r="H18" s="15">
        <v>49043.64</v>
      </c>
      <c r="I18" s="15">
        <v>5827.26</v>
      </c>
      <c r="J18" s="15">
        <v>458.49</v>
      </c>
      <c r="K18" s="15">
        <v>-281.01</v>
      </c>
      <c r="L18" s="15">
        <v>-377.145</v>
      </c>
      <c r="M18" s="15">
        <v>-140.505</v>
      </c>
      <c r="N18" s="15">
        <f>SUM(C15:C18)/4</f>
        <v>8309.03775</v>
      </c>
      <c r="O18" s="15"/>
      <c r="P18" s="16"/>
      <c r="Q18" s="16">
        <f>((D18+E18)/C18)</f>
        <v>0.0819512195121951</v>
      </c>
      <c r="R18" s="16">
        <f>AVERAGE(Q15:Q18)</f>
        <v>0.0920645196965994</v>
      </c>
      <c r="S18" s="17"/>
      <c r="T18" s="15">
        <f>SUM(J15:K18)/4</f>
        <v>-196.3615</v>
      </c>
      <c r="U18" s="17"/>
      <c r="V18" s="15">
        <f>-(L18+M18)+V17</f>
        <v>-3700.726</v>
      </c>
      <c r="W18" s="17"/>
      <c r="X18" s="15">
        <f>F18-G18</f>
        <v>-28367.22</v>
      </c>
      <c r="Y18" s="24"/>
      <c r="Z18" s="18">
        <v>920</v>
      </c>
      <c r="AA18" s="24"/>
      <c r="AB18" s="15">
        <v>14.79</v>
      </c>
    </row>
    <row r="19" ht="20.05" customHeight="1">
      <c r="B19" s="13"/>
      <c r="C19" s="14">
        <v>7588.62</v>
      </c>
      <c r="D19" s="15">
        <v>1057.5</v>
      </c>
      <c r="E19" s="15">
        <v>-823.4400000000001</v>
      </c>
      <c r="F19" s="15">
        <v>9179.1</v>
      </c>
      <c r="G19" s="15">
        <v>37040.7</v>
      </c>
      <c r="H19" s="15">
        <v>49265.4</v>
      </c>
      <c r="I19" s="15">
        <v>7068.33</v>
      </c>
      <c r="J19" s="15">
        <v>644.37</v>
      </c>
      <c r="K19" s="15">
        <v>-239.7</v>
      </c>
      <c r="L19" s="15">
        <v>2186.91</v>
      </c>
      <c r="M19" s="15">
        <v>0</v>
      </c>
      <c r="N19" s="15">
        <f>SUM(C16:C19)/4</f>
        <v>7766.43125</v>
      </c>
      <c r="O19" s="15"/>
      <c r="P19" s="16"/>
      <c r="Q19" s="16">
        <f>((D19+E19)/C19)</f>
        <v>0.030843552582683</v>
      </c>
      <c r="R19" s="16">
        <f>AVERAGE(Q16:Q19)</f>
        <v>0.0800030038593398</v>
      </c>
      <c r="S19" s="17"/>
      <c r="T19" s="15">
        <f>SUM(J16:K19)/4</f>
        <v>54.0375</v>
      </c>
      <c r="U19" s="17"/>
      <c r="V19" s="15">
        <f>-(L19+M19)+V18</f>
        <v>-5887.636</v>
      </c>
      <c r="W19" s="17"/>
      <c r="X19" s="15">
        <f>F19-G19</f>
        <v>-27861.6</v>
      </c>
      <c r="Y19" s="24"/>
      <c r="Z19" s="18">
        <v>1730</v>
      </c>
      <c r="AA19" s="24"/>
      <c r="AB19" s="15">
        <v>14.1</v>
      </c>
    </row>
    <row r="20" ht="20.05" customHeight="1">
      <c r="B20" s="21">
        <v>2021</v>
      </c>
      <c r="C20" s="14">
        <v>8503.6132</v>
      </c>
      <c r="D20" s="15">
        <v>942.087</v>
      </c>
      <c r="E20" s="15">
        <v>-46.7392</v>
      </c>
      <c r="F20" s="15">
        <v>8440.8074</v>
      </c>
      <c r="G20" s="15">
        <v>39421.594</v>
      </c>
      <c r="H20" s="15">
        <v>52070.39</v>
      </c>
      <c r="I20" s="15">
        <v>7714.8892</v>
      </c>
      <c r="J20" s="15">
        <v>477.6162</v>
      </c>
      <c r="K20" s="15">
        <v>-848.6086</v>
      </c>
      <c r="L20" s="15">
        <v>-696.7062</v>
      </c>
      <c r="M20" s="15">
        <v>0</v>
      </c>
      <c r="N20" s="15">
        <f>SUM(C17:C20)/4</f>
        <v>7274.57955</v>
      </c>
      <c r="O20" s="15">
        <v>7574.072754</v>
      </c>
      <c r="P20" s="16"/>
      <c r="Q20" s="16">
        <f>((D20+E20)/C20)</f>
        <v>0.105290278254895</v>
      </c>
      <c r="R20" s="16">
        <f>AVERAGE(Q17:Q20)</f>
        <v>0.088607504887238</v>
      </c>
      <c r="S20" s="17"/>
      <c r="T20" s="15">
        <f>SUM(J17:K20)/4</f>
        <v>-161.0356</v>
      </c>
      <c r="U20" s="17"/>
      <c r="V20" s="15">
        <f>-(L20+M20)+V19</f>
        <v>-5190.9298</v>
      </c>
      <c r="W20" s="17"/>
      <c r="X20" s="15">
        <f>F20-G20</f>
        <v>-30980.7866</v>
      </c>
      <c r="Y20" s="15"/>
      <c r="Z20" s="15">
        <v>1425</v>
      </c>
      <c r="AA20" s="17"/>
      <c r="AB20" s="15">
        <v>14.606</v>
      </c>
    </row>
    <row r="21" ht="20.05" customHeight="1">
      <c r="B21" s="13"/>
      <c r="C21" s="14">
        <v>10195.92</v>
      </c>
      <c r="D21" s="15">
        <v>932.025</v>
      </c>
      <c r="E21" s="15">
        <v>463.845</v>
      </c>
      <c r="F21" s="15">
        <v>8918.540000000001</v>
      </c>
      <c r="G21" s="15">
        <v>39130.6</v>
      </c>
      <c r="H21" s="15">
        <v>51962.2</v>
      </c>
      <c r="I21" s="15">
        <v>9458.969999999999</v>
      </c>
      <c r="J21" s="15">
        <v>645.915</v>
      </c>
      <c r="K21" s="15">
        <v>286.11</v>
      </c>
      <c r="L21" s="15">
        <v>-277.44</v>
      </c>
      <c r="M21" s="15">
        <v>-86.7</v>
      </c>
      <c r="N21" s="15">
        <f>SUM(C18:C21)/4</f>
        <v>8088.0133</v>
      </c>
      <c r="O21" s="15">
        <v>7911.885566666660</v>
      </c>
      <c r="P21" s="16">
        <f>C21/C20-1</f>
        <v>0.199010321871178</v>
      </c>
      <c r="Q21" s="16">
        <f>((D21+E21)/C21)</f>
        <v>0.136904761904762</v>
      </c>
      <c r="R21" s="16">
        <f>AVERAGE(Q18:Q21)</f>
        <v>0.0887474530636338</v>
      </c>
      <c r="S21" s="17"/>
      <c r="T21" s="15">
        <f>SUM(J18:K21)/4</f>
        <v>285.79565</v>
      </c>
      <c r="U21" s="17"/>
      <c r="V21" s="15">
        <f>-(L21+M21)+V20</f>
        <v>-4826.7898</v>
      </c>
      <c r="W21" s="17"/>
      <c r="X21" s="15">
        <f>F21-G21</f>
        <v>-30212.06</v>
      </c>
      <c r="Y21" s="15"/>
      <c r="Z21" s="15">
        <v>1290</v>
      </c>
      <c r="AA21" s="17"/>
      <c r="AB21" s="15">
        <v>14.45</v>
      </c>
    </row>
    <row r="22" ht="20.05" customHeight="1">
      <c r="B22" s="13"/>
      <c r="C22" s="14">
        <v>12433.8384</v>
      </c>
      <c r="D22" s="15">
        <v>924.1559999999999</v>
      </c>
      <c r="E22" s="15">
        <v>-534.4344</v>
      </c>
      <c r="F22" s="15">
        <v>10744.5672</v>
      </c>
      <c r="G22" s="15">
        <v>40548.24</v>
      </c>
      <c r="H22" s="15">
        <v>52755.696</v>
      </c>
      <c r="I22" s="15">
        <v>12085.668</v>
      </c>
      <c r="J22" s="15">
        <v>3420.0936</v>
      </c>
      <c r="K22" s="15">
        <v>-706.3704</v>
      </c>
      <c r="L22" s="15">
        <v>-735.0264</v>
      </c>
      <c r="M22" s="15">
        <v>-77.3712</v>
      </c>
      <c r="N22" s="15">
        <f>SUM(C19:C22)/4</f>
        <v>9680.4979</v>
      </c>
      <c r="O22" s="15">
        <v>8537.646852</v>
      </c>
      <c r="P22" s="16">
        <f>C22/C21-1</f>
        <v>0.219491561330415</v>
      </c>
      <c r="Q22" s="16">
        <f>((D22+E22)/C22)</f>
        <v>0.0313436275639548</v>
      </c>
      <c r="R22" s="16">
        <f>AVERAGE(Q19:Q22)</f>
        <v>0.0760955550765737</v>
      </c>
      <c r="S22" s="17"/>
      <c r="T22" s="15">
        <f>SUM(J19:K22)/4</f>
        <v>919.85645</v>
      </c>
      <c r="U22" s="17"/>
      <c r="V22" s="15">
        <f>-(L22+M22)+V21</f>
        <v>-4014.3922</v>
      </c>
      <c r="W22" s="17"/>
      <c r="X22" s="15">
        <f>F22-G22</f>
        <v>-29803.6728</v>
      </c>
      <c r="Y22" s="15"/>
      <c r="Z22" s="15">
        <v>1955</v>
      </c>
      <c r="AA22" s="17"/>
      <c r="AB22" s="15">
        <v>14.328</v>
      </c>
    </row>
    <row r="23" ht="20.05" customHeight="1">
      <c r="B23" s="13"/>
      <c r="C23" s="14">
        <v>13038.785</v>
      </c>
      <c r="D23" s="15">
        <v>920.7375</v>
      </c>
      <c r="E23" s="15">
        <v>1019.235</v>
      </c>
      <c r="F23" s="15">
        <v>13676.8775</v>
      </c>
      <c r="G23" s="15">
        <v>40084.2</v>
      </c>
      <c r="H23" s="15">
        <v>52689.025</v>
      </c>
      <c r="I23" s="15">
        <v>17910.8425</v>
      </c>
      <c r="J23" s="15">
        <v>2412.475</v>
      </c>
      <c r="K23" s="15">
        <v>568.145</v>
      </c>
      <c r="L23" s="15">
        <v>209.8425</v>
      </c>
      <c r="M23" s="15">
        <v>-192.7125</v>
      </c>
      <c r="N23" s="15">
        <f>SUM(C20:C23)/4</f>
        <v>11043.03915</v>
      </c>
      <c r="O23" s="15">
        <v>9772.336675</v>
      </c>
      <c r="P23" s="16">
        <f>C23/C22-1</f>
        <v>0.0486532461287256</v>
      </c>
      <c r="Q23" s="16">
        <f>((D23+E23)/C23)</f>
        <v>0.148784760236479</v>
      </c>
      <c r="R23" s="16">
        <f>AVERAGE(Q20:Q23)</f>
        <v>0.105580856990023</v>
      </c>
      <c r="S23" s="17"/>
      <c r="T23" s="15">
        <f>SUM(J20:K23)/4</f>
        <v>1563.84395</v>
      </c>
      <c r="U23" s="17"/>
      <c r="V23" s="15">
        <f>-(L23+M23)+V22</f>
        <v>-4031.5222</v>
      </c>
      <c r="W23" s="17"/>
      <c r="X23" s="15">
        <f>F23-G23</f>
        <v>-26407.3225</v>
      </c>
      <c r="Y23" s="15"/>
      <c r="Z23" s="15">
        <v>1580</v>
      </c>
      <c r="AA23" s="17"/>
      <c r="AB23" s="15">
        <v>14.275</v>
      </c>
    </row>
    <row r="24" ht="20.05" customHeight="1">
      <c r="B24" s="21">
        <v>2022</v>
      </c>
      <c r="C24" s="14">
        <v>11905.737</v>
      </c>
      <c r="D24" s="15">
        <v>687.696</v>
      </c>
      <c r="E24" s="15">
        <v>1217.795</v>
      </c>
      <c r="F24" s="15">
        <v>15683.7669</v>
      </c>
      <c r="G24" s="15">
        <v>42948.0479</v>
      </c>
      <c r="H24" s="15">
        <v>57306.5673</v>
      </c>
      <c r="I24" s="15">
        <v>11261.022</v>
      </c>
      <c r="J24" s="15">
        <v>2474.2729</v>
      </c>
      <c r="K24" s="15">
        <v>-1206.3334</v>
      </c>
      <c r="L24" s="15">
        <v>157.597</v>
      </c>
      <c r="M24" s="15">
        <v>530.099</v>
      </c>
      <c r="N24" s="15">
        <f>SUM(C21:C24)/4</f>
        <v>11893.5701</v>
      </c>
      <c r="O24" s="15">
        <v>12477.0189615</v>
      </c>
      <c r="P24" s="16">
        <f>C24/C23-1</f>
        <v>-0.0868982807830638</v>
      </c>
      <c r="Q24" s="16">
        <f>((D24+E24)/C24)</f>
        <v>0.160048134777377</v>
      </c>
      <c r="R24" s="16">
        <f>AVERAGE(Q21:Q24)</f>
        <v>0.119270321120643</v>
      </c>
      <c r="S24" s="35"/>
      <c r="T24" s="15">
        <f>SUM(J21:K24)/4</f>
        <v>1973.576925</v>
      </c>
      <c r="U24" s="15">
        <v>1502.167396920840</v>
      </c>
      <c r="V24" s="15">
        <f>-(L24+M24)+V23</f>
        <v>-4719.2182</v>
      </c>
      <c r="W24" s="15"/>
      <c r="X24" s="15">
        <f>F24-G24</f>
        <v>-27264.281</v>
      </c>
      <c r="Y24" s="15">
        <v>-21830.5061662197</v>
      </c>
      <c r="Z24" s="15">
        <v>2280</v>
      </c>
      <c r="AA24" s="15">
        <v>5055.417958489560</v>
      </c>
      <c r="AB24" s="15">
        <v>14.327</v>
      </c>
    </row>
    <row r="25" ht="20.05" customHeight="1">
      <c r="B25" s="13"/>
      <c r="C25" s="14">
        <v>16243.28</v>
      </c>
      <c r="D25" s="15">
        <v>689.02</v>
      </c>
      <c r="E25" s="15">
        <v>2103.71</v>
      </c>
      <c r="F25" s="15">
        <v>13604.48</v>
      </c>
      <c r="G25" s="15">
        <v>41091.98</v>
      </c>
      <c r="H25" s="15">
        <v>58200.2</v>
      </c>
      <c r="I25" s="15">
        <v>18247.302</v>
      </c>
      <c r="J25" s="15">
        <v>-205.24</v>
      </c>
      <c r="K25" s="15">
        <v>-354.772</v>
      </c>
      <c r="L25" s="15">
        <v>-335.714</v>
      </c>
      <c r="M25" s="15">
        <v>-65.97</v>
      </c>
      <c r="N25" s="15">
        <f>SUM(C22:C25)/4</f>
        <v>13405.4101</v>
      </c>
      <c r="O25" s="15">
        <v>13806.7147</v>
      </c>
      <c r="P25" s="16">
        <f>C25/C24-1</f>
        <v>0.364323770968568</v>
      </c>
      <c r="Q25" s="16">
        <f>((D25+E25)/C25)</f>
        <v>0.171931407942238</v>
      </c>
      <c r="R25" s="16">
        <f>AVERAGE(Q22:Q25)</f>
        <v>0.128026982630012</v>
      </c>
      <c r="S25" s="35"/>
      <c r="T25" s="15">
        <f>SUM(J22:K25)/4</f>
        <v>1600.567675</v>
      </c>
      <c r="U25" s="15">
        <v>1537.082015694810</v>
      </c>
      <c r="V25" s="15">
        <f>-(L25+M25)+V24</f>
        <v>-4317.5342</v>
      </c>
      <c r="W25" s="15"/>
      <c r="X25" s="15">
        <f>F25-G25</f>
        <v>-27487.5</v>
      </c>
      <c r="Y25" s="15">
        <v>-22337.9088711371</v>
      </c>
      <c r="Z25" s="15">
        <v>2330</v>
      </c>
      <c r="AA25" s="15">
        <v>5057.156028397920</v>
      </c>
      <c r="AB25" s="15">
        <v>14.66</v>
      </c>
    </row>
    <row r="26" ht="20.05" customHeight="1">
      <c r="B26" s="13"/>
      <c r="C26" s="14">
        <v>18758.052</v>
      </c>
      <c r="D26" s="15">
        <v>791.532</v>
      </c>
      <c r="E26" s="15">
        <v>2481.39</v>
      </c>
      <c r="F26" s="15">
        <v>17196.975</v>
      </c>
      <c r="G26" s="15">
        <v>38461.545</v>
      </c>
      <c r="H26" s="15">
        <v>57857.22</v>
      </c>
      <c r="I26" s="15">
        <v>18904.1085</v>
      </c>
      <c r="J26" s="15">
        <v>6836.3865</v>
      </c>
      <c r="K26" s="15">
        <v>2197.1295</v>
      </c>
      <c r="L26" s="15">
        <v>-5184.2205</v>
      </c>
      <c r="M26" s="15">
        <v>-1195.1505</v>
      </c>
      <c r="N26" s="15">
        <f>AVERAGE(C26)</f>
        <v>18758.052</v>
      </c>
      <c r="O26" s="15">
        <v>16536.815325</v>
      </c>
      <c r="P26" s="16">
        <f>C26/C25-1</f>
        <v>0.154819223703587</v>
      </c>
      <c r="Q26" s="16">
        <f>((D26+E26)/C26)</f>
        <v>0.174480910917616</v>
      </c>
      <c r="R26" s="16">
        <f>AVERAGE(Q23:Q26)</f>
        <v>0.163811303468428</v>
      </c>
      <c r="S26" s="35">
        <f>S27</f>
        <v>0.163811303468428</v>
      </c>
      <c r="T26" s="15">
        <f>SUM(J23:K26)/4</f>
        <v>3180.515875</v>
      </c>
      <c r="U26" s="15">
        <v>2026.301602608050</v>
      </c>
      <c r="V26" s="15">
        <f>-(L26+M26)+V25</f>
        <v>2061.8368</v>
      </c>
      <c r="W26" s="15">
        <f>W27</f>
        <v>11895.5765505922</v>
      </c>
      <c r="X26" s="15">
        <f>F26-G26</f>
        <v>-21264.57</v>
      </c>
      <c r="Y26" s="15">
        <v>-22742.5257716542</v>
      </c>
      <c r="Z26" s="15">
        <v>3000</v>
      </c>
      <c r="AA26" s="15">
        <v>5753.421323948980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AVERAGE(AE52:AH52)</f>
        <v>19319.8226901236</v>
      </c>
      <c r="P27" s="17"/>
      <c r="Q27" s="17"/>
      <c r="R27" s="17"/>
      <c r="S27" s="35">
        <f>AE53</f>
        <v>0.163811303468428</v>
      </c>
      <c r="T27" s="17"/>
      <c r="U27" s="15">
        <f>SUM(AE55:AH55)/4</f>
        <v>2458.434937648060</v>
      </c>
      <c r="V27" s="17"/>
      <c r="W27" s="15">
        <f>-SUM(AE76:AH76)+V26</f>
        <v>11895.5765505922</v>
      </c>
      <c r="X27" s="17"/>
      <c r="Y27" s="15">
        <f>AH75</f>
        <v>-15338.1198563114</v>
      </c>
      <c r="Z27" s="15">
        <v>2560</v>
      </c>
      <c r="AA27" s="15">
        <v>5057.156028397920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SUM(N20:N26)</f>
        <v>80143.1621</v>
      </c>
      <c r="O28" s="15">
        <f>SUM(O20:O26)</f>
        <v>76616.4908341667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AH88</f>
        <v>5670.378012066560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158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0.120224490004454</v>
      </c>
      <c r="AF49" s="35"/>
      <c r="AG49" s="35"/>
      <c r="AH49" s="35">
        <f>AVERAGE(AE51:AH51)</f>
        <v>0.01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0.0486532461287256</v>
      </c>
      <c r="AF50" s="35">
        <f>P24</f>
        <v>-0.0868982807830638</v>
      </c>
      <c r="AG50" s="35">
        <f>P25</f>
        <v>0.364323770968568</v>
      </c>
      <c r="AH50" s="35">
        <f>P26</f>
        <v>0.154819223703587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0.03</v>
      </c>
      <c r="AF51" s="35">
        <v>-0.01</v>
      </c>
      <c r="AG51" s="35">
        <v>0.01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18758.052</v>
      </c>
      <c r="AE52" s="23">
        <f>C26*(1+AE51)</f>
        <v>19320.79356</v>
      </c>
      <c r="AF52" s="23">
        <f>AE52*(1+AF51)</f>
        <v>19127.5856244</v>
      </c>
      <c r="AG52" s="23">
        <f>AF52*(1+AG51)</f>
        <v>19318.861480644</v>
      </c>
      <c r="AH52" s="23">
        <f>AG52*(1+AH51)</f>
        <v>19512.0500954504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0.163811303468428</v>
      </c>
      <c r="AF53" s="35">
        <f>AE53</f>
        <v>0.163811303468428</v>
      </c>
      <c r="AG53" s="35">
        <f>AF53</f>
        <v>0.163811303468428</v>
      </c>
      <c r="AH53" s="35">
        <f>AG53</f>
        <v>0.163811303468428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AVERAGE(K22)</f>
        <v>-706.3704</v>
      </c>
      <c r="AF54" s="15">
        <f>AE54</f>
        <v>-706.3704</v>
      </c>
      <c r="AG54" s="15">
        <f>AF54</f>
        <v>-706.3704</v>
      </c>
      <c r="AH54" s="15">
        <f>AG54</f>
        <v>-706.3704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2458.593977108010</v>
      </c>
      <c r="AF55" s="15">
        <f>(AF52*AF53)+AF54</f>
        <v>2426.944333336930</v>
      </c>
      <c r="AG55" s="15">
        <f>(AG52*AG53)+AG54</f>
        <v>2458.2774806703</v>
      </c>
      <c r="AH55" s="15">
        <f>(AH52*AH53)+AH54</f>
        <v>2489.923959476990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-1923.07725</v>
      </c>
      <c r="AF56" s="15">
        <f>-AE71/20</f>
        <v>-1826.9233875</v>
      </c>
      <c r="AG56" s="15">
        <f>-AF71/20</f>
        <v>-1735.577218125</v>
      </c>
      <c r="AH56" s="15">
        <f>-AG71/20</f>
        <v>-1648.798357218750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-0.4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-976.886017509872</v>
      </c>
      <c r="AF58" s="15">
        <f>IF(AF66&gt;0,AF66*$AE$57,0)</f>
        <v>-964.226160001440</v>
      </c>
      <c r="AG58" s="15">
        <f>IF(AG66&gt;0,AG66*$AE$57,0)</f>
        <v>-976.759418934788</v>
      </c>
      <c r="AH58" s="15">
        <f>IF(AH66&gt;0,AH66*$AE$57,0)</f>
        <v>-989.418010457464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-441.369290401862</v>
      </c>
      <c r="AF59" s="15">
        <f>AF55+AF56+AF58</f>
        <v>-364.205214164510</v>
      </c>
      <c r="AG59" s="15">
        <f>AG55+AG56+AG58</f>
        <v>-254.059156389488</v>
      </c>
      <c r="AH59" s="15">
        <f>AH55+AH56+AH58</f>
        <v>-148.292408199224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441.369290401862</v>
      </c>
      <c r="AF60" s="15">
        <f>-MIN(AE72,AF59)</f>
        <v>364.205214164510</v>
      </c>
      <c r="AG60" s="15">
        <f>-MIN(AF72,AG59)</f>
        <v>254.059156389488</v>
      </c>
      <c r="AH60" s="15">
        <f>-MIN(AG72,AH59)</f>
        <v>148.292408199224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17196.975</v>
      </c>
      <c r="AF61" s="15">
        <f>AE63</f>
        <v>17196.975</v>
      </c>
      <c r="AG61" s="15">
        <f>AF63</f>
        <v>17196.975</v>
      </c>
      <c r="AH61" s="15">
        <f>AG63</f>
        <v>17196.975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17196.975</v>
      </c>
      <c r="AF63" s="15">
        <f>AF61+AF62</f>
        <v>17196.975</v>
      </c>
      <c r="AG63" s="15">
        <f>AG61+AG62</f>
        <v>17196.975</v>
      </c>
      <c r="AH63" s="15">
        <f>AH61+AH62</f>
        <v>17196.975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-722.749333333333</v>
      </c>
      <c r="AF65" s="15">
        <f>AE65</f>
        <v>-722.749333333333</v>
      </c>
      <c r="AG65" s="15">
        <f>AF65</f>
        <v>-722.749333333333</v>
      </c>
      <c r="AH65" s="15">
        <f>AG65</f>
        <v>-722.749333333333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2442.215043774680</v>
      </c>
      <c r="AF66" s="15">
        <f>(AF52*AF53)+AF65</f>
        <v>2410.5654000036</v>
      </c>
      <c r="AG66" s="15">
        <f>(AG52*AG53)+AG65</f>
        <v>2441.898547336970</v>
      </c>
      <c r="AH66" s="15">
        <f>(AH52*AH53)+AH65</f>
        <v>2473.545026143660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41366.6154</v>
      </c>
      <c r="AF68" s="15">
        <f>AE68-AF54</f>
        <v>42072.9858</v>
      </c>
      <c r="AG68" s="15">
        <f>AF68-AG54</f>
        <v>42779.3562</v>
      </c>
      <c r="AH68" s="15">
        <f>AG68-AH54</f>
        <v>43485.7266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722.749333333333</v>
      </c>
      <c r="AF69" s="15">
        <f>AE69-AF65</f>
        <v>1445.498666666670</v>
      </c>
      <c r="AG69" s="15">
        <f>AF69-AG65</f>
        <v>2168.248</v>
      </c>
      <c r="AH69" s="15">
        <f>AG69-AH65</f>
        <v>2890.997333333330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40643.8660666667</v>
      </c>
      <c r="AF70" s="15">
        <f>AF68-AF69</f>
        <v>40627.4871333333</v>
      </c>
      <c r="AG70" s="15">
        <f>AG68-AG69</f>
        <v>40611.1082</v>
      </c>
      <c r="AH70" s="15">
        <f>AH68-AH69</f>
        <v>40594.7292666667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36538.46775</v>
      </c>
      <c r="AF71" s="15">
        <f>AE71+AF56</f>
        <v>34711.5443625</v>
      </c>
      <c r="AG71" s="15">
        <f>AF71+AG56</f>
        <v>32975.967144375</v>
      </c>
      <c r="AH71" s="15">
        <f>AG71+AH56</f>
        <v>31327.1687871563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441.369290401862</v>
      </c>
      <c r="AF72" s="15">
        <f>AE72+AF60</f>
        <v>805.574504566372</v>
      </c>
      <c r="AG72" s="15">
        <f>AF72+AG60</f>
        <v>1059.633660955860</v>
      </c>
      <c r="AH72" s="15">
        <f>AG72+AH60</f>
        <v>1207.926069155080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20861.0040262648</v>
      </c>
      <c r="AF73" s="15">
        <f>AE73+AF66+AF58</f>
        <v>22307.343266267</v>
      </c>
      <c r="AG73" s="15">
        <f>AF73+AG66+AG58</f>
        <v>23772.4823946692</v>
      </c>
      <c r="AH73" s="15">
        <f>AG73+AH66+AH58</f>
        <v>25256.6094103554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-3.8e-11</v>
      </c>
      <c r="AF74" s="15">
        <f>AF71+AF72+AF73-AF63-AF70</f>
        <v>7.2e-11</v>
      </c>
      <c r="AG74" s="15">
        <f>AG71+AG72+AG73-AG63-AG70</f>
        <v>6e-11</v>
      </c>
      <c r="AH74" s="15">
        <f>AH71+AH72+AH73-AH63-AH70</f>
        <v>8e-11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-19782.8620404019</v>
      </c>
      <c r="AF75" s="15">
        <f>AF63-AF71-AF72</f>
        <v>-18320.1438670664</v>
      </c>
      <c r="AG75" s="15">
        <f>AG63-AG71-AG72</f>
        <v>-16838.6258053309</v>
      </c>
      <c r="AH75" s="15">
        <f>AH63-AH71-AH72</f>
        <v>-15338.1198563114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-2458.593977108010</v>
      </c>
      <c r="AF76" s="15">
        <f>AF56+AF58+AF60</f>
        <v>-2426.944333336930</v>
      </c>
      <c r="AG76" s="15">
        <f>AG56+AG58+AG60</f>
        <v>-2458.2774806703</v>
      </c>
      <c r="AH76" s="15">
        <f>AH56+AH58+AH60</f>
        <v>-2489.923959476990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622</v>
      </c>
      <c r="AD78" s="14"/>
      <c r="AE78" s="15"/>
      <c r="AF78" s="15"/>
      <c r="AG78" s="15"/>
      <c r="AH78" s="15">
        <v>2560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622</v>
      </c>
      <c r="AD79" s="14"/>
      <c r="AE79" s="15"/>
      <c r="AF79" s="15"/>
      <c r="AG79" s="15"/>
      <c r="AH79" s="15">
        <v>13318886522880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13318.88652288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5.202690048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0.230463639926987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0.293364584208401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9833.739750592231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4.12810693553507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1.35440705781113</v>
      </c>
      <c r="AH86" s="15">
        <v>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29501.2192517767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5670.378012066560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1.2149914109635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0.508629225871232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-0.0440046433585043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622</v>
      </c>
      <c r="AF94" t="s" s="44">
        <v>60</v>
      </c>
      <c r="AG94" s="15">
        <f>AH78</f>
        <v>2560</v>
      </c>
      <c r="AH94" t="s" s="44">
        <v>61</v>
      </c>
      <c r="AI94" s="15">
        <f>AH88</f>
        <v>5670.378012066560</v>
      </c>
      <c r="AJ94" t="s" s="44">
        <f>IF(AK94&gt;0,"+","")</f>
        <v>361</v>
      </c>
      <c r="AK94" s="16">
        <f>AI94/AG94-1</f>
        <v>1.2149914109635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AI104/AE104-1</f>
        <v>0.508629225871232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SUM(AF117:AI118)/AF134</f>
        <v>0.955189720863321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SUM(AF131:AI132)/AF134</f>
        <v>0.456211485063851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-1.59657265368771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0.154819223703587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71"/>
      <c r="AE103" s="16">
        <f>P22</f>
        <v>0.219491561330415</v>
      </c>
      <c r="AF103" s="16">
        <f>P23</f>
        <v>0.0486532461287256</v>
      </c>
      <c r="AG103" s="16">
        <f>P24</f>
        <v>-0.0868982807830638</v>
      </c>
      <c r="AH103" s="16">
        <f>P25</f>
        <v>0.364323770968568</v>
      </c>
      <c r="AI103" s="16">
        <f>P26</f>
        <v>0.154819223703587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12433.8384</v>
      </c>
      <c r="AF104" s="15">
        <f>C23</f>
        <v>13038.785</v>
      </c>
      <c r="AG104" s="15">
        <f>C24</f>
        <v>11905.737</v>
      </c>
      <c r="AH104" s="15">
        <f>C25</f>
        <v>16243.28</v>
      </c>
      <c r="AI104" s="15">
        <f>C26</f>
        <v>18758.052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AI104/AH104-1</f>
        <v>0.154819223703587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AI104</f>
        <v>18758.052</v>
      </c>
      <c r="AM105" t="s" s="44">
        <v>372</v>
      </c>
      <c r="AN105" t="s" s="44">
        <v>378</v>
      </c>
      <c r="AO105" s="16">
        <v>0.0297063450445726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0.120224490004454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</v>
      </c>
      <c r="AG107" t="s" s="44">
        <v>82</v>
      </c>
      <c r="AH107" t="s" s="44">
        <v>83</v>
      </c>
      <c r="AI107" s="23">
        <f>AH52</f>
        <v>19512.0500954504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71"/>
      <c r="AE110" s="16">
        <f>(D22+E22)/C22</f>
        <v>0.0313436275639548</v>
      </c>
      <c r="AF110" s="16">
        <f>(D23+E23)/C23</f>
        <v>0.148784760236479</v>
      </c>
      <c r="AG110" s="16">
        <f>((E24+D24)/C24)</f>
        <v>0.160048134777377</v>
      </c>
      <c r="AH110" s="16">
        <f>(D25+E25)/C25</f>
        <v>0.171931407942238</v>
      </c>
      <c r="AI110" s="16">
        <f>(D26+E26)/C26</f>
        <v>0.174480910917616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-534.4344</v>
      </c>
      <c r="AF111" s="15">
        <f>E23</f>
        <v>1019.235</v>
      </c>
      <c r="AG111" s="15">
        <f>E24</f>
        <v>1217.795</v>
      </c>
      <c r="AH111" s="15">
        <f>E25</f>
        <v>2103.71</v>
      </c>
      <c r="AI111" s="15">
        <f>E26</f>
        <v>2481.39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0.171931407942238</v>
      </c>
      <c r="AG112" t="s" s="44">
        <v>76</v>
      </c>
      <c r="AH112" s="16">
        <f>AI110</f>
        <v>0.174480910917616</v>
      </c>
      <c r="AI112" t="s" s="44">
        <v>90</v>
      </c>
      <c r="AJ112" s="15">
        <f>AH111</f>
        <v>2103.71</v>
      </c>
      <c r="AK112" t="s" s="44">
        <v>76</v>
      </c>
      <c r="AL112" s="15">
        <f>AI111</f>
        <v>2481.39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0.163811303468428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0.163811303468428</v>
      </c>
      <c r="AG114" t="s" s="44">
        <v>94</v>
      </c>
      <c r="AH114" s="15">
        <f>AH66</f>
        <v>2473.545026143660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3420.0936</v>
      </c>
      <c r="AF117" s="15">
        <f>J23</f>
        <v>2412.475</v>
      </c>
      <c r="AG117" s="15">
        <f>J24</f>
        <v>2474.2729</v>
      </c>
      <c r="AH117" s="15">
        <f>J25</f>
        <v>-205.24</v>
      </c>
      <c r="AI117" s="15">
        <f>J26</f>
        <v>6836.3865</v>
      </c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-706.3704</v>
      </c>
      <c r="AF118" s="15">
        <f>K23</f>
        <v>568.145</v>
      </c>
      <c r="AG118" s="15">
        <f>K24</f>
        <v>-1206.3334</v>
      </c>
      <c r="AH118" s="15">
        <f>K25</f>
        <v>-354.772</v>
      </c>
      <c r="AI118" s="15">
        <f>K26</f>
        <v>2197.1295</v>
      </c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AH117+AH118</f>
        <v>-560.0119999999999</v>
      </c>
      <c r="AG119" t="s" s="44">
        <v>76</v>
      </c>
      <c r="AH119" s="15">
        <f>AI117+AI118</f>
        <v>9033.516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AI118</f>
        <v>2197.1295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SUM(AF117:AI118)/4</f>
        <v>3180.515875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-706.3704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2458.434937648060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10744.5672</v>
      </c>
      <c r="AF124" s="15">
        <f>F23</f>
        <v>13676.8775</v>
      </c>
      <c r="AG124" s="15">
        <f>F24</f>
        <v>15683.7669</v>
      </c>
      <c r="AH124" s="15">
        <f>F25</f>
        <v>13604.48</v>
      </c>
      <c r="AI124" s="15">
        <f>F26</f>
        <v>17196.975</v>
      </c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40548.24</v>
      </c>
      <c r="AF125" s="15">
        <f>G23</f>
        <v>40084.2</v>
      </c>
      <c r="AG125" s="15">
        <f>G24</f>
        <v>42948.0479</v>
      </c>
      <c r="AH125" s="15">
        <f>G25</f>
        <v>41091.98</v>
      </c>
      <c r="AI125" s="15">
        <f>G26</f>
        <v>38461.545</v>
      </c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AH124</f>
        <v>13604.48</v>
      </c>
      <c r="AH126" t="s" s="44">
        <v>76</v>
      </c>
      <c r="AI126" s="15">
        <f>AI124</f>
        <v>17196.975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AH125</f>
        <v>41091.98</v>
      </c>
      <c r="AH127" t="s" s="44">
        <v>76</v>
      </c>
      <c r="AI127" s="15">
        <f>AI125</f>
        <v>38461.545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-27487.5</v>
      </c>
      <c r="AO127" t="s" s="44">
        <v>76</v>
      </c>
      <c r="AP127" s="15">
        <f>AI126-AI127</f>
        <v>-21264.57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-3907.289606903560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-5926.450143688670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-15338.1198563114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56.05" customHeight="1">
      <c r="AC130" s="36"/>
      <c r="AD130" s="34"/>
      <c r="AE130" t="s" s="44">
        <f>AE102</f>
        <v>70</v>
      </c>
      <c r="AF130" t="s" s="44">
        <v>379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735.0264</v>
      </c>
      <c r="AF131" s="15">
        <f>-L23</f>
        <v>-209.8425</v>
      </c>
      <c r="AG131" s="15">
        <f>-L24</f>
        <v>-157.597</v>
      </c>
      <c r="AH131" s="15">
        <f>-L25</f>
        <v>335.714</v>
      </c>
      <c r="AI131" s="15">
        <f>-L26</f>
        <v>5184.2205</v>
      </c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77.3712</v>
      </c>
      <c r="AF132" s="15">
        <f>-M23</f>
        <v>192.7125</v>
      </c>
      <c r="AG132" s="15">
        <f>-M24</f>
        <v>-530.099</v>
      </c>
      <c r="AH132" s="15">
        <f>-M25</f>
        <v>65.97</v>
      </c>
      <c r="AI132" s="15">
        <f>-M26</f>
        <v>1195.1505</v>
      </c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622</v>
      </c>
      <c r="AF133" t="s" s="44">
        <f>IF(AG133&gt;0,"paid","(raised)")</f>
        <v>374</v>
      </c>
      <c r="AG133" s="15">
        <f>SUM(AI131:AI132)</f>
        <v>6379.371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AI131</f>
        <v>5184.2205</v>
      </c>
      <c r="AM133" t="s" s="44">
        <f>AM105</f>
        <v>372</v>
      </c>
      <c r="AN133" t="s" s="44">
        <v>123</v>
      </c>
      <c r="AO133" s="15">
        <f>AI132</f>
        <v>1195.1505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9833.739750592231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13318.88652288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0.230463639926987</v>
      </c>
      <c r="AK134" t="s" s="44">
        <v>130</v>
      </c>
      <c r="AL134" t="s" s="44">
        <v>131</v>
      </c>
      <c r="AM134" t="s" s="44">
        <v>132</v>
      </c>
      <c r="AN134" s="15">
        <f>AH85</f>
        <v>4.12810693553507</v>
      </c>
      <c r="AO134" t="s" s="44">
        <v>133</v>
      </c>
      <c r="AP134" s="16">
        <f>-AF128/AF134</f>
        <v>0.2933645842084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9833.739750592231</v>
      </c>
      <c r="AG135" t="s" s="44">
        <f>AG134</f>
        <v>372</v>
      </c>
      <c r="AH135" t="s" s="44">
        <v>136</v>
      </c>
      <c r="AI135" s="15">
        <f>AF134/AF135</f>
        <v>1.35440705781113</v>
      </c>
      <c r="AJ135" t="s" s="44">
        <v>130</v>
      </c>
      <c r="AK135" t="s" s="44">
        <v>137</v>
      </c>
      <c r="AL135" t="s" s="44">
        <v>138</v>
      </c>
      <c r="AM135" s="15">
        <f>AH86</f>
        <v>3</v>
      </c>
      <c r="AN135" t="s" s="44">
        <v>139</v>
      </c>
      <c r="AO135" t="s" s="44">
        <v>140</v>
      </c>
      <c r="AP135" t="s" s="44">
        <v>141</v>
      </c>
      <c r="AQ135" s="16">
        <f>AK94</f>
        <v>1.2149914109635</v>
      </c>
      <c r="AR135" t="s" s="44">
        <f>IF(AQ135&gt;0,"higher","lower")</f>
        <v>363</v>
      </c>
      <c r="AS135" t="s" s="44">
        <v>142</v>
      </c>
      <c r="AT135" s="15">
        <f>AI94</f>
        <v>5670.378012066560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12433.8384</v>
      </c>
      <c r="AE137" s="15">
        <f>AF104</f>
        <v>13038.785</v>
      </c>
      <c r="AF137" s="15">
        <f>AG104</f>
        <v>11905.737</v>
      </c>
      <c r="AG137" s="15">
        <f>AH104</f>
        <v>16243.28</v>
      </c>
      <c r="AH137" s="15">
        <f>AI104</f>
        <v>18758.052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2713.7232</v>
      </c>
      <c r="AE138" s="15">
        <f>SUM(AF117:AF118)</f>
        <v>2980.62</v>
      </c>
      <c r="AF138" s="15">
        <f>SUM(AG117:AG118)</f>
        <v>1267.9395</v>
      </c>
      <c r="AG138" s="15">
        <f>SUM(AH117:AH118)</f>
        <v>-560.0119999999999</v>
      </c>
      <c r="AH138" s="15">
        <f>SUM(AI117:AI118)</f>
        <v>9033.516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812.3976</v>
      </c>
      <c r="AE139" s="15">
        <f>SUM(AF131:AF132)</f>
        <v>-17.13</v>
      </c>
      <c r="AF139" s="15">
        <f>SUM(AG131:AG132)</f>
        <v>-687.696</v>
      </c>
      <c r="AG139" s="15">
        <f>SUM(AH131:AH132)</f>
        <v>401.684</v>
      </c>
      <c r="AH139" s="15">
        <f>SUM(AI131:AI132)</f>
        <v>6379.371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-29803.6728</v>
      </c>
      <c r="AE140" s="15">
        <f>(AF124-AF125)</f>
        <v>-26407.3225</v>
      </c>
      <c r="AF140" s="15">
        <f>(AG124-AG125)</f>
        <v>-27264.281</v>
      </c>
      <c r="AG140" s="15">
        <f>(AH124-AH125)</f>
        <v>-27487.5</v>
      </c>
      <c r="AH140" s="15">
        <f>(AI124-AI125)</f>
        <v>-21264.57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5670.378012066560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09375" style="75" customWidth="1"/>
    <col min="2" max="13" width="10.4844" style="75" customWidth="1"/>
    <col min="14" max="16384" width="16.3516" style="75" customWidth="1"/>
  </cols>
  <sheetData>
    <row r="1" ht="28.6" customHeight="1"/>
    <row r="2" ht="27.65" customHeight="1">
      <c r="B2" t="s" s="2">
        <v>384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7">
        <v>10905</v>
      </c>
      <c r="D4" s="8">
        <v>1200</v>
      </c>
      <c r="E4" s="8">
        <v>1650</v>
      </c>
      <c r="F4" s="8">
        <v>16695</v>
      </c>
      <c r="G4" s="8">
        <v>40425</v>
      </c>
      <c r="H4" s="8">
        <v>97650</v>
      </c>
      <c r="I4" s="8">
        <v>12270</v>
      </c>
      <c r="J4" s="8">
        <v>3322.5</v>
      </c>
      <c r="K4" s="8">
        <v>-135</v>
      </c>
      <c r="L4" s="8">
        <v>-292.5</v>
      </c>
      <c r="M4" s="59">
        <v>-656.25</v>
      </c>
    </row>
    <row r="5" ht="20.05" customHeight="1">
      <c r="B5" s="13"/>
      <c r="C5" s="14">
        <v>12330</v>
      </c>
      <c r="D5" s="15">
        <v>1245</v>
      </c>
      <c r="E5" s="15">
        <v>2085</v>
      </c>
      <c r="F5" s="15">
        <v>18540</v>
      </c>
      <c r="G5" s="15">
        <v>40080</v>
      </c>
      <c r="H5" s="15">
        <v>98535</v>
      </c>
      <c r="I5" s="15">
        <v>12270</v>
      </c>
      <c r="J5" s="15">
        <v>3322.5</v>
      </c>
      <c r="K5" s="15">
        <v>-300</v>
      </c>
      <c r="L5" s="15">
        <v>-292.5</v>
      </c>
      <c r="M5" s="26">
        <v>-656.25</v>
      </c>
    </row>
    <row r="6" ht="20.05" customHeight="1">
      <c r="B6" s="13"/>
      <c r="C6" s="14">
        <v>13350</v>
      </c>
      <c r="D6" s="15">
        <v>1245</v>
      </c>
      <c r="E6" s="15">
        <v>2475</v>
      </c>
      <c r="F6" s="15">
        <v>18885</v>
      </c>
      <c r="G6" s="15">
        <v>41850</v>
      </c>
      <c r="H6" s="15">
        <v>102795</v>
      </c>
      <c r="I6" s="15">
        <v>12270</v>
      </c>
      <c r="J6" s="15">
        <v>5227.5</v>
      </c>
      <c r="K6" s="15">
        <v>-4470</v>
      </c>
      <c r="L6" s="15">
        <v>-292.5</v>
      </c>
      <c r="M6" s="26">
        <v>-656.25</v>
      </c>
    </row>
    <row r="7" ht="20.05" customHeight="1">
      <c r="B7" s="13"/>
      <c r="C7" s="14">
        <v>12285</v>
      </c>
      <c r="D7" s="15">
        <v>1140</v>
      </c>
      <c r="E7" s="15">
        <v>1830</v>
      </c>
      <c r="F7" s="15">
        <v>18105</v>
      </c>
      <c r="G7" s="15">
        <v>40830</v>
      </c>
      <c r="H7" s="15">
        <v>102210</v>
      </c>
      <c r="I7" s="15">
        <v>12270</v>
      </c>
      <c r="J7" s="15">
        <v>427.5</v>
      </c>
      <c r="K7" s="15">
        <v>-1590</v>
      </c>
      <c r="L7" s="15">
        <v>-292.5</v>
      </c>
      <c r="M7" s="26">
        <v>-656.25</v>
      </c>
    </row>
    <row r="8" ht="20.05" customHeight="1">
      <c r="B8" s="21">
        <v>2018</v>
      </c>
      <c r="C8" s="14">
        <v>11460</v>
      </c>
      <c r="D8" s="15">
        <v>1380</v>
      </c>
      <c r="E8" s="15">
        <v>1320</v>
      </c>
      <c r="F8" s="15">
        <v>16860</v>
      </c>
      <c r="G8" s="15">
        <v>39090</v>
      </c>
      <c r="H8" s="15">
        <v>101535</v>
      </c>
      <c r="I8" s="15">
        <v>13365</v>
      </c>
      <c r="J8" s="15">
        <v>2973.75</v>
      </c>
      <c r="K8" s="15">
        <v>-1050</v>
      </c>
      <c r="L8" s="15">
        <v>-153.75</v>
      </c>
      <c r="M8" s="26">
        <v>-1068.75</v>
      </c>
    </row>
    <row r="9" ht="20.05" customHeight="1">
      <c r="B9" s="13"/>
      <c r="C9" s="14">
        <v>12690</v>
      </c>
      <c r="D9" s="15">
        <v>1230</v>
      </c>
      <c r="E9" s="15">
        <v>2040</v>
      </c>
      <c r="F9" s="15">
        <v>15870</v>
      </c>
      <c r="G9" s="15">
        <v>39285</v>
      </c>
      <c r="H9" s="15">
        <v>101760</v>
      </c>
      <c r="I9" s="15">
        <v>13365</v>
      </c>
      <c r="J9" s="15">
        <v>4443.75</v>
      </c>
      <c r="K9" s="15">
        <v>-2085</v>
      </c>
      <c r="L9" s="15">
        <v>-153.75</v>
      </c>
      <c r="M9" s="26">
        <v>-1068.75</v>
      </c>
    </row>
    <row r="10" ht="20.05" customHeight="1">
      <c r="B10" s="13"/>
      <c r="C10" s="14">
        <v>15855</v>
      </c>
      <c r="D10" s="15">
        <v>1305</v>
      </c>
      <c r="E10" s="15">
        <v>1920</v>
      </c>
      <c r="F10" s="15">
        <v>14475</v>
      </c>
      <c r="G10" s="15">
        <v>42705</v>
      </c>
      <c r="H10" s="15">
        <v>107265</v>
      </c>
      <c r="I10" s="15">
        <v>13365</v>
      </c>
      <c r="J10" s="15">
        <v>5118.75</v>
      </c>
      <c r="K10" s="15">
        <v>-7197</v>
      </c>
      <c r="L10" s="15">
        <v>-153.75</v>
      </c>
      <c r="M10" s="26">
        <v>-1068.75</v>
      </c>
    </row>
    <row r="11" ht="20.05" customHeight="1">
      <c r="B11" s="13"/>
      <c r="C11" s="14">
        <v>14295</v>
      </c>
      <c r="D11" s="15">
        <v>1155</v>
      </c>
      <c r="E11" s="15">
        <v>1890</v>
      </c>
      <c r="F11" s="15">
        <v>13920</v>
      </c>
      <c r="G11" s="15">
        <v>41370</v>
      </c>
      <c r="H11" s="15">
        <v>105900</v>
      </c>
      <c r="I11" s="15">
        <v>13365</v>
      </c>
      <c r="J11" s="15">
        <v>468.75</v>
      </c>
      <c r="K11" s="15">
        <v>-1677</v>
      </c>
      <c r="L11" s="15">
        <v>-153.75</v>
      </c>
      <c r="M11" s="26">
        <v>-1068.75</v>
      </c>
    </row>
    <row r="12" ht="20.05" customHeight="1">
      <c r="B12" s="21">
        <v>2019</v>
      </c>
      <c r="C12" s="14">
        <v>12690</v>
      </c>
      <c r="D12" s="15">
        <v>1260</v>
      </c>
      <c r="E12" s="15">
        <v>1980</v>
      </c>
      <c r="F12" s="15">
        <v>12195</v>
      </c>
      <c r="G12" s="15">
        <v>39135</v>
      </c>
      <c r="H12" s="15">
        <v>105420</v>
      </c>
      <c r="I12" s="15">
        <v>12780</v>
      </c>
      <c r="J12" s="15">
        <v>2782.5</v>
      </c>
      <c r="K12" s="15">
        <v>-1875</v>
      </c>
      <c r="L12" s="15">
        <v>1998.75</v>
      </c>
      <c r="M12" s="26">
        <v>-821.25</v>
      </c>
    </row>
    <row r="13" ht="20.05" customHeight="1">
      <c r="B13" s="13"/>
      <c r="C13" s="14">
        <v>13935</v>
      </c>
      <c r="D13" s="15">
        <v>1275</v>
      </c>
      <c r="E13" s="15">
        <v>2835</v>
      </c>
      <c r="F13" s="15">
        <v>13425</v>
      </c>
      <c r="G13" s="15">
        <v>40710</v>
      </c>
      <c r="H13" s="15">
        <v>107355</v>
      </c>
      <c r="I13" s="15">
        <v>13335</v>
      </c>
      <c r="J13" s="15">
        <v>4972.5</v>
      </c>
      <c r="K13" s="15">
        <v>-1575</v>
      </c>
      <c r="L13" s="15">
        <v>1998.75</v>
      </c>
      <c r="M13" s="26">
        <v>-821.25</v>
      </c>
    </row>
    <row r="14" ht="20.05" customHeight="1">
      <c r="B14" s="13"/>
      <c r="C14" s="14">
        <v>13185</v>
      </c>
      <c r="D14" s="15">
        <v>1548</v>
      </c>
      <c r="E14" s="15">
        <v>1747.5</v>
      </c>
      <c r="F14" s="15">
        <v>15120</v>
      </c>
      <c r="G14" s="15">
        <v>40680</v>
      </c>
      <c r="H14" s="15">
        <v>108615</v>
      </c>
      <c r="I14" s="15">
        <v>14220</v>
      </c>
      <c r="J14" s="15">
        <v>4750.5</v>
      </c>
      <c r="K14" s="15">
        <v>-2670</v>
      </c>
      <c r="L14" s="15">
        <v>1998.75</v>
      </c>
      <c r="M14" s="26">
        <v>-821.25</v>
      </c>
    </row>
    <row r="15" ht="20.05" customHeight="1">
      <c r="B15" s="13"/>
      <c r="C15" s="14">
        <v>12045</v>
      </c>
      <c r="D15" s="15">
        <v>1504.5</v>
      </c>
      <c r="E15" s="15">
        <v>-37.5</v>
      </c>
      <c r="F15" s="15">
        <v>23640</v>
      </c>
      <c r="G15" s="15">
        <v>48505.5</v>
      </c>
      <c r="H15" s="15">
        <v>108253.5</v>
      </c>
      <c r="I15" s="15">
        <v>12570</v>
      </c>
      <c r="J15" s="15">
        <v>622.5</v>
      </c>
      <c r="K15" s="15">
        <v>-2083.5</v>
      </c>
      <c r="L15" s="15">
        <v>1998.75</v>
      </c>
      <c r="M15" s="26">
        <v>-821.25</v>
      </c>
    </row>
    <row r="16" ht="20.05" customHeight="1">
      <c r="B16" s="21">
        <v>2020</v>
      </c>
      <c r="C16" s="14">
        <v>11250</v>
      </c>
      <c r="D16" s="15">
        <v>1575</v>
      </c>
      <c r="E16" s="15">
        <v>1584</v>
      </c>
      <c r="F16" s="15">
        <v>18765</v>
      </c>
      <c r="G16" s="15">
        <v>44190</v>
      </c>
      <c r="H16" s="15">
        <v>103860</v>
      </c>
      <c r="I16" s="15">
        <v>11310</v>
      </c>
      <c r="J16" s="15">
        <v>1927.5</v>
      </c>
      <c r="K16" s="15">
        <v>-3328.5</v>
      </c>
      <c r="L16" s="15">
        <v>-1608.75</v>
      </c>
      <c r="M16" s="26">
        <v>-1065</v>
      </c>
    </row>
    <row r="17" ht="20.05" customHeight="1">
      <c r="B17" s="13"/>
      <c r="C17" s="14">
        <v>9195</v>
      </c>
      <c r="D17" s="15">
        <v>1575</v>
      </c>
      <c r="E17" s="15">
        <v>921</v>
      </c>
      <c r="F17" s="15">
        <v>16125</v>
      </c>
      <c r="G17" s="15">
        <v>40425</v>
      </c>
      <c r="H17" s="15">
        <v>99660</v>
      </c>
      <c r="I17" s="15">
        <v>10020</v>
      </c>
      <c r="J17" s="15">
        <v>3532.5</v>
      </c>
      <c r="K17" s="15">
        <v>-1201.5</v>
      </c>
      <c r="L17" s="15">
        <v>-1608.75</v>
      </c>
      <c r="M17" s="26">
        <v>-1065</v>
      </c>
    </row>
    <row r="18" ht="20.05" customHeight="1">
      <c r="B18" s="13"/>
      <c r="C18" s="14">
        <v>8872.5</v>
      </c>
      <c r="D18" s="15">
        <v>1680</v>
      </c>
      <c r="E18" s="15">
        <v>-694.5</v>
      </c>
      <c r="F18" s="15">
        <v>17790</v>
      </c>
      <c r="G18" s="15">
        <v>38730</v>
      </c>
      <c r="H18" s="15">
        <v>97065</v>
      </c>
      <c r="I18" s="15">
        <v>9345</v>
      </c>
      <c r="J18" s="15">
        <v>2929.155</v>
      </c>
      <c r="K18" s="15">
        <v>-289.485</v>
      </c>
      <c r="L18" s="15">
        <v>-1608.75</v>
      </c>
      <c r="M18" s="26">
        <v>-1065</v>
      </c>
    </row>
    <row r="19" ht="20.05" customHeight="1">
      <c r="B19" s="13"/>
      <c r="C19" s="14">
        <v>8707.5</v>
      </c>
      <c r="D19" s="15">
        <v>1905</v>
      </c>
      <c r="E19" s="15">
        <v>574.5</v>
      </c>
      <c r="F19" s="15">
        <v>17610</v>
      </c>
      <c r="G19" s="15">
        <v>36450</v>
      </c>
      <c r="H19" s="15">
        <v>95730</v>
      </c>
      <c r="I19" s="15">
        <v>8670</v>
      </c>
      <c r="J19" s="15">
        <v>1840.845</v>
      </c>
      <c r="K19" s="15">
        <v>-565.515</v>
      </c>
      <c r="L19" s="15">
        <v>-1608.75</v>
      </c>
      <c r="M19" s="26">
        <v>-1065</v>
      </c>
    </row>
    <row r="20" ht="20.05" customHeight="1">
      <c r="B20" s="21">
        <v>2021</v>
      </c>
      <c r="C20" s="14">
        <v>10380</v>
      </c>
      <c r="D20" s="15">
        <v>2055</v>
      </c>
      <c r="E20" s="15">
        <v>1129.5</v>
      </c>
      <c r="F20" s="15">
        <v>17850</v>
      </c>
      <c r="G20" s="15">
        <v>35775</v>
      </c>
      <c r="H20" s="15">
        <v>97275</v>
      </c>
      <c r="I20" s="15">
        <v>9220.5</v>
      </c>
      <c r="J20" s="15">
        <v>1722</v>
      </c>
      <c r="K20" s="15">
        <v>-811.5</v>
      </c>
      <c r="L20" s="15">
        <v>-600</v>
      </c>
      <c r="M20" s="26">
        <v>0</v>
      </c>
    </row>
    <row r="21" ht="20.05" customHeight="1">
      <c r="B21" s="13"/>
      <c r="C21" s="14">
        <v>13062</v>
      </c>
      <c r="D21" s="15">
        <v>2055</v>
      </c>
      <c r="E21" s="15">
        <v>1710</v>
      </c>
      <c r="F21" s="15">
        <v>18120</v>
      </c>
      <c r="G21" s="15">
        <v>40395</v>
      </c>
      <c r="H21" s="15">
        <v>101085</v>
      </c>
      <c r="I21" s="15">
        <v>11851.5</v>
      </c>
      <c r="J21" s="15">
        <v>3869.715</v>
      </c>
      <c r="K21" s="15">
        <v>-5184</v>
      </c>
      <c r="L21" s="15">
        <v>2885.385</v>
      </c>
      <c r="M21" s="26">
        <v>-1361.865</v>
      </c>
    </row>
    <row r="22" ht="20.05" customHeight="1">
      <c r="B22" s="13"/>
      <c r="C22" s="14">
        <v>15094.5</v>
      </c>
      <c r="D22" s="15">
        <v>2055</v>
      </c>
      <c r="E22" s="15">
        <v>4140</v>
      </c>
      <c r="F22" s="15">
        <v>22665</v>
      </c>
      <c r="G22" s="15">
        <v>41910</v>
      </c>
      <c r="H22" s="15">
        <v>106770</v>
      </c>
      <c r="I22" s="15">
        <v>14899.5</v>
      </c>
      <c r="J22" s="15">
        <v>6462.12</v>
      </c>
      <c r="K22" s="15">
        <v>-1932</v>
      </c>
      <c r="L22" s="15">
        <v>86.325</v>
      </c>
      <c r="M22" s="26">
        <v>-50.34</v>
      </c>
    </row>
    <row r="23" ht="20.05" customHeight="1">
      <c r="B23" s="13"/>
      <c r="C23" s="14">
        <v>21354</v>
      </c>
      <c r="D23" s="15">
        <v>2055</v>
      </c>
      <c r="E23" s="15">
        <v>8449.5</v>
      </c>
      <c r="F23" s="15">
        <v>27165</v>
      </c>
      <c r="G23" s="15">
        <v>46929</v>
      </c>
      <c r="H23" s="15">
        <v>113803.5</v>
      </c>
      <c r="I23" s="15">
        <v>20319</v>
      </c>
      <c r="J23" s="15">
        <v>8628.165000000001</v>
      </c>
      <c r="K23" s="15">
        <v>-1741.5</v>
      </c>
      <c r="L23" s="15">
        <v>-516.21</v>
      </c>
      <c r="M23" s="26">
        <v>-1880.295</v>
      </c>
    </row>
    <row r="24" ht="20.05" customHeight="1">
      <c r="B24" s="21">
        <v>2022</v>
      </c>
      <c r="C24" s="14">
        <v>18375</v>
      </c>
      <c r="D24" s="26">
        <v>1950</v>
      </c>
      <c r="E24" s="15">
        <v>6600</v>
      </c>
      <c r="F24" s="15">
        <v>23365.5</v>
      </c>
      <c r="G24" s="15">
        <v>40800</v>
      </c>
      <c r="H24" s="15">
        <v>114450</v>
      </c>
      <c r="I24" s="15">
        <v>16455</v>
      </c>
      <c r="J24" s="15">
        <v>3012</v>
      </c>
      <c r="K24" s="15">
        <v>-1444.5</v>
      </c>
      <c r="L24" s="15">
        <v>615</v>
      </c>
      <c r="M24" s="26">
        <v>-5985</v>
      </c>
    </row>
    <row r="25" ht="20.05" customHeight="1">
      <c r="B25" s="13"/>
      <c r="C25" s="14">
        <v>34744.5</v>
      </c>
      <c r="D25" s="15">
        <v>2259</v>
      </c>
      <c r="E25" s="15">
        <v>13581</v>
      </c>
      <c r="F25" s="15">
        <v>33660</v>
      </c>
      <c r="G25" s="15">
        <v>49230</v>
      </c>
      <c r="H25" s="15">
        <v>131835</v>
      </c>
      <c r="I25" s="15">
        <v>30300</v>
      </c>
      <c r="J25" s="15">
        <v>16933.5</v>
      </c>
      <c r="K25" s="15">
        <v>-1245</v>
      </c>
      <c r="L25" s="15">
        <v>160.5</v>
      </c>
      <c r="M25" s="26">
        <v>-5365.5</v>
      </c>
    </row>
    <row r="26" ht="20.05" customHeight="1">
      <c r="B26" s="13"/>
      <c r="C26" s="14">
        <v>35577</v>
      </c>
      <c r="D26" s="15">
        <v>2490</v>
      </c>
      <c r="E26" s="15">
        <v>12346.5</v>
      </c>
      <c r="F26" s="15">
        <v>50295</v>
      </c>
      <c r="G26" s="15">
        <v>56145</v>
      </c>
      <c r="H26" s="15">
        <v>150480</v>
      </c>
      <c r="I26" s="15">
        <v>37396.5</v>
      </c>
      <c r="J26" s="15">
        <v>23044.5</v>
      </c>
      <c r="K26" s="15">
        <v>-5697</v>
      </c>
      <c r="L26" s="15">
        <v>501</v>
      </c>
      <c r="M26" s="26">
        <v>-880.5</v>
      </c>
    </row>
    <row r="27" ht="20.05" customHeight="1">
      <c r="B27" s="13"/>
      <c r="C27" s="34"/>
      <c r="D27" s="17"/>
      <c r="E27" s="17"/>
      <c r="F27" s="17"/>
      <c r="G27" s="17"/>
      <c r="H27" s="17"/>
      <c r="I27" s="17"/>
      <c r="J27" s="17"/>
      <c r="K27" s="17"/>
      <c r="L27" s="17"/>
      <c r="M27" s="17"/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7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3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67" customWidth="1"/>
    <col min="2" max="28" width="10.4844" style="267" customWidth="1"/>
    <col min="29" max="29" width="18.9766" style="269" customWidth="1"/>
    <col min="30" max="33" width="9" style="269" customWidth="1"/>
    <col min="34" max="47" hidden="1" width="16.3333" style="269" customWidth="1"/>
    <col min="48" max="16384" width="16.3516" style="269" customWidth="1"/>
  </cols>
  <sheetData>
    <row r="1" ht="11.65" customHeight="1"/>
    <row r="2" ht="27.65" customHeight="1">
      <c r="B2" t="s" s="2">
        <v>623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493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280</v>
      </c>
      <c r="AA3" t="s" s="3">
        <v>19</v>
      </c>
      <c r="AB3" t="s" s="3">
        <v>20</v>
      </c>
    </row>
    <row r="4" ht="20.25" customHeight="1">
      <c r="B4" s="6">
        <v>2017</v>
      </c>
      <c r="C4" s="87">
        <v>9921.401</v>
      </c>
      <c r="D4" s="88">
        <v>987.9373000000001</v>
      </c>
      <c r="E4" s="88">
        <v>1142.204</v>
      </c>
      <c r="F4" s="8">
        <v>1755.6</v>
      </c>
      <c r="G4" s="8">
        <v>52668</v>
      </c>
      <c r="H4" s="8">
        <v>91344.399999999994</v>
      </c>
      <c r="I4" s="8">
        <v>9785.608</v>
      </c>
      <c r="J4" s="8">
        <v>2612.12</v>
      </c>
      <c r="K4" s="8">
        <v>-2109.38</v>
      </c>
      <c r="L4" s="8">
        <v>590.52</v>
      </c>
      <c r="M4" s="8">
        <v>-38.57</v>
      </c>
      <c r="N4" s="9"/>
      <c r="O4" s="9"/>
      <c r="P4" s="9"/>
      <c r="Q4" s="9"/>
      <c r="R4" s="9"/>
      <c r="S4" s="9"/>
      <c r="T4" s="9"/>
      <c r="U4" s="9"/>
      <c r="V4" s="8">
        <f>-(L4+M4)</f>
        <v>-551.95</v>
      </c>
      <c r="W4" s="9"/>
      <c r="X4" s="9"/>
      <c r="Y4" s="9"/>
      <c r="Z4" s="268">
        <v>1310</v>
      </c>
      <c r="AA4" s="11"/>
      <c r="AB4" s="12">
        <v>13.3</v>
      </c>
    </row>
    <row r="5" ht="20.05" customHeight="1">
      <c r="B5" s="13"/>
      <c r="C5" s="38">
        <v>9461.23711</v>
      </c>
      <c r="D5" s="23">
        <v>986.811042</v>
      </c>
      <c r="E5" s="23">
        <v>1134.39424</v>
      </c>
      <c r="F5" s="15">
        <v>4038.081</v>
      </c>
      <c r="G5" s="15">
        <v>55480.301</v>
      </c>
      <c r="H5" s="15">
        <v>95234.742</v>
      </c>
      <c r="I5" s="15">
        <v>8945.61548</v>
      </c>
      <c r="J5" s="15">
        <v>625.96919</v>
      </c>
      <c r="K5" s="15">
        <v>469.1104</v>
      </c>
      <c r="L5" s="15">
        <v>591.7188</v>
      </c>
      <c r="M5" s="15">
        <v>-38.6483</v>
      </c>
      <c r="N5" s="17"/>
      <c r="O5" s="17"/>
      <c r="P5" s="17"/>
      <c r="Q5" s="17"/>
      <c r="R5" s="17"/>
      <c r="S5" s="17"/>
      <c r="T5" s="17"/>
      <c r="U5" s="17"/>
      <c r="V5" s="15">
        <f>-(L5+M5)+V4</f>
        <v>-1105.0205</v>
      </c>
      <c r="W5" s="17"/>
      <c r="X5" s="17"/>
      <c r="Y5" s="17"/>
      <c r="Z5" s="258">
        <v>2550</v>
      </c>
      <c r="AA5" s="19"/>
      <c r="AB5" s="20">
        <v>13.327</v>
      </c>
    </row>
    <row r="6" ht="20.05" customHeight="1">
      <c r="B6" s="13"/>
      <c r="C6" s="38">
        <v>10718.10885</v>
      </c>
      <c r="D6" s="23">
        <v>973.58007</v>
      </c>
      <c r="E6" s="23">
        <v>1550.8308</v>
      </c>
      <c r="F6" s="15">
        <v>5109.12</v>
      </c>
      <c r="G6" s="15">
        <v>55681.425</v>
      </c>
      <c r="H6" s="15">
        <v>96887.009999999995</v>
      </c>
      <c r="I6" s="15">
        <v>9735.2685</v>
      </c>
      <c r="J6" s="15">
        <v>3427.76715</v>
      </c>
      <c r="K6" s="15">
        <v>-1866.6915</v>
      </c>
      <c r="L6" s="15">
        <v>590.742</v>
      </c>
      <c r="M6" s="15">
        <v>-38.5845</v>
      </c>
      <c r="N6" s="17"/>
      <c r="O6" s="17"/>
      <c r="P6" s="17"/>
      <c r="Q6" s="17"/>
      <c r="R6" s="17"/>
      <c r="S6" s="17"/>
      <c r="T6" s="17"/>
      <c r="U6" s="17"/>
      <c r="V6" s="15">
        <f>-(L6+M6)+V5</f>
        <v>-1657.178</v>
      </c>
      <c r="W6" s="17"/>
      <c r="X6" s="17"/>
      <c r="Y6" s="17"/>
      <c r="Z6" s="258">
        <v>4190</v>
      </c>
      <c r="AA6" s="19"/>
      <c r="AB6" s="20">
        <v>13.305</v>
      </c>
    </row>
    <row r="7" ht="20.05" customHeight="1">
      <c r="B7" s="13"/>
      <c r="C7" s="38">
        <v>11746.46265</v>
      </c>
      <c r="D7" s="23">
        <v>994.8126600000001</v>
      </c>
      <c r="E7" s="23">
        <v>1704.38604</v>
      </c>
      <c r="F7" s="15">
        <v>8405.34</v>
      </c>
      <c r="G7" s="15">
        <v>59881.269</v>
      </c>
      <c r="H7" s="15">
        <v>103494.138</v>
      </c>
      <c r="I7" s="15">
        <v>10856.4456</v>
      </c>
      <c r="J7" s="15">
        <v>2232.8379</v>
      </c>
      <c r="K7" s="15">
        <v>-1400.4381</v>
      </c>
      <c r="L7" s="15">
        <v>601.9308</v>
      </c>
      <c r="M7" s="15">
        <v>-39.3153</v>
      </c>
      <c r="N7" s="17"/>
      <c r="O7" s="17"/>
      <c r="P7" s="17"/>
      <c r="Q7" s="17"/>
      <c r="R7" s="17"/>
      <c r="S7" s="17"/>
      <c r="T7" s="17"/>
      <c r="U7" s="17"/>
      <c r="V7" s="15">
        <f>-(L7+M7)+V6</f>
        <v>-2219.7935</v>
      </c>
      <c r="W7" s="17"/>
      <c r="X7" s="17"/>
      <c r="Y7" s="17"/>
      <c r="Z7" s="258">
        <v>5400</v>
      </c>
      <c r="AA7" s="19"/>
      <c r="AB7" s="20">
        <v>13.557</v>
      </c>
    </row>
    <row r="8" ht="20.05" customHeight="1">
      <c r="B8" s="21">
        <v>2018</v>
      </c>
      <c r="C8" s="38">
        <v>11610.1557</v>
      </c>
      <c r="D8" s="23">
        <v>999.213732</v>
      </c>
      <c r="E8" s="23">
        <v>2132.955</v>
      </c>
      <c r="F8" s="15">
        <v>7926.336</v>
      </c>
      <c r="G8" s="15">
        <v>63451.971</v>
      </c>
      <c r="H8" s="15">
        <v>109854.063</v>
      </c>
      <c r="I8" s="15">
        <v>10534.0455</v>
      </c>
      <c r="J8" s="15">
        <v>3039.8049</v>
      </c>
      <c r="K8" s="15">
        <v>-4849.3764</v>
      </c>
      <c r="L8" s="15">
        <v>1537.79175</v>
      </c>
      <c r="M8" s="15">
        <v>-130.7295</v>
      </c>
      <c r="N8" s="23">
        <f>SUM(C5:C8)/4</f>
        <v>10883.9910775</v>
      </c>
      <c r="O8" s="17"/>
      <c r="P8" s="16">
        <f>C8/C7-1</f>
        <v>-0.0116040849114691</v>
      </c>
      <c r="Q8" s="16">
        <f>(D8+E8+D7+E7+D6+E6+D5+E5)/(C5+C6+C7+C8)</f>
        <v>0.24065123513512</v>
      </c>
      <c r="R8" s="16">
        <f>AVERAGE(Q5:Q8)</f>
        <v>0.24065123513512</v>
      </c>
      <c r="S8" s="17"/>
      <c r="T8" s="15">
        <f>SUM(J5:K8)/4</f>
        <v>419.745885</v>
      </c>
      <c r="U8" s="17"/>
      <c r="V8" s="15">
        <f>-(L8+M8)+V7</f>
        <v>-3626.85575</v>
      </c>
      <c r="W8" s="17"/>
      <c r="X8" s="15">
        <f>F8-G8</f>
        <v>-55525.635</v>
      </c>
      <c r="Y8" s="24"/>
      <c r="Z8" s="258">
        <v>11000</v>
      </c>
      <c r="AA8" s="22"/>
      <c r="AB8" s="20">
        <v>13.761</v>
      </c>
    </row>
    <row r="9" ht="20.05" customHeight="1">
      <c r="B9" s="13"/>
      <c r="C9" s="38">
        <v>11439.4</v>
      </c>
      <c r="D9" s="23">
        <v>1013.544</v>
      </c>
      <c r="E9" s="23">
        <v>2597</v>
      </c>
      <c r="F9" s="15">
        <v>10164</v>
      </c>
      <c r="G9" s="15">
        <v>66486</v>
      </c>
      <c r="H9" s="15">
        <v>115738</v>
      </c>
      <c r="I9" s="15">
        <v>10591</v>
      </c>
      <c r="J9" s="15">
        <v>652.12</v>
      </c>
      <c r="K9" s="15">
        <v>-308</v>
      </c>
      <c r="L9" s="15">
        <v>1564.5</v>
      </c>
      <c r="M9" s="15">
        <v>-133</v>
      </c>
      <c r="N9" s="23">
        <f>SUM(C6:C9)/4</f>
        <v>11378.5318</v>
      </c>
      <c r="O9" s="17"/>
      <c r="P9" s="16">
        <f>C9/C8-1</f>
        <v>-0.0147074427261988</v>
      </c>
      <c r="Q9" s="16">
        <f>(J9-I9)/I9</f>
        <v>-0.938426966292135</v>
      </c>
      <c r="R9" s="16">
        <f>AVERAGE(Q6:Q9)</f>
        <v>-0.348887865578508</v>
      </c>
      <c r="S9" s="17"/>
      <c r="T9" s="15">
        <f>SUM(J6:K9)/4</f>
        <v>232.0059875</v>
      </c>
      <c r="U9" s="17"/>
      <c r="V9" s="15">
        <f>-(L9+M9)+V8</f>
        <v>-5058.35575</v>
      </c>
      <c r="W9" s="17"/>
      <c r="X9" s="15">
        <f>F9-G9</f>
        <v>-56322</v>
      </c>
      <c r="Y9" s="24"/>
      <c r="Z9" s="258">
        <v>18600</v>
      </c>
      <c r="AA9" s="22"/>
      <c r="AB9" s="20">
        <v>14</v>
      </c>
    </row>
    <row r="10" ht="20.05" customHeight="1">
      <c r="B10" s="13"/>
      <c r="C10" s="38">
        <v>12617.5234</v>
      </c>
      <c r="D10" s="23">
        <v>1084.612266</v>
      </c>
      <c r="E10" s="23">
        <v>2619.17552</v>
      </c>
      <c r="F10" s="15">
        <v>10818.852</v>
      </c>
      <c r="G10" s="15">
        <v>74957.06</v>
      </c>
      <c r="H10" s="15">
        <v>129990.146</v>
      </c>
      <c r="I10" s="15">
        <v>10638.5378</v>
      </c>
      <c r="J10" s="15">
        <v>2697.56004</v>
      </c>
      <c r="K10" s="15">
        <v>-5413.8966</v>
      </c>
      <c r="L10" s="15">
        <v>1665.2985</v>
      </c>
      <c r="M10" s="15">
        <v>-141.569</v>
      </c>
      <c r="N10" s="23">
        <f>SUM(C7:C10)/4</f>
        <v>11853.3854375</v>
      </c>
      <c r="O10" s="17"/>
      <c r="P10" s="16">
        <f>C10/C9-1</f>
        <v>0.102988216165183</v>
      </c>
      <c r="Q10" s="16">
        <f>(J10-I10)/I10</f>
        <v>-0.746435074940468</v>
      </c>
      <c r="R10" s="16">
        <f>AVERAGE(Q7:Q10)</f>
        <v>-0.481403602032494</v>
      </c>
      <c r="S10" s="17"/>
      <c r="T10" s="15">
        <f>SUM(J7:K10)/4</f>
        <v>-837.347065</v>
      </c>
      <c r="U10" s="17"/>
      <c r="V10" s="15">
        <f>-(L10+M10)+V9</f>
        <v>-6582.08525</v>
      </c>
      <c r="W10" s="17"/>
      <c r="X10" s="15">
        <f>F10-G10</f>
        <v>-64138.208</v>
      </c>
      <c r="Y10" s="24"/>
      <c r="Z10" s="258">
        <v>17350</v>
      </c>
      <c r="AA10" s="22"/>
      <c r="AB10" s="20">
        <v>14.902</v>
      </c>
    </row>
    <row r="11" ht="20.05" customHeight="1">
      <c r="B11" s="13"/>
      <c r="C11" s="38">
        <v>11905.202</v>
      </c>
      <c r="D11" s="23">
        <v>1072.87742</v>
      </c>
      <c r="E11" s="23">
        <v>1034.4972</v>
      </c>
      <c r="F11" s="15">
        <v>10871.28</v>
      </c>
      <c r="G11" s="15">
        <v>71612.399999999994</v>
      </c>
      <c r="H11" s="15">
        <v>125839.38</v>
      </c>
      <c r="I11" s="15">
        <v>12594.004</v>
      </c>
      <c r="J11" s="15">
        <v>1380.48</v>
      </c>
      <c r="K11" s="15">
        <v>-186.94</v>
      </c>
      <c r="L11" s="15">
        <v>1606.965</v>
      </c>
      <c r="M11" s="15">
        <v>-136.61</v>
      </c>
      <c r="N11" s="23">
        <f>SUM(C8:C11)/4</f>
        <v>11893.070275</v>
      </c>
      <c r="O11" s="17"/>
      <c r="P11" s="16">
        <f>C11/C10-1</f>
        <v>-0.0564549299746098</v>
      </c>
      <c r="Q11" s="16">
        <f>(J11-I11)/I11</f>
        <v>-0.890385932861384</v>
      </c>
      <c r="R11" s="16">
        <f>AVERAGE(Q8:Q11)</f>
        <v>-0.5836491847397171</v>
      </c>
      <c r="S11" s="17"/>
      <c r="T11" s="15">
        <f>SUM(J8:K11)/4</f>
        <v>-747.062015</v>
      </c>
      <c r="U11" s="17"/>
      <c r="V11" s="15">
        <f>-(L11+M11)+V10</f>
        <v>-8052.44025</v>
      </c>
      <c r="W11" s="17"/>
      <c r="X11" s="15">
        <f>F11-G11</f>
        <v>-60741.12</v>
      </c>
      <c r="Y11" s="24"/>
      <c r="Z11" s="258">
        <v>11550</v>
      </c>
      <c r="AA11" s="22"/>
      <c r="AB11" s="20">
        <v>14.38</v>
      </c>
    </row>
    <row r="12" ht="20.05" customHeight="1">
      <c r="B12" s="21">
        <v>2019</v>
      </c>
      <c r="C12" s="38">
        <v>11050.24</v>
      </c>
      <c r="D12" s="23">
        <v>1081.47104</v>
      </c>
      <c r="E12" s="23">
        <v>1039.52</v>
      </c>
      <c r="F12" s="15">
        <v>10836.64</v>
      </c>
      <c r="G12" s="15">
        <v>70416.8</v>
      </c>
      <c r="H12" s="15">
        <v>125183.84</v>
      </c>
      <c r="I12" s="15">
        <v>11115.6016</v>
      </c>
      <c r="J12" s="15">
        <v>1614.2464</v>
      </c>
      <c r="K12" s="15">
        <v>-597.9376</v>
      </c>
      <c r="L12" s="15">
        <v>-1580.64</v>
      </c>
      <c r="M12" s="15">
        <v>-138.84</v>
      </c>
      <c r="N12" s="23">
        <f>SUM(C9:C12)/4</f>
        <v>11753.09135</v>
      </c>
      <c r="O12" s="17"/>
      <c r="P12" s="16">
        <f>C12/C11-1</f>
        <v>-0.0718141531743854</v>
      </c>
      <c r="Q12" s="16">
        <f>(J12-I12)/I12</f>
        <v>-0.8547765152000411</v>
      </c>
      <c r="R12" s="16">
        <f>AVERAGE(Q9:Q12)</f>
        <v>-0.857506122323507</v>
      </c>
      <c r="S12" s="17"/>
      <c r="T12" s="15">
        <f>SUM(J9:K12)/4</f>
        <v>-40.59194</v>
      </c>
      <c r="U12" s="17"/>
      <c r="V12" s="15">
        <f>-(L12+M12)+V11</f>
        <v>-6332.96025</v>
      </c>
      <c r="W12" s="17"/>
      <c r="X12" s="15">
        <f>F12-G12</f>
        <v>-59580.16</v>
      </c>
      <c r="Y12" s="24"/>
      <c r="Z12" s="258">
        <v>8600</v>
      </c>
      <c r="AA12" s="22"/>
      <c r="AB12" s="20">
        <v>14.24</v>
      </c>
    </row>
    <row r="13" ht="20.05" customHeight="1">
      <c r="B13" s="13"/>
      <c r="C13" s="38">
        <v>11283.2349</v>
      </c>
      <c r="D13" s="23">
        <v>1075.304859</v>
      </c>
      <c r="E13" s="23">
        <v>1042.5726</v>
      </c>
      <c r="F13" s="15">
        <v>12219.855</v>
      </c>
      <c r="G13" s="15">
        <v>70041.666</v>
      </c>
      <c r="H13" s="15">
        <v>124896.807</v>
      </c>
      <c r="I13" s="15">
        <v>13143.90207</v>
      </c>
      <c r="J13" s="15">
        <v>1822.94808</v>
      </c>
      <c r="K13" s="15">
        <v>169.38273</v>
      </c>
      <c r="L13" s="15">
        <v>-1568.097</v>
      </c>
      <c r="M13" s="15">
        <v>-137.73825</v>
      </c>
      <c r="N13" s="23">
        <f>SUM(C10:C13)/4</f>
        <v>11714.050075</v>
      </c>
      <c r="O13" s="17"/>
      <c r="P13" s="16">
        <f>C13/C12-1</f>
        <v>0.0210850533563072</v>
      </c>
      <c r="Q13" s="16">
        <f>(J13-I13)/I13</f>
        <v>-0.86130845541213</v>
      </c>
      <c r="R13" s="16">
        <f>AVERAGE(Q10:Q13)</f>
        <v>-0.838226494603506</v>
      </c>
      <c r="S13" s="17"/>
      <c r="T13" s="15">
        <f>SUM(J10:K13)/4</f>
        <v>371.4607625</v>
      </c>
      <c r="U13" s="17"/>
      <c r="V13" s="15">
        <f>-(L13+M13)+V12</f>
        <v>-4627.125</v>
      </c>
      <c r="W13" s="17"/>
      <c r="X13" s="15">
        <f>F13-G13</f>
        <v>-57821.811</v>
      </c>
      <c r="Y13" s="24"/>
      <c r="Z13" s="258">
        <v>9375</v>
      </c>
      <c r="AA13" s="24"/>
      <c r="AB13" s="15">
        <v>14.127</v>
      </c>
    </row>
    <row r="14" ht="20.05" customHeight="1">
      <c r="B14" s="13"/>
      <c r="C14" s="38">
        <v>12664.779</v>
      </c>
      <c r="D14" s="23">
        <v>1074.178235</v>
      </c>
      <c r="E14" s="23">
        <v>1294.584</v>
      </c>
      <c r="F14" s="15">
        <v>12590.965</v>
      </c>
      <c r="G14" s="15">
        <v>66602.94</v>
      </c>
      <c r="H14" s="15">
        <v>123028.065</v>
      </c>
      <c r="I14" s="15">
        <v>11186.7956</v>
      </c>
      <c r="J14" s="15">
        <v>2125.98515</v>
      </c>
      <c r="K14" s="15">
        <v>1609.713</v>
      </c>
      <c r="L14" s="15">
        <v>-1575.645</v>
      </c>
      <c r="M14" s="15">
        <v>-138.40125</v>
      </c>
      <c r="N14" s="23">
        <f>SUM(C11:C14)/4</f>
        <v>11725.863975</v>
      </c>
      <c r="O14" s="17"/>
      <c r="P14" s="16">
        <f>C14/C13-1</f>
        <v>0.122442199621316</v>
      </c>
      <c r="Q14" s="16">
        <f>(J14-I14)/I14</f>
        <v>-0.809955842046493</v>
      </c>
      <c r="R14" s="16">
        <f>AVERAGE(Q11:Q14)</f>
        <v>-0.854106686380012</v>
      </c>
      <c r="S14" s="17"/>
      <c r="T14" s="15">
        <f>SUM(J11:K14)/4</f>
        <v>1984.46944</v>
      </c>
      <c r="U14" s="17"/>
      <c r="V14" s="15">
        <f>-(L14+M14)+V13</f>
        <v>-2913.07875</v>
      </c>
      <c r="W14" s="17"/>
      <c r="X14" s="15">
        <f>F14-G14</f>
        <v>-54011.975</v>
      </c>
      <c r="Y14" s="24"/>
      <c r="Z14" s="258">
        <v>6475</v>
      </c>
      <c r="AA14" s="24"/>
      <c r="AB14" s="15">
        <v>14.195</v>
      </c>
    </row>
    <row r="15" ht="20.05" customHeight="1">
      <c r="B15" s="13"/>
      <c r="C15" s="38">
        <v>10498.2625</v>
      </c>
      <c r="D15" s="23">
        <v>1046.716682</v>
      </c>
      <c r="E15" s="23">
        <v>505.16598</v>
      </c>
      <c r="F15" s="15">
        <v>10744.668</v>
      </c>
      <c r="G15" s="15">
        <v>62413.472</v>
      </c>
      <c r="H15" s="15">
        <v>118024.764</v>
      </c>
      <c r="I15" s="15">
        <v>9049.953439999999</v>
      </c>
      <c r="J15" s="15">
        <v>959.66266</v>
      </c>
      <c r="K15" s="15">
        <v>-398.4134</v>
      </c>
      <c r="L15" s="15">
        <v>-1540.902</v>
      </c>
      <c r="M15" s="15">
        <v>-135.3495</v>
      </c>
      <c r="N15" s="23">
        <f>SUM(C12:C15)/4</f>
        <v>11374.1291</v>
      </c>
      <c r="O15" s="17"/>
      <c r="P15" s="16">
        <f>C15/C14-1</f>
        <v>-0.171066269691717</v>
      </c>
      <c r="Q15" s="16">
        <f>(J15-I15)/I15</f>
        <v>-0.893959381519205</v>
      </c>
      <c r="R15" s="16">
        <f>AVERAGE(Q12:Q15)</f>
        <v>-0.855000048544467</v>
      </c>
      <c r="S15" s="17"/>
      <c r="T15" s="15">
        <f>SUM(J12:K15)/4</f>
        <v>1826.396755</v>
      </c>
      <c r="U15" s="17"/>
      <c r="V15" s="15">
        <f>-(L15+M15)+V14</f>
        <v>-1236.82725</v>
      </c>
      <c r="W15" s="17"/>
      <c r="X15" s="15">
        <f>F15-G15</f>
        <v>-51668.804</v>
      </c>
      <c r="Y15" s="24"/>
      <c r="Z15" s="258">
        <v>7700</v>
      </c>
      <c r="AA15" s="24"/>
      <c r="AB15" s="15">
        <v>13.882</v>
      </c>
    </row>
    <row r="16" ht="20.05" customHeight="1">
      <c r="B16" s="21">
        <v>2020</v>
      </c>
      <c r="C16" s="38">
        <v>12729.4657</v>
      </c>
      <c r="D16" s="23">
        <v>1125.39</v>
      </c>
      <c r="E16" s="23">
        <v>2919.49</v>
      </c>
      <c r="F16" s="15">
        <v>13064.31</v>
      </c>
      <c r="G16" s="15">
        <v>68583.55</v>
      </c>
      <c r="H16" s="15">
        <v>136775.66</v>
      </c>
      <c r="I16" s="15">
        <v>13778.688</v>
      </c>
      <c r="J16" s="15">
        <v>3240.797</v>
      </c>
      <c r="K16" s="15">
        <v>-495.0085</v>
      </c>
      <c r="L16" s="15">
        <v>-791.035</v>
      </c>
      <c r="M16" s="15">
        <v>-81.55</v>
      </c>
      <c r="N16" s="23">
        <f>SUM(C13:C16)/4</f>
        <v>11793.935525</v>
      </c>
      <c r="O16" s="15"/>
      <c r="P16" s="16">
        <f>C16/C15-1</f>
        <v>0.212530711629663</v>
      </c>
      <c r="Q16" s="16">
        <f>(J16-I16)/I16</f>
        <v>-0.764796401515152</v>
      </c>
      <c r="R16" s="16">
        <f>AVERAGE(Q13:Q16)</f>
        <v>-0.832505020123245</v>
      </c>
      <c r="S16" s="17"/>
      <c r="T16" s="15">
        <f>SUM(J13:K16)/4</f>
        <v>2258.76668</v>
      </c>
      <c r="U16" s="17"/>
      <c r="V16" s="15">
        <f>-(L16+M16)+V15</f>
        <v>-364.24225</v>
      </c>
      <c r="W16" s="17"/>
      <c r="X16" s="15">
        <f>F16-G16</f>
        <v>-55519.24</v>
      </c>
      <c r="Y16" s="24"/>
      <c r="Z16" s="258">
        <v>4010</v>
      </c>
      <c r="AA16" s="24"/>
      <c r="AB16" s="15">
        <v>16.31</v>
      </c>
    </row>
    <row r="17" ht="20.05" customHeight="1">
      <c r="B17" s="13"/>
      <c r="C17" s="38">
        <v>10028.82015</v>
      </c>
      <c r="D17" s="23">
        <v>983.595</v>
      </c>
      <c r="E17" s="23">
        <v>344.971</v>
      </c>
      <c r="F17" s="15">
        <v>10434.66</v>
      </c>
      <c r="G17" s="15">
        <v>58531.03</v>
      </c>
      <c r="H17" s="15">
        <v>118473.305</v>
      </c>
      <c r="I17" s="15">
        <v>8431.8325</v>
      </c>
      <c r="J17" s="15">
        <v>765.4935</v>
      </c>
      <c r="K17" s="15">
        <v>238.77125</v>
      </c>
      <c r="L17" s="15">
        <v>-691.3674999999999</v>
      </c>
      <c r="M17" s="15">
        <v>-71.27500000000001</v>
      </c>
      <c r="N17" s="23">
        <f>SUM(C14:C17)/4</f>
        <v>11480.3318375</v>
      </c>
      <c r="O17" s="15"/>
      <c r="P17" s="16">
        <f>C17/C16-1</f>
        <v>-0.212157023212687</v>
      </c>
      <c r="Q17" s="16">
        <f>(J17-I17)/I17</f>
        <v>-0.9092138630600169</v>
      </c>
      <c r="R17" s="16">
        <f>AVERAGE(Q14:Q17)</f>
        <v>-0.844481372035217</v>
      </c>
      <c r="S17" s="17"/>
      <c r="T17" s="15">
        <f>SUM(J14:K17)/4</f>
        <v>2011.750165</v>
      </c>
      <c r="U17" s="17"/>
      <c r="V17" s="15">
        <f>-(L17+M17)+V16</f>
        <v>398.40025</v>
      </c>
      <c r="W17" s="17"/>
      <c r="X17" s="15">
        <f>F17-G17</f>
        <v>-48096.37</v>
      </c>
      <c r="Y17" s="24"/>
      <c r="Z17" s="258">
        <v>5975</v>
      </c>
      <c r="AA17" s="24"/>
      <c r="AB17" s="15">
        <v>14.255</v>
      </c>
    </row>
    <row r="18" ht="20.05" customHeight="1">
      <c r="B18" s="13"/>
      <c r="C18" s="38">
        <v>10469.841</v>
      </c>
      <c r="D18" s="23">
        <v>1020.51</v>
      </c>
      <c r="E18" s="23">
        <v>1246.04271</v>
      </c>
      <c r="F18" s="15">
        <v>11950.32</v>
      </c>
      <c r="G18" s="15">
        <v>58834.62</v>
      </c>
      <c r="H18" s="15">
        <v>121987.92</v>
      </c>
      <c r="I18" s="15">
        <v>10877.4534</v>
      </c>
      <c r="J18" s="15">
        <v>2978.706</v>
      </c>
      <c r="K18" s="15">
        <v>8.874000000000001</v>
      </c>
      <c r="L18" s="15">
        <v>-717.3150000000001</v>
      </c>
      <c r="M18" s="15">
        <v>-73.95</v>
      </c>
      <c r="N18" s="23">
        <f>SUM(C15:C18)/4</f>
        <v>10931.5973375</v>
      </c>
      <c r="O18" s="15"/>
      <c r="P18" s="16">
        <f>C18/C17-1</f>
        <v>0.0439753473891941</v>
      </c>
      <c r="Q18" s="16">
        <f>(J18-I18)/I18</f>
        <v>-0.726157778805102</v>
      </c>
      <c r="R18" s="16">
        <f>AVERAGE(Q15:Q18)</f>
        <v>-0.823531856224869</v>
      </c>
      <c r="S18" s="17"/>
      <c r="T18" s="15">
        <f>SUM(J15:K18)/4</f>
        <v>1824.7206275</v>
      </c>
      <c r="U18" s="17"/>
      <c r="V18" s="15">
        <f>-(L18+M18)+V17</f>
        <v>1189.66525</v>
      </c>
      <c r="W18" s="17"/>
      <c r="X18" s="15">
        <f>F18-G18</f>
        <v>-46884.3</v>
      </c>
      <c r="Y18" s="24"/>
      <c r="Z18" s="15">
        <v>8975</v>
      </c>
      <c r="AA18" s="24"/>
      <c r="AB18" s="15">
        <v>14.79</v>
      </c>
    </row>
    <row r="19" ht="20.05" customHeight="1">
      <c r="B19" s="13"/>
      <c r="C19" s="38">
        <v>11196.81</v>
      </c>
      <c r="D19" s="23">
        <v>1064.55</v>
      </c>
      <c r="E19" s="23">
        <v>92.3691</v>
      </c>
      <c r="F19" s="15">
        <v>12168.3</v>
      </c>
      <c r="G19" s="15">
        <v>59868.6</v>
      </c>
      <c r="H19" s="15">
        <v>119793.6</v>
      </c>
      <c r="I19" s="15">
        <v>9675.984</v>
      </c>
      <c r="J19" s="15">
        <v>486.45</v>
      </c>
      <c r="K19" s="15">
        <v>-2086.8</v>
      </c>
      <c r="L19" s="15">
        <v>-683.85</v>
      </c>
      <c r="M19" s="15">
        <v>-70.5</v>
      </c>
      <c r="N19" s="23">
        <f>SUM(C16:C19)/4</f>
        <v>11106.2342125</v>
      </c>
      <c r="O19" s="15"/>
      <c r="P19" s="16">
        <f>C19/C18-1</f>
        <v>0.0694345788059246</v>
      </c>
      <c r="Q19" s="16">
        <f>(J19-I19)/I19</f>
        <v>-0.949726043366752</v>
      </c>
      <c r="R19" s="16">
        <f>AVERAGE(Q16:Q19)</f>
        <v>-0.837473521686756</v>
      </c>
      <c r="S19" s="17"/>
      <c r="T19" s="15">
        <f>SUM(J16:K19)/4</f>
        <v>1284.3208125</v>
      </c>
      <c r="U19" s="17"/>
      <c r="V19" s="15">
        <f>-(L19+M19)+V18</f>
        <v>1944.01525</v>
      </c>
      <c r="W19" s="17"/>
      <c r="X19" s="15">
        <f>F19-G19</f>
        <v>-47700.3</v>
      </c>
      <c r="Y19" s="24"/>
      <c r="Z19" s="15">
        <v>10600</v>
      </c>
      <c r="AA19" s="24"/>
      <c r="AB19" s="15">
        <v>14.1</v>
      </c>
    </row>
    <row r="20" ht="20.05" customHeight="1">
      <c r="B20" s="21">
        <v>2021</v>
      </c>
      <c r="C20" s="38">
        <v>11703.7878</v>
      </c>
      <c r="D20" s="23">
        <v>1025.3412</v>
      </c>
      <c r="E20" s="23">
        <v>2034.6158</v>
      </c>
      <c r="F20" s="15">
        <v>11202.802</v>
      </c>
      <c r="G20" s="15">
        <v>62426.044</v>
      </c>
      <c r="H20" s="15">
        <v>126517.172</v>
      </c>
      <c r="I20" s="15">
        <v>9654.566000000001</v>
      </c>
      <c r="J20" s="15">
        <v>182.575</v>
      </c>
      <c r="K20" s="15">
        <v>-2303.3662</v>
      </c>
      <c r="L20" s="15">
        <v>662.08998</v>
      </c>
      <c r="M20" s="15">
        <v>-0.43818</v>
      </c>
      <c r="N20" s="23">
        <f>SUM(C17:C20)/4</f>
        <v>10849.8147375</v>
      </c>
      <c r="O20" s="15"/>
      <c r="P20" s="16">
        <f>C20/C19-1</f>
        <v>0.045278771364344</v>
      </c>
      <c r="Q20" s="16">
        <f>(J20-I20)/I20</f>
        <v>-0.981089258698941</v>
      </c>
      <c r="R20" s="16">
        <f>AVERAGE(Q17:Q20)</f>
        <v>-0.891546735982703</v>
      </c>
      <c r="S20" s="17"/>
      <c r="T20" s="15">
        <f>SUM(J17:K20)/4</f>
        <v>67.6758875</v>
      </c>
      <c r="U20" s="17"/>
      <c r="V20" s="15">
        <f>-(L20+M20)+V19</f>
        <v>1282.36345</v>
      </c>
      <c r="W20" s="17"/>
      <c r="X20" s="15">
        <f>F20-G20</f>
        <v>-51223.242</v>
      </c>
      <c r="Y20" s="15"/>
      <c r="Z20" s="15">
        <v>10450</v>
      </c>
      <c r="AA20" s="15"/>
      <c r="AB20" s="15">
        <v>14.606</v>
      </c>
    </row>
    <row r="21" ht="20.05" customHeight="1">
      <c r="B21" s="13"/>
      <c r="C21" s="38">
        <v>11934.255</v>
      </c>
      <c r="D21" s="23">
        <v>1015.835</v>
      </c>
      <c r="E21" s="23">
        <v>2073.575</v>
      </c>
      <c r="F21" s="15">
        <v>11502.2</v>
      </c>
      <c r="G21" s="15">
        <v>56947.45</v>
      </c>
      <c r="H21" s="15">
        <v>122434.85</v>
      </c>
      <c r="I21" s="15">
        <v>17077.01</v>
      </c>
      <c r="J21" s="15">
        <v>6006.865</v>
      </c>
      <c r="K21" s="15">
        <v>-1442.11</v>
      </c>
      <c r="L21" s="15">
        <v>-4067.675</v>
      </c>
      <c r="M21" s="15">
        <v>0</v>
      </c>
      <c r="N21" s="23">
        <f>SUM(C18:C21)/4</f>
        <v>11326.17345</v>
      </c>
      <c r="O21" s="15">
        <v>11216.6391</v>
      </c>
      <c r="P21" s="16">
        <f>C21/C20-1</f>
        <v>0.0196916762281011</v>
      </c>
      <c r="Q21" s="16">
        <f>(J21-I21)/I21</f>
        <v>-0.648248434591301</v>
      </c>
      <c r="R21" s="16">
        <f>AVERAGE(Q18:Q21)</f>
        <v>-0.826305378865524</v>
      </c>
      <c r="S21" s="17"/>
      <c r="T21" s="15">
        <f>SUM(J18:K21)/4</f>
        <v>957.79845</v>
      </c>
      <c r="U21" s="17"/>
      <c r="V21" s="15">
        <f>-(L21+M21)+V20</f>
        <v>5350.03845</v>
      </c>
      <c r="W21" s="17"/>
      <c r="X21" s="15">
        <f>F21-G21</f>
        <v>-45445.25</v>
      </c>
      <c r="Y21" s="15"/>
      <c r="Z21" s="15">
        <v>7450</v>
      </c>
      <c r="AA21" s="25"/>
      <c r="AB21" s="15">
        <v>14.45</v>
      </c>
    </row>
    <row r="22" ht="20.05" customHeight="1">
      <c r="B22" s="13"/>
      <c r="C22" s="38">
        <v>12602.9088</v>
      </c>
      <c r="D22" s="23">
        <v>1010.124</v>
      </c>
      <c r="E22" s="23">
        <v>1547.424</v>
      </c>
      <c r="F22" s="15">
        <v>13855.176</v>
      </c>
      <c r="G22" s="15">
        <v>57283.344</v>
      </c>
      <c r="H22" s="15">
        <v>123478.704</v>
      </c>
      <c r="I22" s="15">
        <v>12640.1616</v>
      </c>
      <c r="J22" s="15">
        <v>3281.112</v>
      </c>
      <c r="K22" s="15">
        <v>-356.7672</v>
      </c>
      <c r="L22" s="15">
        <v>-282.69144</v>
      </c>
      <c r="M22" s="15">
        <v>-261.77256</v>
      </c>
      <c r="N22" s="23">
        <f>SUM(C19:C22)/4</f>
        <v>11859.4404</v>
      </c>
      <c r="O22" s="23">
        <v>11447.746038</v>
      </c>
      <c r="P22" s="16">
        <f>C22/C21-1</f>
        <v>0.0560281140297404</v>
      </c>
      <c r="Q22" s="16">
        <f>(J22-I22)/I22</f>
        <v>-0.740421673090002</v>
      </c>
      <c r="R22" s="16">
        <f>AVERAGE(Q19:Q22)</f>
        <v>-0.829871352436749</v>
      </c>
      <c r="S22" s="17"/>
      <c r="T22" s="15">
        <f>SUM(J19:K22)/4</f>
        <v>941.98965</v>
      </c>
      <c r="U22" s="17"/>
      <c r="V22" s="15">
        <f>-(L22+M22)+V21</f>
        <v>5894.50245</v>
      </c>
      <c r="W22" s="17"/>
      <c r="X22" s="15">
        <f>F22-G22</f>
        <v>-43428.168</v>
      </c>
      <c r="Y22" s="15"/>
      <c r="Z22" s="15">
        <v>8575</v>
      </c>
      <c r="AA22" s="25"/>
      <c r="AB22" s="15">
        <v>14.328</v>
      </c>
    </row>
    <row r="23" ht="20.05" customHeight="1">
      <c r="B23" s="13"/>
      <c r="C23" s="38">
        <v>14414.895</v>
      </c>
      <c r="D23" s="23">
        <v>987.83</v>
      </c>
      <c r="E23" s="23">
        <v>1944.255</v>
      </c>
      <c r="F23" s="15">
        <v>15117.225</v>
      </c>
      <c r="G23" s="15">
        <v>60240.5</v>
      </c>
      <c r="H23" s="15">
        <v>128160.95</v>
      </c>
      <c r="I23" s="15">
        <v>9715.565000000001</v>
      </c>
      <c r="J23" s="15">
        <v>-128.475</v>
      </c>
      <c r="K23" s="15">
        <v>-1683.0225</v>
      </c>
      <c r="L23" s="15">
        <v>3046.285</v>
      </c>
      <c r="M23" s="15">
        <v>-2.855</v>
      </c>
      <c r="N23" s="23">
        <f>SUM(C20:C23)/4</f>
        <v>12663.96165</v>
      </c>
      <c r="O23" s="23">
        <v>11778.5309</v>
      </c>
      <c r="P23" s="16">
        <f>C23/C22-1</f>
        <v>0.143775237030994</v>
      </c>
      <c r="Q23" s="16">
        <f>(J23-I23)/I23</f>
        <v>-1.01322362621217</v>
      </c>
      <c r="R23" s="16">
        <f>AVERAGE(Q20:Q23)</f>
        <v>-0.845745748148104</v>
      </c>
      <c r="S23" s="17"/>
      <c r="T23" s="15">
        <f>SUM(J20:K23)/4</f>
        <v>889.202775</v>
      </c>
      <c r="U23" s="17"/>
      <c r="V23" s="15">
        <f>-(L23+M23)+V22</f>
        <v>2851.07245</v>
      </c>
      <c r="W23" s="17"/>
      <c r="X23" s="15">
        <f>F23-G23</f>
        <v>-45123.275</v>
      </c>
      <c r="Y23" s="15"/>
      <c r="Z23" s="15">
        <v>7825</v>
      </c>
      <c r="AA23" s="15">
        <v>17399.5708330498</v>
      </c>
      <c r="AB23" s="15">
        <v>14.275</v>
      </c>
    </row>
    <row r="24" ht="20.05" customHeight="1">
      <c r="B24" s="21">
        <v>2022</v>
      </c>
      <c r="C24" s="38">
        <v>14265.3939</v>
      </c>
      <c r="D24" s="23">
        <v>981.3995</v>
      </c>
      <c r="E24" s="23">
        <v>2527.2828</v>
      </c>
      <c r="F24" s="15">
        <v>18381.541</v>
      </c>
      <c r="G24" s="15">
        <v>63153.416</v>
      </c>
      <c r="H24" s="15">
        <v>133857.161</v>
      </c>
      <c r="I24" s="15">
        <v>11007.4341</v>
      </c>
      <c r="J24" s="15">
        <v>1641.8742</v>
      </c>
      <c r="K24" s="15">
        <v>-441.2716</v>
      </c>
      <c r="L24" s="15">
        <v>1978.587354</v>
      </c>
      <c r="M24" s="15">
        <v>-0.028654</v>
      </c>
      <c r="N24" s="23">
        <f>SUM(C21:C24)/4</f>
        <v>13304.363175</v>
      </c>
      <c r="O24" s="23">
        <v>12065.024586</v>
      </c>
      <c r="P24" s="16">
        <f>C24/C23-1</f>
        <v>-0.0103712930271084</v>
      </c>
      <c r="Q24" s="16">
        <f>(J24-I24)/I24</f>
        <v>-0.850839515814135</v>
      </c>
      <c r="R24" s="16">
        <f>AVERAGE(Q21:Q24)</f>
        <v>-0.813183312426902</v>
      </c>
      <c r="S24" s="16">
        <v>-0.768335244349019</v>
      </c>
      <c r="T24" s="15">
        <f>SUM(J21:K24)/4</f>
        <v>1719.551225</v>
      </c>
      <c r="U24" s="15">
        <v>2332.7778977591</v>
      </c>
      <c r="V24" s="15">
        <f>-(L24+M24)+V23</f>
        <v>872.51375</v>
      </c>
      <c r="W24" s="15"/>
      <c r="X24" s="15">
        <f>F24-G24</f>
        <v>-44771.875</v>
      </c>
      <c r="Y24" s="15">
        <v>-38006.0310395734</v>
      </c>
      <c r="Z24" s="15">
        <v>7900</v>
      </c>
      <c r="AA24" s="15">
        <v>15984.5454942174</v>
      </c>
      <c r="AB24" s="15">
        <v>14.327</v>
      </c>
    </row>
    <row r="25" ht="20.05" customHeight="1">
      <c r="B25" s="13"/>
      <c r="C25" s="38">
        <v>13858.098</v>
      </c>
      <c r="D25" s="23">
        <v>986.6180000000001</v>
      </c>
      <c r="E25" s="23">
        <v>3207.608</v>
      </c>
      <c r="F25" s="15">
        <v>14528.06</v>
      </c>
      <c r="G25" s="15">
        <v>60501.82</v>
      </c>
      <c r="H25" s="15">
        <v>135795.58</v>
      </c>
      <c r="I25" s="15">
        <v>12499.116</v>
      </c>
      <c r="J25" s="15">
        <v>-310.792</v>
      </c>
      <c r="K25" s="15">
        <v>-583.468</v>
      </c>
      <c r="L25" s="15">
        <v>-3398.21732</v>
      </c>
      <c r="M25" s="15">
        <v>-19.02868</v>
      </c>
      <c r="N25" s="23">
        <f>SUM(C22:C25)/4</f>
        <v>13785.323925</v>
      </c>
      <c r="O25" s="23">
        <v>13255.50603</v>
      </c>
      <c r="P25" s="16">
        <f>C25/C24-1</f>
        <v>-0.0285513251758159</v>
      </c>
      <c r="Q25" s="16">
        <f>(J25-I25)/I25</f>
        <v>-1.02486511846118</v>
      </c>
      <c r="R25" s="16">
        <f>AVERAGE(Q22:Q25)</f>
        <v>-0.907337483394372</v>
      </c>
      <c r="S25" s="16">
        <v>-0.772208375789127</v>
      </c>
      <c r="T25" s="15">
        <f>SUM(J22:K25)/4</f>
        <v>354.797475</v>
      </c>
      <c r="U25" s="15">
        <v>2664.889888802440</v>
      </c>
      <c r="V25" s="15">
        <f>-(L25+M25)+V24</f>
        <v>4289.75975</v>
      </c>
      <c r="W25" s="15"/>
      <c r="X25" s="15">
        <f>F25-G25</f>
        <v>-45973.76</v>
      </c>
      <c r="Y25" s="15">
        <v>-36527.961085499</v>
      </c>
      <c r="Z25" s="15">
        <v>7600</v>
      </c>
      <c r="AA25" s="15">
        <v>15285.719586387</v>
      </c>
      <c r="AB25" s="15">
        <v>14.66</v>
      </c>
    </row>
    <row r="26" ht="20.05" customHeight="1">
      <c r="B26" s="13"/>
      <c r="C26" s="38">
        <v>16601.7555</v>
      </c>
      <c r="D26" s="23">
        <v>958.005</v>
      </c>
      <c r="E26" s="23">
        <v>3956.0895</v>
      </c>
      <c r="F26" s="15">
        <v>17715.24</v>
      </c>
      <c r="G26" s="15">
        <v>63982.17</v>
      </c>
      <c r="H26" s="15">
        <v>148600.71</v>
      </c>
      <c r="I26" s="15">
        <v>15591.924</v>
      </c>
      <c r="J26" s="15">
        <v>1557.936</v>
      </c>
      <c r="K26" s="15">
        <v>-238.716</v>
      </c>
      <c r="L26" s="15">
        <v>1107.2025</v>
      </c>
      <c r="M26" s="15">
        <v>-265.4145</v>
      </c>
      <c r="N26" s="23">
        <f>SUM(C23:C26)/4</f>
        <v>14785.0356</v>
      </c>
      <c r="O26" s="23">
        <v>14618.3946075</v>
      </c>
      <c r="P26" s="16">
        <f>C26/C25-1</f>
        <v>0.1979822555736</v>
      </c>
      <c r="Q26" s="16">
        <f>(J26-I26)/I26</f>
        <v>-0.900080580177276</v>
      </c>
      <c r="R26" s="16">
        <f>AVERAGE(Q23:Q26)</f>
        <v>-0.94725221016619</v>
      </c>
      <c r="S26" s="16">
        <v>-0.7612618434794129</v>
      </c>
      <c r="T26" s="15">
        <f>SUM(J23:K26)/4</f>
        <v>-46.483725</v>
      </c>
      <c r="U26" s="15">
        <v>2470.988103396890</v>
      </c>
      <c r="V26" s="15">
        <f>-(L26+M26)+V25</f>
        <v>3447.97175</v>
      </c>
      <c r="W26" s="15">
        <f>V26</f>
        <v>3447.97175</v>
      </c>
      <c r="X26" s="15">
        <f>F26-G26</f>
        <v>-46266.93</v>
      </c>
      <c r="Y26" s="15">
        <v>-40425.5765277712</v>
      </c>
      <c r="Z26" s="15">
        <v>9050</v>
      </c>
      <c r="AA26" s="15">
        <v>11675.9872631431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AVERAGE(AD38:AG38)</f>
        <v>17227.1846360211</v>
      </c>
      <c r="P27" s="17"/>
      <c r="Q27" s="17"/>
      <c r="R27" s="17"/>
      <c r="S27" s="35">
        <f>AD39</f>
        <v>-0.900080580177276</v>
      </c>
      <c r="T27" s="17"/>
      <c r="U27" s="15">
        <f>SUM(AD42:AG42)/4</f>
        <v>984.710769010175</v>
      </c>
      <c r="V27" s="17"/>
      <c r="W27" s="15">
        <f>-SUM(AD63:AG63)+V26</f>
        <v>15316.2643964375</v>
      </c>
      <c r="X27" s="17"/>
      <c r="Y27" s="15">
        <f>AG62</f>
        <v>-42328.0869239593</v>
      </c>
      <c r="Z27" s="15">
        <v>8625</v>
      </c>
      <c r="AA27" s="15">
        <v>15285.719586387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23">
        <f>SUM(N21:N26)</f>
        <v>77724.2982</v>
      </c>
      <c r="O28" s="15">
        <f>SUM(O21:O26)</f>
        <v>74381.8412615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AG75</f>
        <v>10079.3280357366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  <c r="AB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3" ht="27.65" customHeight="1">
      <c r="AC33" t="s" s="2">
        <v>280</v>
      </c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</row>
    <row r="34" ht="20.25" customHeight="1">
      <c r="AC34" t="s" s="28">
        <v>366</v>
      </c>
      <c r="AD34" t="s" s="29">
        <v>24</v>
      </c>
      <c r="AE34" t="s" s="29">
        <v>25</v>
      </c>
      <c r="AF34" t="s" s="29">
        <v>26</v>
      </c>
      <c r="AG34" t="s" s="29">
        <v>23</v>
      </c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</row>
    <row r="35" ht="20.25" customHeight="1">
      <c r="AC35" t="s" s="31">
        <v>15</v>
      </c>
      <c r="AD35" s="32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</row>
    <row r="36" ht="20.05" customHeight="1">
      <c r="AC36" t="s" s="33">
        <v>27</v>
      </c>
      <c r="AD36" s="71">
        <f>AVERAGE(P23:P26)</f>
        <v>0.0757087186004174</v>
      </c>
      <c r="AE36" s="35"/>
      <c r="AF36" s="35"/>
      <c r="AG36" s="35">
        <f>AVERAGE(AD37:AG37)</f>
        <v>0.015</v>
      </c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</row>
    <row r="37" ht="20.05" customHeight="1">
      <c r="AC37" t="s" s="33">
        <v>13</v>
      </c>
      <c r="AD37" s="37">
        <v>0.03</v>
      </c>
      <c r="AE37" s="35">
        <v>-0.01</v>
      </c>
      <c r="AF37" s="35">
        <v>0.02</v>
      </c>
      <c r="AG37" s="35">
        <v>0.02</v>
      </c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</row>
    <row r="38" ht="20.05" customHeight="1">
      <c r="AC38" t="s" s="33">
        <v>28</v>
      </c>
      <c r="AD38" s="38">
        <f>C26*(1+AD37)</f>
        <v>17099.808165</v>
      </c>
      <c r="AE38" s="23">
        <f>AD38*(1+AE37)</f>
        <v>16928.81008335</v>
      </c>
      <c r="AF38" s="23">
        <f>AE38*(1+AF37)</f>
        <v>17267.386285017</v>
      </c>
      <c r="AG38" s="23">
        <f>AF38*(1+AG37)</f>
        <v>17612.7340107173</v>
      </c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</row>
    <row r="39" ht="20.05" customHeight="1">
      <c r="AC39" t="s" s="33">
        <v>570</v>
      </c>
      <c r="AD39" s="37">
        <f>AVERAGE(Q26)</f>
        <v>-0.900080580177276</v>
      </c>
      <c r="AE39" s="35">
        <f>AD39</f>
        <v>-0.900080580177276</v>
      </c>
      <c r="AF39" s="35">
        <f>AE39</f>
        <v>-0.900080580177276</v>
      </c>
      <c r="AG39" s="35">
        <f>AF39</f>
        <v>-0.900080580177276</v>
      </c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</row>
    <row r="40" ht="20.05" customHeight="1">
      <c r="AC40" t="s" s="33">
        <v>571</v>
      </c>
      <c r="AD40" s="14">
        <f>AD38*AD39</f>
        <v>-15391.2052540733</v>
      </c>
      <c r="AE40" s="15">
        <f>AE38*AE39</f>
        <v>-15237.2932015326</v>
      </c>
      <c r="AF40" s="15">
        <f>AF38*AF39</f>
        <v>-15542.0390655632</v>
      </c>
      <c r="AG40" s="15">
        <f>AG38*AG39</f>
        <v>-15852.8798468745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</row>
    <row r="41" ht="20.05" customHeight="1">
      <c r="AC41" t="s" s="33">
        <v>29</v>
      </c>
      <c r="AD41" s="14">
        <f>AVERAGE(K23:K26)</f>
        <v>-736.619525</v>
      </c>
      <c r="AE41" s="15">
        <f>AD41</f>
        <v>-736.619525</v>
      </c>
      <c r="AF41" s="15">
        <f>AE41</f>
        <v>-736.619525</v>
      </c>
      <c r="AG41" s="15">
        <f>AF41</f>
        <v>-736.619525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</row>
    <row r="42" ht="20.05" customHeight="1">
      <c r="AC42" t="s" s="33">
        <v>30</v>
      </c>
      <c r="AD42" s="14">
        <f>AD38+AD40+AD41</f>
        <v>971.9833859267</v>
      </c>
      <c r="AE42" s="15">
        <f>AE38+AE40+AE41</f>
        <v>954.8973568174</v>
      </c>
      <c r="AF42" s="15">
        <f>AF38+AF40+AF41</f>
        <v>988.7276944538</v>
      </c>
      <c r="AG42" s="15">
        <f>AG38+AG40+AG41</f>
        <v>1023.2346388428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</row>
    <row r="43" ht="20.05" customHeight="1">
      <c r="AC43" t="s" s="33">
        <v>31</v>
      </c>
      <c r="AD43" s="14">
        <f>-G26/20</f>
        <v>-3199.1085</v>
      </c>
      <c r="AE43" s="15">
        <f>-AD58/20</f>
        <v>-3039.153075</v>
      </c>
      <c r="AF43" s="15">
        <f>-AE58/20</f>
        <v>-2887.19542125</v>
      </c>
      <c r="AG43" s="15">
        <f>-AF58/20</f>
        <v>-2742.8356501875</v>
      </c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</row>
    <row r="44" ht="20.05" customHeight="1">
      <c r="AC44" t="s" s="33">
        <v>32</v>
      </c>
      <c r="AD44" s="39">
        <v>0</v>
      </c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</row>
    <row r="45" ht="20.05" customHeight="1">
      <c r="AC45" t="s" s="33">
        <v>33</v>
      </c>
      <c r="AD45" s="14">
        <f>IF(AD53&gt;0,AD53*$AD$44,0)</f>
        <v>0</v>
      </c>
      <c r="AE45" s="15">
        <f>IF(AE53&gt;0,AE53*$AD$44,0)</f>
        <v>0</v>
      </c>
      <c r="AF45" s="15">
        <f>IF(AF53&gt;0,AF53*$AD$44,0)</f>
        <v>0</v>
      </c>
      <c r="AG45" s="15">
        <f>IF(AG53&gt;0,AG53*$AD$44,0)</f>
        <v>0</v>
      </c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</row>
    <row r="46" ht="20.05" customHeight="1">
      <c r="AC46" t="s" s="33">
        <v>34</v>
      </c>
      <c r="AD46" s="14">
        <f>AD42+AD43+AD45+AD48</f>
        <v>15488.1148859267</v>
      </c>
      <c r="AE46" s="15">
        <f>AE42+AE43+AE45+AE48</f>
        <v>13403.8591677441</v>
      </c>
      <c r="AF46" s="15">
        <f>AF42+AF43+AF45+AF48</f>
        <v>11505.3914409479</v>
      </c>
      <c r="AG46" s="15">
        <f>AG42+AG43+AG45+AG48</f>
        <v>9785.790429603199</v>
      </c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</row>
    <row r="47" ht="20.05" customHeight="1">
      <c r="AC47" t="s" s="33">
        <v>35</v>
      </c>
      <c r="AD47" s="14">
        <f>-MIN(0,AD46)</f>
        <v>0</v>
      </c>
      <c r="AE47" s="15">
        <f>-MIN(AD59,AE46)</f>
        <v>0</v>
      </c>
      <c r="AF47" s="15">
        <f>-MIN(AE59,AF46)</f>
        <v>0</v>
      </c>
      <c r="AG47" s="15">
        <f>-MIN(AF59,AG46)</f>
        <v>0</v>
      </c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</row>
    <row r="48" ht="20.05" customHeight="1">
      <c r="AC48" t="s" s="33">
        <v>36</v>
      </c>
      <c r="AD48" s="14">
        <f>F26</f>
        <v>17715.24</v>
      </c>
      <c r="AE48" s="15">
        <f>AD50</f>
        <v>15488.1148859267</v>
      </c>
      <c r="AF48" s="15">
        <f>AE50</f>
        <v>13403.8591677441</v>
      </c>
      <c r="AG48" s="15">
        <f>AF50</f>
        <v>11505.3914409479</v>
      </c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</row>
    <row r="49" ht="20.05" customHeight="1">
      <c r="AC49" t="s" s="33">
        <v>37</v>
      </c>
      <c r="AD49" s="14">
        <f>AD42+AD43+AD45+AD47</f>
        <v>-2227.1251140733</v>
      </c>
      <c r="AE49" s="15">
        <f>AE42+AE43+AE45+AE47</f>
        <v>-2084.2557181826</v>
      </c>
      <c r="AF49" s="15">
        <f>AF42+AF43+AF45+AF47</f>
        <v>-1898.4677267962</v>
      </c>
      <c r="AG49" s="15">
        <f>AG42+AG43+AG45+AG47</f>
        <v>-1719.6010113447</v>
      </c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</row>
    <row r="50" ht="20.05" customHeight="1">
      <c r="AC50" t="s" s="33">
        <v>38</v>
      </c>
      <c r="AD50" s="14">
        <f>AD48+AD49</f>
        <v>15488.1148859267</v>
      </c>
      <c r="AE50" s="15">
        <f>AE48+AE49</f>
        <v>13403.8591677441</v>
      </c>
      <c r="AF50" s="15">
        <f>AF48+AF49</f>
        <v>11505.3914409479</v>
      </c>
      <c r="AG50" s="15">
        <f>AG48+AG49</f>
        <v>9785.790429603199</v>
      </c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</row>
    <row r="51" ht="20.05" customHeight="1">
      <c r="AC51" t="s" s="41">
        <v>4</v>
      </c>
      <c r="AD51" s="14"/>
      <c r="AE51" s="15"/>
      <c r="AF51" s="15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ht="20.05" customHeight="1">
      <c r="AC52" t="s" s="33">
        <v>3</v>
      </c>
      <c r="AD52" s="14">
        <f>-AVERAGE(D24:D26)</f>
        <v>-975.340833333333</v>
      </c>
      <c r="AE52" s="15">
        <f>AD52</f>
        <v>-975.340833333333</v>
      </c>
      <c r="AF52" s="15">
        <f>AE52</f>
        <v>-975.340833333333</v>
      </c>
      <c r="AG52" s="15">
        <f>AF52</f>
        <v>-975.340833333333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C53" t="s" s="33">
        <v>4</v>
      </c>
      <c r="AD53" s="14">
        <f>AD38+AD40+AD52</f>
        <v>733.2620775933671</v>
      </c>
      <c r="AE53" s="15">
        <f>AE38+AE40+AE52</f>
        <v>716.176048484067</v>
      </c>
      <c r="AF53" s="15">
        <f>AF38+AF40+AF52</f>
        <v>750.006386120467</v>
      </c>
      <c r="AG53" s="15">
        <f>AG38+AG40+AG52</f>
        <v>784.513330509467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C54" t="s" s="41">
        <v>39</v>
      </c>
      <c r="AD54" s="14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C55" t="s" s="33">
        <v>40</v>
      </c>
      <c r="AD55" s="14">
        <f>H26-F26-AD41</f>
        <v>131622.089525</v>
      </c>
      <c r="AE55" s="15">
        <f>AD55-AE41</f>
        <v>132358.70905</v>
      </c>
      <c r="AF55" s="15">
        <f>AE55-AF41</f>
        <v>133095.328575</v>
      </c>
      <c r="AG55" s="15">
        <f>AF55-AG41</f>
        <v>133831.9481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C56" t="s" s="33">
        <v>41</v>
      </c>
      <c r="AD56" s="14">
        <f>0-AD52</f>
        <v>975.340833333333</v>
      </c>
      <c r="AE56" s="15">
        <f>AD56-AE52</f>
        <v>1950.681666666670</v>
      </c>
      <c r="AF56" s="15">
        <f>AE56-AF52</f>
        <v>2926.0225</v>
      </c>
      <c r="AG56" s="15">
        <f>AF56-AG52</f>
        <v>3901.363333333330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C57" t="s" s="33">
        <v>42</v>
      </c>
      <c r="AD57" s="14">
        <f>AD55-AD56</f>
        <v>130646.748691667</v>
      </c>
      <c r="AE57" s="15">
        <f>AE55-AE56</f>
        <v>130408.027383333</v>
      </c>
      <c r="AF57" s="15">
        <f>AF55-AF56</f>
        <v>130169.306075</v>
      </c>
      <c r="AG57" s="15">
        <f>AG55-AG56</f>
        <v>129930.584766667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C58" t="s" s="33">
        <v>6</v>
      </c>
      <c r="AD58" s="14">
        <f>G26+AD43</f>
        <v>60783.0615</v>
      </c>
      <c r="AE58" s="15">
        <f>AD58+AE43</f>
        <v>57743.908425</v>
      </c>
      <c r="AF58" s="15">
        <f>AE58+AF43</f>
        <v>54856.71300375</v>
      </c>
      <c r="AG58" s="15">
        <f>AF58+AG43</f>
        <v>52113.8773535625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C59" t="s" s="33">
        <v>35</v>
      </c>
      <c r="AD59" s="14">
        <f>AD47</f>
        <v>0</v>
      </c>
      <c r="AE59" s="15">
        <f>AD59+AE47</f>
        <v>0</v>
      </c>
      <c r="AF59" s="15">
        <f>AE59+AF47</f>
        <v>0</v>
      </c>
      <c r="AG59" s="15">
        <f>AF59+AG47</f>
        <v>0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C60" t="s" s="33">
        <v>11</v>
      </c>
      <c r="AD60" s="14">
        <f>(H26-G26)+AD53+AD45</f>
        <v>85351.8020775934</v>
      </c>
      <c r="AE60" s="15">
        <f>AD60+AE53+AE45</f>
        <v>86067.978126077505</v>
      </c>
      <c r="AF60" s="15">
        <f>AE60+AF53+AF45</f>
        <v>86817.984512198</v>
      </c>
      <c r="AG60" s="15">
        <f>AF60+AG53+AG45</f>
        <v>87602.4978427075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C61" t="s" s="33">
        <v>43</v>
      </c>
      <c r="AD61" s="14">
        <f>AD58+AD59+AD60-AD50-AD57</f>
        <v>-3e-10</v>
      </c>
      <c r="AE61" s="15">
        <f>AE58+AE59+AE60-AE50-AE57</f>
        <v>4e-10</v>
      </c>
      <c r="AF61" s="15">
        <f>AF58+AF59+AF60-AF50-AF57</f>
        <v>1e-10</v>
      </c>
      <c r="AG61" s="15">
        <f>AG58+AG59+AG60-AG50-AG57</f>
        <v>-2e-10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C62" t="s" s="33">
        <v>18</v>
      </c>
      <c r="AD62" s="14">
        <f>AD50-AD58-AD59</f>
        <v>-45294.9466140733</v>
      </c>
      <c r="AE62" s="15">
        <f>AE50-AE58-AE59</f>
        <v>-44340.0492572559</v>
      </c>
      <c r="AF62" s="15">
        <f>AF50-AF58-AF59</f>
        <v>-43351.3215628021</v>
      </c>
      <c r="AG62" s="15">
        <f>AG50-AG58-AG59</f>
        <v>-42328.0869239593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C63" t="s" s="33">
        <v>44</v>
      </c>
      <c r="AD63" s="14">
        <f>AD43+AD45+AD47</f>
        <v>-3199.1085</v>
      </c>
      <c r="AE63" s="15">
        <f>AE43+AE45+AE47</f>
        <v>-3039.153075</v>
      </c>
      <c r="AF63" s="15">
        <f>AF43+AF45+AF47</f>
        <v>-2887.19542125</v>
      </c>
      <c r="AG63" s="15">
        <f>AG43+AG45+AG47</f>
        <v>-2742.8356501875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C64" t="s" s="33">
        <v>45</v>
      </c>
      <c r="AD64" s="14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C65" t="s" s="33">
        <v>280</v>
      </c>
      <c r="AD65" s="14"/>
      <c r="AE65" s="15"/>
      <c r="AF65" s="15"/>
      <c r="AG65" s="15">
        <v>8625</v>
      </c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8.35" customHeight="1" hidden="1">
      <c r="AC66" t="s" s="33">
        <f>$AC65</f>
        <v>624</v>
      </c>
      <c r="AD66" s="14"/>
      <c r="AE66" s="15"/>
      <c r="AF66" s="15"/>
      <c r="AG66" s="15">
        <v>47187203328000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C67" t="s" s="33">
        <v>46</v>
      </c>
      <c r="AD67" s="14"/>
      <c r="AE67" s="15"/>
      <c r="AF67" s="15"/>
      <c r="AG67" s="15">
        <f>AG66/1000000000</f>
        <v>47187.203328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C68" t="s" s="33">
        <v>47</v>
      </c>
      <c r="AD68" s="14"/>
      <c r="AE68" s="15"/>
      <c r="AF68" s="15"/>
      <c r="AG68" s="15">
        <f>AG67/AG65</f>
        <v>5.470980096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C69" t="s" s="33">
        <v>48</v>
      </c>
      <c r="AD69" s="14"/>
      <c r="AE69" s="15"/>
      <c r="AF69" s="15"/>
      <c r="AG69" s="43">
        <f>AG67/(AG50+AG57)</f>
        <v>0.337735668147077</v>
      </c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</row>
    <row r="70" ht="20.05" customHeight="1">
      <c r="AC70" t="s" s="33">
        <v>49</v>
      </c>
      <c r="AD70" s="14"/>
      <c r="AE70" s="15"/>
      <c r="AF70" s="15"/>
      <c r="AG70" s="16">
        <f>-(AD45+AE45+AF45+AG45)/AG67</f>
        <v>0</v>
      </c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</row>
    <row r="71" ht="20.05" customHeight="1">
      <c r="AC71" t="s" s="33">
        <v>50</v>
      </c>
      <c r="AD71" s="14"/>
      <c r="AE71" s="15"/>
      <c r="AF71" s="15"/>
      <c r="AG71" s="15">
        <f>SUM(AD42:AG42)</f>
        <v>3938.8430760407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C72" t="s" s="33">
        <v>51</v>
      </c>
      <c r="AD72" s="14"/>
      <c r="AE72" s="15"/>
      <c r="AF72" s="15"/>
      <c r="AG72" s="15">
        <f>(H26+F26)/AG71</f>
        <v>42.2245686840563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C73" t="s" s="33">
        <v>52</v>
      </c>
      <c r="AD73" s="14"/>
      <c r="AE73" s="15"/>
      <c r="AF73" s="15">
        <f>AG67/AG71</f>
        <v>11.9799652885467</v>
      </c>
      <c r="AG73" s="15">
        <v>14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C74" t="s" s="33">
        <v>53</v>
      </c>
      <c r="AD74" s="14"/>
      <c r="AE74" s="15"/>
      <c r="AF74" s="15"/>
      <c r="AG74" s="15">
        <f>AG71*AG73</f>
        <v>55143.8030645698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C75" t="s" s="33">
        <v>54</v>
      </c>
      <c r="AD75" s="14"/>
      <c r="AE75" s="15"/>
      <c r="AF75" s="15"/>
      <c r="AG75" s="15">
        <f>(AG74/AG68)</f>
        <v>10079.3280357366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C76" t="s" s="33">
        <v>55</v>
      </c>
      <c r="AD76" s="38"/>
      <c r="AE76" s="23"/>
      <c r="AF76" s="23"/>
      <c r="AG76" s="16">
        <f>AG75/AG65-1</f>
        <v>0.168617743273809</v>
      </c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</row>
    <row r="77" ht="20.05" customHeight="1">
      <c r="AC77" t="s" s="33">
        <v>56</v>
      </c>
      <c r="AD77" s="38"/>
      <c r="AE77" s="23"/>
      <c r="AF77" s="23"/>
      <c r="AG77" s="16">
        <f>C26/C22-1</f>
        <v>0.317295535773456</v>
      </c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</row>
    <row r="78" ht="20.05" customHeight="1">
      <c r="AC78" t="s" s="33">
        <v>57</v>
      </c>
      <c r="AD78" s="38"/>
      <c r="AE78" s="23"/>
      <c r="AF78" s="23"/>
      <c r="AG78" s="16">
        <f>O28/N28-1</f>
        <v>-0.043004015679874</v>
      </c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</row>
    <row r="79" ht="8.35" customHeight="1" hidden="1">
      <c r="AC79" s="36"/>
      <c r="AD79" s="38"/>
      <c r="AE79" s="23"/>
      <c r="AF79" s="23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</row>
    <row r="80" ht="8.35" customHeight="1" hidden="1">
      <c r="AC80" s="36"/>
      <c r="AD80" s="38"/>
      <c r="AE80" s="23"/>
      <c r="AF80" s="23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</row>
    <row r="81" ht="8.35" customHeight="1" hidden="1">
      <c r="AC81" s="36"/>
      <c r="AD81" t="s" s="45">
        <f>$AC65</f>
        <v>624</v>
      </c>
      <c r="AE81" t="s" s="44">
        <v>60</v>
      </c>
      <c r="AF81" s="15">
        <f>AG65</f>
        <v>8625</v>
      </c>
      <c r="AG81" t="s" s="44">
        <v>61</v>
      </c>
      <c r="AH81" s="15">
        <f>AG75</f>
        <v>10079.3280357366</v>
      </c>
      <c r="AI81" t="s" s="44">
        <f>IF(AJ81&gt;0,"+","")</f>
        <v>361</v>
      </c>
      <c r="AJ81" s="16">
        <f>AH81/AF81-1</f>
        <v>0.168617743273809</v>
      </c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ht="8.35" customHeight="1" hidden="1">
      <c r="AC82" s="36"/>
      <c r="AD82" s="46">
        <f>TODAY()</f>
        <v>44942</v>
      </c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ht="8.35" customHeight="1" hidden="1">
      <c r="AC83" s="36"/>
      <c r="AD83" t="s" s="45">
        <v>62</v>
      </c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ht="8.35" customHeight="1" hidden="1">
      <c r="AC84" s="36"/>
      <c r="AD84" t="s" s="45">
        <v>63</v>
      </c>
      <c r="AE84" t="s" s="44">
        <v>64</v>
      </c>
      <c r="AF84" t="s" s="44">
        <f>IF(AG84&gt;0,"+","")</f>
        <v>361</v>
      </c>
      <c r="AG84" s="16">
        <f>AH91/AD91-1</f>
        <v>0.317295535773456</v>
      </c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ht="8.35" customHeight="1" hidden="1">
      <c r="AC85" s="36"/>
      <c r="AD85" t="s" s="45">
        <v>63</v>
      </c>
      <c r="AE85" t="s" s="44">
        <v>65</v>
      </c>
      <c r="AF85" t="s" s="44">
        <f>IF(AG85&gt;0,"+","")</f>
      </c>
      <c r="AG85" s="16">
        <f>SUM(AE104:AH105)/AE121</f>
        <v>-0.00394036702509279</v>
      </c>
      <c r="AH85" t="s" s="44">
        <v>66</v>
      </c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ht="8.35" customHeight="1" hidden="1">
      <c r="AC86" s="36"/>
      <c r="AD86" t="s" s="45">
        <v>63</v>
      </c>
      <c r="AE86" t="s" s="44">
        <v>17</v>
      </c>
      <c r="AF86" t="s" s="44">
        <f>IF(AG86&gt;0,"+","")</f>
      </c>
      <c r="AG86" s="16">
        <f>SUM(AE118:AH119)/AE121</f>
        <v>-0.0518473341807115</v>
      </c>
      <c r="AH86" t="s" s="44">
        <f>AH85</f>
        <v>66</v>
      </c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ht="8.35" customHeight="1" hidden="1">
      <c r="AC87" s="36"/>
      <c r="AD87" t="s" s="45">
        <v>68</v>
      </c>
      <c r="AE87" t="s" s="44">
        <v>369</v>
      </c>
      <c r="AF87" s="16">
        <f>AO114/AE121</f>
        <v>-0.980497396262221</v>
      </c>
      <c r="AG87" t="s" s="44">
        <f>AH86</f>
        <v>66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ht="8.35" customHeight="1" hidden="1">
      <c r="AC88" s="36"/>
      <c r="AD88" t="s" s="45">
        <v>28</v>
      </c>
      <c r="AE88" t="s" s="44">
        <f>AE92</f>
        <v>362</v>
      </c>
      <c r="AF88" s="16">
        <f>AF92</f>
        <v>0.1979822555736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ht="8.35" customHeight="1" hidden="1">
      <c r="AC89" s="36"/>
      <c r="AD89" t="s" s="45">
        <v>70</v>
      </c>
      <c r="AE89" t="s" s="44">
        <v>371</v>
      </c>
      <c r="AF89" t="s" s="44">
        <f>AL92</f>
        <v>372</v>
      </c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ht="8.35" customHeight="1" hidden="1">
      <c r="AC90" s="36"/>
      <c r="AD90" s="71">
        <f>P22</f>
        <v>0.0560281140297404</v>
      </c>
      <c r="AE90" s="16">
        <f>P23</f>
        <v>0.143775237030994</v>
      </c>
      <c r="AF90" s="16">
        <f>P24</f>
        <v>-0.0103712930271084</v>
      </c>
      <c r="AG90" s="16">
        <f>P25</f>
        <v>-0.0285513251758159</v>
      </c>
      <c r="AH90" s="16">
        <f>P26</f>
        <v>0.1979822555736</v>
      </c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ht="8.35" customHeight="1" hidden="1">
      <c r="AC91" s="36"/>
      <c r="AD91" s="38">
        <f>C22</f>
        <v>12602.9088</v>
      </c>
      <c r="AE91" s="23">
        <f>C23</f>
        <v>14414.895</v>
      </c>
      <c r="AF91" s="23">
        <f>C24</f>
        <v>14265.3939</v>
      </c>
      <c r="AG91" s="23">
        <f>C25</f>
        <v>13858.098</v>
      </c>
      <c r="AH91" s="23">
        <f>C26</f>
        <v>16601.7555</v>
      </c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ht="8.35" customHeight="1" hidden="1">
      <c r="AC92" s="36"/>
      <c r="AD92" t="s" s="45">
        <v>2</v>
      </c>
      <c r="AE92" t="s" s="44">
        <f>IF(AF92&lt;0,"declined","grew")</f>
        <v>362</v>
      </c>
      <c r="AF92" s="16">
        <f>AH91/AG91-1</f>
        <v>0.1979822555736</v>
      </c>
      <c r="AG92" t="s" s="44">
        <v>73</v>
      </c>
      <c r="AH92" t="s" s="44">
        <v>74</v>
      </c>
      <c r="AI92" t="s" s="44">
        <v>75</v>
      </c>
      <c r="AJ92" t="s" s="44">
        <v>76</v>
      </c>
      <c r="AK92" s="23">
        <f>AH91</f>
        <v>16601.7555</v>
      </c>
      <c r="AL92" t="s" s="44">
        <v>372</v>
      </c>
      <c r="AM92" t="s" s="44">
        <v>378</v>
      </c>
      <c r="AN92" s="16">
        <v>0.0297063450445726</v>
      </c>
      <c r="AO92" t="s" s="44">
        <v>78</v>
      </c>
      <c r="AP92" s="17"/>
      <c r="AQ92" s="17"/>
      <c r="AR92" s="17"/>
      <c r="AS92" s="17"/>
      <c r="AT92" s="17"/>
      <c r="AU92" s="17"/>
    </row>
    <row r="93" ht="8.35" customHeight="1" hidden="1">
      <c r="AC93" s="36"/>
      <c r="AD93" t="s" s="45">
        <v>79</v>
      </c>
      <c r="AE93" s="16">
        <f>AVERAGE(AE90:AH90)</f>
        <v>0.0757087186004174</v>
      </c>
      <c r="AF93" t="s" s="44">
        <v>80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8.35" customHeight="1" hidden="1">
      <c r="AC94" s="36"/>
      <c r="AD94" t="s" s="45">
        <v>81</v>
      </c>
      <c r="AE94" s="35">
        <f>AG36</f>
        <v>0.015</v>
      </c>
      <c r="AF94" t="s" s="44">
        <v>82</v>
      </c>
      <c r="AG94" t="s" s="44">
        <v>83</v>
      </c>
      <c r="AH94" s="23">
        <f>AG38</f>
        <v>17612.7340107173</v>
      </c>
      <c r="AI94" t="s" s="44">
        <f>AL92</f>
        <v>372</v>
      </c>
      <c r="AJ94" t="s" s="44">
        <v>84</v>
      </c>
      <c r="AK94" t="s" s="44">
        <f>AH92</f>
        <v>74</v>
      </c>
      <c r="AL94" t="s" s="44">
        <f>AI92</f>
        <v>75</v>
      </c>
      <c r="AM94" t="s" s="44">
        <v>85</v>
      </c>
      <c r="AN94" s="17"/>
      <c r="AO94" s="17"/>
      <c r="AP94" s="17"/>
      <c r="AQ94" s="17"/>
      <c r="AR94" s="17"/>
      <c r="AS94" s="17"/>
      <c r="AT94" s="17"/>
      <c r="AU94" s="17"/>
    </row>
    <row r="95" ht="8.35" customHeight="1" hidden="1">
      <c r="AC95" s="36"/>
      <c r="AD95" t="s" s="45">
        <v>574</v>
      </c>
      <c r="AE95" t="s" s="44">
        <f>IF(AG99&lt;AE99,"up","down")</f>
        <v>87</v>
      </c>
      <c r="AF95" t="s" s="44">
        <v>86</v>
      </c>
      <c r="AG95" t="s" s="44">
        <f>IF(AK99&gt;AI99,"up","down")</f>
        <v>108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8.35" customHeight="1" hidden="1">
      <c r="AC96" s="36"/>
      <c r="AD96" t="s" s="45">
        <f>AD89</f>
        <v>70</v>
      </c>
      <c r="AE96" t="s" s="44">
        <v>575</v>
      </c>
      <c r="AF96" t="s" s="44">
        <f>AL92</f>
        <v>372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8.35" customHeight="1" hidden="1">
      <c r="AC97" s="36"/>
      <c r="AD97" s="71">
        <f>Q22</f>
        <v>-0.740421673090002</v>
      </c>
      <c r="AE97" s="16">
        <f>Q23</f>
        <v>-1.01322362621217</v>
      </c>
      <c r="AF97" s="16">
        <f>Q24</f>
        <v>-0.850839515814135</v>
      </c>
      <c r="AG97" s="16">
        <f>Q25</f>
        <v>-1.02486511846118</v>
      </c>
      <c r="AH97" s="16">
        <f>Q26</f>
        <v>-0.900080580177276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8.35" customHeight="1" hidden="1">
      <c r="AC98" s="36"/>
      <c r="AD98" s="38">
        <f>E22</f>
        <v>1547.424</v>
      </c>
      <c r="AE98" s="23">
        <f>E23</f>
        <v>1944.255</v>
      </c>
      <c r="AF98" s="23">
        <f>E24</f>
        <v>2527.2828</v>
      </c>
      <c r="AG98" s="23">
        <f>E25</f>
        <v>3207.608</v>
      </c>
      <c r="AH98" s="23">
        <f>E26</f>
        <v>3956.0895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8.35" customHeight="1" hidden="1">
      <c r="AC99" s="36"/>
      <c r="AD99" t="s" s="45">
        <v>576</v>
      </c>
      <c r="AE99" s="16">
        <f>AG97</f>
        <v>-1.02486511846118</v>
      </c>
      <c r="AF99" t="s" s="44">
        <v>76</v>
      </c>
      <c r="AG99" s="16">
        <f>AH97</f>
        <v>-0.900080580177276</v>
      </c>
      <c r="AH99" t="s" s="44">
        <v>90</v>
      </c>
      <c r="AI99" s="23">
        <f>AG98</f>
        <v>3207.608</v>
      </c>
      <c r="AJ99" t="s" s="44">
        <v>76</v>
      </c>
      <c r="AK99" s="23">
        <f>AH98</f>
        <v>3956.0895</v>
      </c>
      <c r="AL99" t="s" s="44">
        <f>AI94</f>
        <v>372</v>
      </c>
      <c r="AM99" t="s" s="44">
        <v>73</v>
      </c>
      <c r="AN99" t="s" s="44">
        <f>AK94</f>
        <v>74</v>
      </c>
      <c r="AO99" t="s" s="44">
        <v>91</v>
      </c>
      <c r="AP99" s="17"/>
      <c r="AQ99" s="17"/>
      <c r="AR99" s="17"/>
      <c r="AS99" s="17"/>
      <c r="AT99" s="17"/>
      <c r="AU99" s="17"/>
    </row>
    <row r="100" ht="8.35" customHeight="1" hidden="1">
      <c r="AC100" s="36"/>
      <c r="AD100" t="s" s="45">
        <v>577</v>
      </c>
      <c r="AE100" s="16">
        <f>AVERAGE(AE97:AH97)</f>
        <v>-0.94725221016619</v>
      </c>
      <c r="AF100" t="s" s="44">
        <v>78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8.35" customHeight="1" hidden="1">
      <c r="AC101" s="36"/>
      <c r="AD101" t="s" s="45">
        <v>93</v>
      </c>
      <c r="AE101" s="35">
        <f>AD39</f>
        <v>-0.900080580177276</v>
      </c>
      <c r="AF101" t="s" s="44">
        <v>559</v>
      </c>
      <c r="AG101" s="26">
        <f>AG53</f>
        <v>784.513330509467</v>
      </c>
      <c r="AH101" t="s" s="44">
        <f>AL99</f>
        <v>372</v>
      </c>
      <c r="AI101" t="s" s="44">
        <v>95</v>
      </c>
      <c r="AJ101" t="s" s="44">
        <f>AN99</f>
        <v>74</v>
      </c>
      <c r="AK101" t="s" s="44">
        <f>AI92</f>
        <v>75</v>
      </c>
      <c r="AL101" t="s" s="44">
        <f>AM94</f>
        <v>85</v>
      </c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8.35" customHeight="1" hidden="1">
      <c r="AC102" s="36"/>
      <c r="AD102" t="s" s="45">
        <v>15</v>
      </c>
      <c r="AE102" t="s" s="44">
        <f>IF(AG106&lt;AE106,"lower","higher")</f>
        <v>363</v>
      </c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8.35" customHeight="1" hidden="1">
      <c r="AC103" s="36"/>
      <c r="AD103" t="s" s="45">
        <f>AD96</f>
        <v>70</v>
      </c>
      <c r="AE103" t="s" s="44">
        <v>96</v>
      </c>
      <c r="AF103" t="s" s="44">
        <f>AL92</f>
        <v>372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8.35" customHeight="1" hidden="1">
      <c r="AC104" s="36"/>
      <c r="AD104" s="14">
        <f>J22</f>
        <v>3281.112</v>
      </c>
      <c r="AE104" s="15">
        <f>J23</f>
        <v>-128.475</v>
      </c>
      <c r="AF104" s="15">
        <f>J24</f>
        <v>1641.8742</v>
      </c>
      <c r="AG104" s="26">
        <f>J25</f>
        <v>-310.792</v>
      </c>
      <c r="AH104" s="15">
        <f>J26</f>
        <v>1557.936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8.35" customHeight="1" hidden="1">
      <c r="AC105" s="36"/>
      <c r="AD105" s="14">
        <f>K22</f>
        <v>-356.7672</v>
      </c>
      <c r="AE105" s="15">
        <f>K23</f>
        <v>-1683.0225</v>
      </c>
      <c r="AF105" s="15">
        <f>K24</f>
        <v>-441.2716</v>
      </c>
      <c r="AG105" s="26">
        <f>K25</f>
        <v>-583.468</v>
      </c>
      <c r="AH105" s="15">
        <f>K26</f>
        <v>-238.716</v>
      </c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8.35" customHeight="1" hidden="1">
      <c r="AC106" s="36"/>
      <c r="AD106" t="s" s="45">
        <v>97</v>
      </c>
      <c r="AE106" s="15">
        <f>AG104+AG105</f>
        <v>-894.26</v>
      </c>
      <c r="AF106" t="s" s="44">
        <v>76</v>
      </c>
      <c r="AG106" s="26">
        <f>AH104+AH105</f>
        <v>1319.22</v>
      </c>
      <c r="AH106" t="s" s="44">
        <f>AH101</f>
        <v>372</v>
      </c>
      <c r="AI106" t="s" s="44">
        <v>84</v>
      </c>
      <c r="AJ106" t="s" s="44">
        <f>AJ101</f>
        <v>74</v>
      </c>
      <c r="AK106" t="s" s="44">
        <v>98</v>
      </c>
      <c r="AL106" s="15">
        <f>AH105</f>
        <v>-238.716</v>
      </c>
      <c r="AM106" t="s" s="44">
        <f>AL92</f>
        <v>372</v>
      </c>
      <c r="AN106" t="s" s="44">
        <v>99</v>
      </c>
      <c r="AO106" s="17"/>
      <c r="AP106" s="17"/>
      <c r="AQ106" s="17"/>
      <c r="AR106" s="17"/>
      <c r="AS106" s="17"/>
      <c r="AT106" s="17"/>
      <c r="AU106" s="17"/>
    </row>
    <row r="107" ht="8.35" customHeight="1" hidden="1">
      <c r="AC107" s="36"/>
      <c r="AD107" t="s" s="45">
        <v>100</v>
      </c>
      <c r="AE107" s="15">
        <f>SUM(AE104:AH105)/4</f>
        <v>-46.483725</v>
      </c>
      <c r="AF107" t="s" s="44">
        <f>AL92</f>
        <v>372</v>
      </c>
      <c r="AG107" t="s" s="44">
        <v>78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8.35" customHeight="1" hidden="1">
      <c r="AC108" s="36"/>
      <c r="AD108" t="s" s="45">
        <v>101</v>
      </c>
      <c r="AE108" s="15">
        <f>AD41</f>
        <v>-736.619525</v>
      </c>
      <c r="AF108" t="s" s="44">
        <f>AF107</f>
        <v>372</v>
      </c>
      <c r="AG108" t="s" s="44">
        <v>102</v>
      </c>
      <c r="AH108" t="s" s="44">
        <v>103</v>
      </c>
      <c r="AI108" t="s" s="44">
        <f>IF(AH94&gt;AK92,"higher","lower")</f>
        <v>363</v>
      </c>
      <c r="AJ108" t="s" s="44">
        <v>105</v>
      </c>
      <c r="AK108" s="15">
        <f>SUM(AD42:AG42)/4</f>
        <v>984.710769010175</v>
      </c>
      <c r="AL108" t="s" s="44">
        <f>AF108</f>
        <v>372</v>
      </c>
      <c r="AM108" t="s" s="44">
        <v>106</v>
      </c>
      <c r="AN108" t="s" s="44">
        <v>107</v>
      </c>
      <c r="AO108" s="17"/>
      <c r="AP108" s="17"/>
      <c r="AQ108" s="17"/>
      <c r="AR108" s="17"/>
      <c r="AS108" s="17"/>
      <c r="AT108" s="17"/>
      <c r="AU108" s="17"/>
    </row>
    <row r="109" ht="8.35" customHeight="1" hidden="1">
      <c r="AC109" s="36"/>
      <c r="AD109" t="s" s="45">
        <v>18</v>
      </c>
      <c r="AE109" t="s" s="44">
        <f>AL114</f>
        <v>87</v>
      </c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8.35" customHeight="1" hidden="1">
      <c r="AC110" s="36"/>
      <c r="AD110" t="s" s="45">
        <f>AD89</f>
        <v>70</v>
      </c>
      <c r="AE110" t="s" s="44">
        <v>109</v>
      </c>
      <c r="AF110" t="s" s="44">
        <f>AL92</f>
        <v>372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8.35" customHeight="1" hidden="1">
      <c r="AC111" s="36"/>
      <c r="AD111" s="14">
        <f>F22</f>
        <v>13855.176</v>
      </c>
      <c r="AE111" s="15">
        <f>F23</f>
        <v>15117.225</v>
      </c>
      <c r="AF111" s="15">
        <f>F24</f>
        <v>18381.541</v>
      </c>
      <c r="AG111" s="26">
        <f>F25</f>
        <v>14528.06</v>
      </c>
      <c r="AH111" s="15">
        <f>F26</f>
        <v>17715.24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8.35" customHeight="1" hidden="1">
      <c r="AC112" s="36"/>
      <c r="AD112" s="14">
        <f>G22</f>
        <v>57283.344</v>
      </c>
      <c r="AE112" s="15">
        <f>G23</f>
        <v>60240.5</v>
      </c>
      <c r="AF112" s="15">
        <f>G24</f>
        <v>63153.416</v>
      </c>
      <c r="AG112" s="26">
        <f>G25</f>
        <v>60501.82</v>
      </c>
      <c r="AH112" s="15">
        <f>G26</f>
        <v>63982.17</v>
      </c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8.35" customHeight="1" hidden="1">
      <c r="AC113" s="36"/>
      <c r="AD113" t="s" s="45">
        <v>110</v>
      </c>
      <c r="AE113" t="s" s="44">
        <f>IF(AH113&lt;AF113,"declined","increased")</f>
        <v>111</v>
      </c>
      <c r="AF113" s="15">
        <f>AG111</f>
        <v>14528.06</v>
      </c>
      <c r="AG113" t="s" s="44">
        <v>76</v>
      </c>
      <c r="AH113" s="15">
        <f>AH111</f>
        <v>17715.24</v>
      </c>
      <c r="AI113" t="s" s="44">
        <f>AL108</f>
        <v>372</v>
      </c>
      <c r="AJ113" t="s" s="44">
        <v>84</v>
      </c>
      <c r="AK113" t="s" s="44">
        <f>AH92</f>
        <v>74</v>
      </c>
      <c r="AL113" t="s" s="44">
        <f>AO99</f>
        <v>91</v>
      </c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8.35" customHeight="1" hidden="1">
      <c r="AC114" s="36"/>
      <c r="AD114" t="s" s="45">
        <v>112</v>
      </c>
      <c r="AE114" t="s" s="44">
        <f>IF(AH114&lt;AF114,"declined","increased")</f>
        <v>111</v>
      </c>
      <c r="AF114" s="15">
        <f>AG112</f>
        <v>60501.82</v>
      </c>
      <c r="AG114" t="s" s="44">
        <v>76</v>
      </c>
      <c r="AH114" s="15">
        <f>AH112</f>
        <v>63982.17</v>
      </c>
      <c r="AI114" t="s" s="44">
        <f>AI113</f>
        <v>372</v>
      </c>
      <c r="AJ114" t="s" s="44">
        <v>113</v>
      </c>
      <c r="AK114" t="s" s="44">
        <v>114</v>
      </c>
      <c r="AL114" t="s" s="44">
        <f>IF(AO114&lt;AM114,"down","up")</f>
        <v>87</v>
      </c>
      <c r="AM114" s="15">
        <f>AF113-AF114</f>
        <v>-45973.76</v>
      </c>
      <c r="AN114" t="s" s="44">
        <v>76</v>
      </c>
      <c r="AO114" s="15">
        <f>AH113-AH114</f>
        <v>-46266.93</v>
      </c>
      <c r="AP114" t="s" s="44">
        <f>AI114</f>
        <v>372</v>
      </c>
      <c r="AQ114" t="s" s="44">
        <v>115</v>
      </c>
      <c r="AR114" s="17"/>
      <c r="AS114" s="17"/>
      <c r="AT114" s="17"/>
      <c r="AU114" s="17"/>
    </row>
    <row r="115" ht="8.35" customHeight="1" hidden="1">
      <c r="AC115" s="36"/>
      <c r="AD115" t="s" s="45">
        <v>116</v>
      </c>
      <c r="AE115" s="15">
        <f>SUM(AD45:AG45)</f>
        <v>0</v>
      </c>
      <c r="AF115" t="s" s="44">
        <f>AI114</f>
        <v>372</v>
      </c>
      <c r="AG115" t="s" s="44">
        <v>117</v>
      </c>
      <c r="AH115" t="s" s="44">
        <f>IF(AI115&gt;0,"+","")</f>
      </c>
      <c r="AI115" s="15">
        <f>AD43+AE43+AF43+AG43+AD47+AE47+AF47+AG47</f>
        <v>-11868.2926464375</v>
      </c>
      <c r="AJ115" t="s" s="44">
        <f>AP114</f>
        <v>372</v>
      </c>
      <c r="AK115" t="s" s="44">
        <v>118</v>
      </c>
      <c r="AL115" t="s" s="44">
        <v>119</v>
      </c>
      <c r="AM115" s="15">
        <f>AG62</f>
        <v>-42328.0869239593</v>
      </c>
      <c r="AN115" t="s" s="44">
        <f>AI114</f>
        <v>372</v>
      </c>
      <c r="AO115" t="s" s="44">
        <v>120</v>
      </c>
      <c r="AP115" s="17"/>
      <c r="AQ115" s="17"/>
      <c r="AR115" s="17"/>
      <c r="AS115" s="17"/>
      <c r="AT115" s="17"/>
      <c r="AU115" s="17"/>
    </row>
    <row r="116" ht="8.35" customHeight="1" hidden="1">
      <c r="AC116" s="36"/>
      <c r="AD116" t="s" s="45">
        <v>17</v>
      </c>
      <c r="AE116" t="s" s="44">
        <f>AE120</f>
        <v>121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8.35" customHeight="1" hidden="1">
      <c r="AC117" s="36"/>
      <c r="AD117" t="s" s="45">
        <f>AD89</f>
        <v>70</v>
      </c>
      <c r="AE117" t="s" s="44">
        <v>379</v>
      </c>
      <c r="AF117" t="s" s="44">
        <f>AL92</f>
        <v>372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8.35" customHeight="1" hidden="1">
      <c r="AC118" s="36"/>
      <c r="AD118" s="14">
        <f>-L22</f>
        <v>282.69144</v>
      </c>
      <c r="AE118" s="15">
        <f>-L23</f>
        <v>-3046.285</v>
      </c>
      <c r="AF118" s="15">
        <f>-L24</f>
        <v>-1978.587354</v>
      </c>
      <c r="AG118" s="26">
        <f>-L25</f>
        <v>3398.21732</v>
      </c>
      <c r="AH118" s="15">
        <f>-L26</f>
        <v>-1107.2025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8.35" customHeight="1" hidden="1">
      <c r="AC119" s="36"/>
      <c r="AD119" s="14">
        <f>-M22</f>
        <v>261.77256</v>
      </c>
      <c r="AE119" s="15">
        <f>-M23</f>
        <v>2.855</v>
      </c>
      <c r="AF119" s="15">
        <f>-M24</f>
        <v>0.028654</v>
      </c>
      <c r="AG119" s="26">
        <f>-M25</f>
        <v>19.02868</v>
      </c>
      <c r="AH119" s="15">
        <f>-M26</f>
        <v>265.4145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8.35" customHeight="1" hidden="1">
      <c r="AC120" s="36"/>
      <c r="AD120" t="s" s="45">
        <f>AD81</f>
        <v>624</v>
      </c>
      <c r="AE120" t="s" s="44">
        <f>IF(AF120&gt;0,"paid","(raised)")</f>
        <v>121</v>
      </c>
      <c r="AF120" s="15">
        <f>SUM(AH118:AH119)</f>
        <v>-841.788</v>
      </c>
      <c r="AG120" t="s" s="44">
        <f>AL92</f>
        <v>372</v>
      </c>
      <c r="AH120" t="s" s="44">
        <f>AG92</f>
        <v>73</v>
      </c>
      <c r="AI120" t="s" s="44">
        <f>AH92</f>
        <v>74</v>
      </c>
      <c r="AJ120" t="s" s="44">
        <f>AI92</f>
        <v>75</v>
      </c>
      <c r="AK120" s="15">
        <f>AH118</f>
        <v>-1107.2025</v>
      </c>
      <c r="AL120" t="s" s="44">
        <f>AL92</f>
        <v>372</v>
      </c>
      <c r="AM120" t="s" s="44">
        <v>123</v>
      </c>
      <c r="AN120" s="15">
        <f>AH119</f>
        <v>265.4145</v>
      </c>
      <c r="AO120" t="s" s="44">
        <f>AL92</f>
        <v>372</v>
      </c>
      <c r="AP120" t="s" s="44">
        <v>389</v>
      </c>
      <c r="AQ120" t="s" s="44">
        <v>475</v>
      </c>
      <c r="AR120" t="s" s="44">
        <f>IF(AS120&gt;0,"pay","raise")</f>
        <v>364</v>
      </c>
      <c r="AS120" s="15">
        <f>-SUM(AD63:AG63)</f>
        <v>11868.2926464375</v>
      </c>
      <c r="AT120" t="s" s="44">
        <f>AL92</f>
        <v>372</v>
      </c>
      <c r="AU120" t="s" s="44">
        <v>126</v>
      </c>
    </row>
    <row r="121" ht="8.35" customHeight="1" hidden="1">
      <c r="AC121" s="36"/>
      <c r="AD121" t="s" s="45">
        <v>375</v>
      </c>
      <c r="AE121" s="15">
        <f>AG67</f>
        <v>47187.203328</v>
      </c>
      <c r="AF121" t="s" s="44">
        <f>AL92</f>
        <v>372</v>
      </c>
      <c r="AG121" t="s" s="44">
        <v>128</v>
      </c>
      <c r="AH121" t="s" s="44">
        <v>129</v>
      </c>
      <c r="AI121" s="26">
        <f>AG69</f>
        <v>0.337735668147077</v>
      </c>
      <c r="AJ121" t="s" s="44">
        <v>130</v>
      </c>
      <c r="AK121" t="s" s="44">
        <v>131</v>
      </c>
      <c r="AL121" t="s" s="44">
        <v>132</v>
      </c>
      <c r="AM121" s="15">
        <f>AG72</f>
        <v>42.2245686840563</v>
      </c>
      <c r="AN121" t="s" s="44">
        <v>133</v>
      </c>
      <c r="AO121" s="16">
        <f>-AE115/AE121</f>
        <v>0</v>
      </c>
      <c r="AP121" t="s" s="44">
        <v>134</v>
      </c>
      <c r="AQ121" s="17"/>
      <c r="AR121" s="17"/>
      <c r="AS121" s="17"/>
      <c r="AT121" s="17"/>
      <c r="AU121" s="17"/>
    </row>
    <row r="122" ht="8.35" customHeight="1" hidden="1">
      <c r="AC122" s="36"/>
      <c r="AD122" t="s" s="45">
        <v>135</v>
      </c>
      <c r="AE122" s="15">
        <f>AG71</f>
        <v>3938.8430760407</v>
      </c>
      <c r="AF122" t="s" s="44">
        <f>AF121</f>
        <v>372</v>
      </c>
      <c r="AG122" t="s" s="44">
        <v>136</v>
      </c>
      <c r="AH122" s="15">
        <f>AE121/AE122</f>
        <v>11.9799652885467</v>
      </c>
      <c r="AI122" t="s" s="44">
        <v>130</v>
      </c>
      <c r="AJ122" t="s" s="44">
        <v>137</v>
      </c>
      <c r="AK122" t="s" s="44">
        <v>138</v>
      </c>
      <c r="AL122" s="15">
        <f>AG73</f>
        <v>14</v>
      </c>
      <c r="AM122" t="s" s="44">
        <v>139</v>
      </c>
      <c r="AN122" t="s" s="44">
        <v>140</v>
      </c>
      <c r="AO122" t="s" s="44">
        <v>141</v>
      </c>
      <c r="AP122" s="16">
        <f>AJ81</f>
        <v>0.168617743273809</v>
      </c>
      <c r="AQ122" t="s" s="44">
        <f>IF(AP122&gt;0,"higher","lower")</f>
        <v>363</v>
      </c>
      <c r="AR122" t="s" s="44">
        <v>142</v>
      </c>
      <c r="AS122" s="15">
        <f>AH81</f>
        <v>10079.3280357366</v>
      </c>
      <c r="AT122" t="s" s="44">
        <v>143</v>
      </c>
      <c r="AU122" s="17"/>
    </row>
    <row r="123" ht="8.35" customHeight="1" hidden="1">
      <c r="AC123" s="36"/>
      <c r="AD123" s="34"/>
      <c r="AE123" s="17"/>
      <c r="AF123" s="17"/>
      <c r="AG123" s="17"/>
      <c r="AH123" s="15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8.35" customHeight="1" hidden="1">
      <c r="AC124" s="36"/>
      <c r="AD124" s="38">
        <f>AD91</f>
        <v>12602.9088</v>
      </c>
      <c r="AE124" s="23">
        <f>AE91</f>
        <v>14414.895</v>
      </c>
      <c r="AF124" s="23">
        <f>AF91</f>
        <v>14265.3939</v>
      </c>
      <c r="AG124" s="23">
        <f>AG91</f>
        <v>13858.098</v>
      </c>
      <c r="AH124" s="23">
        <f>AH91</f>
        <v>16601.7555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8.35" customHeight="1" hidden="1">
      <c r="AC125" s="36"/>
      <c r="AD125" s="14">
        <f>SUM(AD104:AD105)</f>
        <v>2924.3448</v>
      </c>
      <c r="AE125" s="15">
        <f>SUM(AE104:AE105)</f>
        <v>-1811.4975</v>
      </c>
      <c r="AF125" s="15">
        <f>SUM(AF104:AF105)</f>
        <v>1200.6026</v>
      </c>
      <c r="AG125" s="26">
        <f>SUM(AG104:AG105)</f>
        <v>-894.26</v>
      </c>
      <c r="AH125" s="15">
        <f>SUM(AH104:AH105)</f>
        <v>1319.22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8.35" customHeight="1" hidden="1">
      <c r="AC126" s="36"/>
      <c r="AD126" s="14">
        <f>SUM(AD118:AD119)</f>
        <v>544.4640000000001</v>
      </c>
      <c r="AE126" s="15">
        <f>SUM(AE118:AE119)</f>
        <v>-3043.43</v>
      </c>
      <c r="AF126" s="15">
        <f>SUM(AF118:AF119)</f>
        <v>-1978.5587</v>
      </c>
      <c r="AG126" s="26">
        <f>SUM(AG118:AG119)</f>
        <v>3417.246</v>
      </c>
      <c r="AH126" s="15">
        <f>SUM(AH118:AH119)</f>
        <v>-841.788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8.35" customHeight="1" hidden="1">
      <c r="AC127" s="36"/>
      <c r="AD127" s="14">
        <f>(AD111-AD112)</f>
        <v>-43428.168</v>
      </c>
      <c r="AE127" s="15">
        <f>(AE111-AE112)</f>
        <v>-45123.275</v>
      </c>
      <c r="AF127" s="15">
        <f>(AF111-AF112)</f>
        <v>-44771.875</v>
      </c>
      <c r="AG127" s="26">
        <f>(AG111-AG112)</f>
        <v>-45973.76</v>
      </c>
      <c r="AH127" s="15">
        <f>(AH111-AH112)</f>
        <v>-46266.93</v>
      </c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8.35" customHeight="1" hidden="1">
      <c r="AC128" s="36"/>
      <c r="AD128" s="34"/>
      <c r="AE128" s="17"/>
      <c r="AF128" s="17"/>
      <c r="AG128" s="17"/>
      <c r="AH128" s="15">
        <f>AS122</f>
        <v>10079.3280357366</v>
      </c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8.35" customHeight="1" hidden="1">
      <c r="AC129" s="36"/>
      <c r="AD129" s="34"/>
      <c r="AE129" s="17"/>
      <c r="AF129" s="17"/>
      <c r="AG129" s="17"/>
      <c r="AH129" s="15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8.35" customHeight="1" hidden="1">
      <c r="AC130" s="36"/>
      <c r="AD130" s="34"/>
      <c r="AE130" s="17"/>
      <c r="AF130" s="17"/>
      <c r="AG130" s="17"/>
      <c r="AH130" s="15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8.35" customHeight="1" hidden="1">
      <c r="AC131" s="36"/>
      <c r="AD131" s="34"/>
      <c r="AE131" s="17"/>
      <c r="AF131" s="17"/>
      <c r="AG131" s="17"/>
      <c r="AH131" s="15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8.35" customHeight="1" hidden="1">
      <c r="AC132" s="36"/>
      <c r="AD132" s="34"/>
      <c r="AE132" s="17"/>
      <c r="AF132" s="17"/>
      <c r="AG132" s="17"/>
      <c r="AH132" s="15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8.35" customHeight="1" hidden="1">
      <c r="AC133" s="36"/>
      <c r="AD133" s="34"/>
      <c r="AE133" s="17"/>
      <c r="AF133" s="17"/>
      <c r="AG133" s="17"/>
      <c r="AH133" s="15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ht="8.35" customHeight="1" hidden="1">
      <c r="AC134" s="36"/>
      <c r="AD134" s="34"/>
      <c r="AE134" s="17"/>
      <c r="AF134" s="17"/>
      <c r="AG134" s="17"/>
      <c r="AH134" s="15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ht="8.35" customHeight="1" hidden="1">
      <c r="AC135" s="36"/>
      <c r="AD135" s="34"/>
      <c r="AE135" s="17"/>
      <c r="AF135" s="17"/>
      <c r="AG135" s="17"/>
      <c r="AH135" s="15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</sheetData>
  <mergeCells count="2">
    <mergeCell ref="B2:AB2"/>
    <mergeCell ref="AC33:AU33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70" customWidth="1"/>
    <col min="2" max="26" width="10.4844" style="270" customWidth="1"/>
    <col min="27" max="27" width="18.9766" style="271" customWidth="1"/>
    <col min="28" max="46" width="9" style="271" customWidth="1"/>
    <col min="47" max="16384" width="16.3516" style="271" customWidth="1"/>
  </cols>
  <sheetData>
    <row r="1" ht="11.65" customHeight="1"/>
    <row r="2" ht="27.65" customHeight="1">
      <c r="B2" t="s" s="2">
        <v>625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271</v>
      </c>
      <c r="W3" t="s" s="3">
        <v>18</v>
      </c>
      <c r="X3" t="s" s="3">
        <v>271</v>
      </c>
      <c r="Y3" t="s" s="3">
        <v>19</v>
      </c>
      <c r="Z3" t="s" s="3">
        <v>20</v>
      </c>
    </row>
    <row r="4" ht="20.25" customHeight="1">
      <c r="B4" s="6">
        <v>2017</v>
      </c>
      <c r="C4" s="7">
        <v>13.25</v>
      </c>
      <c r="D4" s="8">
        <v>0.225</v>
      </c>
      <c r="E4" s="8">
        <v>0.25</v>
      </c>
      <c r="F4" s="8">
        <f>F5</f>
        <v>12</v>
      </c>
      <c r="G4" s="8">
        <f>G5</f>
        <v>14</v>
      </c>
      <c r="H4" s="8">
        <f>H5</f>
        <v>50</v>
      </c>
      <c r="I4" s="8">
        <v>14.25</v>
      </c>
      <c r="J4" s="8">
        <v>0.875</v>
      </c>
      <c r="K4" s="8">
        <v>0.025</v>
      </c>
      <c r="L4" s="8">
        <v>0</v>
      </c>
      <c r="M4" s="8">
        <v>0</v>
      </c>
      <c r="N4" s="8"/>
      <c r="O4" s="8"/>
      <c r="P4" s="9"/>
      <c r="Q4" s="9"/>
      <c r="R4" s="9"/>
      <c r="S4" s="9"/>
      <c r="T4" s="8">
        <f>J4+K4</f>
        <v>0.9</v>
      </c>
      <c r="U4" s="8">
        <f>-(L4+M4)</f>
        <v>0</v>
      </c>
      <c r="V4" s="8">
        <v>124.28387328</v>
      </c>
      <c r="W4" s="8">
        <f>F4-G4</f>
        <v>-2</v>
      </c>
      <c r="X4" s="10"/>
      <c r="Y4" s="11"/>
      <c r="Z4" s="12">
        <v>13.3</v>
      </c>
    </row>
    <row r="5" ht="20.05" customHeight="1">
      <c r="B5" s="13"/>
      <c r="C5" s="14">
        <v>13.25</v>
      </c>
      <c r="D5" s="15">
        <v>0.225</v>
      </c>
      <c r="E5" s="15">
        <v>0.25</v>
      </c>
      <c r="F5" s="15">
        <f>F6</f>
        <v>12</v>
      </c>
      <c r="G5" s="15">
        <f>G6</f>
        <v>14</v>
      </c>
      <c r="H5" s="15">
        <f>H6</f>
        <v>50</v>
      </c>
      <c r="I5" s="15">
        <v>14.25</v>
      </c>
      <c r="J5" s="15">
        <v>0.875</v>
      </c>
      <c r="K5" s="15">
        <v>0.025</v>
      </c>
      <c r="L5" s="15">
        <v>0</v>
      </c>
      <c r="M5" s="15">
        <v>0</v>
      </c>
      <c r="N5" s="15"/>
      <c r="O5" s="15"/>
      <c r="P5" s="16"/>
      <c r="Q5" s="17"/>
      <c r="R5" s="17"/>
      <c r="S5" s="17"/>
      <c r="T5" s="15">
        <f>J5+K5+T4</f>
        <v>1.8</v>
      </c>
      <c r="U5" s="15">
        <f>-(L5+M5)+U4</f>
        <v>0</v>
      </c>
      <c r="V5" s="15">
        <f>V4</f>
        <v>124.28387328</v>
      </c>
      <c r="W5" s="15">
        <f>F5-G5</f>
        <v>-2</v>
      </c>
      <c r="X5" s="18"/>
      <c r="Y5" s="19"/>
      <c r="Z5" s="20">
        <v>13.327</v>
      </c>
    </row>
    <row r="6" ht="20.05" customHeight="1">
      <c r="B6" s="13"/>
      <c r="C6" s="14">
        <v>13.25</v>
      </c>
      <c r="D6" s="15">
        <v>0.225</v>
      </c>
      <c r="E6" s="15">
        <v>0.25</v>
      </c>
      <c r="F6" s="15">
        <f>F7</f>
        <v>12</v>
      </c>
      <c r="G6" s="15">
        <f>G7</f>
        <v>14</v>
      </c>
      <c r="H6" s="15">
        <f>H7</f>
        <v>50</v>
      </c>
      <c r="I6" s="15">
        <v>14.25</v>
      </c>
      <c r="J6" s="15">
        <v>0.875</v>
      </c>
      <c r="K6" s="15">
        <v>0.025</v>
      </c>
      <c r="L6" s="15">
        <v>0</v>
      </c>
      <c r="M6" s="15">
        <v>0</v>
      </c>
      <c r="N6" s="15"/>
      <c r="O6" s="15"/>
      <c r="P6" s="16"/>
      <c r="Q6" s="17"/>
      <c r="R6" s="17"/>
      <c r="S6" s="17"/>
      <c r="T6" s="15">
        <f>J6+K6+T5</f>
        <v>2.7</v>
      </c>
      <c r="U6" s="15">
        <f>-(L6+M6)+U5</f>
        <v>0</v>
      </c>
      <c r="V6" s="15">
        <f>V5</f>
        <v>124.28387328</v>
      </c>
      <c r="W6" s="15">
        <f>F6-G6</f>
        <v>-2</v>
      </c>
      <c r="X6" s="18"/>
      <c r="Y6" s="19"/>
      <c r="Z6" s="20">
        <v>13.305</v>
      </c>
    </row>
    <row r="7" ht="20.05" customHeight="1">
      <c r="B7" s="13"/>
      <c r="C7" s="14">
        <v>13.25</v>
      </c>
      <c r="D7" s="15">
        <v>0.225</v>
      </c>
      <c r="E7" s="15">
        <v>0.25</v>
      </c>
      <c r="F7" s="15">
        <v>12</v>
      </c>
      <c r="G7" s="15">
        <v>14</v>
      </c>
      <c r="H7" s="15">
        <v>50</v>
      </c>
      <c r="I7" s="15">
        <v>14.25</v>
      </c>
      <c r="J7" s="15">
        <v>0.875</v>
      </c>
      <c r="K7" s="15">
        <v>0.025</v>
      </c>
      <c r="L7" s="15">
        <v>0</v>
      </c>
      <c r="M7" s="15">
        <v>0</v>
      </c>
      <c r="N7" s="15"/>
      <c r="O7" s="15"/>
      <c r="P7" s="16"/>
      <c r="Q7" s="17"/>
      <c r="R7" s="17"/>
      <c r="S7" s="17"/>
      <c r="T7" s="15">
        <f>J7+K7+T6</f>
        <v>3.6</v>
      </c>
      <c r="U7" s="15">
        <f>-(L7+M7)+U6</f>
        <v>0</v>
      </c>
      <c r="V7" s="15">
        <f>V6</f>
        <v>124.28387328</v>
      </c>
      <c r="W7" s="15">
        <f>F7-G7</f>
        <v>-2</v>
      </c>
      <c r="X7" s="18"/>
      <c r="Y7" s="19"/>
      <c r="Z7" s="20">
        <v>13.557</v>
      </c>
    </row>
    <row r="8" ht="20.05" customHeight="1">
      <c r="B8" s="21">
        <v>2018</v>
      </c>
      <c r="C8" s="14">
        <v>20.5</v>
      </c>
      <c r="D8" s="15">
        <v>0.225</v>
      </c>
      <c r="E8" s="15">
        <v>0.425</v>
      </c>
      <c r="F8" s="15">
        <f>F9</f>
        <v>10</v>
      </c>
      <c r="G8" s="15">
        <f>G9</f>
        <v>13</v>
      </c>
      <c r="H8" s="15">
        <f>H9</f>
        <v>52</v>
      </c>
      <c r="I8" s="15">
        <v>20.5</v>
      </c>
      <c r="J8" s="15">
        <v>-0.425</v>
      </c>
      <c r="K8" s="15">
        <v>0</v>
      </c>
      <c r="L8" s="15">
        <v>-0.075</v>
      </c>
      <c r="M8" s="15">
        <v>0</v>
      </c>
      <c r="N8" s="15">
        <f>SUM(C5:C8)/4</f>
        <v>15.0625</v>
      </c>
      <c r="O8" s="15"/>
      <c r="P8" s="16"/>
      <c r="Q8" s="16"/>
      <c r="R8" s="16"/>
      <c r="S8" s="15">
        <f>SUM(J5:K8)/4</f>
        <v>0.56875</v>
      </c>
      <c r="T8" s="15">
        <f>J8+K8+T7</f>
        <v>3.175</v>
      </c>
      <c r="U8" s="15">
        <f>-(L8+M8)+U7</f>
        <v>0.075</v>
      </c>
      <c r="V8" s="15">
        <f>V7</f>
        <v>124.28387328</v>
      </c>
      <c r="W8" s="15">
        <f>F8-G8</f>
        <v>-3</v>
      </c>
      <c r="X8" s="18"/>
      <c r="Y8" s="22"/>
      <c r="Z8" s="20">
        <v>13.761</v>
      </c>
    </row>
    <row r="9" ht="20.05" customHeight="1">
      <c r="B9" s="13"/>
      <c r="C9" s="14">
        <v>20.5</v>
      </c>
      <c r="D9" s="15">
        <v>0.225</v>
      </c>
      <c r="E9" s="15">
        <v>0.425</v>
      </c>
      <c r="F9" s="15">
        <f>F10</f>
        <v>10</v>
      </c>
      <c r="G9" s="15">
        <f>G10</f>
        <v>13</v>
      </c>
      <c r="H9" s="15">
        <f>H10</f>
        <v>52</v>
      </c>
      <c r="I9" s="15">
        <v>20.5</v>
      </c>
      <c r="J9" s="15">
        <v>-0.425</v>
      </c>
      <c r="K9" s="15">
        <v>0</v>
      </c>
      <c r="L9" s="15">
        <v>-0.075</v>
      </c>
      <c r="M9" s="15">
        <v>0</v>
      </c>
      <c r="N9" s="15">
        <f>SUM(C6:C9)/4</f>
        <v>16.875</v>
      </c>
      <c r="O9" s="15"/>
      <c r="P9" s="16"/>
      <c r="Q9" s="16"/>
      <c r="R9" s="16"/>
      <c r="S9" s="15">
        <f>SUM(J6:K9)/4</f>
        <v>0.2375</v>
      </c>
      <c r="T9" s="15">
        <f>J9+K9+T8</f>
        <v>2.75</v>
      </c>
      <c r="U9" s="15">
        <f>-(L9+M9)+U8</f>
        <v>0.15</v>
      </c>
      <c r="V9" s="15">
        <f>V8</f>
        <v>124.28387328</v>
      </c>
      <c r="W9" s="15">
        <f>F13-G9</f>
        <v>-6</v>
      </c>
      <c r="X9" s="18"/>
      <c r="Y9" s="22"/>
      <c r="Z9" s="20">
        <v>14</v>
      </c>
    </row>
    <row r="10" ht="20.05" customHeight="1">
      <c r="B10" s="13"/>
      <c r="C10" s="14">
        <v>20.5</v>
      </c>
      <c r="D10" s="15">
        <v>0.225</v>
      </c>
      <c r="E10" s="15">
        <v>0.425</v>
      </c>
      <c r="F10" s="15">
        <f>F11</f>
        <v>10</v>
      </c>
      <c r="G10" s="15">
        <f>G11</f>
        <v>13</v>
      </c>
      <c r="H10" s="15">
        <f>H11</f>
        <v>52</v>
      </c>
      <c r="I10" s="15">
        <v>20.5</v>
      </c>
      <c r="J10" s="15">
        <v>-0.425</v>
      </c>
      <c r="K10" s="15">
        <v>0</v>
      </c>
      <c r="L10" s="15">
        <v>-0.075</v>
      </c>
      <c r="M10" s="15">
        <v>0</v>
      </c>
      <c r="N10" s="15">
        <f>SUM(C7:C10)/4</f>
        <v>18.6875</v>
      </c>
      <c r="O10" s="15"/>
      <c r="P10" s="16"/>
      <c r="Q10" s="16"/>
      <c r="R10" s="16"/>
      <c r="S10" s="15">
        <f>SUM(J7:K10)/4</f>
        <v>-0.09375</v>
      </c>
      <c r="T10" s="15">
        <f>J10+K10+T9</f>
        <v>2.325</v>
      </c>
      <c r="U10" s="15">
        <f>-(L10+M10)+U9</f>
        <v>0.225</v>
      </c>
      <c r="V10" s="15">
        <f>V9</f>
        <v>124.28387328</v>
      </c>
      <c r="W10" s="15">
        <f>F10-G10</f>
        <v>-3</v>
      </c>
      <c r="X10" s="18"/>
      <c r="Y10" s="22"/>
      <c r="Z10" s="20">
        <v>14.902</v>
      </c>
    </row>
    <row r="11" ht="20.05" customHeight="1">
      <c r="B11" s="13"/>
      <c r="C11" s="14">
        <v>20.5</v>
      </c>
      <c r="D11" s="15">
        <v>0.225</v>
      </c>
      <c r="E11" s="15">
        <v>0.425</v>
      </c>
      <c r="F11" s="15">
        <v>10</v>
      </c>
      <c r="G11" s="15">
        <v>13</v>
      </c>
      <c r="H11" s="15">
        <v>52</v>
      </c>
      <c r="I11" s="15">
        <v>20.5</v>
      </c>
      <c r="J11" s="15">
        <v>-0.425</v>
      </c>
      <c r="K11" s="15">
        <v>0</v>
      </c>
      <c r="L11" s="15">
        <v>-0.075</v>
      </c>
      <c r="M11" s="15">
        <v>0</v>
      </c>
      <c r="N11" s="15">
        <f>SUM(C8:C11)/4</f>
        <v>20.5</v>
      </c>
      <c r="O11" s="15"/>
      <c r="P11" s="16"/>
      <c r="Q11" s="16"/>
      <c r="R11" s="16"/>
      <c r="S11" s="15">
        <f>SUM(J8:K11)/4</f>
        <v>-0.425</v>
      </c>
      <c r="T11" s="15">
        <f>J11+K11+T10</f>
        <v>1.9</v>
      </c>
      <c r="U11" s="15">
        <f>-(L11+M11)+U10</f>
        <v>0.3</v>
      </c>
      <c r="V11" s="15">
        <f>V10</f>
        <v>124.28387328</v>
      </c>
      <c r="W11" s="15">
        <f>F11-G11</f>
        <v>-3</v>
      </c>
      <c r="X11" s="18"/>
      <c r="Y11" s="22"/>
      <c r="Z11" s="20">
        <v>14.38</v>
      </c>
    </row>
    <row r="12" ht="20.05" customHeight="1">
      <c r="B12" s="21">
        <v>2019</v>
      </c>
      <c r="C12" s="14">
        <v>21.25</v>
      </c>
      <c r="D12" s="15">
        <v>0.2</v>
      </c>
      <c r="E12" s="15">
        <v>0.175</v>
      </c>
      <c r="F12" s="15">
        <f>F13</f>
        <v>7</v>
      </c>
      <c r="G12" s="15">
        <f>G13</f>
        <v>8</v>
      </c>
      <c r="H12" s="15">
        <f>H13</f>
        <v>49</v>
      </c>
      <c r="I12" s="15">
        <v>21.25</v>
      </c>
      <c r="J12" s="15">
        <v>-0.625</v>
      </c>
      <c r="K12" s="15">
        <v>0.025</v>
      </c>
      <c r="L12" s="15">
        <v>-0.05</v>
      </c>
      <c r="M12" s="15">
        <v>0</v>
      </c>
      <c r="N12" s="15">
        <f>SUM(C9:C12)/4</f>
        <v>20.6875</v>
      </c>
      <c r="O12" s="23"/>
      <c r="P12" s="16"/>
      <c r="Q12" s="16">
        <f>(E12+D12)/C12</f>
        <v>0.0176470588235294</v>
      </c>
      <c r="R12" s="16">
        <f>AVERAGE(Q9:Q12)</f>
        <v>0.0176470588235294</v>
      </c>
      <c r="S12" s="15">
        <f>SUM(J9:K12)/4</f>
        <v>-0.46875</v>
      </c>
      <c r="T12" s="15">
        <f>J12+K12+T11</f>
        <v>1.3</v>
      </c>
      <c r="U12" s="15">
        <f>-(L12+M12)+U11</f>
        <v>0.35</v>
      </c>
      <c r="V12" s="15">
        <f>V11</f>
        <v>124.28387328</v>
      </c>
      <c r="W12" s="15">
        <f>F12-G12</f>
        <v>-1</v>
      </c>
      <c r="X12" s="18"/>
      <c r="Y12" s="22"/>
      <c r="Z12" s="20">
        <v>14.24</v>
      </c>
    </row>
    <row r="13" ht="20.05" customHeight="1">
      <c r="B13" s="13"/>
      <c r="C13" s="14">
        <v>21.25</v>
      </c>
      <c r="D13" s="15">
        <v>0.2</v>
      </c>
      <c r="E13" s="15">
        <v>0.175</v>
      </c>
      <c r="F13" s="15">
        <f>F14</f>
        <v>7</v>
      </c>
      <c r="G13" s="15">
        <f>G14</f>
        <v>8</v>
      </c>
      <c r="H13" s="15">
        <f>H14</f>
        <v>49</v>
      </c>
      <c r="I13" s="15">
        <v>21.25</v>
      </c>
      <c r="J13" s="15">
        <v>-0.625</v>
      </c>
      <c r="K13" s="15">
        <v>0.025</v>
      </c>
      <c r="L13" s="15">
        <v>-0.05</v>
      </c>
      <c r="M13" s="15">
        <v>0</v>
      </c>
      <c r="N13" s="15">
        <f>SUM(C10:C13)/4</f>
        <v>20.875</v>
      </c>
      <c r="O13" s="23"/>
      <c r="P13" s="16">
        <f>C13/C12-1</f>
        <v>0</v>
      </c>
      <c r="Q13" s="16">
        <f>(E13+D13)/C13</f>
        <v>0.0176470588235294</v>
      </c>
      <c r="R13" s="16">
        <f>AVERAGE(Q10:Q13)</f>
        <v>0.0176470588235294</v>
      </c>
      <c r="S13" s="15">
        <f>SUM(J10:K13)/4</f>
        <v>-0.5125</v>
      </c>
      <c r="T13" s="15">
        <f>J13+K13+T12</f>
        <v>0.7</v>
      </c>
      <c r="U13" s="15">
        <f>-(L13+M13)+U12</f>
        <v>0.4</v>
      </c>
      <c r="V13" s="15">
        <f>V12</f>
        <v>124.28387328</v>
      </c>
      <c r="W13" s="15">
        <f>F13-G13</f>
        <v>-1</v>
      </c>
      <c r="X13" s="18"/>
      <c r="Y13" s="24"/>
      <c r="Z13" s="15">
        <v>14.127</v>
      </c>
    </row>
    <row r="14" ht="20.05" customHeight="1">
      <c r="B14" s="13"/>
      <c r="C14" s="14">
        <v>21.25</v>
      </c>
      <c r="D14" s="15">
        <v>0.2</v>
      </c>
      <c r="E14" s="15">
        <v>0.175</v>
      </c>
      <c r="F14" s="15">
        <f>F15</f>
        <v>7</v>
      </c>
      <c r="G14" s="15">
        <f>G15</f>
        <v>8</v>
      </c>
      <c r="H14" s="15">
        <f>H15</f>
        <v>49</v>
      </c>
      <c r="I14" s="15">
        <v>21.25</v>
      </c>
      <c r="J14" s="15">
        <v>-0.625</v>
      </c>
      <c r="K14" s="15">
        <v>0.025</v>
      </c>
      <c r="L14" s="15">
        <v>-0.05</v>
      </c>
      <c r="M14" s="15">
        <v>0</v>
      </c>
      <c r="N14" s="15">
        <f>SUM(C11:C14)/4</f>
        <v>21.0625</v>
      </c>
      <c r="O14" s="23"/>
      <c r="P14" s="16">
        <f>C14/C13-1</f>
        <v>0</v>
      </c>
      <c r="Q14" s="16">
        <f>(E14+D14)/C14</f>
        <v>0.0176470588235294</v>
      </c>
      <c r="R14" s="16">
        <f>AVERAGE(Q11:Q14)</f>
        <v>0.0176470588235294</v>
      </c>
      <c r="S14" s="15">
        <f>SUM(J11:K14)/4</f>
        <v>-0.55625</v>
      </c>
      <c r="T14" s="15">
        <f>J14+K14+T13</f>
        <v>0.1</v>
      </c>
      <c r="U14" s="15">
        <f>-(L14+M14)+U13</f>
        <v>0.45</v>
      </c>
      <c r="V14" s="15">
        <f>V13</f>
        <v>124.28387328</v>
      </c>
      <c r="W14" s="15">
        <f>F14-G14</f>
        <v>-1</v>
      </c>
      <c r="X14" s="18"/>
      <c r="Y14" s="24"/>
      <c r="Z14" s="15">
        <v>14.195</v>
      </c>
    </row>
    <row r="15" ht="20.05" customHeight="1">
      <c r="B15" s="13"/>
      <c r="C15" s="14">
        <v>21.25</v>
      </c>
      <c r="D15" s="15">
        <v>0.2</v>
      </c>
      <c r="E15" s="15">
        <v>0.175</v>
      </c>
      <c r="F15" s="15">
        <v>7</v>
      </c>
      <c r="G15" s="15">
        <v>8</v>
      </c>
      <c r="H15" s="15">
        <v>49</v>
      </c>
      <c r="I15" s="15">
        <v>21.25</v>
      </c>
      <c r="J15" s="15">
        <v>-0.625</v>
      </c>
      <c r="K15" s="15">
        <v>0.025</v>
      </c>
      <c r="L15" s="15">
        <v>-0.05</v>
      </c>
      <c r="M15" s="15">
        <v>0</v>
      </c>
      <c r="N15" s="15">
        <f>SUM(C12:C15)/4</f>
        <v>21.25</v>
      </c>
      <c r="O15" s="15"/>
      <c r="P15" s="16">
        <f>C15/C14-1</f>
        <v>0</v>
      </c>
      <c r="Q15" s="16">
        <f>(E15+D15)/C15</f>
        <v>0.0176470588235294</v>
      </c>
      <c r="R15" s="16">
        <f>AVERAGE(Q12:Q15)</f>
        <v>0.0176470588235294</v>
      </c>
      <c r="S15" s="15">
        <f>SUM(J12:K15)/4</f>
        <v>-0.6</v>
      </c>
      <c r="T15" s="15">
        <f>J15+K15+T14</f>
        <v>-0.5</v>
      </c>
      <c r="U15" s="15">
        <f>-(L15+M15)+U14</f>
        <v>0.5</v>
      </c>
      <c r="V15" s="15">
        <f>V14</f>
        <v>124.28387328</v>
      </c>
      <c r="W15" s="15">
        <f>F15-G15</f>
        <v>-1</v>
      </c>
      <c r="X15" s="18"/>
      <c r="Y15" s="24"/>
      <c r="Z15" s="15">
        <v>13.882</v>
      </c>
    </row>
    <row r="16" ht="20.05" customHeight="1">
      <c r="B16" s="21">
        <v>2020</v>
      </c>
      <c r="C16" s="14">
        <v>12.75</v>
      </c>
      <c r="D16" s="15">
        <v>0.125</v>
      </c>
      <c r="E16" s="15">
        <v>-1.5</v>
      </c>
      <c r="F16" s="15">
        <f>F17</f>
        <v>16</v>
      </c>
      <c r="G16" s="15">
        <f>G17</f>
        <v>6</v>
      </c>
      <c r="H16" s="15">
        <f>H17</f>
        <v>42</v>
      </c>
      <c r="I16" s="15">
        <v>14.25</v>
      </c>
      <c r="J16" s="15">
        <v>2.15</v>
      </c>
      <c r="K16" s="15">
        <v>0.0175</v>
      </c>
      <c r="L16" s="15">
        <v>-0.075</v>
      </c>
      <c r="M16" s="15">
        <v>0</v>
      </c>
      <c r="N16" s="15">
        <f>SUM(C13:C16)/4</f>
        <v>19.125</v>
      </c>
      <c r="O16" s="15"/>
      <c r="P16" s="16">
        <f>C16/C15-1</f>
        <v>-0.4</v>
      </c>
      <c r="Q16" s="16">
        <f>(E16+D16)/C16</f>
        <v>-0.107843137254902</v>
      </c>
      <c r="R16" s="16">
        <f>AVERAGE(Q13:Q16)</f>
        <v>-0.0137254901960785</v>
      </c>
      <c r="S16" s="15">
        <f>SUM(J13:K16)/4</f>
        <v>0.091875</v>
      </c>
      <c r="T16" s="15">
        <f>J16+K16+T15</f>
        <v>1.6675</v>
      </c>
      <c r="U16" s="15">
        <f>-(L16+M16)+U15</f>
        <v>0.575</v>
      </c>
      <c r="V16" s="15">
        <f>V15</f>
        <v>124.28387328</v>
      </c>
      <c r="W16" s="15">
        <f>F16-G16</f>
        <v>10</v>
      </c>
      <c r="X16" s="18"/>
      <c r="Y16" s="24"/>
      <c r="Z16" s="15">
        <v>16.31</v>
      </c>
    </row>
    <row r="17" ht="20.05" customHeight="1">
      <c r="B17" s="13"/>
      <c r="C17" s="14">
        <v>12.75</v>
      </c>
      <c r="D17" s="15">
        <v>0.125</v>
      </c>
      <c r="E17" s="15">
        <v>-1.5</v>
      </c>
      <c r="F17" s="15">
        <f>F18</f>
        <v>16</v>
      </c>
      <c r="G17" s="15">
        <f>G18</f>
        <v>6</v>
      </c>
      <c r="H17" s="15">
        <f>H18</f>
        <v>42</v>
      </c>
      <c r="I17" s="15">
        <v>14.25</v>
      </c>
      <c r="J17" s="15">
        <v>2.15</v>
      </c>
      <c r="K17" s="15">
        <v>0.0175</v>
      </c>
      <c r="L17" s="15">
        <v>-0.075</v>
      </c>
      <c r="M17" s="15">
        <v>0</v>
      </c>
      <c r="N17" s="15">
        <f>SUM(C14:C17)/4</f>
        <v>17</v>
      </c>
      <c r="O17" s="15"/>
      <c r="P17" s="16">
        <f>C17/C16-1</f>
        <v>0</v>
      </c>
      <c r="Q17" s="16">
        <f>(E17+D17)/C17</f>
        <v>-0.107843137254902</v>
      </c>
      <c r="R17" s="16">
        <f>AVERAGE(Q14:Q17)</f>
        <v>-0.0450980392156863</v>
      </c>
      <c r="S17" s="25">
        <f>SUM(J14:K17)/4</f>
        <v>0.7837499999999999</v>
      </c>
      <c r="T17" s="15">
        <f>J17+K17+T16</f>
        <v>3.835</v>
      </c>
      <c r="U17" s="15">
        <f>-(L17+M17)+U16</f>
        <v>0.65</v>
      </c>
      <c r="V17" s="15">
        <f>V16</f>
        <v>124.28387328</v>
      </c>
      <c r="W17" s="15">
        <f>F17-G17</f>
        <v>10</v>
      </c>
      <c r="X17" s="18"/>
      <c r="Y17" s="24"/>
      <c r="Z17" s="15">
        <v>14.255</v>
      </c>
    </row>
    <row r="18" ht="20.05" customHeight="1">
      <c r="B18" s="13"/>
      <c r="C18" s="14">
        <v>12.75</v>
      </c>
      <c r="D18" s="15">
        <v>0.125</v>
      </c>
      <c r="E18" s="15">
        <v>-1.5</v>
      </c>
      <c r="F18" s="15">
        <f>F19</f>
        <v>16</v>
      </c>
      <c r="G18" s="15">
        <f>G19</f>
        <v>6</v>
      </c>
      <c r="H18" s="15">
        <f>H19</f>
        <v>42</v>
      </c>
      <c r="I18" s="15">
        <v>14.25</v>
      </c>
      <c r="J18" s="15">
        <v>2.15</v>
      </c>
      <c r="K18" s="15">
        <v>0.0175</v>
      </c>
      <c r="L18" s="15">
        <v>-0.075</v>
      </c>
      <c r="M18" s="15">
        <v>0</v>
      </c>
      <c r="N18" s="15">
        <f>SUM(C15:C18)/4</f>
        <v>14.875</v>
      </c>
      <c r="O18" s="15"/>
      <c r="P18" s="16">
        <f>C18/C17-1</f>
        <v>0</v>
      </c>
      <c r="Q18" s="16">
        <f>(E18+D18)/C18</f>
        <v>-0.107843137254902</v>
      </c>
      <c r="R18" s="16">
        <f>AVERAGE(Q15:Q18)</f>
        <v>-0.07647058823529421</v>
      </c>
      <c r="S18" s="25">
        <f>SUM(J15:K18)/4</f>
        <v>1.475625</v>
      </c>
      <c r="T18" s="15">
        <f>J18+K18+T17</f>
        <v>6.0025</v>
      </c>
      <c r="U18" s="15">
        <f>-(L18+M18)+U17</f>
        <v>0.725</v>
      </c>
      <c r="V18" s="15">
        <f>V17</f>
        <v>124.28387328</v>
      </c>
      <c r="W18" s="15">
        <f>F18-G18</f>
        <v>10</v>
      </c>
      <c r="X18" s="18"/>
      <c r="Y18" s="24"/>
      <c r="Z18" s="15">
        <v>14.79</v>
      </c>
    </row>
    <row r="19" ht="20.05" customHeight="1">
      <c r="B19" s="13"/>
      <c r="C19" s="14">
        <v>12.75</v>
      </c>
      <c r="D19" s="15">
        <v>0.125</v>
      </c>
      <c r="E19" s="15">
        <v>-1.5</v>
      </c>
      <c r="F19" s="15">
        <v>16</v>
      </c>
      <c r="G19" s="15">
        <v>6</v>
      </c>
      <c r="H19" s="15">
        <v>42</v>
      </c>
      <c r="I19" s="15">
        <v>14.25</v>
      </c>
      <c r="J19" s="15">
        <v>2.15</v>
      </c>
      <c r="K19" s="15">
        <v>0.0175</v>
      </c>
      <c r="L19" s="15">
        <v>-0.075</v>
      </c>
      <c r="M19" s="15">
        <v>0</v>
      </c>
      <c r="N19" s="15">
        <f>SUM(C16:C19)/4</f>
        <v>12.75</v>
      </c>
      <c r="O19" s="15"/>
      <c r="P19" s="16">
        <f>C19/C18-1</f>
        <v>0</v>
      </c>
      <c r="Q19" s="16">
        <f>(E19+D19)/C19</f>
        <v>-0.107843137254902</v>
      </c>
      <c r="R19" s="16">
        <f>AVERAGE(Q16:Q19)</f>
        <v>-0.107843137254902</v>
      </c>
      <c r="S19" s="25">
        <f>SUM(J16:K19)/4</f>
        <v>2.1675</v>
      </c>
      <c r="T19" s="15">
        <f>J19+K19+T18</f>
        <v>8.17</v>
      </c>
      <c r="U19" s="15">
        <f>-(L19+M19)+U18</f>
        <v>0.8</v>
      </c>
      <c r="V19" s="15">
        <f>V18</f>
        <v>124.28387328</v>
      </c>
      <c r="W19" s="15">
        <f>F19-G19</f>
        <v>10</v>
      </c>
      <c r="X19" s="15"/>
      <c r="Y19" s="24"/>
      <c r="Z19" s="15">
        <v>14.1</v>
      </c>
    </row>
    <row r="20" ht="20.05" customHeight="1">
      <c r="B20" s="21">
        <v>2021</v>
      </c>
      <c r="C20" s="14">
        <f>C32</f>
        <v>14.7</v>
      </c>
      <c r="D20" s="15">
        <v>0.1</v>
      </c>
      <c r="E20" s="15">
        <f>E32</f>
        <v>0.8</v>
      </c>
      <c r="F20" s="15">
        <f>F32</f>
        <v>20</v>
      </c>
      <c r="G20" s="15">
        <f>G32</f>
        <v>7.6</v>
      </c>
      <c r="H20" s="15">
        <f>H32</f>
        <v>44</v>
      </c>
      <c r="I20" s="15">
        <f>I32</f>
        <v>14</v>
      </c>
      <c r="J20" s="15">
        <f>J32</f>
        <v>4</v>
      </c>
      <c r="K20" s="15">
        <f>K32</f>
        <v>0</v>
      </c>
      <c r="L20" s="15">
        <f>L32</f>
        <v>-0.06</v>
      </c>
      <c r="M20" s="15">
        <f>M32</f>
        <v>0</v>
      </c>
      <c r="N20" s="15">
        <f>SUM(C17:C20)/4</f>
        <v>13.2375</v>
      </c>
      <c r="O20" s="15"/>
      <c r="P20" s="16">
        <f>C20/C19-1</f>
        <v>0.152941176470588</v>
      </c>
      <c r="Q20" s="16">
        <f>(E20+D20)/C20</f>
        <v>0.0612244897959184</v>
      </c>
      <c r="R20" s="16">
        <f>AVERAGE(Q17:Q20)</f>
        <v>-0.06557623049219689</v>
      </c>
      <c r="S20" s="25">
        <f>SUM(J17:K20)/4</f>
        <v>2.625625</v>
      </c>
      <c r="T20" s="15">
        <f>J20+K20+T19</f>
        <v>12.17</v>
      </c>
      <c r="U20" s="15">
        <f>-(L20+M20)+U19</f>
        <v>0.86</v>
      </c>
      <c r="V20" s="15">
        <f>V19</f>
        <v>124.28387328</v>
      </c>
      <c r="W20" s="15">
        <f>F20-G20</f>
        <v>12.4</v>
      </c>
      <c r="X20" s="15"/>
      <c r="Y20" s="15"/>
      <c r="Z20" s="15">
        <v>14.606</v>
      </c>
    </row>
    <row r="21" ht="20.05" customHeight="1">
      <c r="B21" s="13"/>
      <c r="C21" s="14">
        <f>C33-C32</f>
        <v>15.9</v>
      </c>
      <c r="D21" s="15">
        <v>0.1</v>
      </c>
      <c r="E21" s="15">
        <f>E33-E32</f>
        <v>0.1</v>
      </c>
      <c r="F21" s="15">
        <f>F33</f>
        <v>22</v>
      </c>
      <c r="G21" s="15">
        <f>G33</f>
        <v>8.800000000000001</v>
      </c>
      <c r="H21" s="15">
        <f>H33</f>
        <v>45</v>
      </c>
      <c r="I21" s="15">
        <f>I33-I32</f>
        <v>17</v>
      </c>
      <c r="J21" s="15">
        <f>J33-J32</f>
        <v>1.9</v>
      </c>
      <c r="K21" s="15">
        <f>K33-K32</f>
        <v>-0.2</v>
      </c>
      <c r="L21" s="15">
        <f>L33-L32</f>
        <v>-0.04</v>
      </c>
      <c r="M21" s="15">
        <f>M33-M32</f>
        <v>0</v>
      </c>
      <c r="N21" s="15">
        <f>SUM(C18:C21)/4</f>
        <v>14.025</v>
      </c>
      <c r="O21" s="15"/>
      <c r="P21" s="16">
        <f>C21/C20-1</f>
        <v>0.0816326530612245</v>
      </c>
      <c r="Q21" s="16">
        <f>(E21+D21)/C21</f>
        <v>0.0125786163522013</v>
      </c>
      <c r="R21" s="16">
        <f>AVERAGE(Q18:Q21)</f>
        <v>-0.0354707920904211</v>
      </c>
      <c r="S21" s="25">
        <f>SUM(J18:K21)/4</f>
        <v>2.50875</v>
      </c>
      <c r="T21" s="15">
        <f>J21+K21+T20</f>
        <v>13.87</v>
      </c>
      <c r="U21" s="15">
        <f>-(L21+M21)+U20</f>
        <v>0.9</v>
      </c>
      <c r="V21" s="15">
        <f>V20</f>
        <v>124.28387328</v>
      </c>
      <c r="W21" s="15">
        <f>F21-G21</f>
        <v>13.2</v>
      </c>
      <c r="X21" s="15"/>
      <c r="Y21" s="15"/>
      <c r="Z21" s="15">
        <v>14.45</v>
      </c>
    </row>
    <row r="22" ht="20.05" customHeight="1">
      <c r="B22" s="13"/>
      <c r="C22" s="14">
        <f>C34-C33</f>
        <v>11.2</v>
      </c>
      <c r="D22" s="15">
        <v>0.1</v>
      </c>
      <c r="E22" s="15">
        <f>E34-E33</f>
        <v>0.2</v>
      </c>
      <c r="F22" s="15">
        <f>F34</f>
        <v>20.5</v>
      </c>
      <c r="G22" s="15">
        <f>G34</f>
        <v>9.5</v>
      </c>
      <c r="H22" s="15">
        <f>H34</f>
        <v>46.3</v>
      </c>
      <c r="I22" s="15">
        <f>I34-I33</f>
        <v>11.7</v>
      </c>
      <c r="J22" s="15">
        <f>J34-J33</f>
        <v>-1.1</v>
      </c>
      <c r="K22" s="15">
        <f>K34-K33</f>
        <v>0.19</v>
      </c>
      <c r="L22" s="15">
        <f>L34-L33</f>
        <v>0</v>
      </c>
      <c r="M22" s="15">
        <f>M34-M33</f>
        <v>0</v>
      </c>
      <c r="N22" s="15">
        <f>SUM(C19:C22)/4</f>
        <v>13.6375</v>
      </c>
      <c r="O22" s="15"/>
      <c r="P22" s="16">
        <f>C22/C21-1</f>
        <v>-0.29559748427673</v>
      </c>
      <c r="Q22" s="16">
        <f>(E22+D22)/C22</f>
        <v>0.0267857142857143</v>
      </c>
      <c r="R22" s="16">
        <f>AVERAGE(Q19:Q22)</f>
        <v>-0.001813579205267</v>
      </c>
      <c r="S22" s="25">
        <f>SUM(J19:K22)/4</f>
        <v>1.739375</v>
      </c>
      <c r="T22" s="15">
        <f>J22+K22+T21</f>
        <v>12.96</v>
      </c>
      <c r="U22" s="15">
        <f>-(L22+M22)+U21</f>
        <v>0.9</v>
      </c>
      <c r="V22" s="15">
        <f>V21</f>
        <v>124.28387328</v>
      </c>
      <c r="W22" s="15">
        <f>F22-G22</f>
        <v>11</v>
      </c>
      <c r="X22" s="15"/>
      <c r="Y22" s="15"/>
      <c r="Z22" s="15">
        <v>14.328</v>
      </c>
    </row>
    <row r="23" ht="20.05" customHeight="1">
      <c r="B23" s="13"/>
      <c r="C23" s="14">
        <f>C35-C34</f>
        <v>17.5</v>
      </c>
      <c r="D23" s="15">
        <v>0.1</v>
      </c>
      <c r="E23" s="15">
        <f>E35-E34</f>
        <v>1.9</v>
      </c>
      <c r="F23" s="15">
        <f>F35</f>
        <v>25.7</v>
      </c>
      <c r="G23" s="15">
        <f>G35</f>
        <v>5.3</v>
      </c>
      <c r="H23" s="15">
        <f>H35</f>
        <v>44.2</v>
      </c>
      <c r="I23" s="15">
        <f>I35-I34</f>
        <v>18.2</v>
      </c>
      <c r="J23" s="15">
        <f>J35-J34</f>
        <v>5</v>
      </c>
      <c r="K23" s="15">
        <f>K35-K34</f>
        <v>0.11</v>
      </c>
      <c r="L23" s="15">
        <f>L35-L34</f>
        <v>-0.04</v>
      </c>
      <c r="M23" s="15">
        <f>M35-M34</f>
        <v>0</v>
      </c>
      <c r="N23" s="15">
        <f>SUM(C20:C23)/4</f>
        <v>14.825</v>
      </c>
      <c r="O23" s="15"/>
      <c r="P23" s="16">
        <f>C23/C22-1</f>
        <v>0.5625</v>
      </c>
      <c r="Q23" s="16">
        <f>(E23+D23)/C23</f>
        <v>0.114285714285714</v>
      </c>
      <c r="R23" s="16">
        <f>AVERAGE(Q20:Q23)</f>
        <v>0.053718633679887</v>
      </c>
      <c r="S23" s="25">
        <f>SUM(J20:K23)/4</f>
        <v>2.475</v>
      </c>
      <c r="T23" s="15">
        <f>J23+K23+T22</f>
        <v>18.07</v>
      </c>
      <c r="U23" s="15">
        <f>-(L23+M23)+U22</f>
        <v>0.9399999999999999</v>
      </c>
      <c r="V23" s="15">
        <f>V22</f>
        <v>124.28387328</v>
      </c>
      <c r="W23" s="15">
        <f>F23-G23</f>
        <v>20.4</v>
      </c>
      <c r="X23" s="15"/>
      <c r="Y23" s="15"/>
      <c r="Z23" s="15">
        <v>14.275</v>
      </c>
    </row>
    <row r="24" ht="20.05" customHeight="1">
      <c r="B24" s="21">
        <v>2022</v>
      </c>
      <c r="C24" s="14">
        <f>C36</f>
        <v>12.3</v>
      </c>
      <c r="D24" s="15">
        <v>0.06666666666666669</v>
      </c>
      <c r="E24" s="15">
        <f>E36</f>
        <v>0.7</v>
      </c>
      <c r="F24" s="15">
        <f>F36</f>
        <v>27.7</v>
      </c>
      <c r="G24" s="15">
        <f>G36</f>
        <v>5.9</v>
      </c>
      <c r="H24" s="15">
        <f>H36</f>
        <v>45.5</v>
      </c>
      <c r="I24" s="15">
        <f>I36</f>
        <v>12.3</v>
      </c>
      <c r="J24" s="15">
        <f>J36</f>
        <v>2.1</v>
      </c>
      <c r="K24" s="15">
        <f>K36</f>
        <v>0</v>
      </c>
      <c r="L24" s="15">
        <f>L36</f>
        <v>0</v>
      </c>
      <c r="M24" s="15">
        <f>M36</f>
        <v>0</v>
      </c>
      <c r="N24" s="15">
        <f>SUM(C21:C24)/4</f>
        <v>14.225</v>
      </c>
      <c r="O24" s="15"/>
      <c r="P24" s="16">
        <f>C24/C23-1</f>
        <v>-0.297142857142857</v>
      </c>
      <c r="Q24" s="16">
        <f>(E24+D24)/C24</f>
        <v>0.0623306233062331</v>
      </c>
      <c r="R24" s="16">
        <f>AVERAGE(Q21:Q24)</f>
        <v>0.0539951670574657</v>
      </c>
      <c r="S24" s="25">
        <f>SUM(J21:K24)/4</f>
        <v>2</v>
      </c>
      <c r="T24" s="15">
        <f>J24+K24+T23</f>
        <v>20.17</v>
      </c>
      <c r="U24" s="15">
        <f>-(L24+M24)+U23</f>
        <v>0.9399999999999999</v>
      </c>
      <c r="V24" s="15">
        <f>V23</f>
        <v>124.28387328</v>
      </c>
      <c r="W24" s="15">
        <f>F24-G24</f>
        <v>21.8</v>
      </c>
      <c r="X24" s="15"/>
      <c r="Y24" s="15"/>
      <c r="Z24" s="15">
        <v>14.327</v>
      </c>
    </row>
    <row r="25" ht="20.05" customHeight="1">
      <c r="B25" s="13"/>
      <c r="C25" s="14">
        <f>C37-C36</f>
        <v>9.199999999999999</v>
      </c>
      <c r="D25" s="15">
        <v>0.06666666666666669</v>
      </c>
      <c r="E25" s="15">
        <f>E37-E36</f>
        <v>-1.4</v>
      </c>
      <c r="F25" s="15">
        <f>F37</f>
        <v>27.3</v>
      </c>
      <c r="G25" s="15">
        <f>G37</f>
        <v>6</v>
      </c>
      <c r="H25" s="15">
        <f>H37</f>
        <v>44.4</v>
      </c>
      <c r="I25" s="15">
        <f>I37-I36</f>
        <v>9.5</v>
      </c>
      <c r="J25" s="15">
        <f>J37-J36</f>
        <v>-0.9</v>
      </c>
      <c r="K25" s="15">
        <f>K37-K36</f>
        <v>0.2</v>
      </c>
      <c r="L25" s="15">
        <f>L37-L36</f>
        <v>0</v>
      </c>
      <c r="M25" s="15">
        <f>M37-M36</f>
        <v>0</v>
      </c>
      <c r="N25" s="15">
        <f>SUM(C22:C25)/4</f>
        <v>12.55</v>
      </c>
      <c r="O25" s="15"/>
      <c r="P25" s="16">
        <f>C25/C24-1</f>
        <v>-0.252032520325203</v>
      </c>
      <c r="Q25" s="16">
        <f>(E25+D25)/C25</f>
        <v>-0.144927536231884</v>
      </c>
      <c r="R25" s="16">
        <f>AVERAGE(Q22:Q25)</f>
        <v>0.0146186289114444</v>
      </c>
      <c r="S25" s="25">
        <f>SUM(J22:K25)/4</f>
        <v>1.4</v>
      </c>
      <c r="T25" s="15">
        <f>J25+K25+T24</f>
        <v>19.47</v>
      </c>
      <c r="U25" s="15">
        <f>-(L25+M25)+U24</f>
        <v>0.9399999999999999</v>
      </c>
      <c r="V25" s="15">
        <f>V24</f>
        <v>124.28387328</v>
      </c>
      <c r="W25" s="15">
        <f>F25-G25</f>
        <v>21.3</v>
      </c>
      <c r="X25" s="15"/>
      <c r="Y25" s="15"/>
      <c r="Z25" s="15">
        <v>14.66</v>
      </c>
    </row>
    <row r="26" ht="20.05" customHeight="1">
      <c r="B26" s="13"/>
      <c r="C26" s="14">
        <f>C38-C37</f>
        <v>10.5</v>
      </c>
      <c r="D26" s="15">
        <v>0.06666666666666669</v>
      </c>
      <c r="E26" s="15">
        <f>E38-E37</f>
        <v>1.4</v>
      </c>
      <c r="F26" s="15">
        <f>F38</f>
        <v>22.2</v>
      </c>
      <c r="G26" s="15">
        <f>G38</f>
        <v>3.8</v>
      </c>
      <c r="H26" s="15">
        <f>H38</f>
        <v>43.6</v>
      </c>
      <c r="I26" s="15">
        <f>I38-I37</f>
        <v>10.8</v>
      </c>
      <c r="J26" s="15">
        <f>J38-J37</f>
        <v>-5.4</v>
      </c>
      <c r="K26" s="15">
        <f>K38-K37</f>
        <v>0</v>
      </c>
      <c r="L26" s="15">
        <f>L38-L37</f>
        <v>0</v>
      </c>
      <c r="M26" s="15">
        <f>M38-M37</f>
        <v>0</v>
      </c>
      <c r="N26" s="15">
        <f>SUM(C23:C26)/4</f>
        <v>12.375</v>
      </c>
      <c r="O26" s="15"/>
      <c r="P26" s="16">
        <f>C26/C25-1</f>
        <v>0.141304347826087</v>
      </c>
      <c r="Q26" s="16">
        <f>(E26+D26)/C26</f>
        <v>0.13968253968254</v>
      </c>
      <c r="R26" s="16">
        <f>AVERAGE(Q23:Q26)</f>
        <v>0.0428428352606508</v>
      </c>
      <c r="S26" s="25">
        <f>SUM(J23:K26)/4</f>
        <v>0.2775</v>
      </c>
      <c r="T26" s="15">
        <f>J26+K26+T25</f>
        <v>14.07</v>
      </c>
      <c r="U26" s="15">
        <f>-(L26+M26)+U25</f>
        <v>0.9399999999999999</v>
      </c>
      <c r="V26" s="15">
        <f>V25</f>
        <v>124.28387328</v>
      </c>
      <c r="W26" s="15">
        <f>F26-G26</f>
        <v>18.4</v>
      </c>
      <c r="X26" s="15"/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AVERAGE(AC47:AF47)</f>
        <v>10.7107689675</v>
      </c>
      <c r="P27" s="17"/>
      <c r="Q27" s="17"/>
      <c r="R27" s="17"/>
      <c r="S27" s="25"/>
      <c r="T27" s="17"/>
      <c r="U27" s="17"/>
      <c r="V27" s="17"/>
      <c r="W27" s="26"/>
      <c r="X27" s="15">
        <v>210</v>
      </c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139.5</v>
      </c>
      <c r="O28" s="15">
        <f>SUM(O17:O26)</f>
        <v>0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AF82</f>
        <v>180.334550461799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26"/>
      <c r="O31" s="17"/>
      <c r="P31" s="17"/>
      <c r="Q31" s="17"/>
      <c r="R31" s="17"/>
      <c r="S31" s="17"/>
      <c r="T31" s="17"/>
      <c r="U31" s="17"/>
      <c r="V31" s="17"/>
      <c r="W31" s="26"/>
      <c r="X31" s="15"/>
      <c r="Y31" s="15"/>
      <c r="Z31" s="15"/>
    </row>
    <row r="32" ht="20.05" customHeight="1">
      <c r="B32" s="21">
        <v>2021</v>
      </c>
      <c r="C32" s="14">
        <v>14.7</v>
      </c>
      <c r="D32" s="15"/>
      <c r="E32" s="15">
        <v>0.8</v>
      </c>
      <c r="F32" s="15">
        <v>20</v>
      </c>
      <c r="G32" s="15">
        <v>7.6</v>
      </c>
      <c r="H32" s="15">
        <v>44</v>
      </c>
      <c r="I32" s="15">
        <v>14</v>
      </c>
      <c r="J32" s="15">
        <v>4</v>
      </c>
      <c r="K32" s="15"/>
      <c r="L32" s="15">
        <v>-0.06</v>
      </c>
      <c r="M32" s="15"/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>
        <v>30.6</v>
      </c>
      <c r="D33" s="15"/>
      <c r="E33" s="15">
        <v>0.9</v>
      </c>
      <c r="F33" s="15">
        <v>22</v>
      </c>
      <c r="G33" s="15">
        <v>8.800000000000001</v>
      </c>
      <c r="H33" s="15">
        <v>45</v>
      </c>
      <c r="I33" s="15">
        <v>31</v>
      </c>
      <c r="J33" s="15">
        <v>5.9</v>
      </c>
      <c r="K33" s="15">
        <v>-0.2</v>
      </c>
      <c r="L33" s="15">
        <v>-0.1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>
        <v>41.8</v>
      </c>
      <c r="D34" s="15"/>
      <c r="E34" s="15">
        <v>1.1</v>
      </c>
      <c r="F34" s="15">
        <v>20.5</v>
      </c>
      <c r="G34" s="15">
        <v>9.5</v>
      </c>
      <c r="H34" s="15">
        <v>46.3</v>
      </c>
      <c r="I34" s="15">
        <v>42.7</v>
      </c>
      <c r="J34" s="15">
        <v>4.8</v>
      </c>
      <c r="K34" s="15">
        <v>-0.01</v>
      </c>
      <c r="L34" s="15">
        <v>-0.1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20.05" customHeight="1">
      <c r="B35" s="13"/>
      <c r="C35" s="14">
        <v>59.3</v>
      </c>
      <c r="D35" s="15">
        <v>0.4</v>
      </c>
      <c r="E35" s="15">
        <v>3</v>
      </c>
      <c r="F35" s="15">
        <v>25.7</v>
      </c>
      <c r="G35" s="15">
        <v>5.3</v>
      </c>
      <c r="H35" s="15">
        <v>44.2</v>
      </c>
      <c r="I35" s="15">
        <v>60.9</v>
      </c>
      <c r="J35" s="15">
        <v>9.800000000000001</v>
      </c>
      <c r="K35" s="15">
        <v>0.1</v>
      </c>
      <c r="L35" s="15">
        <v>-0.14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20.05" customHeight="1">
      <c r="B36" s="21">
        <v>2022</v>
      </c>
      <c r="C36" s="14">
        <v>12.3</v>
      </c>
      <c r="D36" s="15"/>
      <c r="E36" s="15">
        <v>0.7</v>
      </c>
      <c r="F36" s="15">
        <v>27.7</v>
      </c>
      <c r="G36" s="15">
        <v>5.9</v>
      </c>
      <c r="H36" s="15">
        <v>45.5</v>
      </c>
      <c r="I36" s="15">
        <v>12.3</v>
      </c>
      <c r="J36" s="15">
        <v>2.1</v>
      </c>
      <c r="K36" s="15"/>
      <c r="L36" s="15"/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20.05" customHeight="1">
      <c r="B37" s="13"/>
      <c r="C37" s="14">
        <v>21.5</v>
      </c>
      <c r="D37" s="15"/>
      <c r="E37" s="15">
        <v>-0.7</v>
      </c>
      <c r="F37" s="15">
        <v>27.3</v>
      </c>
      <c r="G37" s="15">
        <v>6</v>
      </c>
      <c r="H37" s="15">
        <v>44.4</v>
      </c>
      <c r="I37" s="15">
        <v>21.8</v>
      </c>
      <c r="J37" s="15">
        <v>1.2</v>
      </c>
      <c r="K37" s="15">
        <v>0.2</v>
      </c>
      <c r="L37" s="15"/>
      <c r="M37" s="15"/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20.05" customHeight="1">
      <c r="B38" s="13"/>
      <c r="C38" s="14">
        <v>32</v>
      </c>
      <c r="D38" s="15">
        <v>0.2</v>
      </c>
      <c r="E38" s="15">
        <v>0.7</v>
      </c>
      <c r="F38" s="15">
        <v>22.2</v>
      </c>
      <c r="G38" s="15">
        <v>3.8</v>
      </c>
      <c r="H38" s="15">
        <v>43.6</v>
      </c>
      <c r="I38" s="15">
        <v>32.6</v>
      </c>
      <c r="J38" s="15">
        <v>-4.2</v>
      </c>
      <c r="K38" s="15">
        <v>0.2</v>
      </c>
      <c r="L38" s="15"/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20.05" customHeight="1">
      <c r="B39" s="13"/>
      <c r="C39" s="14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1" ht="27.65" customHeight="1">
      <c r="AA41" t="s" s="2">
        <v>271</v>
      </c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ht="20.25" customHeight="1">
      <c r="AA42" t="s" s="28">
        <f>B$3</f>
        <v>22</v>
      </c>
      <c r="AB42" t="s" s="29">
        <v>23</v>
      </c>
      <c r="AC42" t="s" s="29">
        <v>24</v>
      </c>
      <c r="AD42" t="s" s="29">
        <v>25</v>
      </c>
      <c r="AE42" t="s" s="29">
        <v>26</v>
      </c>
      <c r="AF42" t="s" s="29">
        <v>23</v>
      </c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</row>
    <row r="43" ht="20.25" customHeight="1">
      <c r="AA43" t="s" s="31">
        <v>15</v>
      </c>
      <c r="AB43" s="32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</row>
    <row r="44" ht="20.05" customHeight="1">
      <c r="AA44" t="s" s="33">
        <v>27</v>
      </c>
      <c r="AB44" s="34"/>
      <c r="AC44" s="16">
        <f>AVERAGE(P23:P26)</f>
        <v>0.0386572425895068</v>
      </c>
      <c r="AD44" s="35"/>
      <c r="AE44" s="35"/>
      <c r="AF44" s="35">
        <f>AVERAGE(AC46:AF46)</f>
        <v>0.0125</v>
      </c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</row>
    <row r="45" ht="20.05" customHeight="1">
      <c r="AA45" s="36"/>
      <c r="AB45" s="37"/>
      <c r="AC45" s="35">
        <f>P23</f>
        <v>0.5625</v>
      </c>
      <c r="AD45" s="35">
        <f>P24</f>
        <v>-0.297142857142857</v>
      </c>
      <c r="AE45" s="35">
        <f>P25</f>
        <v>-0.252032520325203</v>
      </c>
      <c r="AF45" s="35">
        <f>P26</f>
        <v>0.141304347826087</v>
      </c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</row>
    <row r="46" ht="20.05" customHeight="1">
      <c r="AA46" t="s" s="33">
        <v>13</v>
      </c>
      <c r="AB46" s="37">
        <f>C26/C25-1</f>
        <v>0.141304347826087</v>
      </c>
      <c r="AC46" s="35">
        <v>0.01</v>
      </c>
      <c r="AD46" s="35">
        <v>-0.01</v>
      </c>
      <c r="AE46" s="35">
        <v>0.02</v>
      </c>
      <c r="AF46" s="35">
        <v>0.03</v>
      </c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</row>
    <row r="47" ht="20.05" customHeight="1">
      <c r="AA47" t="s" s="33">
        <v>28</v>
      </c>
      <c r="AB47" s="38">
        <f>C26</f>
        <v>10.5</v>
      </c>
      <c r="AC47" s="23">
        <f>C26*(1+AC46)</f>
        <v>10.605</v>
      </c>
      <c r="AD47" s="23">
        <f>AC47*(1+AD46)</f>
        <v>10.49895</v>
      </c>
      <c r="AE47" s="23">
        <f>AD47*(1+AE46)</f>
        <v>10.708929</v>
      </c>
      <c r="AF47" s="23">
        <f>AE47*(1+AF46)</f>
        <v>11.03019687</v>
      </c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</row>
    <row r="48" ht="20.05" customHeight="1">
      <c r="AA48" t="s" s="33">
        <v>14</v>
      </c>
      <c r="AB48" s="37">
        <f>(E26+D26)/C26</f>
        <v>0.13968253968254</v>
      </c>
      <c r="AC48" s="35">
        <f>AVERAGE(Q23)</f>
        <v>0.114285714285714</v>
      </c>
      <c r="AD48" s="35">
        <f>AC48</f>
        <v>0.114285714285714</v>
      </c>
      <c r="AE48" s="35">
        <f>AD48</f>
        <v>0.114285714285714</v>
      </c>
      <c r="AF48" s="35">
        <f>AE48</f>
        <v>0.114285714285714</v>
      </c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</row>
    <row r="49" ht="20.05" customHeight="1">
      <c r="AA49" t="s" s="33">
        <v>29</v>
      </c>
      <c r="AB49" s="14">
        <f>AVERAGE(K23:K26)</f>
        <v>0.0775</v>
      </c>
      <c r="AC49" s="15">
        <f>AVERAGE(K23)</f>
        <v>0.11</v>
      </c>
      <c r="AD49" s="15">
        <f>AC49</f>
        <v>0.11</v>
      </c>
      <c r="AE49" s="15">
        <f>AD49</f>
        <v>0.11</v>
      </c>
      <c r="AF49" s="15">
        <f>AE49</f>
        <v>0.11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A50" t="s" s="33">
        <v>30</v>
      </c>
      <c r="AB50" s="14"/>
      <c r="AC50" s="15">
        <f>(AC47*AC48)+AC49</f>
        <v>1.322</v>
      </c>
      <c r="AD50" s="15">
        <f>(AD47*AD48)+AD49</f>
        <v>1.30988</v>
      </c>
      <c r="AE50" s="15">
        <f>(AE47*AE48)+AE49</f>
        <v>1.3338776</v>
      </c>
      <c r="AF50" s="15">
        <f>(AF47*AF48)+AF49</f>
        <v>1.370593928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A51" t="s" s="33">
        <v>31</v>
      </c>
      <c r="AB51" s="14"/>
      <c r="AC51" s="15">
        <f>-G26/20</f>
        <v>-0.19</v>
      </c>
      <c r="AD51" s="15">
        <f>-AC66/20</f>
        <v>-0.1805</v>
      </c>
      <c r="AE51" s="15">
        <f>-AD66/20</f>
        <v>-0.171475</v>
      </c>
      <c r="AF51" s="15">
        <f>-AE66/20</f>
        <v>-0.16290125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A52" t="s" s="33">
        <v>32</v>
      </c>
      <c r="AB52" s="39"/>
      <c r="AC52" s="40">
        <v>-1</v>
      </c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A53" t="s" s="33">
        <v>33</v>
      </c>
      <c r="AB53" s="14"/>
      <c r="AC53" s="15">
        <f>IF(AC61&gt;0,AC61*$AC$52,0)</f>
        <v>-1.14533333333333</v>
      </c>
      <c r="AD53" s="15">
        <f>IF(AD61&gt;0,AD61*$AC$52,0)</f>
        <v>-1.13321333333333</v>
      </c>
      <c r="AE53" s="15">
        <f>IF(AE61&gt;0,AE61*$AC$52,0)</f>
        <v>-1.15721093333333</v>
      </c>
      <c r="AF53" s="15">
        <f>IF(AF61&gt;0,AF61*$AC$52,0)</f>
        <v>-1.19392726133333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A54" t="s" s="33">
        <v>34</v>
      </c>
      <c r="AB54" s="14"/>
      <c r="AC54" s="15">
        <f>AC50+AC51+AC53</f>
        <v>-0.01333333333333</v>
      </c>
      <c r="AD54" s="15">
        <f>AD50+AD51+AD53</f>
        <v>-0.00383333333333</v>
      </c>
      <c r="AE54" s="15">
        <f>AE50+AE51+AE53</f>
        <v>0.00519166666667</v>
      </c>
      <c r="AF54" s="15">
        <f>AF50+AF51+AF53</f>
        <v>0.01376541666667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35</v>
      </c>
      <c r="AB55" s="14"/>
      <c r="AC55" s="15">
        <f>-MIN(0,AC54)</f>
        <v>0.01333333333333</v>
      </c>
      <c r="AD55" s="15">
        <f>-MIN(AC67,AD54)</f>
        <v>0.00383333333333</v>
      </c>
      <c r="AE55" s="15">
        <f>-MIN(AD67,AE54)</f>
        <v>-0.00519166666667</v>
      </c>
      <c r="AF55" s="15">
        <f>-MIN(AE67,AF54)</f>
        <v>-0.01197499999999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36</v>
      </c>
      <c r="AB56" s="14"/>
      <c r="AC56" s="15">
        <f>F26</f>
        <v>22.2</v>
      </c>
      <c r="AD56" s="15">
        <f>AC58</f>
        <v>22.2</v>
      </c>
      <c r="AE56" s="15">
        <f>AD58</f>
        <v>22.2</v>
      </c>
      <c r="AF56" s="15">
        <f>AE58</f>
        <v>22.2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37</v>
      </c>
      <c r="AB57" s="14"/>
      <c r="AC57" s="15">
        <f>AC50+AC51+AC53+AC55</f>
        <v>0</v>
      </c>
      <c r="AD57" s="15">
        <f>AD50+AD51+AD53+AD55</f>
        <v>0</v>
      </c>
      <c r="AE57" s="15">
        <f>AE50+AE51+AE53+AE55</f>
        <v>0</v>
      </c>
      <c r="AF57" s="15">
        <f>AF50+AF51+AF53+AF55</f>
        <v>0.00179041666668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38</v>
      </c>
      <c r="AB58" s="14"/>
      <c r="AC58" s="15">
        <f>AC56+AC57</f>
        <v>22.2</v>
      </c>
      <c r="AD58" s="15">
        <f>AD56+AD57</f>
        <v>22.2</v>
      </c>
      <c r="AE58" s="15">
        <f>AE56+AE57</f>
        <v>22.2</v>
      </c>
      <c r="AF58" s="15">
        <f>AF56+AF57</f>
        <v>22.2017904166667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41">
        <v>4</v>
      </c>
      <c r="AB59" s="14"/>
      <c r="AC59" s="15"/>
      <c r="AD59" s="15"/>
      <c r="AE59" s="15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ht="20.05" customHeight="1">
      <c r="AA60" t="s" s="33">
        <v>3</v>
      </c>
      <c r="AB60" s="14"/>
      <c r="AC60" s="15">
        <f>-AVERAGE(D24:D26)</f>
        <v>-0.06666666666666669</v>
      </c>
      <c r="AD60" s="15">
        <f>AC60</f>
        <v>-0.06666666666666669</v>
      </c>
      <c r="AE60" s="15">
        <f>AD60</f>
        <v>-0.06666666666666669</v>
      </c>
      <c r="AF60" s="15">
        <f>AE60</f>
        <v>-0.06666666666666669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4</v>
      </c>
      <c r="AB61" s="14"/>
      <c r="AC61" s="15">
        <f>(AC47*AC48)+AC60</f>
        <v>1.14533333333333</v>
      </c>
      <c r="AD61" s="15">
        <f>(AD47*AD48)+AD60</f>
        <v>1.13321333333333</v>
      </c>
      <c r="AE61" s="15">
        <f>(AE47*AE48)+AE60</f>
        <v>1.15721093333333</v>
      </c>
      <c r="AF61" s="15">
        <f>(AF47*AF48)+AF60</f>
        <v>1.19392726133333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41">
        <v>39</v>
      </c>
      <c r="AB62" s="14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40</v>
      </c>
      <c r="AB63" s="14"/>
      <c r="AC63" s="15">
        <f>H26-F26-AC49</f>
        <v>21.29</v>
      </c>
      <c r="AD63" s="15">
        <f>AC63-AD49</f>
        <v>21.18</v>
      </c>
      <c r="AE63" s="15">
        <f>AD63-AE49</f>
        <v>21.07</v>
      </c>
      <c r="AF63" s="15">
        <f>AE63-AF49</f>
        <v>20.96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41</v>
      </c>
      <c r="AB64" s="14"/>
      <c r="AC64" s="15">
        <f>0-AC60</f>
        <v>0.06666666666666669</v>
      </c>
      <c r="AD64" s="15">
        <f>AC64-AD60</f>
        <v>0.133333333333333</v>
      </c>
      <c r="AE64" s="15">
        <f>AD64-AE60</f>
        <v>0.2</v>
      </c>
      <c r="AF64" s="15">
        <f>AE64-AF60</f>
        <v>0.266666666666667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42</v>
      </c>
      <c r="AB65" s="14"/>
      <c r="AC65" s="15">
        <f>AC63-AC64</f>
        <v>21.2233333333333</v>
      </c>
      <c r="AD65" s="15">
        <f>AD63-AD64</f>
        <v>21.0466666666667</v>
      </c>
      <c r="AE65" s="15">
        <f>AE63-AE64</f>
        <v>20.87</v>
      </c>
      <c r="AF65" s="15">
        <f>AF63-AF64</f>
        <v>20.6933333333333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6</v>
      </c>
      <c r="AB66" s="14"/>
      <c r="AC66" s="15">
        <f>G26+AC51</f>
        <v>3.61</v>
      </c>
      <c r="AD66" s="15">
        <f>AC66+AD51</f>
        <v>3.4295</v>
      </c>
      <c r="AE66" s="15">
        <f>AD66+AE51</f>
        <v>3.258025</v>
      </c>
      <c r="AF66" s="15">
        <f>AE66+AF51</f>
        <v>3.09512375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33">
        <v>35</v>
      </c>
      <c r="AB67" s="14"/>
      <c r="AC67" s="15">
        <f>AC55</f>
        <v>0.01333333333333</v>
      </c>
      <c r="AD67" s="15">
        <f>AC67+AD55</f>
        <v>0.01716666666666</v>
      </c>
      <c r="AE67" s="15">
        <f>AD67+AE55</f>
        <v>0.01197499999999</v>
      </c>
      <c r="AF67" s="15">
        <f>AE67+AF55</f>
        <v>0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11</v>
      </c>
      <c r="AB68" s="14"/>
      <c r="AC68" s="15">
        <f>(H26-G26)+AC61+AC53</f>
        <v>39.8</v>
      </c>
      <c r="AD68" s="15">
        <f>AC68+AD61+AD53</f>
        <v>39.8</v>
      </c>
      <c r="AE68" s="15">
        <f>AD68+AE61+AE53</f>
        <v>39.8</v>
      </c>
      <c r="AF68" s="15">
        <f>AE68+AF61+AF53</f>
        <v>39.8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43</v>
      </c>
      <c r="AB69" s="14"/>
      <c r="AC69" s="15">
        <f>AC66+AC67+AC68-AC58-AC65</f>
        <v>3e-14</v>
      </c>
      <c r="AD69" s="15">
        <f>AD66+AD67+AD68-AD58-AD65</f>
        <v>-4e-14</v>
      </c>
      <c r="AE69" s="15">
        <f>AE66+AE67+AE68-AE58-AE65</f>
        <v>-1e-14</v>
      </c>
      <c r="AF69" s="15">
        <f>AF66+AF67+AF68-AF58-AF65</f>
        <v>0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18</v>
      </c>
      <c r="AB70" s="14"/>
      <c r="AC70" s="15">
        <f>AC58-AC66-AC67</f>
        <v>18.5766666666667</v>
      </c>
      <c r="AD70" s="15">
        <f>AD58-AD66-AD67</f>
        <v>18.7533333333333</v>
      </c>
      <c r="AE70" s="15">
        <f>AE58-AE66-AE67</f>
        <v>18.93</v>
      </c>
      <c r="AF70" s="15">
        <f>AF58-AF66-AF67</f>
        <v>19.1066666666667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44</v>
      </c>
      <c r="AB71" s="14"/>
      <c r="AC71" s="15">
        <f>AC51+AC53+AC55</f>
        <v>-1.322</v>
      </c>
      <c r="AD71" s="15">
        <f>AD51+AD53+AD55</f>
        <v>-1.30988</v>
      </c>
      <c r="AE71" s="15">
        <f>AE51+AE53+AE55</f>
        <v>-1.3338776</v>
      </c>
      <c r="AF71" s="15">
        <f>AF51+AF53+AF55</f>
        <v>-1.36880351133332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45</v>
      </c>
      <c r="AB72" s="14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f>X$3</f>
        <v>626</v>
      </c>
      <c r="AB73" s="14"/>
      <c r="AC73" s="15"/>
      <c r="AD73" s="15"/>
      <c r="AE73" s="15"/>
      <c r="AF73" s="15">
        <v>210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46</v>
      </c>
      <c r="AB74" s="14"/>
      <c r="AC74" s="15"/>
      <c r="AD74" s="15"/>
      <c r="AE74" s="15"/>
      <c r="AF74" s="15">
        <v>124.28387328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47</v>
      </c>
      <c r="AB75" s="14"/>
      <c r="AC75" s="15"/>
      <c r="AD75" s="15"/>
      <c r="AE75" s="15"/>
      <c r="AF75" s="15">
        <f>AF74/AF73</f>
        <v>0.591827968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48</v>
      </c>
      <c r="AB76" s="14"/>
      <c r="AC76" s="15"/>
      <c r="AD76" s="15"/>
      <c r="AE76" s="15"/>
      <c r="AF76" s="43">
        <f>AF74/(AF58+AF65)</f>
        <v>2.89738931642551</v>
      </c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</row>
    <row r="77" ht="20.05" customHeight="1">
      <c r="AA77" t="s" s="33">
        <v>49</v>
      </c>
      <c r="AB77" s="14"/>
      <c r="AC77" s="15"/>
      <c r="AD77" s="15"/>
      <c r="AE77" s="15"/>
      <c r="AF77" s="16">
        <f>-(AC53+AD53+AE53+AF53)/AF74</f>
        <v>0.0372508897506201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A78" t="s" s="33">
        <v>50</v>
      </c>
      <c r="AB78" s="14"/>
      <c r="AC78" s="15"/>
      <c r="AD78" s="15"/>
      <c r="AE78" s="15">
        <f>SUM(J23:K26)</f>
        <v>1.11</v>
      </c>
      <c r="AF78" s="15">
        <f>SUM(AC50:AF50)</f>
        <v>5.336351528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51</v>
      </c>
      <c r="AB79" s="14"/>
      <c r="AC79" s="15"/>
      <c r="AD79" s="15"/>
      <c r="AE79" s="15"/>
      <c r="AF79" s="15">
        <f>AF65/AF78</f>
        <v>3.8778055052698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52</v>
      </c>
      <c r="AB80" s="14"/>
      <c r="AC80" s="15"/>
      <c r="AD80" s="15"/>
      <c r="AE80" s="15">
        <f>AF74/AF78</f>
        <v>23.2900461350566</v>
      </c>
      <c r="AF80" s="15">
        <v>20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53</v>
      </c>
      <c r="AB81" s="14"/>
      <c r="AC81" s="15"/>
      <c r="AD81" s="15"/>
      <c r="AE81" s="15"/>
      <c r="AF81" s="15">
        <f>AF78*AF80</f>
        <v>106.72703056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54</v>
      </c>
      <c r="AB82" s="14"/>
      <c r="AC82" s="15"/>
      <c r="AD82" s="15"/>
      <c r="AE82" s="15"/>
      <c r="AF82" s="15">
        <f>(AF81/AF75)</f>
        <v>180.334550461799</v>
      </c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ht="20.05" customHeight="1">
      <c r="AA83" t="s" s="33">
        <v>55</v>
      </c>
      <c r="AB83" s="38"/>
      <c r="AC83" s="23"/>
      <c r="AD83" s="23"/>
      <c r="AE83" s="23"/>
      <c r="AF83" s="16">
        <f>AF82/AF73-1</f>
        <v>-0.141264045420005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56</v>
      </c>
      <c r="AB84" s="38"/>
      <c r="AC84" s="23"/>
      <c r="AD84" s="23"/>
      <c r="AE84" s="23"/>
      <c r="AF84" s="16">
        <f>C26/C22-1</f>
        <v>-0.0625</v>
      </c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</row>
    <row r="85" ht="20.05" customHeight="1">
      <c r="AA85" t="s" s="33">
        <v>57</v>
      </c>
      <c r="AB85" s="38"/>
      <c r="AC85" s="23"/>
      <c r="AD85" s="23"/>
      <c r="AE85" s="23"/>
      <c r="AF85" s="16">
        <f>O28/N28-1</f>
        <v>-1</v>
      </c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</row>
    <row r="86" ht="20.05" customHeight="1">
      <c r="AA86" s="36"/>
      <c r="AB86" s="38"/>
      <c r="AC86" s="23"/>
      <c r="AD86" s="23"/>
      <c r="AE86" s="23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</row>
    <row r="87" ht="20.05" customHeight="1">
      <c r="AA87" s="36"/>
      <c r="AB87" s="38"/>
      <c r="AC87" t="s" s="44">
        <f>$AA73</f>
        <v>626</v>
      </c>
      <c r="AD87" t="s" s="44">
        <f>AC109</f>
        <v>15</v>
      </c>
      <c r="AE87" t="s" s="44">
        <f>AD109</f>
        <v>360</v>
      </c>
      <c r="AF87" t="s" s="44">
        <f>AE109</f>
        <v>485</v>
      </c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</row>
    <row r="88" ht="20.05" customHeight="1">
      <c r="AA88" s="36"/>
      <c r="AB88" s="45"/>
      <c r="AC88" t="s" s="44">
        <v>60</v>
      </c>
      <c r="AD88" s="15">
        <f>AF73</f>
        <v>210</v>
      </c>
      <c r="AE88" t="s" s="44">
        <v>61</v>
      </c>
      <c r="AF88" s="15">
        <f>AF82</f>
        <v>180.334550461799</v>
      </c>
      <c r="AG88" t="s" s="44">
        <f>IF(AH88&gt;0,"+","")</f>
      </c>
      <c r="AH88" s="16">
        <f>AF88/AD88-1</f>
        <v>-0.141264045420005</v>
      </c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A89" s="36"/>
      <c r="AB89" s="46"/>
      <c r="AC89" s="47">
        <f>TODAY()</f>
        <v>44942</v>
      </c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32.05" customHeight="1">
      <c r="AA90" s="36"/>
      <c r="AB90" s="34"/>
      <c r="AC90" t="s" s="44">
        <v>62</v>
      </c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32.05" customHeight="1">
      <c r="AA91" s="36"/>
      <c r="AB91" s="34"/>
      <c r="AC91" t="s" s="44">
        <v>63</v>
      </c>
      <c r="AD91" t="s" s="44">
        <v>64</v>
      </c>
      <c r="AE91" t="s" s="44">
        <f>IF(AF91&gt;0,"+","")</f>
      </c>
      <c r="AF91" s="16">
        <f>AK98/AC98-1</f>
        <v>-0.0625</v>
      </c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32.05" customHeight="1">
      <c r="AA92" s="36"/>
      <c r="AB92" s="34"/>
      <c r="AC92" t="s" s="44">
        <v>63</v>
      </c>
      <c r="AD92" t="s" s="44">
        <v>65</v>
      </c>
      <c r="AE92" t="s" s="44">
        <f>IF(AF92&gt;0,"+","")</f>
        <v>361</v>
      </c>
      <c r="AF92" s="16">
        <f>(AE113+AE114+AG113+AG114+AI113+AI114+AK113+AK114)/AD130</f>
        <v>0.008931166777360351</v>
      </c>
      <c r="AG92" t="s" s="44">
        <v>66</v>
      </c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ht="68.05" customHeight="1">
      <c r="AA93" s="36"/>
      <c r="AB93" s="34"/>
      <c r="AC93" t="s" s="44">
        <v>63</v>
      </c>
      <c r="AD93" t="s" s="44">
        <v>67</v>
      </c>
      <c r="AE93" t="s" s="44">
        <f>IF(AF93&gt;0,"+","")</f>
        <v>361</v>
      </c>
      <c r="AF93" s="16">
        <f>(AE127+AE128+AG127+AG128+AI127+AI128+AK127+AK128)/AD130</f>
        <v>0.000321843847832805</v>
      </c>
      <c r="AG93" t="s" s="44">
        <f>AG92</f>
        <v>66</v>
      </c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44.05" customHeight="1">
      <c r="AA94" s="36"/>
      <c r="AB94" s="34"/>
      <c r="AC94" t="s" s="44">
        <v>68</v>
      </c>
      <c r="AD94" t="s" s="44">
        <v>69</v>
      </c>
      <c r="AE94" s="16">
        <f>AN123/AD130</f>
        <v>0.148048170003091</v>
      </c>
      <c r="AF94" t="s" s="44">
        <f>AG93</f>
        <v>66</v>
      </c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34"/>
      <c r="AC95" t="s" s="44">
        <v>28</v>
      </c>
      <c r="AD95" t="s" s="44">
        <f>AD99</f>
        <v>362</v>
      </c>
      <c r="AE95" s="16">
        <f>AE99</f>
        <v>0.141304347826087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68.05" customHeight="1">
      <c r="AA96" s="36"/>
      <c r="AB96" s="34"/>
      <c r="AC96" t="s" s="44">
        <v>70</v>
      </c>
      <c r="AD96" t="s" s="44">
        <v>71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20.05" customHeight="1">
      <c r="AA97" s="36"/>
      <c r="AB97" s="34"/>
      <c r="AC97" s="16">
        <f>P22</f>
        <v>-0.29559748427673</v>
      </c>
      <c r="AD97" s="16">
        <f>P23</f>
        <v>0.5625</v>
      </c>
      <c r="AE97" s="16">
        <f>P24</f>
        <v>-0.297142857142857</v>
      </c>
      <c r="AF97" s="16">
        <f>P25</f>
        <v>-0.252032520325203</v>
      </c>
      <c r="AG97" s="16">
        <f>P26</f>
        <v>0.141304347826087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s="15">
        <f>C22</f>
        <v>11.2</v>
      </c>
      <c r="AD98" t="s" s="44">
        <v>72</v>
      </c>
      <c r="AE98" s="15">
        <f>C23</f>
        <v>17.5</v>
      </c>
      <c r="AF98" t="s" s="44">
        <v>72</v>
      </c>
      <c r="AG98" s="15">
        <f>C24</f>
        <v>12.3</v>
      </c>
      <c r="AH98" t="s" s="44">
        <v>72</v>
      </c>
      <c r="AI98" s="15">
        <f>C25</f>
        <v>9.199999999999999</v>
      </c>
      <c r="AJ98" t="s" s="44">
        <v>72</v>
      </c>
      <c r="AK98" s="15">
        <f>C26</f>
        <v>10.5</v>
      </c>
      <c r="AL98" t="s" s="48">
        <f>AA$42</f>
        <v>22</v>
      </c>
      <c r="AM98" s="17"/>
      <c r="AN98" s="17"/>
      <c r="AO98" s="17"/>
      <c r="AP98" s="17"/>
      <c r="AQ98" s="17"/>
      <c r="AR98" s="17"/>
      <c r="AS98" s="17"/>
      <c r="AT98" s="17"/>
    </row>
    <row r="99" ht="56.05" customHeight="1">
      <c r="AA99" s="36"/>
      <c r="AB99" s="34"/>
      <c r="AC99" t="s" s="44">
        <v>2</v>
      </c>
      <c r="AD99" t="s" s="44">
        <f>IF(AE99&lt;0,"declined","grew")</f>
        <v>362</v>
      </c>
      <c r="AE99" s="16">
        <f>AK98/AI98-1</f>
        <v>0.141304347826087</v>
      </c>
      <c r="AF99" t="s" s="44">
        <v>73</v>
      </c>
      <c r="AG99" t="s" s="44">
        <v>74</v>
      </c>
      <c r="AH99" t="s" s="44">
        <v>75</v>
      </c>
      <c r="AI99" t="s" s="44">
        <v>76</v>
      </c>
      <c r="AJ99" s="15">
        <f>AK98</f>
        <v>10.5</v>
      </c>
      <c r="AK99" t="s" s="48">
        <f>AL98</f>
        <v>22</v>
      </c>
      <c r="AL99" t="s" s="44">
        <v>77</v>
      </c>
      <c r="AM99" t="s" s="44">
        <f>IF(AN99&gt;0,"+","")</f>
      </c>
      <c r="AN99" s="16">
        <f>AF85</f>
        <v>-1</v>
      </c>
      <c r="AO99" t="s" s="44">
        <v>78</v>
      </c>
      <c r="AP99" s="17"/>
      <c r="AQ99" s="17"/>
      <c r="AR99" s="17"/>
      <c r="AS99" s="17"/>
      <c r="AT99" s="17"/>
    </row>
    <row r="100" ht="56.05" customHeight="1">
      <c r="AA100" s="36"/>
      <c r="AB100" s="34"/>
      <c r="AC100" t="s" s="44">
        <v>79</v>
      </c>
      <c r="AD100" s="16">
        <f>AVERAGE(AD97:AG97)</f>
        <v>0.0386572425895068</v>
      </c>
      <c r="AE100" t="s" s="44">
        <v>80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56.05" customHeight="1">
      <c r="AA101" s="36"/>
      <c r="AB101" s="34"/>
      <c r="AC101" t="s" s="44">
        <v>81</v>
      </c>
      <c r="AD101" s="35">
        <f>AF44</f>
        <v>0.0125</v>
      </c>
      <c r="AE101" t="s" s="44">
        <v>82</v>
      </c>
      <c r="AF101" t="s" s="44">
        <v>83</v>
      </c>
      <c r="AG101" s="23">
        <f>AF47</f>
        <v>11.03019687</v>
      </c>
      <c r="AH101" t="s" s="48">
        <f>AL98</f>
        <v>22</v>
      </c>
      <c r="AI101" t="s" s="44">
        <v>84</v>
      </c>
      <c r="AJ101" t="s" s="44">
        <f>AG99</f>
        <v>74</v>
      </c>
      <c r="AK101" t="s" s="44">
        <f>AH99</f>
        <v>75</v>
      </c>
      <c r="AL101" t="s" s="44">
        <v>85</v>
      </c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t="s" s="44">
        <v>14</v>
      </c>
      <c r="AD102" t="s" s="44">
        <f>IF(AF106&lt;AD106,"down","up")</f>
        <v>108</v>
      </c>
      <c r="AE102" t="s" s="44">
        <v>86</v>
      </c>
      <c r="AF102" t="s" s="44">
        <f>IF(AJ106&gt;AH106,"up","down")</f>
        <v>108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44.05" customHeight="1">
      <c r="AA103" s="36"/>
      <c r="AB103" s="34"/>
      <c r="AC103" t="s" s="44">
        <f>AC96</f>
        <v>70</v>
      </c>
      <c r="AD103" t="s" s="44">
        <v>88</v>
      </c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20.05" customHeight="1">
      <c r="AA104" s="36"/>
      <c r="AB104" s="34"/>
      <c r="AC104" s="16">
        <f>(D22+E22)/C22</f>
        <v>0.0267857142857143</v>
      </c>
      <c r="AD104" s="16">
        <f>(D23+E23)/C23</f>
        <v>0.114285714285714</v>
      </c>
      <c r="AE104" s="16">
        <f>((E24+D24)/C24)</f>
        <v>0.0623306233062331</v>
      </c>
      <c r="AF104" s="16">
        <f>(D25+E25)/C25</f>
        <v>-0.144927536231884</v>
      </c>
      <c r="AG104" s="16">
        <f>(D26+E26)/C26</f>
        <v>0.13968253968254</v>
      </c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32.05" customHeight="1">
      <c r="AA105" s="36"/>
      <c r="AB105" s="34"/>
      <c r="AC105" s="15">
        <f>E22</f>
        <v>0.2</v>
      </c>
      <c r="AD105" t="s" s="44">
        <v>72</v>
      </c>
      <c r="AE105" s="15">
        <f>E23</f>
        <v>1.9</v>
      </c>
      <c r="AF105" t="s" s="44">
        <v>72</v>
      </c>
      <c r="AG105" s="15">
        <f>E24</f>
        <v>0.7</v>
      </c>
      <c r="AH105" t="s" s="44">
        <v>72</v>
      </c>
      <c r="AI105" s="15">
        <f>E25</f>
        <v>-1.4</v>
      </c>
      <c r="AJ105" t="s" s="44">
        <v>72</v>
      </c>
      <c r="AK105" s="15">
        <f>E26</f>
        <v>1.4</v>
      </c>
      <c r="AL105" t="s" s="48">
        <f>AL98</f>
        <v>22</v>
      </c>
      <c r="AM105" s="17"/>
      <c r="AN105" s="17"/>
      <c r="AO105" s="17"/>
      <c r="AP105" s="17"/>
      <c r="AQ105" s="17"/>
      <c r="AR105" s="17"/>
      <c r="AS105" s="17"/>
      <c r="AT105" s="17"/>
    </row>
    <row r="106" ht="44.05" customHeight="1">
      <c r="AA106" s="36"/>
      <c r="AB106" s="34"/>
      <c r="AC106" t="s" s="44">
        <v>89</v>
      </c>
      <c r="AD106" s="16">
        <f>AF104</f>
        <v>-0.144927536231884</v>
      </c>
      <c r="AE106" t="s" s="44">
        <v>76</v>
      </c>
      <c r="AF106" s="16">
        <f>AG104</f>
        <v>0.13968253968254</v>
      </c>
      <c r="AG106" t="s" s="44">
        <v>90</v>
      </c>
      <c r="AH106" s="15">
        <f>AI105</f>
        <v>-1.4</v>
      </c>
      <c r="AI106" t="s" s="44">
        <v>76</v>
      </c>
      <c r="AJ106" s="15">
        <f>AK105</f>
        <v>1.4</v>
      </c>
      <c r="AK106" t="s" s="48">
        <f>AH101</f>
        <v>22</v>
      </c>
      <c r="AL106" t="s" s="44">
        <v>73</v>
      </c>
      <c r="AM106" t="s" s="44">
        <f>AJ101</f>
        <v>74</v>
      </c>
      <c r="AN106" t="s" s="44">
        <v>91</v>
      </c>
      <c r="AO106" s="17"/>
      <c r="AP106" s="17"/>
      <c r="AQ106" s="17"/>
      <c r="AR106" s="17"/>
      <c r="AS106" s="17"/>
      <c r="AT106" s="17"/>
    </row>
    <row r="107" ht="68.05" customHeight="1">
      <c r="AA107" s="36"/>
      <c r="AB107" s="34"/>
      <c r="AC107" t="s" s="44">
        <v>92</v>
      </c>
      <c r="AD107" s="16">
        <f>AVERAGE(AD104:AG104)</f>
        <v>0.0428428352606508</v>
      </c>
      <c r="AE107" t="s" s="44">
        <v>78</v>
      </c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v>93</v>
      </c>
      <c r="AD108" s="35">
        <f>AC48</f>
        <v>0.114285714285714</v>
      </c>
      <c r="AE108" t="s" s="44">
        <v>94</v>
      </c>
      <c r="AF108" s="15">
        <f>AF61</f>
        <v>1.19392726133333</v>
      </c>
      <c r="AG108" t="s" s="48">
        <f>AK106</f>
        <v>22</v>
      </c>
      <c r="AH108" t="s" s="44">
        <v>95</v>
      </c>
      <c r="AI108" t="s" s="44">
        <f>AM106</f>
        <v>74</v>
      </c>
      <c r="AJ108" t="s" s="44">
        <f>AH99</f>
        <v>75</v>
      </c>
      <c r="AK108" t="s" s="44">
        <f>AL101</f>
        <v>85</v>
      </c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t="s" s="44">
        <v>15</v>
      </c>
      <c r="AD109" t="s" s="44">
        <f>IF(AD111&gt;AC111,"more","less")</f>
        <v>360</v>
      </c>
      <c r="AE109" t="s" s="44">
        <f>IF(AF115&lt;0,"negative","positive")</f>
        <v>485</v>
      </c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8.35" customHeight="1" hidden="1">
      <c r="AA110" s="36"/>
      <c r="AB110" s="34"/>
      <c r="AC110" s="17"/>
      <c r="AD110" s="15">
        <f>ABS(AD115)</f>
        <v>0.7</v>
      </c>
      <c r="AE110" s="15">
        <f>ABS(AF115)</f>
        <v>5.4</v>
      </c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8.35" customHeight="1" hidden="1">
      <c r="AA111" s="36"/>
      <c r="AB111" s="34"/>
      <c r="AC111" s="15">
        <f>ABS(AD115)</f>
        <v>0.7</v>
      </c>
      <c r="AD111" s="15">
        <f>ABS(AF115)</f>
        <v>5.4</v>
      </c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56.05" customHeight="1">
      <c r="AA112" s="36"/>
      <c r="AB112" s="34"/>
      <c r="AC112" t="s" s="44">
        <f>AC103</f>
        <v>70</v>
      </c>
      <c r="AD112" t="s" s="44">
        <v>96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32.05" customHeight="1">
      <c r="AA113" s="36"/>
      <c r="AB113" s="34"/>
      <c r="AC113" s="15">
        <f>J22</f>
        <v>-1.1</v>
      </c>
      <c r="AD113" t="s" s="44">
        <v>72</v>
      </c>
      <c r="AE113" s="15">
        <f>J23</f>
        <v>5</v>
      </c>
      <c r="AF113" t="s" s="44">
        <v>72</v>
      </c>
      <c r="AG113" s="15">
        <f>J24</f>
        <v>2.1</v>
      </c>
      <c r="AH113" t="s" s="44">
        <v>72</v>
      </c>
      <c r="AI113" s="15">
        <f>J25</f>
        <v>-0.9</v>
      </c>
      <c r="AJ113" t="s" s="44">
        <v>72</v>
      </c>
      <c r="AK113" s="15">
        <f>J26</f>
        <v>-5.4</v>
      </c>
      <c r="AL113" t="s" s="48">
        <f>AL98</f>
        <v>22</v>
      </c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K22</f>
        <v>0.19</v>
      </c>
      <c r="AD114" t="s" s="44">
        <v>72</v>
      </c>
      <c r="AE114" s="15">
        <f>K23</f>
        <v>0.11</v>
      </c>
      <c r="AF114" t="s" s="44">
        <v>72</v>
      </c>
      <c r="AG114" s="15">
        <f>K24</f>
        <v>0</v>
      </c>
      <c r="AH114" t="s" s="44">
        <v>72</v>
      </c>
      <c r="AI114" s="15">
        <f>K25</f>
        <v>0.2</v>
      </c>
      <c r="AJ114" t="s" s="44">
        <v>72</v>
      </c>
      <c r="AK114" s="15">
        <f>K26</f>
        <v>0</v>
      </c>
      <c r="AL114" t="s" s="48">
        <f>AL113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44.05" customHeight="1">
      <c r="AA115" s="36"/>
      <c r="AB115" s="34"/>
      <c r="AC115" t="s" s="44">
        <v>97</v>
      </c>
      <c r="AD115" s="15">
        <f>AI113+AI114</f>
        <v>-0.7</v>
      </c>
      <c r="AE115" t="s" s="44">
        <v>76</v>
      </c>
      <c r="AF115" s="15">
        <f>AK113+AK114</f>
        <v>-5.4</v>
      </c>
      <c r="AG115" t="s" s="48">
        <f>AG108</f>
        <v>22</v>
      </c>
      <c r="AH115" t="s" s="44">
        <v>84</v>
      </c>
      <c r="AI115" t="s" s="44">
        <f>AI108</f>
        <v>74</v>
      </c>
      <c r="AJ115" t="s" s="44">
        <v>98</v>
      </c>
      <c r="AK115" s="15">
        <f>AK114</f>
        <v>0</v>
      </c>
      <c r="AL115" t="s" s="48">
        <f>AL98</f>
        <v>22</v>
      </c>
      <c r="AM115" t="s" s="44">
        <v>99</v>
      </c>
      <c r="AN115" s="17"/>
      <c r="AO115" s="17"/>
      <c r="AP115" s="17"/>
      <c r="AQ115" s="17"/>
      <c r="AR115" s="17"/>
      <c r="AS115" s="17"/>
      <c r="AT115" s="17"/>
    </row>
    <row r="116" ht="56.05" customHeight="1">
      <c r="AA116" s="36"/>
      <c r="AB116" s="34"/>
      <c r="AC116" t="s" s="44">
        <v>100</v>
      </c>
      <c r="AD116" s="15">
        <f>(AE113+AE114+AG113+AG114+AI113+AI114+AK113+AK114)/4</f>
        <v>0.2775</v>
      </c>
      <c r="AE116" t="s" s="48">
        <f>AL98</f>
        <v>22</v>
      </c>
      <c r="AF116" t="s" s="44">
        <v>78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44.05" customHeight="1">
      <c r="AA117" s="36"/>
      <c r="AB117" s="34"/>
      <c r="AC117" t="s" s="44">
        <v>101</v>
      </c>
      <c r="AD117" s="15">
        <f>AC49</f>
        <v>0.11</v>
      </c>
      <c r="AE117" t="s" s="48">
        <f>AE116</f>
        <v>22</v>
      </c>
      <c r="AF117" t="s" s="44">
        <v>102</v>
      </c>
      <c r="AG117" t="s" s="44">
        <v>103</v>
      </c>
      <c r="AH117" t="s" s="44">
        <f>IF(AG101&gt;AJ99,"higher","lower")</f>
        <v>363</v>
      </c>
      <c r="AI117" t="s" s="44">
        <v>105</v>
      </c>
      <c r="AJ117" s="15">
        <f>SUM(AC50:AF50)/4</f>
        <v>1.334087882</v>
      </c>
      <c r="AK117" t="s" s="48">
        <f>AE117</f>
        <v>22</v>
      </c>
      <c r="AL117" t="s" s="44">
        <v>106</v>
      </c>
      <c r="AM117" t="s" s="44">
        <v>107</v>
      </c>
      <c r="AN117" s="17"/>
      <c r="AO117" s="17"/>
      <c r="AP117" s="17"/>
      <c r="AQ117" s="17"/>
      <c r="AR117" s="17"/>
      <c r="AS117" s="17"/>
      <c r="AT117" s="17"/>
    </row>
    <row r="118" ht="20.05" customHeight="1">
      <c r="AA118" s="36"/>
      <c r="AB118" s="34"/>
      <c r="AC118" t="s" s="44">
        <v>18</v>
      </c>
      <c r="AD118" t="s" s="44">
        <f>AK123</f>
        <v>87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t="s" s="44">
        <f>AC96</f>
        <v>70</v>
      </c>
      <c r="AD119" t="s" s="44">
        <v>109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F22</f>
        <v>20.5</v>
      </c>
      <c r="AD120" t="s" s="44">
        <v>72</v>
      </c>
      <c r="AE120" s="15">
        <f>F23</f>
        <v>25.7</v>
      </c>
      <c r="AF120" t="s" s="44">
        <v>72</v>
      </c>
      <c r="AG120" s="15">
        <f>F24</f>
        <v>27.7</v>
      </c>
      <c r="AH120" t="s" s="44">
        <v>72</v>
      </c>
      <c r="AI120" s="15">
        <f>F25</f>
        <v>27.3</v>
      </c>
      <c r="AJ120" t="s" s="44">
        <v>72</v>
      </c>
      <c r="AK120" s="15">
        <f>F26</f>
        <v>22.2</v>
      </c>
      <c r="AL120" t="s" s="48">
        <f>AL98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G22</f>
        <v>9.5</v>
      </c>
      <c r="AD121" t="s" s="44">
        <v>72</v>
      </c>
      <c r="AE121" s="15">
        <f>G23</f>
        <v>5.3</v>
      </c>
      <c r="AF121" t="s" s="44">
        <v>72</v>
      </c>
      <c r="AG121" s="15">
        <f>G24</f>
        <v>5.9</v>
      </c>
      <c r="AH121" t="s" s="44">
        <v>72</v>
      </c>
      <c r="AI121" s="15">
        <f>G25</f>
        <v>6</v>
      </c>
      <c r="AJ121" t="s" s="44">
        <v>72</v>
      </c>
      <c r="AK121" s="15">
        <f>G26</f>
        <v>3.8</v>
      </c>
      <c r="AL121" t="s" s="48">
        <f>AL120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t="s" s="44">
        <v>110</v>
      </c>
      <c r="AD122" t="s" s="44">
        <f>IF(AG122&lt;AE122,"declined","increased")</f>
        <v>370</v>
      </c>
      <c r="AE122" s="15">
        <f>AI120</f>
        <v>27.3</v>
      </c>
      <c r="AF122" t="s" s="44">
        <v>76</v>
      </c>
      <c r="AG122" s="15">
        <f>AK120</f>
        <v>22.2</v>
      </c>
      <c r="AH122" t="s" s="48">
        <f>AK117</f>
        <v>22</v>
      </c>
      <c r="AI122" t="s" s="44">
        <v>84</v>
      </c>
      <c r="AJ122" t="s" s="44">
        <f>AG99</f>
        <v>74</v>
      </c>
      <c r="AK122" t="s" s="44">
        <f>AN106</f>
        <v>91</v>
      </c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32.05" customHeight="1">
      <c r="AA123" s="36"/>
      <c r="AB123" s="34"/>
      <c r="AC123" t="s" s="44">
        <v>112</v>
      </c>
      <c r="AD123" t="s" s="44">
        <f>IF(AG123&lt;AE123,"declined","increased")</f>
        <v>370</v>
      </c>
      <c r="AE123" s="15">
        <f>AI121</f>
        <v>6</v>
      </c>
      <c r="AF123" t="s" s="44">
        <v>76</v>
      </c>
      <c r="AG123" s="15">
        <f>AK121</f>
        <v>3.8</v>
      </c>
      <c r="AH123" t="s" s="48">
        <f>AH122</f>
        <v>22</v>
      </c>
      <c r="AI123" t="s" s="44">
        <v>113</v>
      </c>
      <c r="AJ123" t="s" s="44">
        <v>114</v>
      </c>
      <c r="AK123" t="s" s="44">
        <f>IF(AN123&lt;AL123,"down","up")</f>
        <v>87</v>
      </c>
      <c r="AL123" s="15">
        <f>AE122-AE123</f>
        <v>21.3</v>
      </c>
      <c r="AM123" t="s" s="44">
        <v>76</v>
      </c>
      <c r="AN123" s="15">
        <f>AG122-AG123</f>
        <v>18.4</v>
      </c>
      <c r="AO123" t="s" s="48">
        <f>AH123</f>
        <v>22</v>
      </c>
      <c r="AP123" t="s" s="44">
        <v>115</v>
      </c>
      <c r="AQ123" s="17"/>
      <c r="AR123" s="17"/>
      <c r="AS123" s="17"/>
      <c r="AT123" s="17"/>
    </row>
    <row r="124" ht="56.05" customHeight="1">
      <c r="AA124" s="36"/>
      <c r="AB124" s="34"/>
      <c r="AC124" t="s" s="44">
        <v>116</v>
      </c>
      <c r="AD124" s="15">
        <f>SUM(AC53:AF53)</f>
        <v>-4.62968486133332</v>
      </c>
      <c r="AE124" t="s" s="48">
        <f>AH123</f>
        <v>22</v>
      </c>
      <c r="AF124" t="s" s="44">
        <v>117</v>
      </c>
      <c r="AG124" t="s" s="44">
        <f>IF(AH124&gt;0,"+","")</f>
      </c>
      <c r="AH124" s="15">
        <f>AC51+AD51+AE51+AF51+AC55+AD55+AE55+AF55</f>
        <v>-0.70487625</v>
      </c>
      <c r="AI124" t="s" s="48">
        <f>AO123</f>
        <v>22</v>
      </c>
      <c r="AJ124" t="s" s="44">
        <v>118</v>
      </c>
      <c r="AK124" t="s" s="44">
        <v>119</v>
      </c>
      <c r="AL124" s="15">
        <f>AF70</f>
        <v>19.1066666666667</v>
      </c>
      <c r="AM124" t="s" s="48">
        <f>AH123</f>
        <v>22</v>
      </c>
      <c r="AN124" t="s" s="44">
        <v>120</v>
      </c>
      <c r="AO124" s="17"/>
      <c r="AP124" s="17"/>
      <c r="AQ124" s="17"/>
      <c r="AR124" s="17"/>
      <c r="AS124" s="17"/>
      <c r="AT124" s="17"/>
    </row>
    <row r="125" ht="20.05" customHeight="1">
      <c r="AA125" s="36"/>
      <c r="AB125" s="34"/>
      <c r="AC125" t="s" s="44">
        <v>17</v>
      </c>
      <c r="AD125" t="s" s="44">
        <f>AD129</f>
        <v>121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68.05" customHeight="1">
      <c r="AA126" s="36"/>
      <c r="AB126" s="34"/>
      <c r="AC126" t="s" s="44">
        <f>AC96</f>
        <v>70</v>
      </c>
      <c r="AD126" t="s" s="44">
        <v>122</v>
      </c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-L22</f>
        <v>0</v>
      </c>
      <c r="AD127" t="s" s="44">
        <v>72</v>
      </c>
      <c r="AE127" s="15">
        <f>-L23</f>
        <v>0.04</v>
      </c>
      <c r="AF127" t="s" s="44">
        <v>72</v>
      </c>
      <c r="AG127" s="15">
        <f>-L24</f>
        <v>0</v>
      </c>
      <c r="AH127" t="s" s="44">
        <v>72</v>
      </c>
      <c r="AI127" s="15">
        <f>-L25</f>
        <v>0</v>
      </c>
      <c r="AJ127" t="s" s="44">
        <v>72</v>
      </c>
      <c r="AK127" s="15">
        <f>-L26</f>
        <v>0</v>
      </c>
      <c r="AL127" t="s" s="48">
        <f>AL98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s="15">
        <f>-M22</f>
        <v>0</v>
      </c>
      <c r="AD128" t="s" s="44">
        <v>72</v>
      </c>
      <c r="AE128" s="15">
        <f>-M23</f>
        <v>0</v>
      </c>
      <c r="AF128" t="s" s="44">
        <v>72</v>
      </c>
      <c r="AG128" s="15">
        <f>-M24</f>
        <v>0</v>
      </c>
      <c r="AH128" t="s" s="44">
        <v>72</v>
      </c>
      <c r="AI128" s="15">
        <f>-M25</f>
        <v>0</v>
      </c>
      <c r="AJ128" t="s" s="44">
        <v>72</v>
      </c>
      <c r="AK128" s="15">
        <f>-M26</f>
        <v>0</v>
      </c>
      <c r="AL128" t="s" s="48">
        <f>AL127</f>
        <v>22</v>
      </c>
      <c r="AM128" s="17"/>
      <c r="AN128" s="17"/>
      <c r="AO128" s="17"/>
      <c r="AP128" s="17"/>
      <c r="AQ128" s="17"/>
      <c r="AR128" s="17"/>
      <c r="AS128" s="17"/>
      <c r="AT128" s="17"/>
    </row>
    <row r="129" ht="44.05" customHeight="1">
      <c r="AA129" s="36"/>
      <c r="AB129" s="34"/>
      <c r="AC129" t="s" s="44">
        <f>AC87</f>
        <v>626</v>
      </c>
      <c r="AD129" t="s" s="44">
        <f>IF(AE129&gt;0,"paid","(raised)")</f>
        <v>121</v>
      </c>
      <c r="AE129" s="15">
        <f>SUM(AK127:AK128)</f>
        <v>0</v>
      </c>
      <c r="AF129" t="s" s="48">
        <f>AL98</f>
        <v>22</v>
      </c>
      <c r="AG129" t="s" s="44">
        <f>AF99</f>
        <v>73</v>
      </c>
      <c r="AH129" t="s" s="44">
        <f>AG99</f>
        <v>74</v>
      </c>
      <c r="AI129" t="s" s="44">
        <f>AH99</f>
        <v>75</v>
      </c>
      <c r="AJ129" s="15">
        <f>AK127</f>
        <v>0</v>
      </c>
      <c r="AK129" t="s" s="48">
        <f>AL98</f>
        <v>22</v>
      </c>
      <c r="AL129" t="s" s="44">
        <v>123</v>
      </c>
      <c r="AM129" s="15">
        <f>AK128</f>
        <v>0</v>
      </c>
      <c r="AN129" t="s" s="48">
        <f>AL98</f>
        <v>22</v>
      </c>
      <c r="AO129" t="s" s="44">
        <v>124</v>
      </c>
      <c r="AP129" t="s" s="44">
        <v>125</v>
      </c>
      <c r="AQ129" t="s" s="44">
        <f>IF(AR129&gt;0,"pay","raise")</f>
        <v>364</v>
      </c>
      <c r="AR129" s="15">
        <f>-SUM(AC71:AF71)</f>
        <v>5.33456111133332</v>
      </c>
      <c r="AS129" t="s" s="48">
        <f>AL98</f>
        <v>22</v>
      </c>
      <c r="AT129" t="s" s="44">
        <v>126</v>
      </c>
    </row>
    <row r="130" ht="56.05" customHeight="1">
      <c r="AA130" s="36"/>
      <c r="AB130" s="34"/>
      <c r="AC130" t="s" s="44">
        <v>127</v>
      </c>
      <c r="AD130" s="15">
        <f>AF74</f>
        <v>124.28387328</v>
      </c>
      <c r="AE130" t="s" s="48">
        <f>AL98</f>
        <v>22</v>
      </c>
      <c r="AF130" t="s" s="44">
        <v>128</v>
      </c>
      <c r="AG130" t="s" s="44">
        <v>129</v>
      </c>
      <c r="AH130" s="43">
        <f>AF76</f>
        <v>2.89738931642551</v>
      </c>
      <c r="AI130" t="s" s="44">
        <v>130</v>
      </c>
      <c r="AJ130" t="s" s="44">
        <v>131</v>
      </c>
      <c r="AK130" t="s" s="44">
        <v>132</v>
      </c>
      <c r="AL130" s="15">
        <f>AF79</f>
        <v>3.8778055052698</v>
      </c>
      <c r="AM130" t="s" s="44">
        <v>133</v>
      </c>
      <c r="AN130" s="16">
        <f>-AD124/AD130</f>
        <v>0.0372508897506201</v>
      </c>
      <c r="AO130" t="s" s="44">
        <v>134</v>
      </c>
      <c r="AP130" s="17"/>
      <c r="AQ130" s="17"/>
      <c r="AR130" s="17"/>
      <c r="AS130" s="17"/>
      <c r="AT130" s="17"/>
    </row>
    <row r="131" ht="56.05" customHeight="1">
      <c r="AA131" s="36"/>
      <c r="AB131" s="34"/>
      <c r="AC131" t="s" s="44">
        <v>135</v>
      </c>
      <c r="AD131" s="15">
        <f>AF78</f>
        <v>5.336351528</v>
      </c>
      <c r="AE131" t="s" s="48">
        <f>AE130</f>
        <v>22</v>
      </c>
      <c r="AF131" t="s" s="44">
        <v>136</v>
      </c>
      <c r="AG131" s="15">
        <f>AD130/AD131</f>
        <v>23.2900461350566</v>
      </c>
      <c r="AH131" t="s" s="44">
        <v>130</v>
      </c>
      <c r="AI131" t="s" s="44">
        <v>137</v>
      </c>
      <c r="AJ131" t="s" s="44">
        <v>138</v>
      </c>
      <c r="AK131" s="15">
        <f>AF80</f>
        <v>20</v>
      </c>
      <c r="AL131" t="s" s="44">
        <v>139</v>
      </c>
      <c r="AM131" t="s" s="44">
        <v>140</v>
      </c>
      <c r="AN131" t="s" s="44">
        <v>141</v>
      </c>
      <c r="AO131" s="16">
        <f>AH88</f>
        <v>-0.141264045420005</v>
      </c>
      <c r="AP131" t="s" s="44">
        <f>IF(AO131&gt;0,"higher","lower")</f>
        <v>104</v>
      </c>
      <c r="AQ131" t="s" s="44">
        <v>142</v>
      </c>
      <c r="AR131" s="15">
        <f>AF88</f>
        <v>180.334550461799</v>
      </c>
      <c r="AS131" t="s" s="44">
        <v>143</v>
      </c>
      <c r="AT131" s="17"/>
    </row>
    <row r="132" ht="20.05" customHeight="1">
      <c r="AA132" s="36"/>
      <c r="AB132" s="34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A133" t="s" s="33">
        <v>28</v>
      </c>
      <c r="AB133" s="14">
        <f>AC98</f>
        <v>11.2</v>
      </c>
      <c r="AC133" s="15">
        <f>AE98</f>
        <v>17.5</v>
      </c>
      <c r="AD133" s="15">
        <f>AG98</f>
        <v>12.3</v>
      </c>
      <c r="AE133" s="15">
        <f>AI98</f>
        <v>9.199999999999999</v>
      </c>
      <c r="AF133" s="15">
        <f>AK98</f>
        <v>10.5</v>
      </c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20.05" customHeight="1">
      <c r="AA134" t="s" s="33">
        <v>144</v>
      </c>
      <c r="AB134" s="14">
        <f>SUM(AC113:AC114)</f>
        <v>-0.91</v>
      </c>
      <c r="AC134" s="15">
        <f>SUM(AE113:AE114)</f>
        <v>5.11</v>
      </c>
      <c r="AD134" s="15">
        <f>SUM(AG113:AG114)</f>
        <v>2.1</v>
      </c>
      <c r="AE134" s="15">
        <f>SUM(AI113:AI114)</f>
        <v>-0.7</v>
      </c>
      <c r="AF134" s="15">
        <f>SUM(AK113:AK114)</f>
        <v>-5.4</v>
      </c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20.05" customHeight="1">
      <c r="AA135" t="s" s="33">
        <v>145</v>
      </c>
      <c r="AB135" s="14">
        <f>SUM(AC127:AC128)</f>
        <v>0</v>
      </c>
      <c r="AC135" s="15">
        <f>SUM(AE127:AE128)</f>
        <v>0.04</v>
      </c>
      <c r="AD135" s="15">
        <f>SUM(AG127:AG128)</f>
        <v>0</v>
      </c>
      <c r="AE135" s="15">
        <f>SUM(AI127:AI128)</f>
        <v>0</v>
      </c>
      <c r="AF135" s="15">
        <f>SUM(AK127:AK128)</f>
        <v>0</v>
      </c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20.05" customHeight="1">
      <c r="AA136" t="s" s="33">
        <v>146</v>
      </c>
      <c r="AB136" s="14">
        <f>(AC120-AC121)</f>
        <v>11</v>
      </c>
      <c r="AC136" s="15">
        <f>(AE120-AE121)</f>
        <v>20.4</v>
      </c>
      <c r="AD136" s="15">
        <f>(AG120-AG121)</f>
        <v>21.8</v>
      </c>
      <c r="AE136" s="15">
        <f>(AI120-AI121)</f>
        <v>21.3</v>
      </c>
      <c r="AF136" s="15">
        <f>(AK120-AK121)</f>
        <v>18.4</v>
      </c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20.05" customHeight="1">
      <c r="AA137" s="36"/>
      <c r="AB137" s="34"/>
      <c r="AC137" s="17"/>
      <c r="AD137" s="17"/>
      <c r="AE137" s="17"/>
      <c r="AF137" s="15">
        <f>AR131</f>
        <v>180.334550461799</v>
      </c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s="36"/>
      <c r="AB138" s="34"/>
      <c r="AC138" s="17"/>
      <c r="AD138" s="17"/>
      <c r="AE138" s="17"/>
      <c r="AF138" s="17"/>
      <c r="AG138" s="15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s="36"/>
      <c r="AB139" s="34"/>
      <c r="AC139" s="17"/>
      <c r="AD139" s="17"/>
      <c r="AE139" s="17"/>
      <c r="AF139" s="17"/>
      <c r="AG139" s="15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s="36"/>
      <c r="AB140" s="34"/>
      <c r="AC140" s="17"/>
      <c r="AD140" s="17"/>
      <c r="AE140" s="17"/>
      <c r="AF140" s="17"/>
      <c r="AG140" s="15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s="36"/>
      <c r="AB141" s="34"/>
      <c r="AC141" s="17"/>
      <c r="AD141" s="17"/>
      <c r="AE141" s="17"/>
      <c r="AF141" s="17"/>
      <c r="AG141" s="15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7"/>
      <c r="AG142" s="15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</sheetData>
  <mergeCells count="2">
    <mergeCell ref="B2:Z2"/>
    <mergeCell ref="AA41:AT4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72" customWidth="1"/>
    <col min="2" max="28" width="10.4844" style="272" customWidth="1"/>
    <col min="29" max="29" width="18.9766" style="273" customWidth="1"/>
    <col min="30" max="48" width="9" style="273" customWidth="1"/>
    <col min="49" max="16384" width="16.3516" style="273" customWidth="1"/>
  </cols>
  <sheetData>
    <row r="1" ht="11.65" customHeight="1"/>
    <row r="2" ht="27.65" customHeight="1">
      <c r="B2" t="s" s="2">
        <v>627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259</v>
      </c>
      <c r="AA3" t="s" s="3">
        <v>19</v>
      </c>
      <c r="AB3" t="s" s="3">
        <v>20</v>
      </c>
    </row>
    <row r="4" ht="20.25" customHeight="1">
      <c r="B4" s="6">
        <v>2017</v>
      </c>
      <c r="C4" s="7">
        <v>3376</v>
      </c>
      <c r="D4" s="8">
        <v>272</v>
      </c>
      <c r="E4" s="8">
        <v>492</v>
      </c>
      <c r="F4" s="8">
        <v>9346</v>
      </c>
      <c r="G4" s="8">
        <v>3210</v>
      </c>
      <c r="H4" s="8">
        <v>29841</v>
      </c>
      <c r="I4" s="8">
        <v>3869</v>
      </c>
      <c r="J4" s="8">
        <v>-49.5</v>
      </c>
      <c r="K4" s="8">
        <v>-275</v>
      </c>
      <c r="L4" s="8">
        <v>0</v>
      </c>
      <c r="M4" s="8">
        <v>-854.75</v>
      </c>
      <c r="N4" s="8"/>
      <c r="O4" s="8"/>
      <c r="P4" s="9"/>
      <c r="Q4" s="9"/>
      <c r="R4" s="9"/>
      <c r="S4" s="9"/>
      <c r="T4" s="9"/>
      <c r="U4" s="9"/>
      <c r="V4" s="8">
        <f>-(L4+M4)</f>
        <v>854.75</v>
      </c>
      <c r="W4" s="9"/>
      <c r="X4" s="8">
        <f>F4-G4</f>
        <v>6136</v>
      </c>
      <c r="Y4" s="9"/>
      <c r="Z4" s="8">
        <v>16600</v>
      </c>
      <c r="AA4" s="11"/>
      <c r="AB4" s="12">
        <v>13.3</v>
      </c>
    </row>
    <row r="5" ht="20.05" customHeight="1">
      <c r="B5" s="13"/>
      <c r="C5" s="14">
        <v>3168</v>
      </c>
      <c r="D5" s="15">
        <v>267</v>
      </c>
      <c r="E5" s="15">
        <v>410</v>
      </c>
      <c r="F5" s="15">
        <v>6531</v>
      </c>
      <c r="G5" s="15">
        <v>3673</v>
      </c>
      <c r="H5" s="15">
        <v>27294</v>
      </c>
      <c r="I5" s="15">
        <v>3453</v>
      </c>
      <c r="J5" s="15">
        <v>789.5</v>
      </c>
      <c r="K5" s="15">
        <v>-171</v>
      </c>
      <c r="L5" s="15">
        <v>0</v>
      </c>
      <c r="M5" s="15">
        <v>-854.75</v>
      </c>
      <c r="N5" s="15"/>
      <c r="O5" s="15"/>
      <c r="P5" s="16"/>
      <c r="Q5" s="17"/>
      <c r="R5" s="17"/>
      <c r="S5" s="17"/>
      <c r="T5" s="17"/>
      <c r="U5" s="17"/>
      <c r="V5" s="15">
        <f>-(L5+M5)+V4</f>
        <v>1709.5</v>
      </c>
      <c r="W5" s="17"/>
      <c r="X5" s="15">
        <f>F5-G5</f>
        <v>2858</v>
      </c>
      <c r="Y5" s="17"/>
      <c r="Z5" s="15">
        <v>18450</v>
      </c>
      <c r="AA5" s="19"/>
      <c r="AB5" s="20">
        <v>13.327</v>
      </c>
    </row>
    <row r="6" ht="20.05" customHeight="1">
      <c r="B6" s="13"/>
      <c r="C6" s="14">
        <v>3969</v>
      </c>
      <c r="D6" s="15">
        <v>306</v>
      </c>
      <c r="E6" s="15">
        <v>504</v>
      </c>
      <c r="F6" s="15">
        <v>6968</v>
      </c>
      <c r="G6" s="15">
        <v>3327</v>
      </c>
      <c r="H6" s="15">
        <v>27454</v>
      </c>
      <c r="I6" s="15">
        <v>3123</v>
      </c>
      <c r="J6" s="15">
        <v>507.5</v>
      </c>
      <c r="K6" s="15">
        <v>-108</v>
      </c>
      <c r="L6" s="15">
        <v>0</v>
      </c>
      <c r="M6" s="15">
        <v>-854.75</v>
      </c>
      <c r="N6" s="15"/>
      <c r="O6" s="15"/>
      <c r="P6" s="16"/>
      <c r="Q6" s="17"/>
      <c r="R6" s="17"/>
      <c r="S6" s="17"/>
      <c r="T6" s="17"/>
      <c r="U6" s="17"/>
      <c r="V6" s="15">
        <f>-(L6+M6)+V5</f>
        <v>2564.25</v>
      </c>
      <c r="W6" s="17"/>
      <c r="X6" s="15">
        <f>F6-G6</f>
        <v>3641</v>
      </c>
      <c r="Y6" s="17"/>
      <c r="Z6" s="15">
        <v>18900</v>
      </c>
      <c r="AA6" s="19"/>
      <c r="AB6" s="20">
        <v>13.305</v>
      </c>
    </row>
    <row r="7" ht="20.05" customHeight="1">
      <c r="B7" s="13"/>
      <c r="C7" s="14">
        <v>3918</v>
      </c>
      <c r="D7" s="15">
        <v>333</v>
      </c>
      <c r="E7" s="15">
        <v>454</v>
      </c>
      <c r="F7" s="15">
        <v>8295</v>
      </c>
      <c r="G7" s="15">
        <v>4307</v>
      </c>
      <c r="H7" s="15">
        <v>28864</v>
      </c>
      <c r="I7" s="15">
        <v>5452</v>
      </c>
      <c r="J7" s="15">
        <v>1528.5</v>
      </c>
      <c r="K7" s="15">
        <v>-207</v>
      </c>
      <c r="L7" s="15">
        <v>0</v>
      </c>
      <c r="M7" s="15">
        <v>-854.75</v>
      </c>
      <c r="N7" s="15"/>
      <c r="O7" s="15"/>
      <c r="P7" s="16"/>
      <c r="Q7" s="17"/>
      <c r="R7" s="17"/>
      <c r="S7" s="17"/>
      <c r="T7" s="17"/>
      <c r="U7" s="17"/>
      <c r="V7" s="15">
        <f>-(L7+M7)+V6</f>
        <v>3419</v>
      </c>
      <c r="W7" s="17"/>
      <c r="X7" s="15">
        <f>F7-G7</f>
        <v>3988</v>
      </c>
      <c r="Y7" s="17"/>
      <c r="Z7" s="15">
        <v>21950</v>
      </c>
      <c r="AA7" s="19"/>
      <c r="AB7" s="20">
        <v>13.557</v>
      </c>
    </row>
    <row r="8" ht="20.05" customHeight="1">
      <c r="B8" s="21">
        <v>2018</v>
      </c>
      <c r="C8" s="14">
        <v>3440</v>
      </c>
      <c r="D8" s="15">
        <v>320</v>
      </c>
      <c r="E8" s="15">
        <v>264</v>
      </c>
      <c r="F8" s="15">
        <v>7973</v>
      </c>
      <c r="G8" s="15">
        <v>3785</v>
      </c>
      <c r="H8" s="15">
        <v>28606</v>
      </c>
      <c r="I8" s="15">
        <v>3591</v>
      </c>
      <c r="J8" s="15">
        <v>-190.75</v>
      </c>
      <c r="K8" s="15">
        <v>-145</v>
      </c>
      <c r="L8" s="15">
        <v>0</v>
      </c>
      <c r="M8" s="15">
        <v>-644</v>
      </c>
      <c r="N8" s="15">
        <f>SUM(C5:C8)/4</f>
        <v>3623.75</v>
      </c>
      <c r="O8" s="15"/>
      <c r="P8" s="16"/>
      <c r="Q8" s="16">
        <f>(E8+D8)/C8</f>
        <v>0.169767441860465</v>
      </c>
      <c r="R8" s="16"/>
      <c r="S8" s="17"/>
      <c r="T8" s="15">
        <f>SUM(J5:K8)/4</f>
        <v>500.9375</v>
      </c>
      <c r="U8" s="25"/>
      <c r="V8" s="15">
        <f>-(L8+M8)+V7</f>
        <v>4063</v>
      </c>
      <c r="W8" s="17"/>
      <c r="X8" s="15">
        <f>F8-G8</f>
        <v>4188</v>
      </c>
      <c r="Y8" s="24"/>
      <c r="Z8" s="15">
        <v>16000</v>
      </c>
      <c r="AA8" s="22"/>
      <c r="AB8" s="20">
        <v>13.761</v>
      </c>
    </row>
    <row r="9" ht="20.05" customHeight="1">
      <c r="B9" s="13"/>
      <c r="C9" s="14">
        <v>3044</v>
      </c>
      <c r="D9" s="15">
        <v>295</v>
      </c>
      <c r="E9" s="15">
        <v>91</v>
      </c>
      <c r="F9" s="15">
        <v>5545</v>
      </c>
      <c r="G9" s="15">
        <v>4125</v>
      </c>
      <c r="H9" s="15">
        <v>26461</v>
      </c>
      <c r="I9" s="15">
        <v>3367</v>
      </c>
      <c r="J9" s="15">
        <v>279.25</v>
      </c>
      <c r="K9" s="15">
        <v>-147</v>
      </c>
      <c r="L9" s="15">
        <v>0</v>
      </c>
      <c r="M9" s="15">
        <v>-506</v>
      </c>
      <c r="N9" s="15">
        <f>SUM(C6:C9)/4</f>
        <v>3592.75</v>
      </c>
      <c r="O9" s="15"/>
      <c r="P9" s="16"/>
      <c r="Q9" s="16">
        <f>(E9+D9)/C9</f>
        <v>0.126806833114323</v>
      </c>
      <c r="R9" s="16"/>
      <c r="S9" s="17"/>
      <c r="T9" s="15">
        <f>SUM(J6:K9)/4</f>
        <v>379.375</v>
      </c>
      <c r="U9" s="25"/>
      <c r="V9" s="15">
        <f>-(L9+M9)+V8</f>
        <v>4569</v>
      </c>
      <c r="W9" s="17"/>
      <c r="X9" s="15">
        <f>F13-G9</f>
        <v>1564</v>
      </c>
      <c r="Y9" s="24"/>
      <c r="Z9" s="15">
        <v>13650</v>
      </c>
      <c r="AA9" s="22"/>
      <c r="AB9" s="20">
        <v>14</v>
      </c>
    </row>
    <row r="10" ht="20.05" customHeight="1">
      <c r="B10" s="13"/>
      <c r="C10" s="14">
        <v>4289</v>
      </c>
      <c r="D10" s="15">
        <v>344</v>
      </c>
      <c r="E10" s="15">
        <v>263</v>
      </c>
      <c r="F10" s="15">
        <v>5779</v>
      </c>
      <c r="G10" s="15">
        <v>4035</v>
      </c>
      <c r="H10" s="15">
        <v>26635</v>
      </c>
      <c r="I10" s="15">
        <v>3929</v>
      </c>
      <c r="J10" s="15">
        <v>337.25</v>
      </c>
      <c r="K10" s="15">
        <v>-128</v>
      </c>
      <c r="L10" s="15">
        <v>0</v>
      </c>
      <c r="M10" s="15">
        <v>-644</v>
      </c>
      <c r="N10" s="15">
        <f>SUM(C7:C10)/4</f>
        <v>3672.75</v>
      </c>
      <c r="O10" s="15"/>
      <c r="P10" s="16">
        <f>C10/C9-1</f>
        <v>0.409001314060447</v>
      </c>
      <c r="Q10" s="16">
        <f>(E10+D10)/C10</f>
        <v>0.141524830962928</v>
      </c>
      <c r="R10" s="16"/>
      <c r="S10" s="17"/>
      <c r="T10" s="15">
        <f>SUM(J7:K10)/4</f>
        <v>331.8125</v>
      </c>
      <c r="U10" s="25"/>
      <c r="V10" s="15">
        <f>-(L10+M10)+V9</f>
        <v>5213</v>
      </c>
      <c r="W10" s="17"/>
      <c r="X10" s="15">
        <f>F10-G10</f>
        <v>1744</v>
      </c>
      <c r="Y10" s="24"/>
      <c r="Z10" s="15">
        <v>18500</v>
      </c>
      <c r="AA10" s="22"/>
      <c r="AB10" s="20">
        <v>14.902</v>
      </c>
    </row>
    <row r="11" ht="20.05" customHeight="1">
      <c r="B11" s="13"/>
      <c r="C11" s="14">
        <v>4417</v>
      </c>
      <c r="D11" s="15">
        <v>321</v>
      </c>
      <c r="E11" s="15">
        <v>528</v>
      </c>
      <c r="F11" s="15">
        <v>7226</v>
      </c>
      <c r="G11" s="15">
        <v>4567</v>
      </c>
      <c r="H11" s="15">
        <v>27789</v>
      </c>
      <c r="I11" s="15">
        <v>5348</v>
      </c>
      <c r="J11" s="15">
        <v>1556.25</v>
      </c>
      <c r="K11" s="15">
        <v>-85</v>
      </c>
      <c r="L11" s="15">
        <v>0</v>
      </c>
      <c r="M11" s="15">
        <v>-644</v>
      </c>
      <c r="N11" s="15">
        <f>SUM(C8:C11)/4</f>
        <v>3797.5</v>
      </c>
      <c r="O11" s="15"/>
      <c r="P11" s="16">
        <f>C11/C10-1</f>
        <v>0.0298437864304034</v>
      </c>
      <c r="Q11" s="16">
        <f>(E11+D11)/C11</f>
        <v>0.192211908535205</v>
      </c>
      <c r="R11" s="16"/>
      <c r="S11" s="17"/>
      <c r="T11" s="15">
        <f>SUM(J8:K11)/4</f>
        <v>369.25</v>
      </c>
      <c r="U11" s="25"/>
      <c r="V11" s="15">
        <f>-(L11+M11)+V10</f>
        <v>5857</v>
      </c>
      <c r="W11" s="17"/>
      <c r="X11" s="15">
        <f>F11-G11</f>
        <v>2659</v>
      </c>
      <c r="Y11" s="24"/>
      <c r="Z11" s="15">
        <v>18450</v>
      </c>
      <c r="AA11" s="22"/>
      <c r="AB11" s="20">
        <v>14.38</v>
      </c>
    </row>
    <row r="12" ht="20.05" customHeight="1">
      <c r="B12" s="21">
        <v>2019</v>
      </c>
      <c r="C12" s="14">
        <v>3733</v>
      </c>
      <c r="D12" s="15">
        <v>304.75</v>
      </c>
      <c r="E12" s="15">
        <v>397</v>
      </c>
      <c r="F12" s="15">
        <v>6979</v>
      </c>
      <c r="G12" s="15">
        <v>3925</v>
      </c>
      <c r="H12" s="15">
        <v>27544</v>
      </c>
      <c r="I12" s="15">
        <v>3922</v>
      </c>
      <c r="J12" s="15">
        <v>-40.5</v>
      </c>
      <c r="K12" s="15">
        <v>-194</v>
      </c>
      <c r="L12" s="15">
        <v>0</v>
      </c>
      <c r="M12" s="15">
        <v>-506</v>
      </c>
      <c r="N12" s="15">
        <f>SUM(C9:C12)/4</f>
        <v>3870.75</v>
      </c>
      <c r="O12" s="23"/>
      <c r="P12" s="16">
        <f>C12/C11-1</f>
        <v>-0.154856237265112</v>
      </c>
      <c r="Q12" s="16">
        <f>(E12+D12)/C12</f>
        <v>0.187985534422716</v>
      </c>
      <c r="R12" s="16">
        <f>AVERAGE(Q9:Q12)</f>
        <v>0.162132276758793</v>
      </c>
      <c r="S12" s="17"/>
      <c r="T12" s="15">
        <f>SUM(J9:K12)/4</f>
        <v>394.5625</v>
      </c>
      <c r="U12" s="25"/>
      <c r="V12" s="15">
        <f>-(L12+M12)+V11</f>
        <v>6363</v>
      </c>
      <c r="W12" s="17"/>
      <c r="X12" s="15">
        <f>F12-G12</f>
        <v>3054</v>
      </c>
      <c r="Y12" s="24"/>
      <c r="Z12" s="15">
        <v>21900</v>
      </c>
      <c r="AA12" s="22"/>
      <c r="AB12" s="20">
        <v>14.24</v>
      </c>
    </row>
    <row r="13" ht="20.05" customHeight="1">
      <c r="B13" s="13"/>
      <c r="C13" s="14">
        <v>3250</v>
      </c>
      <c r="D13" s="15">
        <v>304.75</v>
      </c>
      <c r="E13" s="15">
        <v>243</v>
      </c>
      <c r="F13" s="15">
        <v>5689</v>
      </c>
      <c r="G13" s="15">
        <v>4016</v>
      </c>
      <c r="H13" s="15">
        <v>25852</v>
      </c>
      <c r="I13" s="15">
        <v>3972</v>
      </c>
      <c r="J13" s="15">
        <v>906.5</v>
      </c>
      <c r="K13" s="15">
        <v>-167</v>
      </c>
      <c r="L13" s="15">
        <v>0</v>
      </c>
      <c r="M13" s="15">
        <v>-506</v>
      </c>
      <c r="N13" s="15">
        <f>SUM(C10:C13)/4</f>
        <v>3922.25</v>
      </c>
      <c r="O13" s="23"/>
      <c r="P13" s="16">
        <f>C13/C12-1</f>
        <v>-0.129386552370747</v>
      </c>
      <c r="Q13" s="16">
        <f>(E13+D13)/C13</f>
        <v>0.168538461538462</v>
      </c>
      <c r="R13" s="16">
        <f>AVERAGE(Q10:Q13)</f>
        <v>0.172565183864828</v>
      </c>
      <c r="S13" s="17"/>
      <c r="T13" s="15">
        <f>SUM(J10:K13)/4</f>
        <v>546.375</v>
      </c>
      <c r="U13" s="25"/>
      <c r="V13" s="15">
        <f>-(L13+M13)+V12</f>
        <v>6869</v>
      </c>
      <c r="W13" s="17"/>
      <c r="X13" s="15">
        <f>F13-G13</f>
        <v>1673</v>
      </c>
      <c r="Y13" s="24"/>
      <c r="Z13" s="15">
        <v>20000</v>
      </c>
      <c r="AA13" s="24"/>
      <c r="AB13" s="15">
        <v>14.127</v>
      </c>
    </row>
    <row r="14" ht="20.05" customHeight="1">
      <c r="B14" s="13"/>
      <c r="C14" s="14">
        <v>4365</v>
      </c>
      <c r="D14" s="15">
        <v>304.75</v>
      </c>
      <c r="E14" s="15">
        <v>536</v>
      </c>
      <c r="F14" s="15">
        <v>6026</v>
      </c>
      <c r="G14" s="15">
        <v>4006</v>
      </c>
      <c r="H14" s="15">
        <v>26378</v>
      </c>
      <c r="I14" s="15">
        <v>4350</v>
      </c>
      <c r="J14" s="15">
        <v>633.5</v>
      </c>
      <c r="K14" s="15">
        <v>-294</v>
      </c>
      <c r="L14" s="15">
        <v>0</v>
      </c>
      <c r="M14" s="15">
        <v>-506</v>
      </c>
      <c r="N14" s="15">
        <f>SUM(C11:C14)/4</f>
        <v>3941.25</v>
      </c>
      <c r="O14" s="23"/>
      <c r="P14" s="16">
        <f>C14/C13-1</f>
        <v>0.343076923076923</v>
      </c>
      <c r="Q14" s="16">
        <f>(E14+D14)/C14</f>
        <v>0.192611683848797</v>
      </c>
      <c r="R14" s="16">
        <f>AVERAGE(Q11:Q14)</f>
        <v>0.185336897086295</v>
      </c>
      <c r="S14" s="17"/>
      <c r="T14" s="15">
        <f>SUM(J11:K14)/4</f>
        <v>578.9375</v>
      </c>
      <c r="U14" s="25"/>
      <c r="V14" s="15">
        <f>-(L14+M14)+V13</f>
        <v>7375</v>
      </c>
      <c r="W14" s="17"/>
      <c r="X14" s="15">
        <f>F14-G14</f>
        <v>2020</v>
      </c>
      <c r="Y14" s="24"/>
      <c r="Z14" s="15">
        <v>18725</v>
      </c>
      <c r="AA14" s="24"/>
      <c r="AB14" s="15">
        <v>14.195</v>
      </c>
    </row>
    <row r="15" ht="20.05" customHeight="1">
      <c r="B15" s="13"/>
      <c r="C15" s="14">
        <v>4591</v>
      </c>
      <c r="D15" s="15">
        <v>304.75</v>
      </c>
      <c r="E15" s="15">
        <v>659</v>
      </c>
      <c r="F15" s="15">
        <v>7652</v>
      </c>
      <c r="G15" s="15">
        <v>4628</v>
      </c>
      <c r="H15" s="15">
        <v>27708</v>
      </c>
      <c r="I15" s="15">
        <v>5240</v>
      </c>
      <c r="J15" s="15">
        <v>2029.5</v>
      </c>
      <c r="K15" s="15">
        <v>-391</v>
      </c>
      <c r="L15" s="15">
        <v>0</v>
      </c>
      <c r="M15" s="15">
        <v>-506</v>
      </c>
      <c r="N15" s="15">
        <f>SUM(C12:C15)/4</f>
        <v>3984.75</v>
      </c>
      <c r="O15" s="15"/>
      <c r="P15" s="16">
        <f>C15/C14-1</f>
        <v>0.0517754868270332</v>
      </c>
      <c r="Q15" s="16">
        <f>(E15+D15)/C15</f>
        <v>0.209921585711174</v>
      </c>
      <c r="R15" s="16">
        <f>AVERAGE(Q12:Q15)</f>
        <v>0.189764316380287</v>
      </c>
      <c r="S15" s="17"/>
      <c r="T15" s="15">
        <f>SUM(J12:K15)/4</f>
        <v>620.75</v>
      </c>
      <c r="U15" s="25"/>
      <c r="V15" s="15">
        <f>-(L15+M15)+V14</f>
        <v>7881</v>
      </c>
      <c r="W15" s="17"/>
      <c r="X15" s="15">
        <f>F15-G15</f>
        <v>3024</v>
      </c>
      <c r="Y15" s="24"/>
      <c r="Z15" s="15">
        <v>19025</v>
      </c>
      <c r="AA15" s="24"/>
      <c r="AB15" s="15">
        <v>13.882</v>
      </c>
    </row>
    <row r="16" ht="20.05" customHeight="1">
      <c r="B16" s="21">
        <v>2020</v>
      </c>
      <c r="C16" s="14">
        <v>3362.75</v>
      </c>
      <c r="D16" s="15">
        <v>371.8</v>
      </c>
      <c r="E16" s="15">
        <v>400.43</v>
      </c>
      <c r="F16" s="15">
        <v>7758</v>
      </c>
      <c r="G16" s="15">
        <v>3899</v>
      </c>
      <c r="H16" s="15">
        <v>27382</v>
      </c>
      <c r="I16" s="15">
        <v>3767.2</v>
      </c>
      <c r="J16" s="15">
        <v>129.46</v>
      </c>
      <c r="K16" s="15">
        <v>-220</v>
      </c>
      <c r="L16" s="15">
        <v>0</v>
      </c>
      <c r="M16" s="15">
        <v>0</v>
      </c>
      <c r="N16" s="15">
        <f>SUM(C13:C16)/4</f>
        <v>3892.1875</v>
      </c>
      <c r="O16" s="23"/>
      <c r="P16" s="16">
        <f>C16/C15-1</f>
        <v>-0.267534306251361</v>
      </c>
      <c r="Q16" s="16">
        <f>(E16+D16)/C16</f>
        <v>0.229642405769088</v>
      </c>
      <c r="R16" s="16">
        <f>AVERAGE(Q13:Q16)</f>
        <v>0.20017853421688</v>
      </c>
      <c r="S16" s="17"/>
      <c r="T16" s="15">
        <f>SUM(J13:K16)/4</f>
        <v>656.74</v>
      </c>
      <c r="U16" s="25"/>
      <c r="V16" s="15">
        <f>-(L16+M16)+V15</f>
        <v>7881</v>
      </c>
      <c r="W16" s="17"/>
      <c r="X16" s="15">
        <f>F16-G16</f>
        <v>3859</v>
      </c>
      <c r="Y16" s="24"/>
      <c r="Z16" s="15">
        <v>12500</v>
      </c>
      <c r="AA16" s="15"/>
      <c r="AB16" s="15">
        <v>16.31</v>
      </c>
    </row>
    <row r="17" ht="20.05" customHeight="1">
      <c r="B17" s="13"/>
      <c r="C17" s="14">
        <v>2812.25</v>
      </c>
      <c r="D17" s="15">
        <v>373.1</v>
      </c>
      <c r="E17" s="15">
        <v>69.59</v>
      </c>
      <c r="F17" s="15">
        <v>7780</v>
      </c>
      <c r="G17" s="15">
        <v>3499</v>
      </c>
      <c r="H17" s="15">
        <v>27037</v>
      </c>
      <c r="I17" s="15">
        <v>3687.4</v>
      </c>
      <c r="J17" s="15">
        <v>267.04</v>
      </c>
      <c r="K17" s="15">
        <v>-177.5</v>
      </c>
      <c r="L17" s="15">
        <v>0</v>
      </c>
      <c r="M17" s="15">
        <v>-0.02</v>
      </c>
      <c r="N17" s="15">
        <f>SUM(C14:C17)/4</f>
        <v>3782.75</v>
      </c>
      <c r="O17" s="15"/>
      <c r="P17" s="16">
        <f>C17/C16-1</f>
        <v>-0.163705300721136</v>
      </c>
      <c r="Q17" s="16">
        <f>(E17+D17)/C17</f>
        <v>0.157414881322784</v>
      </c>
      <c r="R17" s="16">
        <f>AVERAGE(Q14:Q17)</f>
        <v>0.197397639162961</v>
      </c>
      <c r="S17" s="17"/>
      <c r="T17" s="25">
        <f>SUM(J14:K17)/4</f>
        <v>494.25</v>
      </c>
      <c r="U17" s="25"/>
      <c r="V17" s="15">
        <f>-(L17+M17)+V16</f>
        <v>7881.02</v>
      </c>
      <c r="W17" s="17"/>
      <c r="X17" s="15">
        <f>F17-G17</f>
        <v>4281</v>
      </c>
      <c r="Y17" s="24"/>
      <c r="Z17" s="15">
        <v>11800</v>
      </c>
      <c r="AA17" s="15"/>
      <c r="AB17" s="15">
        <v>14.255</v>
      </c>
    </row>
    <row r="18" ht="20.05" customHeight="1">
      <c r="B18" s="13"/>
      <c r="C18" s="14">
        <v>3974.55</v>
      </c>
      <c r="D18" s="15">
        <v>362</v>
      </c>
      <c r="E18" s="15">
        <v>646.727</v>
      </c>
      <c r="F18" s="15">
        <v>6835</v>
      </c>
      <c r="G18" s="15">
        <v>3992</v>
      </c>
      <c r="H18" s="15">
        <v>26337</v>
      </c>
      <c r="I18" s="15">
        <v>3813.992</v>
      </c>
      <c r="J18" s="15">
        <v>890.477</v>
      </c>
      <c r="K18" s="15">
        <v>-90.67700000000001</v>
      </c>
      <c r="L18" s="15">
        <v>0</v>
      </c>
      <c r="M18" s="15">
        <v>-1839.98</v>
      </c>
      <c r="N18" s="15">
        <f>SUM(C15:C18)/4</f>
        <v>3685.1375</v>
      </c>
      <c r="O18" s="15"/>
      <c r="P18" s="16">
        <f>C18/C17-1</f>
        <v>0.413298959907547</v>
      </c>
      <c r="Q18" s="16">
        <f>(E18+D18)/C18</f>
        <v>0.253796530424828</v>
      </c>
      <c r="R18" s="16">
        <f>AVERAGE(Q15:Q18)</f>
        <v>0.212693850806969</v>
      </c>
      <c r="S18" s="17"/>
      <c r="T18" s="25">
        <f>SUM(J15:K18)/4</f>
        <v>609.325</v>
      </c>
      <c r="U18" s="25"/>
      <c r="V18" s="15">
        <f>-(L18+M18)+V17</f>
        <v>9721</v>
      </c>
      <c r="W18" s="17"/>
      <c r="X18" s="15">
        <f>F18-G18</f>
        <v>2843</v>
      </c>
      <c r="Y18" s="24"/>
      <c r="Z18" s="15">
        <v>10237.78125</v>
      </c>
      <c r="AA18" s="15"/>
      <c r="AB18" s="15">
        <v>14.79</v>
      </c>
    </row>
    <row r="19" ht="20.05" customHeight="1">
      <c r="B19" s="13"/>
      <c r="C19" s="14">
        <v>4034.45</v>
      </c>
      <c r="D19" s="15">
        <v>567.1</v>
      </c>
      <c r="E19" s="15">
        <v>689.253</v>
      </c>
      <c r="F19" s="15">
        <v>7698</v>
      </c>
      <c r="G19" s="15">
        <v>5168</v>
      </c>
      <c r="H19" s="15">
        <v>27345</v>
      </c>
      <c r="I19" s="15">
        <v>4631.408</v>
      </c>
      <c r="J19" s="15">
        <v>2047.023</v>
      </c>
      <c r="K19" s="15">
        <v>-173.823</v>
      </c>
      <c r="L19" s="15">
        <v>0</v>
      </c>
      <c r="M19" s="15">
        <v>-818.9</v>
      </c>
      <c r="N19" s="15">
        <f>SUM(C16:C19)/4</f>
        <v>3546</v>
      </c>
      <c r="O19" s="15">
        <v>3941.76375</v>
      </c>
      <c r="P19" s="16">
        <f>C19/C18-1</f>
        <v>0.0150708885282611</v>
      </c>
      <c r="Q19" s="16">
        <f>(E19+D19)/C19</f>
        <v>0.311406263555131</v>
      </c>
      <c r="R19" s="16">
        <f>AVERAGE(Q16:Q19)</f>
        <v>0.238065020267958</v>
      </c>
      <c r="S19" s="17"/>
      <c r="T19" s="25">
        <f>SUM(J16:K19)/4</f>
        <v>668</v>
      </c>
      <c r="U19" s="25"/>
      <c r="V19" s="15">
        <f>-(L19+M19)+V18</f>
        <v>10539.9</v>
      </c>
      <c r="W19" s="17"/>
      <c r="X19" s="15">
        <f>F19-G19</f>
        <v>2530</v>
      </c>
      <c r="Y19" s="24"/>
      <c r="Z19" s="15">
        <v>14475</v>
      </c>
      <c r="AA19" s="17"/>
      <c r="AB19" s="15">
        <v>14.1</v>
      </c>
    </row>
    <row r="20" ht="20.05" customHeight="1">
      <c r="B20" s="21">
        <v>2021</v>
      </c>
      <c r="C20" s="14">
        <v>3438</v>
      </c>
      <c r="D20" s="15">
        <v>371.6</v>
      </c>
      <c r="E20" s="15">
        <v>351.3</v>
      </c>
      <c r="F20" s="15">
        <v>7929</v>
      </c>
      <c r="G20" s="15">
        <v>4804</v>
      </c>
      <c r="H20" s="15">
        <v>27332</v>
      </c>
      <c r="I20" s="15">
        <v>3758.6</v>
      </c>
      <c r="J20" s="15">
        <v>245.5</v>
      </c>
      <c r="K20" s="15">
        <v>-32.4</v>
      </c>
      <c r="L20" s="15">
        <v>0</v>
      </c>
      <c r="M20" s="15">
        <v>-9.1</v>
      </c>
      <c r="N20" s="15">
        <f>SUM(C17:C20)/4</f>
        <v>3564.8125</v>
      </c>
      <c r="O20" s="15">
        <v>3905.418333333330</v>
      </c>
      <c r="P20" s="16">
        <f>C20/C19-1</f>
        <v>-0.147839234592076</v>
      </c>
      <c r="Q20" s="16">
        <f>(E20+D20)/C20</f>
        <v>0.210267597440372</v>
      </c>
      <c r="R20" s="16">
        <f>AVERAGE(Q17:Q20)</f>
        <v>0.233221318185779</v>
      </c>
      <c r="S20" s="17"/>
      <c r="T20" s="25">
        <f>SUM(J17:K20)/4</f>
        <v>743.91</v>
      </c>
      <c r="U20" s="25"/>
      <c r="V20" s="15">
        <f>-(L20+M20)+V19</f>
        <v>10549</v>
      </c>
      <c r="W20" s="17"/>
      <c r="X20" s="15">
        <f>F20-G20</f>
        <v>3125</v>
      </c>
      <c r="Y20" s="15"/>
      <c r="Z20" s="15">
        <v>12225</v>
      </c>
      <c r="AA20" s="15"/>
      <c r="AB20" s="15">
        <v>14.606</v>
      </c>
    </row>
    <row r="21" ht="20.05" customHeight="1">
      <c r="B21" s="13"/>
      <c r="C21" s="14">
        <v>3228.9</v>
      </c>
      <c r="D21" s="15">
        <v>322.7</v>
      </c>
      <c r="E21" s="15">
        <v>235.3</v>
      </c>
      <c r="F21" s="15">
        <v>8078</v>
      </c>
      <c r="G21" s="15">
        <v>4594</v>
      </c>
      <c r="H21" s="15">
        <v>27357</v>
      </c>
      <c r="I21" s="15">
        <v>3468.3</v>
      </c>
      <c r="J21" s="15">
        <v>202.3</v>
      </c>
      <c r="K21" s="15">
        <v>-41.2</v>
      </c>
      <c r="L21" s="15">
        <v>0</v>
      </c>
      <c r="M21" s="15">
        <v>0</v>
      </c>
      <c r="N21" s="15">
        <f>SUM(C18:C21)/4</f>
        <v>3668.975</v>
      </c>
      <c r="O21" s="15">
        <v>3745.58875</v>
      </c>
      <c r="P21" s="16">
        <f>C21/C20-1</f>
        <v>-0.0608202443280977</v>
      </c>
      <c r="Q21" s="16">
        <f>(E21+D21)/C21</f>
        <v>0.172814271114002</v>
      </c>
      <c r="R21" s="16">
        <f>AVERAGE(Q18:Q21)</f>
        <v>0.237071165633583</v>
      </c>
      <c r="S21" s="17"/>
      <c r="T21" s="25">
        <f>SUM(J18:K21)/4</f>
        <v>761.8</v>
      </c>
      <c r="U21" s="25"/>
      <c r="V21" s="15">
        <f>-(L21+M21)+V20</f>
        <v>10549</v>
      </c>
      <c r="W21" s="17"/>
      <c r="X21" s="15">
        <f>F21-G21</f>
        <v>3484</v>
      </c>
      <c r="Y21" s="15"/>
      <c r="Z21" s="15">
        <v>10300</v>
      </c>
      <c r="AA21" s="15"/>
      <c r="AB21" s="15">
        <v>14.45</v>
      </c>
    </row>
    <row r="22" ht="20.05" customHeight="1">
      <c r="B22" s="13"/>
      <c r="C22" s="14">
        <v>3941.8</v>
      </c>
      <c r="D22" s="15">
        <v>344.2</v>
      </c>
      <c r="E22" s="15">
        <v>621.7</v>
      </c>
      <c r="F22" s="15">
        <v>6818</v>
      </c>
      <c r="G22" s="15">
        <v>4707</v>
      </c>
      <c r="H22" s="15">
        <v>26257</v>
      </c>
      <c r="I22" s="15">
        <v>4216.9</v>
      </c>
      <c r="J22" s="15">
        <v>700.1</v>
      </c>
      <c r="K22" s="15">
        <v>-110.4</v>
      </c>
      <c r="L22" s="15">
        <v>0</v>
      </c>
      <c r="M22" s="15">
        <v>-1840</v>
      </c>
      <c r="N22" s="15">
        <f>SUM(C19:C22)/4</f>
        <v>3660.7875</v>
      </c>
      <c r="O22" s="15">
        <v>3665.6125</v>
      </c>
      <c r="P22" s="16">
        <f>C22/C21-1</f>
        <v>0.220787265012853</v>
      </c>
      <c r="Q22" s="16">
        <f>(E22+D22)/C22</f>
        <v>0.245040336901923</v>
      </c>
      <c r="R22" s="16">
        <f>AVERAGE(Q19:Q22)</f>
        <v>0.234882117252857</v>
      </c>
      <c r="S22" s="17"/>
      <c r="T22" s="25">
        <f>SUM(J19:K22)/4</f>
        <v>709.275</v>
      </c>
      <c r="U22" s="25"/>
      <c r="V22" s="15">
        <f>-(L22+M22)+V21</f>
        <v>12389</v>
      </c>
      <c r="W22" s="17"/>
      <c r="X22" s="15">
        <f>F22-G22</f>
        <v>2111</v>
      </c>
      <c r="Y22" s="15"/>
      <c r="Z22" s="15">
        <v>10500</v>
      </c>
      <c r="AA22" s="15"/>
      <c r="AB22" s="15">
        <v>14.328</v>
      </c>
    </row>
    <row r="23" ht="20.05" customHeight="1">
      <c r="B23" s="13"/>
      <c r="C23" s="14">
        <v>4163.2</v>
      </c>
      <c r="D23" s="15">
        <v>362.3</v>
      </c>
      <c r="E23" s="15">
        <v>580.2</v>
      </c>
      <c r="F23" s="15">
        <v>6141</v>
      </c>
      <c r="G23" s="15">
        <v>5515</v>
      </c>
      <c r="H23" s="15">
        <v>26136</v>
      </c>
      <c r="I23" s="15">
        <v>4793.7</v>
      </c>
      <c r="J23" s="15">
        <v>1268.8</v>
      </c>
      <c r="K23" s="15">
        <v>-374.1</v>
      </c>
      <c r="L23" s="15">
        <v>0</v>
      </c>
      <c r="M23" s="15">
        <v>-1564.2</v>
      </c>
      <c r="N23" s="15">
        <f>SUM(C20:C23)/4</f>
        <v>3692.975</v>
      </c>
      <c r="O23" s="15">
        <v>3657.015625</v>
      </c>
      <c r="P23" s="16">
        <f>C23/C22-1</f>
        <v>0.0561672332436958</v>
      </c>
      <c r="Q23" s="16">
        <f>(E23+D23)/C23</f>
        <v>0.226388355111453</v>
      </c>
      <c r="R23" s="16">
        <f>AVERAGE(Q20:Q23)</f>
        <v>0.213627640141938</v>
      </c>
      <c r="S23" s="17"/>
      <c r="T23" s="25">
        <f>SUM(J20:K23)/4</f>
        <v>464.65</v>
      </c>
      <c r="U23" s="25"/>
      <c r="V23" s="15">
        <f>-(L23+M23)+V22</f>
        <v>13953.2</v>
      </c>
      <c r="W23" s="17"/>
      <c r="X23" s="15">
        <f>F23-G23</f>
        <v>626</v>
      </c>
      <c r="Y23" s="15"/>
      <c r="Z23" s="15">
        <v>12100</v>
      </c>
      <c r="AA23" s="15"/>
      <c r="AB23" s="15">
        <v>14.275</v>
      </c>
    </row>
    <row r="24" ht="20.05" customHeight="1">
      <c r="B24" s="21">
        <v>2022</v>
      </c>
      <c r="C24" s="14">
        <v>3558</v>
      </c>
      <c r="D24" s="15">
        <v>330</v>
      </c>
      <c r="E24" s="15">
        <v>183</v>
      </c>
      <c r="F24" s="15">
        <v>5563</v>
      </c>
      <c r="G24" s="15">
        <v>5357</v>
      </c>
      <c r="H24" s="15">
        <v>25903</v>
      </c>
      <c r="I24" s="15">
        <v>3879</v>
      </c>
      <c r="J24" s="15">
        <v>-58.6</v>
      </c>
      <c r="K24" s="15">
        <v>-243</v>
      </c>
      <c r="L24" s="15">
        <v>0</v>
      </c>
      <c r="M24" s="15">
        <v>-281</v>
      </c>
      <c r="N24" s="15">
        <f>SUM(C21:C24)/4</f>
        <v>3722.975</v>
      </c>
      <c r="O24" s="15">
        <v>3635.55375</v>
      </c>
      <c r="P24" s="16">
        <f>C24/C23-1</f>
        <v>-0.145368946963874</v>
      </c>
      <c r="Q24" s="16">
        <f>(E24+D24)/C24</f>
        <v>0.144182124789207</v>
      </c>
      <c r="R24" s="16">
        <f>AVERAGE(Q21:Q24)</f>
        <v>0.197106271979146</v>
      </c>
      <c r="S24" s="35"/>
      <c r="T24" s="25">
        <f>SUM(J21:K24)/4</f>
        <v>335.975</v>
      </c>
      <c r="U24" s="15">
        <v>757.228215</v>
      </c>
      <c r="V24" s="15">
        <f>-(L24+M24)+V23</f>
        <v>14234.2</v>
      </c>
      <c r="W24" s="15"/>
      <c r="X24" s="15">
        <f>F24-G24</f>
        <v>206</v>
      </c>
      <c r="Y24" s="15">
        <v>1271.1</v>
      </c>
      <c r="Z24" s="15">
        <v>10775</v>
      </c>
      <c r="AA24" s="15"/>
      <c r="AB24" s="15">
        <v>14.327</v>
      </c>
    </row>
    <row r="25" ht="20.05" customHeight="1">
      <c r="B25" s="13"/>
      <c r="C25" s="14">
        <v>3353</v>
      </c>
      <c r="D25" s="15">
        <v>330</v>
      </c>
      <c r="E25" s="15">
        <v>109</v>
      </c>
      <c r="F25" s="15">
        <v>3144</v>
      </c>
      <c r="G25" s="15">
        <v>5132</v>
      </c>
      <c r="H25" s="15">
        <v>23455</v>
      </c>
      <c r="I25" s="15">
        <v>3586</v>
      </c>
      <c r="J25" s="15">
        <v>16.6</v>
      </c>
      <c r="K25" s="15">
        <v>-159</v>
      </c>
      <c r="L25" s="15">
        <v>0</v>
      </c>
      <c r="M25" s="15">
        <v>-2309</v>
      </c>
      <c r="N25" s="15">
        <f>SUM(C22:C25)/4</f>
        <v>3754</v>
      </c>
      <c r="O25" s="15">
        <v>3690.73875</v>
      </c>
      <c r="P25" s="16">
        <f>C25/C24-1</f>
        <v>-0.0576166385609893</v>
      </c>
      <c r="Q25" s="16">
        <f>(E25+D25)/C25</f>
        <v>0.130927527587235</v>
      </c>
      <c r="R25" s="16">
        <f>AVERAGE(Q22:Q25)</f>
        <v>0.186634586097455</v>
      </c>
      <c r="S25" s="35"/>
      <c r="T25" s="25">
        <f>SUM(J22:K25)/4</f>
        <v>260.1</v>
      </c>
      <c r="U25" s="15">
        <v>580.299081583050</v>
      </c>
      <c r="V25" s="15">
        <f>-(L25+M25)+V24</f>
        <v>16543.2</v>
      </c>
      <c r="W25" s="15"/>
      <c r="X25" s="15">
        <f>F25-G25</f>
        <v>-1988</v>
      </c>
      <c r="Y25" s="15">
        <v>648.8</v>
      </c>
      <c r="Z25" s="15">
        <v>9475</v>
      </c>
      <c r="AA25" s="15">
        <v>18184</v>
      </c>
      <c r="AB25" s="15">
        <v>14.66</v>
      </c>
    </row>
    <row r="26" ht="20.05" customHeight="1">
      <c r="B26" s="13"/>
      <c r="C26" s="14">
        <v>4749.9</v>
      </c>
      <c r="D26" s="15">
        <v>308.7</v>
      </c>
      <c r="E26" s="15">
        <v>654.8</v>
      </c>
      <c r="F26" s="15">
        <v>3548</v>
      </c>
      <c r="G26" s="15">
        <v>5787</v>
      </c>
      <c r="H26" s="15">
        <v>24482</v>
      </c>
      <c r="I26" s="15">
        <v>5072.3</v>
      </c>
      <c r="J26" s="15">
        <v>835.5</v>
      </c>
      <c r="K26" s="15">
        <v>-145.6</v>
      </c>
      <c r="L26" s="15">
        <v>0</v>
      </c>
      <c r="M26" s="15">
        <v>-301.6</v>
      </c>
      <c r="N26" s="15">
        <f>SUM(C23:C26)/4</f>
        <v>3956.025</v>
      </c>
      <c r="O26" s="15">
        <v>3872.4172536</v>
      </c>
      <c r="P26" s="16">
        <f>C26/C25-1</f>
        <v>0.416611989263346</v>
      </c>
      <c r="Q26" s="16">
        <f>(E26+D26)/C26</f>
        <v>0.202846375713173</v>
      </c>
      <c r="R26" s="16">
        <f>AVERAGE(Q23:Q26)</f>
        <v>0.176086095800267</v>
      </c>
      <c r="S26" s="35">
        <f>S27</f>
        <v>0.202846375713173</v>
      </c>
      <c r="T26" s="25">
        <f>SUM(J23:K26)/4</f>
        <v>285.15</v>
      </c>
      <c r="U26" s="15">
        <v>563.726991322278</v>
      </c>
      <c r="V26" s="15">
        <f>-(L26+M26)+V25</f>
        <v>16844.8</v>
      </c>
      <c r="W26" s="15">
        <f>W27</f>
        <v>18572.372244175</v>
      </c>
      <c r="X26" s="15">
        <f>F26-G26</f>
        <v>-2239</v>
      </c>
      <c r="Y26" s="15">
        <v>-996.364424297631</v>
      </c>
      <c r="Z26" s="15">
        <v>9500</v>
      </c>
      <c r="AA26" s="15">
        <v>17629.4985549532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4279.1000055375</v>
      </c>
      <c r="P27" s="17"/>
      <c r="Q27" s="17"/>
      <c r="R27" s="17"/>
      <c r="S27" s="35">
        <f>AE53</f>
        <v>0.202846375713173</v>
      </c>
      <c r="T27" s="25"/>
      <c r="U27" s="15">
        <f>SUM(AE55:AH55)/4</f>
        <v>722.3999274375</v>
      </c>
      <c r="V27" s="17"/>
      <c r="W27" s="15">
        <f>-SUM(AE76:AH76)+V26</f>
        <v>18572.372244175</v>
      </c>
      <c r="X27" s="26"/>
      <c r="Y27" s="15">
        <f>AH75</f>
        <v>-3.520203175</v>
      </c>
      <c r="Z27" s="15">
        <v>10275</v>
      </c>
      <c r="AA27" s="15">
        <v>11066.713508663</v>
      </c>
      <c r="AB27" s="17"/>
    </row>
    <row r="28" ht="20.05" customHeight="1">
      <c r="B28" s="21">
        <v>2023</v>
      </c>
      <c r="C28" s="14">
        <f>SUM(C23:C26)</f>
        <v>15824.1</v>
      </c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SUM(N19:N26)</f>
        <v>29566.55</v>
      </c>
      <c r="O28" s="15">
        <f>SUM(O19:O26)</f>
        <v>30114.1087119333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14306.8651282032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259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0.0674484092455446</v>
      </c>
      <c r="AF49" s="35"/>
      <c r="AG49" s="35"/>
      <c r="AH49" s="35">
        <f>AVERAGE(AE51:AH51)</f>
        <v>-0.0125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t="s" s="33">
        <v>628</v>
      </c>
      <c r="AD50" s="37"/>
      <c r="AE50" s="35">
        <f>P23</f>
        <v>0.0561672332436958</v>
      </c>
      <c r="AF50" s="35">
        <f>P24</f>
        <v>-0.145368946963874</v>
      </c>
      <c r="AG50" s="35">
        <f>P25</f>
        <v>-0.0576166385609893</v>
      </c>
      <c r="AH50" s="35">
        <f>P26</f>
        <v>0.416611989263346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629</v>
      </c>
      <c r="AD51" s="37"/>
      <c r="AE51" s="35">
        <v>0.01</v>
      </c>
      <c r="AF51" s="35">
        <v>-0.15</v>
      </c>
      <c r="AG51" s="35">
        <v>-0.06</v>
      </c>
      <c r="AH51" s="35">
        <v>0.15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4749.9</v>
      </c>
      <c r="AE52" s="23">
        <f>AD52*(1+AE51)</f>
        <v>4797.399</v>
      </c>
      <c r="AF52" s="23">
        <f>AE52*(1+AF51)</f>
        <v>4077.78915</v>
      </c>
      <c r="AG52" s="23">
        <f>AF52*(1+AG51)</f>
        <v>3833.121801</v>
      </c>
      <c r="AH52" s="23">
        <f>AG52*(1+AH51)</f>
        <v>4408.09007115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0.202846375713173</v>
      </c>
      <c r="AF53" s="35">
        <f>AE53</f>
        <v>0.202846375713173</v>
      </c>
      <c r="AG53" s="35">
        <f>AF53</f>
        <v>0.202846375713173</v>
      </c>
      <c r="AH53" s="35">
        <f>AG53</f>
        <v>0.202846375713173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-145.6</v>
      </c>
      <c r="AF54" s="15">
        <f>AE54</f>
        <v>-145.6</v>
      </c>
      <c r="AG54" s="15">
        <f>AF54</f>
        <v>-145.6</v>
      </c>
      <c r="AH54" s="15">
        <f>AG54</f>
        <v>-145.6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827.535</v>
      </c>
      <c r="AF55" s="15">
        <f>(AF52*AF53)+AF54</f>
        <v>681.56475</v>
      </c>
      <c r="AG55" s="15">
        <f>(AG52*AG53)+AG54</f>
        <v>631.9348649999999</v>
      </c>
      <c r="AH55" s="15">
        <f>(AH52*AH53)+AH54</f>
        <v>748.56509475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-289.35</v>
      </c>
      <c r="AF56" s="15">
        <f>-AE71/20</f>
        <v>-274.8825</v>
      </c>
      <c r="AG56" s="15">
        <f>-AF71/20</f>
        <v>-261.138375</v>
      </c>
      <c r="AH56" s="15">
        <f>-AG71/20</f>
        <v>-248.08145625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-0.3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-195.0705</v>
      </c>
      <c r="AF58" s="15">
        <f>IF(AF66&gt;0,AF66*$AE$57,0)</f>
        <v>-151.279425</v>
      </c>
      <c r="AG58" s="15">
        <f>IF(AG66&gt;0,AG66*$AE$57,0)</f>
        <v>-136.3904595</v>
      </c>
      <c r="AH58" s="15">
        <f>IF(AH66&gt;0,AH66*$AE$57,0)</f>
        <v>-171.379528425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343.1145</v>
      </c>
      <c r="AF59" s="15">
        <f>AF55+AF56+AF58</f>
        <v>255.402825</v>
      </c>
      <c r="AG59" s="15">
        <f>AG55+AG56+AG58</f>
        <v>234.4060305</v>
      </c>
      <c r="AH59" s="15">
        <f>AH55+AH56+AH58</f>
        <v>329.104110075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3548</v>
      </c>
      <c r="AF61" s="15">
        <f>AE63</f>
        <v>3891.1145</v>
      </c>
      <c r="AG61" s="15">
        <f>AF63</f>
        <v>4146.517325</v>
      </c>
      <c r="AH61" s="15">
        <f>AG63</f>
        <v>4380.9233555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343.1145</v>
      </c>
      <c r="AF62" s="15">
        <f>AF55+AF56+AF58+AF60</f>
        <v>255.402825</v>
      </c>
      <c r="AG62" s="15">
        <f>AG55+AG56+AG58+AG60</f>
        <v>234.4060305</v>
      </c>
      <c r="AH62" s="15">
        <f>AH55+AH56+AH58+AH60</f>
        <v>329.104110075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3891.1145</v>
      </c>
      <c r="AF63" s="15">
        <f>AF61+AF62</f>
        <v>4146.517325</v>
      </c>
      <c r="AG63" s="15">
        <f>AG61+AG62</f>
        <v>4380.9233555</v>
      </c>
      <c r="AH63" s="15">
        <f>AH61+AH62</f>
        <v>4710.027465575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-322.9</v>
      </c>
      <c r="AF65" s="15">
        <f>AE65</f>
        <v>-322.9</v>
      </c>
      <c r="AG65" s="15">
        <f>AF65</f>
        <v>-322.9</v>
      </c>
      <c r="AH65" s="15">
        <f>AG65</f>
        <v>-322.9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650.235</v>
      </c>
      <c r="AF66" s="15">
        <f>(AF52*AF53)+AF65</f>
        <v>504.26475</v>
      </c>
      <c r="AG66" s="15">
        <f>(AG52*AG53)+AG65</f>
        <v>454.634865</v>
      </c>
      <c r="AH66" s="15">
        <f>(AH52*AH53)+AH65</f>
        <v>571.26509475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21079.6</v>
      </c>
      <c r="AF68" s="15">
        <f>AE68-AF54</f>
        <v>21225.2</v>
      </c>
      <c r="AG68" s="15">
        <f>AF68-AG54</f>
        <v>21370.8</v>
      </c>
      <c r="AH68" s="15">
        <f>AG68-AH54</f>
        <v>21516.4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322.9</v>
      </c>
      <c r="AF69" s="15">
        <f>AE69-AF65</f>
        <v>645.8</v>
      </c>
      <c r="AG69" s="15">
        <f>AF69-AG65</f>
        <v>968.7</v>
      </c>
      <c r="AH69" s="15">
        <f>AG69-AH65</f>
        <v>1291.6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20756.7</v>
      </c>
      <c r="AF70" s="15">
        <f>AF68-AF69</f>
        <v>20579.4</v>
      </c>
      <c r="AG70" s="15">
        <f>AG68-AG69</f>
        <v>20402.1</v>
      </c>
      <c r="AH70" s="15">
        <f>AH68-AH69</f>
        <v>20224.8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5497.65</v>
      </c>
      <c r="AF71" s="15">
        <f>AE71+AF56</f>
        <v>5222.7675</v>
      </c>
      <c r="AG71" s="15">
        <f>AF71+AG56</f>
        <v>4961.629125</v>
      </c>
      <c r="AH71" s="15">
        <f>AG71+AH56</f>
        <v>4713.54766875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19150.1645</v>
      </c>
      <c r="AF73" s="15">
        <f>AE73+AF66+AF58</f>
        <v>19503.149825</v>
      </c>
      <c r="AG73" s="15">
        <f>AF73+AG66+AG58</f>
        <v>19821.3942305</v>
      </c>
      <c r="AH73" s="15">
        <f>AG73+AH66+AH58</f>
        <v>20221.279796825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0</v>
      </c>
      <c r="AG74" s="15">
        <f>AG71+AG72+AG73-AG63-AG70</f>
        <v>0</v>
      </c>
      <c r="AH74" s="15">
        <f>AH71+AH72+AH73-AH63-AH70</f>
        <v>0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-1606.5355</v>
      </c>
      <c r="AF75" s="15">
        <f>AF63-AF71-AF72</f>
        <v>-1076.250175</v>
      </c>
      <c r="AG75" s="15">
        <f>AG63-AG71-AG72</f>
        <v>-580.7057695</v>
      </c>
      <c r="AH75" s="15">
        <f>AH63-AH71-AH72</f>
        <v>-3.520203175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-484.4205</v>
      </c>
      <c r="AF76" s="15">
        <f>AF56+AF58+AF60</f>
        <v>-426.161925</v>
      </c>
      <c r="AG76" s="15">
        <f>AG56+AG58+AG60</f>
        <v>-397.5288345</v>
      </c>
      <c r="AH76" s="15">
        <f>AH56+AH58+AH60</f>
        <v>-419.460984675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630</v>
      </c>
      <c r="AD78" s="14"/>
      <c r="AE78" s="15"/>
      <c r="AF78" s="15"/>
      <c r="AG78" s="15"/>
      <c r="AH78" s="15">
        <v>10275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630</v>
      </c>
      <c r="AD79" s="14"/>
      <c r="AE79" s="15"/>
      <c r="AF79" s="15"/>
      <c r="AG79" s="15"/>
      <c r="AH79" s="15">
        <v>35279624486400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35279.6244864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3.433540096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1.41487341490961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0.01854101120541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2889.59970975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6.99917013825759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12.2091735984609</v>
      </c>
      <c r="AH86" s="15">
        <v>17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49123.19506575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14306.8651282032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0.392395632915153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0.205007864427419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0.018519533457008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630</v>
      </c>
      <c r="AF94" t="s" s="44">
        <v>60</v>
      </c>
      <c r="AG94" s="15">
        <f>AH78</f>
        <v>10275</v>
      </c>
      <c r="AH94" t="s" s="44">
        <v>61</v>
      </c>
      <c r="AI94" s="15">
        <f>AH88</f>
        <v>14306.8651282032</v>
      </c>
      <c r="AJ94" t="s" s="44">
        <f>IF(AK94&gt;0,"+","")</f>
        <v>361</v>
      </c>
      <c r="AK94" s="16">
        <f>AI94/AG94-1</f>
        <v>0.392395632915153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0.205007864427419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0.0323302760900897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0.126299530249186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-0.06346439432378639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0.416611989263346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0.220787265012853</v>
      </c>
      <c r="AF103" s="16">
        <f>P23</f>
        <v>0.0561672332436958</v>
      </c>
      <c r="AG103" s="16">
        <f>P24</f>
        <v>-0.145368946963874</v>
      </c>
      <c r="AH103" s="16">
        <f>P25</f>
        <v>-0.0576166385609893</v>
      </c>
      <c r="AI103" s="16">
        <f>P26</f>
        <v>0.416611989263346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3941.8</v>
      </c>
      <c r="AF104" t="s" s="44">
        <v>72</v>
      </c>
      <c r="AG104" s="15">
        <f>C23</f>
        <v>4163.2</v>
      </c>
      <c r="AH104" t="s" s="44">
        <v>72</v>
      </c>
      <c r="AI104" s="15">
        <f>C24</f>
        <v>3558</v>
      </c>
      <c r="AJ104" t="s" s="44">
        <v>72</v>
      </c>
      <c r="AK104" s="15">
        <f>C25</f>
        <v>3353</v>
      </c>
      <c r="AL104" t="s" s="44">
        <v>72</v>
      </c>
      <c r="AM104" s="15">
        <f>C26</f>
        <v>4749.9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0.416611989263346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4749.9</v>
      </c>
      <c r="AM105" t="s" s="44">
        <v>372</v>
      </c>
      <c r="AN105" t="s" s="44">
        <v>373</v>
      </c>
      <c r="AO105" s="16">
        <f>AH91</f>
        <v>0.018519533457008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0.0674484092455446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-0.0125</v>
      </c>
      <c r="AG107" t="s" s="44">
        <v>82</v>
      </c>
      <c r="AH107" t="s" s="44">
        <v>83</v>
      </c>
      <c r="AI107" s="23">
        <f>AH52</f>
        <v>4408.09007115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0.245040336901923</v>
      </c>
      <c r="AF110" s="16">
        <f>(D23+E23)/C23</f>
        <v>0.226388355111453</v>
      </c>
      <c r="AG110" s="16">
        <f>((E24+D24)/C24)</f>
        <v>0.144182124789207</v>
      </c>
      <c r="AH110" s="16">
        <f>(D25+E25)/C25</f>
        <v>0.130927527587235</v>
      </c>
      <c r="AI110" s="16">
        <f>(D26+E26)/C26</f>
        <v>0.202846375713173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621.7</v>
      </c>
      <c r="AF111" t="s" s="44">
        <v>72</v>
      </c>
      <c r="AG111" s="15">
        <f>E23</f>
        <v>580.2</v>
      </c>
      <c r="AH111" t="s" s="44">
        <v>72</v>
      </c>
      <c r="AI111" s="15">
        <f>E24</f>
        <v>183</v>
      </c>
      <c r="AJ111" t="s" s="44">
        <v>72</v>
      </c>
      <c r="AK111" s="15">
        <f>E25</f>
        <v>109</v>
      </c>
      <c r="AL111" t="s" s="44">
        <v>72</v>
      </c>
      <c r="AM111" s="15">
        <f>E26</f>
        <v>654.8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0.130927527587235</v>
      </c>
      <c r="AG112" t="s" s="44">
        <v>76</v>
      </c>
      <c r="AH112" s="16">
        <f>AI110</f>
        <v>0.202846375713173</v>
      </c>
      <c r="AI112" t="s" s="44">
        <v>90</v>
      </c>
      <c r="AJ112" s="15">
        <f>AK111</f>
        <v>109</v>
      </c>
      <c r="AK112" t="s" s="44">
        <v>76</v>
      </c>
      <c r="AL112" s="15">
        <f>AM111</f>
        <v>654.8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0.176086095800267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0.202846375713173</v>
      </c>
      <c r="AG114" t="s" s="44">
        <v>94</v>
      </c>
      <c r="AH114" s="15">
        <f>AH66</f>
        <v>571.26509475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700.1</v>
      </c>
      <c r="AF117" t="s" s="44">
        <v>72</v>
      </c>
      <c r="AG117" s="15">
        <f>J23</f>
        <v>1268.8</v>
      </c>
      <c r="AH117" t="s" s="44">
        <v>72</v>
      </c>
      <c r="AI117" s="15">
        <f>J24</f>
        <v>-58.6</v>
      </c>
      <c r="AJ117" t="s" s="44">
        <v>72</v>
      </c>
      <c r="AK117" s="15">
        <f>J25</f>
        <v>16.6</v>
      </c>
      <c r="AL117" t="s" s="44">
        <v>72</v>
      </c>
      <c r="AM117" s="15">
        <f>J26</f>
        <v>835.5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-110.4</v>
      </c>
      <c r="AF118" t="s" s="44">
        <v>72</v>
      </c>
      <c r="AG118" s="15">
        <f>K23</f>
        <v>-374.1</v>
      </c>
      <c r="AH118" t="s" s="44">
        <v>72</v>
      </c>
      <c r="AI118" s="15">
        <f>K24</f>
        <v>-243</v>
      </c>
      <c r="AJ118" t="s" s="44">
        <v>72</v>
      </c>
      <c r="AK118" s="15">
        <f>K25</f>
        <v>-159</v>
      </c>
      <c r="AL118" t="s" s="44">
        <v>72</v>
      </c>
      <c r="AM118" s="15">
        <f>K26</f>
        <v>-145.6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-142.4</v>
      </c>
      <c r="AG119" t="s" s="44">
        <v>76</v>
      </c>
      <c r="AH119" s="15">
        <f>AM117+AM118</f>
        <v>689.9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-145.6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285.15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-145.6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104</v>
      </c>
      <c r="AK121" t="s" s="44">
        <v>105</v>
      </c>
      <c r="AL121" s="15">
        <f>SUM(AE55:AH55)/4</f>
        <v>722.3999274375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6818</v>
      </c>
      <c r="AF124" t="s" s="44">
        <v>72</v>
      </c>
      <c r="AG124" s="15">
        <f>F23</f>
        <v>6141</v>
      </c>
      <c r="AH124" t="s" s="44">
        <v>72</v>
      </c>
      <c r="AI124" s="15">
        <f>F24</f>
        <v>5563</v>
      </c>
      <c r="AJ124" t="s" s="44">
        <v>72</v>
      </c>
      <c r="AK124" s="15">
        <f>F25</f>
        <v>3144</v>
      </c>
      <c r="AL124" t="s" s="44">
        <v>72</v>
      </c>
      <c r="AM124" s="15">
        <f>F26</f>
        <v>3548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4707</v>
      </c>
      <c r="AF125" t="s" s="44">
        <v>72</v>
      </c>
      <c r="AG125" s="15">
        <f>G23</f>
        <v>5515</v>
      </c>
      <c r="AH125" t="s" s="44">
        <v>72</v>
      </c>
      <c r="AI125" s="15">
        <f>G24</f>
        <v>5357</v>
      </c>
      <c r="AJ125" t="s" s="44">
        <v>72</v>
      </c>
      <c r="AK125" s="15">
        <f>G25</f>
        <v>5132</v>
      </c>
      <c r="AL125" t="s" s="44">
        <v>72</v>
      </c>
      <c r="AM125" s="15">
        <f>G26</f>
        <v>5787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3144</v>
      </c>
      <c r="AH126" t="s" s="44">
        <v>76</v>
      </c>
      <c r="AI126" s="15">
        <f>AM124</f>
        <v>3548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5132</v>
      </c>
      <c r="AH127" t="s" s="44">
        <v>76</v>
      </c>
      <c r="AI127" s="15">
        <f>AM125</f>
        <v>5787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-1988</v>
      </c>
      <c r="AO127" t="s" s="44">
        <v>76</v>
      </c>
      <c r="AP127" s="15">
        <f>AI126-AI127</f>
        <v>-2239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-654.119912925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-1073.45233125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-3.520203175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0</v>
      </c>
      <c r="AF131" t="s" s="44">
        <v>72</v>
      </c>
      <c r="AG131" s="15">
        <f>-L23</f>
        <v>0</v>
      </c>
      <c r="AH131" t="s" s="44">
        <v>72</v>
      </c>
      <c r="AI131" s="15">
        <f>-L24</f>
        <v>0</v>
      </c>
      <c r="AJ131" t="s" s="44">
        <v>72</v>
      </c>
      <c r="AK131" s="15">
        <f>-L25</f>
        <v>0</v>
      </c>
      <c r="AL131" t="s" s="44">
        <v>72</v>
      </c>
      <c r="AM131" s="15">
        <f>-L26</f>
        <v>0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1840</v>
      </c>
      <c r="AF132" t="s" s="44">
        <v>72</v>
      </c>
      <c r="AG132" s="15">
        <f>-M23</f>
        <v>1564.2</v>
      </c>
      <c r="AH132" t="s" s="44">
        <v>72</v>
      </c>
      <c r="AI132" s="15">
        <f>-M24</f>
        <v>281</v>
      </c>
      <c r="AJ132" t="s" s="44">
        <v>72</v>
      </c>
      <c r="AK132" s="15">
        <f>-M25</f>
        <v>2309</v>
      </c>
      <c r="AL132" t="s" s="44">
        <v>72</v>
      </c>
      <c r="AM132" s="15">
        <f>-M26</f>
        <v>301.6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630</v>
      </c>
      <c r="AF133" t="s" s="44">
        <f>IF(AG133&gt;0,"paid","(raised)")</f>
        <v>374</v>
      </c>
      <c r="AG133" s="15">
        <f>SUM(AM131:AM132)</f>
        <v>301.6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0</v>
      </c>
      <c r="AM133" t="s" s="44">
        <f>AM105</f>
        <v>372</v>
      </c>
      <c r="AN133" t="s" s="44">
        <v>123</v>
      </c>
      <c r="AO133" s="15">
        <f>AM132</f>
        <v>301.6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1727.572244175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35279.6244864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1.41487341490961</v>
      </c>
      <c r="AK134" t="s" s="44">
        <v>130</v>
      </c>
      <c r="AL134" t="s" s="44">
        <v>131</v>
      </c>
      <c r="AM134" t="s" s="44">
        <v>132</v>
      </c>
      <c r="AN134" s="15">
        <f>AH85</f>
        <v>6.99917013825759</v>
      </c>
      <c r="AO134" t="s" s="44">
        <v>133</v>
      </c>
      <c r="AP134" s="16">
        <f>-AF128/AF134</f>
        <v>0.01854101120541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2889.59970975</v>
      </c>
      <c r="AG135" t="s" s="44">
        <f>AG134</f>
        <v>372</v>
      </c>
      <c r="AH135" t="s" s="44">
        <v>136</v>
      </c>
      <c r="AI135" s="15">
        <f>AF134/AF135</f>
        <v>12.2091735984609</v>
      </c>
      <c r="AJ135" t="s" s="44">
        <v>130</v>
      </c>
      <c r="AK135" t="s" s="44">
        <v>137</v>
      </c>
      <c r="AL135" t="s" s="44">
        <v>138</v>
      </c>
      <c r="AM135" s="15">
        <f>AH86</f>
        <v>17</v>
      </c>
      <c r="AN135" t="s" s="44">
        <v>139</v>
      </c>
      <c r="AO135" t="s" s="44">
        <v>140</v>
      </c>
      <c r="AP135" t="s" s="44">
        <v>141</v>
      </c>
      <c r="AQ135" s="16">
        <f>AK94</f>
        <v>0.392395632915153</v>
      </c>
      <c r="AR135" t="s" s="44">
        <f>IF(AQ135&gt;0,"higher","lower")</f>
        <v>363</v>
      </c>
      <c r="AS135" t="s" s="44">
        <v>142</v>
      </c>
      <c r="AT135" s="15">
        <f>AI94</f>
        <v>14306.8651282032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3941.8</v>
      </c>
      <c r="AE137" s="15">
        <f>AG104</f>
        <v>4163.2</v>
      </c>
      <c r="AF137" s="15">
        <f>AI104</f>
        <v>3558</v>
      </c>
      <c r="AG137" s="15">
        <f>AK104</f>
        <v>3353</v>
      </c>
      <c r="AH137" s="15">
        <f>AM104</f>
        <v>4749.9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589.7</v>
      </c>
      <c r="AE138" s="15">
        <f>SUM(AG117:AG118)</f>
        <v>894.7</v>
      </c>
      <c r="AF138" s="15">
        <f>SUM(AI117:AI118)</f>
        <v>-301.6</v>
      </c>
      <c r="AG138" s="15">
        <f>SUM(AK117:AK118)</f>
        <v>-142.4</v>
      </c>
      <c r="AH138" s="15">
        <f>SUM(AM117:AM118)</f>
        <v>689.9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1840</v>
      </c>
      <c r="AE139" s="15">
        <f>SUM(AG131:AG132)</f>
        <v>1564.2</v>
      </c>
      <c r="AF139" s="15">
        <f>SUM(AI131:AI132)</f>
        <v>281</v>
      </c>
      <c r="AG139" s="15">
        <f>SUM(AK131:AK132)</f>
        <v>2309</v>
      </c>
      <c r="AH139" s="15">
        <f>SUM(AM131:AM132)</f>
        <v>301.6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2111</v>
      </c>
      <c r="AE140" s="15">
        <f>(AG124-AG125)</f>
        <v>626</v>
      </c>
      <c r="AF140" s="15">
        <f>(AI124-AI125)</f>
        <v>206</v>
      </c>
      <c r="AG140" s="15">
        <f>(AK124-AK125)</f>
        <v>-1988</v>
      </c>
      <c r="AH140" s="15">
        <f>(AM124-AM125)</f>
        <v>-2239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14306.8651282032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3.xml><?xml version="1.0" encoding="utf-8"?>
<worksheet xmlns:r="http://schemas.openxmlformats.org/officeDocument/2006/relationships" xmlns="http://schemas.openxmlformats.org/spreadsheetml/2006/main">
  <sheetPr>
    <pageSetUpPr fitToPage="1"/>
  </sheetPr>
  <dimension ref="A2:L25"/>
  <sheetViews>
    <sheetView workbookViewId="0" showGridLines="0" defaultGridColor="1">
      <pane topLeftCell="B3" xSplit="1" ySplit="2" activePane="bottomRight" state="frozen"/>
    </sheetView>
  </sheetViews>
  <sheetFormatPr defaultColWidth="16.3333" defaultRowHeight="19.9" customHeight="1" outlineLevelRow="0" outlineLevelCol="0"/>
  <cols>
    <col min="1" max="12" width="10.4844" style="274" customWidth="1"/>
    <col min="13" max="16384" width="16.3516" style="274" customWidth="1"/>
  </cols>
  <sheetData>
    <row r="1" ht="27.65" customHeight="1">
      <c r="A1" t="s" s="2">
        <v>631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ht="32.25" customHeight="1">
      <c r="A2" t="s" s="3">
        <v>366</v>
      </c>
      <c r="B2" t="s" s="3">
        <v>2</v>
      </c>
      <c r="C2" t="s" s="3">
        <v>3</v>
      </c>
      <c r="D2" t="s" s="3">
        <v>4</v>
      </c>
      <c r="E2" t="s" s="3">
        <v>5</v>
      </c>
      <c r="F2" t="s" s="3">
        <v>6</v>
      </c>
      <c r="G2" t="s" s="3">
        <v>7</v>
      </c>
      <c r="H2" t="s" s="3">
        <v>8</v>
      </c>
      <c r="I2" t="s" s="3">
        <v>9</v>
      </c>
      <c r="J2" t="s" s="3">
        <v>10</v>
      </c>
      <c r="K2" t="s" s="3">
        <v>6</v>
      </c>
      <c r="L2" t="s" s="3">
        <v>11</v>
      </c>
    </row>
    <row r="3" ht="20.25" customHeight="1">
      <c r="A3" s="6">
        <v>2017</v>
      </c>
      <c r="B3" s="32"/>
      <c r="C3" s="9"/>
      <c r="D3" s="9"/>
      <c r="E3" s="9"/>
      <c r="F3" s="9"/>
      <c r="G3" s="9"/>
      <c r="H3" s="9"/>
      <c r="I3" s="9"/>
      <c r="J3" s="9"/>
      <c r="K3" s="9"/>
      <c r="L3" s="9"/>
    </row>
    <row r="4" ht="20.05" customHeight="1">
      <c r="A4" s="13"/>
      <c r="B4" s="67">
        <v>195.6</v>
      </c>
      <c r="C4" s="26">
        <v>0</v>
      </c>
      <c r="D4" s="26">
        <v>59.9</v>
      </c>
      <c r="E4" s="17"/>
      <c r="F4" s="17"/>
      <c r="G4" s="17"/>
      <c r="H4" s="26">
        <v>218</v>
      </c>
      <c r="I4" s="26">
        <v>50</v>
      </c>
      <c r="J4" s="26">
        <v>-28</v>
      </c>
      <c r="K4" s="26">
        <v>0</v>
      </c>
      <c r="L4" s="26">
        <v>-7.5</v>
      </c>
    </row>
    <row r="5" ht="20.05" customHeight="1">
      <c r="A5" s="13"/>
      <c r="B5" s="67">
        <v>106.2</v>
      </c>
      <c r="C5" s="26">
        <v>0</v>
      </c>
      <c r="D5" s="26">
        <v>47</v>
      </c>
      <c r="E5" s="17"/>
      <c r="F5" s="17"/>
      <c r="G5" s="17"/>
      <c r="H5" s="26">
        <v>60</v>
      </c>
      <c r="I5" s="26">
        <v>99.5</v>
      </c>
      <c r="J5" s="26">
        <v>1</v>
      </c>
      <c r="K5" s="26">
        <v>0</v>
      </c>
      <c r="L5" s="26">
        <v>-7.5</v>
      </c>
    </row>
    <row r="6" ht="20.05" customHeight="1">
      <c r="A6" s="13"/>
      <c r="B6" s="67">
        <v>120.2</v>
      </c>
      <c r="C6" s="26">
        <v>7.7</v>
      </c>
      <c r="D6" s="26">
        <v>23.1</v>
      </c>
      <c r="E6" s="17"/>
      <c r="F6" s="17"/>
      <c r="G6" s="17"/>
      <c r="H6" s="26">
        <v>135</v>
      </c>
      <c r="I6" s="26">
        <v>37.8</v>
      </c>
      <c r="J6" s="26">
        <v>1.2</v>
      </c>
      <c r="K6" s="26">
        <v>0</v>
      </c>
      <c r="L6" s="26">
        <v>-7.5</v>
      </c>
    </row>
    <row r="7" ht="20.05" customHeight="1">
      <c r="A7" s="21">
        <v>2018</v>
      </c>
      <c r="B7" s="67">
        <v>115</v>
      </c>
      <c r="C7" s="26">
        <v>0</v>
      </c>
      <c r="D7" s="26">
        <v>38.2</v>
      </c>
      <c r="E7" s="17"/>
      <c r="F7" s="17"/>
      <c r="G7" s="17"/>
      <c r="H7" s="26">
        <v>98</v>
      </c>
      <c r="I7" s="26">
        <v>35.9</v>
      </c>
      <c r="J7" s="26">
        <v>-6.1</v>
      </c>
      <c r="K7" s="26">
        <v>0</v>
      </c>
      <c r="L7" s="26">
        <v>-17.25</v>
      </c>
    </row>
    <row r="8" ht="20.05" customHeight="1">
      <c r="A8" s="13"/>
      <c r="B8" s="67">
        <v>135.2</v>
      </c>
      <c r="C8" s="26">
        <v>6.7</v>
      </c>
      <c r="D8" s="26">
        <v>56.6</v>
      </c>
      <c r="E8" s="26">
        <v>136</v>
      </c>
      <c r="F8" s="26">
        <v>129</v>
      </c>
      <c r="G8" s="26">
        <v>357</v>
      </c>
      <c r="H8" s="26">
        <v>200</v>
      </c>
      <c r="I8" s="26">
        <v>79.2</v>
      </c>
      <c r="J8" s="26">
        <v>-24.4</v>
      </c>
      <c r="K8" s="26">
        <v>0</v>
      </c>
      <c r="L8" s="26">
        <v>-17.25</v>
      </c>
    </row>
    <row r="9" ht="20.05" customHeight="1">
      <c r="A9" s="13"/>
      <c r="B9" s="67">
        <v>133.6</v>
      </c>
      <c r="C9" s="26">
        <v>3.1</v>
      </c>
      <c r="D9" s="26">
        <v>51.8</v>
      </c>
      <c r="E9" s="26">
        <v>981</v>
      </c>
      <c r="F9" s="26">
        <v>107</v>
      </c>
      <c r="G9" s="26">
        <v>1222</v>
      </c>
      <c r="H9" s="26">
        <v>46</v>
      </c>
      <c r="I9" s="26">
        <v>-5.7</v>
      </c>
      <c r="J9" s="26">
        <v>10</v>
      </c>
      <c r="K9" s="26">
        <v>0</v>
      </c>
      <c r="L9" s="26">
        <v>-17.25</v>
      </c>
    </row>
    <row r="10" ht="20.05" customHeight="1">
      <c r="A10" s="13"/>
      <c r="B10" s="67">
        <v>138</v>
      </c>
      <c r="C10" s="26">
        <v>4.2</v>
      </c>
      <c r="D10" s="26">
        <v>23.4</v>
      </c>
      <c r="E10" s="26">
        <v>557</v>
      </c>
      <c r="F10" s="26">
        <v>152</v>
      </c>
      <c r="G10" s="26">
        <v>1255</v>
      </c>
      <c r="H10" s="26">
        <v>150</v>
      </c>
      <c r="I10" s="26">
        <v>-239</v>
      </c>
      <c r="J10" s="26">
        <v>-164.2</v>
      </c>
      <c r="K10" s="26">
        <v>0</v>
      </c>
      <c r="L10" s="26">
        <v>-17.25</v>
      </c>
    </row>
    <row r="11" ht="20.05" customHeight="1">
      <c r="A11" s="21">
        <v>2019</v>
      </c>
      <c r="B11" s="67">
        <v>117</v>
      </c>
      <c r="C11" s="26">
        <v>4.6</v>
      </c>
      <c r="D11" s="26">
        <v>49</v>
      </c>
      <c r="E11" s="26">
        <v>552</v>
      </c>
      <c r="F11" s="26">
        <v>87</v>
      </c>
      <c r="G11" s="26">
        <v>1240</v>
      </c>
      <c r="H11" s="26">
        <v>112</v>
      </c>
      <c r="I11" s="26">
        <v>4.7</v>
      </c>
      <c r="J11" s="26">
        <v>-9</v>
      </c>
      <c r="K11" s="26">
        <v>0</v>
      </c>
      <c r="L11" s="26">
        <v>-19.75</v>
      </c>
    </row>
    <row r="12" ht="20.05" customHeight="1">
      <c r="A12" s="13"/>
      <c r="B12" s="67">
        <v>111.6</v>
      </c>
      <c r="C12" s="26">
        <v>4.6</v>
      </c>
      <c r="D12" s="26">
        <v>41.5</v>
      </c>
      <c r="E12" s="26">
        <v>573</v>
      </c>
      <c r="F12" s="26">
        <v>87</v>
      </c>
      <c r="G12" s="26">
        <v>1281</v>
      </c>
      <c r="H12" s="26">
        <v>107</v>
      </c>
      <c r="I12" s="26">
        <v>21.34</v>
      </c>
      <c r="J12" s="26">
        <v>-0.2</v>
      </c>
      <c r="K12" s="26">
        <v>0</v>
      </c>
      <c r="L12" s="26">
        <v>-19.75</v>
      </c>
    </row>
    <row r="13" ht="20.05" customHeight="1">
      <c r="A13" s="13"/>
      <c r="B13" s="67">
        <v>130.9</v>
      </c>
      <c r="C13" s="26">
        <v>5.6</v>
      </c>
      <c r="D13" s="26">
        <v>20.8</v>
      </c>
      <c r="E13" s="26">
        <v>420</v>
      </c>
      <c r="F13" s="26">
        <v>83</v>
      </c>
      <c r="G13" s="26">
        <v>1196</v>
      </c>
      <c r="H13" s="26">
        <v>167</v>
      </c>
      <c r="I13" s="26">
        <v>196.96</v>
      </c>
      <c r="J13" s="26">
        <v>-118.6</v>
      </c>
      <c r="K13" s="26">
        <v>0</v>
      </c>
      <c r="L13" s="26">
        <v>-19.75</v>
      </c>
    </row>
    <row r="14" ht="20.05" customHeight="1">
      <c r="A14" s="13"/>
      <c r="B14" s="67">
        <v>163.5</v>
      </c>
      <c r="C14" s="26">
        <v>11.2</v>
      </c>
      <c r="D14" s="26">
        <v>23.7</v>
      </c>
      <c r="E14" s="26">
        <v>491</v>
      </c>
      <c r="F14" s="26">
        <v>192</v>
      </c>
      <c r="G14" s="26">
        <v>1265</v>
      </c>
      <c r="H14" s="26">
        <v>112</v>
      </c>
      <c r="I14" s="26">
        <v>-60</v>
      </c>
      <c r="J14" s="26">
        <v>1.8</v>
      </c>
      <c r="K14" s="26">
        <v>0</v>
      </c>
      <c r="L14" s="26">
        <v>-19.75</v>
      </c>
    </row>
    <row r="15" ht="20.05" customHeight="1">
      <c r="A15" s="21">
        <v>2020</v>
      </c>
      <c r="B15" s="67">
        <v>123.9</v>
      </c>
      <c r="C15" s="26">
        <v>24</v>
      </c>
      <c r="D15" s="26">
        <v>20.404</v>
      </c>
      <c r="E15" s="26">
        <v>512</v>
      </c>
      <c r="F15" s="26">
        <v>864</v>
      </c>
      <c r="G15" s="26">
        <v>1958</v>
      </c>
      <c r="H15" s="26">
        <v>142</v>
      </c>
      <c r="I15" s="26">
        <v>89.131</v>
      </c>
      <c r="J15" s="26">
        <v>-5.3</v>
      </c>
      <c r="K15" s="26">
        <v>0</v>
      </c>
      <c r="L15" s="26">
        <v>-63.4</v>
      </c>
    </row>
    <row r="16" ht="20.05" customHeight="1">
      <c r="A16" s="13"/>
      <c r="B16" s="67">
        <v>52.1</v>
      </c>
      <c r="C16" s="26">
        <v>25</v>
      </c>
      <c r="D16" s="26">
        <v>-20.644</v>
      </c>
      <c r="E16" s="26">
        <v>518</v>
      </c>
      <c r="F16" s="26">
        <v>852</v>
      </c>
      <c r="G16" s="26">
        <v>1925</v>
      </c>
      <c r="H16" s="26">
        <v>75</v>
      </c>
      <c r="I16" s="26">
        <v>7.869</v>
      </c>
      <c r="J16" s="26">
        <v>-1.7</v>
      </c>
      <c r="K16" s="26">
        <v>0</v>
      </c>
      <c r="L16" s="26">
        <v>2.5</v>
      </c>
    </row>
    <row r="17" ht="20.05" customHeight="1">
      <c r="A17" s="13"/>
      <c r="B17" s="67">
        <v>73.2</v>
      </c>
      <c r="C17" s="26">
        <v>27</v>
      </c>
      <c r="D17" s="26">
        <v>-32.46</v>
      </c>
      <c r="E17" s="26">
        <v>525</v>
      </c>
      <c r="F17" s="26">
        <v>826</v>
      </c>
      <c r="G17" s="26">
        <v>1856</v>
      </c>
      <c r="H17" s="26">
        <v>52</v>
      </c>
      <c r="I17" s="26">
        <v>20</v>
      </c>
      <c r="J17" s="26">
        <v>-4</v>
      </c>
      <c r="K17" s="26">
        <v>0</v>
      </c>
      <c r="L17" s="26">
        <v>0</v>
      </c>
    </row>
    <row r="18" ht="20.05" customHeight="1">
      <c r="A18" s="13"/>
      <c r="B18" s="67">
        <v>107.3</v>
      </c>
      <c r="C18" s="26">
        <v>24.7</v>
      </c>
      <c r="D18" s="26">
        <v>8.9</v>
      </c>
      <c r="E18" s="26">
        <v>520</v>
      </c>
      <c r="F18" s="26">
        <v>820</v>
      </c>
      <c r="G18" s="26">
        <v>1825</v>
      </c>
      <c r="H18" s="26">
        <v>118.6</v>
      </c>
      <c r="I18" s="26">
        <v>31.4</v>
      </c>
      <c r="J18" s="26">
        <v>-7.9</v>
      </c>
      <c r="K18" s="26">
        <v>0.1</v>
      </c>
      <c r="L18" s="26">
        <v>-40.6</v>
      </c>
    </row>
    <row r="19" ht="20.05" customHeight="1">
      <c r="A19" s="21">
        <v>2021</v>
      </c>
      <c r="B19" s="67">
        <v>119.9</v>
      </c>
      <c r="C19" s="26">
        <v>25.5</v>
      </c>
      <c r="D19" s="26">
        <v>17.9</v>
      </c>
      <c r="E19" s="26">
        <v>580</v>
      </c>
      <c r="F19" s="26">
        <v>857</v>
      </c>
      <c r="G19" s="26">
        <v>1880</v>
      </c>
      <c r="H19" s="26">
        <v>118.3</v>
      </c>
      <c r="I19" s="26">
        <v>60.7</v>
      </c>
      <c r="J19" s="26">
        <v>0</v>
      </c>
      <c r="K19" s="26">
        <v>0</v>
      </c>
      <c r="L19" s="26">
        <v>0</v>
      </c>
    </row>
    <row r="20" ht="20.05" customHeight="1">
      <c r="A20" s="13"/>
      <c r="B20" s="67">
        <v>113.4</v>
      </c>
      <c r="C20" s="26">
        <v>26</v>
      </c>
      <c r="D20" s="26">
        <v>-3.1</v>
      </c>
      <c r="E20" s="26">
        <v>652</v>
      </c>
      <c r="F20" s="26">
        <v>855</v>
      </c>
      <c r="G20" s="26">
        <v>1875</v>
      </c>
      <c r="H20" s="26">
        <v>122.5</v>
      </c>
      <c r="I20" s="26">
        <v>84.90000000000001</v>
      </c>
      <c r="J20" s="26">
        <v>-13</v>
      </c>
      <c r="K20" s="26">
        <v>0</v>
      </c>
      <c r="L20" s="26">
        <v>0</v>
      </c>
    </row>
    <row r="21" ht="20.05" customHeight="1">
      <c r="A21" s="13"/>
      <c r="B21" s="67">
        <v>114.5</v>
      </c>
      <c r="C21" s="26">
        <v>25.2</v>
      </c>
      <c r="D21" s="26">
        <v>1.8</v>
      </c>
      <c r="E21" s="26">
        <v>706</v>
      </c>
      <c r="F21" s="26">
        <v>859</v>
      </c>
      <c r="G21" s="26">
        <v>1881</v>
      </c>
      <c r="H21" s="26">
        <v>138.5</v>
      </c>
      <c r="I21" s="26">
        <v>40.3</v>
      </c>
      <c r="J21" s="26">
        <v>-11.7</v>
      </c>
      <c r="K21" s="26">
        <v>0</v>
      </c>
      <c r="L21" s="26">
        <v>0</v>
      </c>
    </row>
    <row r="22" ht="20.05" customHeight="1">
      <c r="A22" s="13"/>
      <c r="B22" s="67">
        <v>169</v>
      </c>
      <c r="C22" s="26">
        <v>26.2</v>
      </c>
      <c r="D22" s="26">
        <v>43.5</v>
      </c>
      <c r="E22" s="26">
        <v>769</v>
      </c>
      <c r="F22" s="26">
        <v>898</v>
      </c>
      <c r="G22" s="26">
        <v>1963</v>
      </c>
      <c r="H22" s="26">
        <v>149.7</v>
      </c>
      <c r="I22" s="26">
        <v>107.9</v>
      </c>
      <c r="J22" s="26">
        <v>-19.9</v>
      </c>
      <c r="K22" s="26">
        <v>0</v>
      </c>
      <c r="L22" s="26">
        <v>0</v>
      </c>
    </row>
    <row r="23" ht="20.05" customHeight="1">
      <c r="A23" s="21">
        <v>2022</v>
      </c>
      <c r="B23" s="67">
        <v>150</v>
      </c>
      <c r="C23" s="26">
        <v>24.3</v>
      </c>
      <c r="D23" s="26">
        <v>35.3</v>
      </c>
      <c r="E23" s="26">
        <v>833</v>
      </c>
      <c r="F23" s="26">
        <v>919</v>
      </c>
      <c r="G23" s="26">
        <v>2019</v>
      </c>
      <c r="H23" s="26">
        <v>145.2</v>
      </c>
      <c r="I23" s="26">
        <v>68.3</v>
      </c>
      <c r="J23" s="26">
        <v>-4.7</v>
      </c>
      <c r="K23" s="26">
        <v>0</v>
      </c>
      <c r="L23" s="26">
        <v>0</v>
      </c>
    </row>
    <row r="24" ht="20.05" customHeight="1">
      <c r="A24" s="13"/>
      <c r="B24" s="67">
        <v>152.3</v>
      </c>
      <c r="C24" s="26">
        <v>25.5</v>
      </c>
      <c r="D24" s="26">
        <v>10.1</v>
      </c>
      <c r="E24" s="26">
        <v>835</v>
      </c>
      <c r="F24" s="26">
        <v>896</v>
      </c>
      <c r="G24" s="26">
        <v>2006</v>
      </c>
      <c r="H24" s="26">
        <v>160.7</v>
      </c>
      <c r="I24" s="26">
        <v>12.8</v>
      </c>
      <c r="J24" s="26">
        <v>-10.6</v>
      </c>
      <c r="K24" s="26">
        <v>0</v>
      </c>
      <c r="L24" s="26">
        <v>0</v>
      </c>
    </row>
    <row r="25" ht="20.05" customHeight="1">
      <c r="A25" s="13"/>
      <c r="B25" s="67">
        <v>206</v>
      </c>
      <c r="C25" s="26">
        <v>23</v>
      </c>
      <c r="D25" s="26">
        <v>63.5</v>
      </c>
      <c r="E25" s="26">
        <v>890</v>
      </c>
      <c r="F25" s="26">
        <v>950</v>
      </c>
      <c r="G25" s="26">
        <v>2082</v>
      </c>
      <c r="H25" s="26">
        <v>208.8</v>
      </c>
      <c r="I25" s="26">
        <v>109.3</v>
      </c>
      <c r="J25" s="26">
        <v>-12.1</v>
      </c>
      <c r="K25" s="26">
        <v>0</v>
      </c>
      <c r="L25" s="26">
        <v>-41.8</v>
      </c>
    </row>
  </sheetData>
  <mergeCells count="1">
    <mergeCell ref="A1:L1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7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M2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75" customWidth="1"/>
    <col min="2" max="13" width="10.4844" style="275" customWidth="1"/>
    <col min="14" max="16384" width="16.3516" style="275" customWidth="1"/>
  </cols>
  <sheetData>
    <row r="1" ht="11.65" customHeight="1"/>
    <row r="2" ht="27.65" customHeight="1">
      <c r="B2" t="s" s="2">
        <v>632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</row>
    <row r="4" ht="20.25" customHeight="1">
      <c r="B4" s="6">
        <v>2017</v>
      </c>
      <c r="C4" s="65">
        <v>156</v>
      </c>
      <c r="D4" s="59">
        <v>0.8</v>
      </c>
      <c r="E4" s="59">
        <v>30.8</v>
      </c>
      <c r="F4" s="9"/>
      <c r="G4" s="9"/>
      <c r="H4" s="9"/>
      <c r="I4" s="59">
        <v>0</v>
      </c>
      <c r="J4" s="59">
        <v>-44.1</v>
      </c>
      <c r="K4" s="59">
        <v>0</v>
      </c>
      <c r="L4" s="59">
        <v>0</v>
      </c>
      <c r="M4" s="59">
        <v>110</v>
      </c>
    </row>
    <row r="5" ht="20.05" customHeight="1">
      <c r="B5" s="13"/>
      <c r="C5" s="67">
        <v>209.5</v>
      </c>
      <c r="D5" s="26">
        <v>0.8</v>
      </c>
      <c r="E5" s="26">
        <v>20.1</v>
      </c>
      <c r="F5" s="17"/>
      <c r="G5" s="17"/>
      <c r="H5" s="17"/>
      <c r="I5" s="26">
        <v>0</v>
      </c>
      <c r="J5" s="26">
        <v>10.1</v>
      </c>
      <c r="K5" s="26">
        <v>0</v>
      </c>
      <c r="L5" s="26">
        <v>0</v>
      </c>
      <c r="M5" s="26">
        <v>110</v>
      </c>
    </row>
    <row r="6" ht="20.05" customHeight="1">
      <c r="B6" s="13"/>
      <c r="C6" s="67">
        <v>175.4</v>
      </c>
      <c r="D6" s="26">
        <v>0.8</v>
      </c>
      <c r="E6" s="26">
        <v>25.3</v>
      </c>
      <c r="F6" s="17"/>
      <c r="G6" s="17"/>
      <c r="H6" s="17"/>
      <c r="I6" s="26">
        <v>0</v>
      </c>
      <c r="J6" s="26">
        <v>22.3</v>
      </c>
      <c r="K6" s="26">
        <v>0</v>
      </c>
      <c r="L6" s="26">
        <v>0</v>
      </c>
      <c r="M6" s="26">
        <v>110</v>
      </c>
    </row>
    <row r="7" ht="20.05" customHeight="1">
      <c r="B7" s="13"/>
      <c r="C7" s="67">
        <v>205.8</v>
      </c>
      <c r="D7" s="26">
        <v>4.9</v>
      </c>
      <c r="E7" s="26">
        <v>44.2</v>
      </c>
      <c r="F7" s="17"/>
      <c r="G7" s="17"/>
      <c r="H7" s="17"/>
      <c r="I7" s="26">
        <v>0</v>
      </c>
      <c r="J7" s="26">
        <v>-29.4</v>
      </c>
      <c r="K7" s="26">
        <v>-7.1</v>
      </c>
      <c r="L7" s="26">
        <v>0</v>
      </c>
      <c r="M7" s="26">
        <v>110</v>
      </c>
    </row>
    <row r="8" ht="20.05" customHeight="1">
      <c r="B8" s="21">
        <v>2018</v>
      </c>
      <c r="C8" s="67">
        <v>163.6</v>
      </c>
      <c r="D8" s="26">
        <v>6.5</v>
      </c>
      <c r="E8" s="26">
        <v>34.3</v>
      </c>
      <c r="F8" s="26">
        <v>408</v>
      </c>
      <c r="G8" s="26">
        <v>368</v>
      </c>
      <c r="H8" s="26">
        <v>1407</v>
      </c>
      <c r="I8" s="26">
        <v>0</v>
      </c>
      <c r="J8" s="26">
        <v>-73.40000000000001</v>
      </c>
      <c r="K8" s="26">
        <v>7.1</v>
      </c>
      <c r="L8" s="26">
        <v>0</v>
      </c>
      <c r="M8" s="26">
        <v>-69</v>
      </c>
    </row>
    <row r="9" ht="20.05" customHeight="1">
      <c r="B9" s="13"/>
      <c r="C9" s="67">
        <v>197.5</v>
      </c>
      <c r="D9" s="26">
        <v>6.9</v>
      </c>
      <c r="E9" s="26">
        <v>27.1</v>
      </c>
      <c r="F9" s="26">
        <v>464</v>
      </c>
      <c r="G9" s="26">
        <v>280</v>
      </c>
      <c r="H9" s="26">
        <v>1309</v>
      </c>
      <c r="I9" s="26">
        <v>431.4</v>
      </c>
      <c r="J9" s="26">
        <v>65.3</v>
      </c>
      <c r="K9" s="26">
        <v>0</v>
      </c>
      <c r="L9" s="26">
        <v>0</v>
      </c>
      <c r="M9" s="26">
        <v>-69</v>
      </c>
    </row>
    <row r="10" ht="20.05" customHeight="1">
      <c r="B10" s="13"/>
      <c r="C10" s="67">
        <v>184.7</v>
      </c>
      <c r="D10" s="26">
        <v>6.7</v>
      </c>
      <c r="E10" s="26">
        <v>8.300000000000001</v>
      </c>
      <c r="F10" s="26">
        <v>431</v>
      </c>
      <c r="G10" s="26">
        <v>218</v>
      </c>
      <c r="H10" s="26">
        <v>1277</v>
      </c>
      <c r="I10" s="26">
        <v>218.8</v>
      </c>
      <c r="J10" s="26">
        <v>93</v>
      </c>
      <c r="K10" s="26">
        <v>0</v>
      </c>
      <c r="L10" s="26">
        <v>0</v>
      </c>
      <c r="M10" s="26">
        <v>-69</v>
      </c>
    </row>
    <row r="11" ht="20.05" customHeight="1">
      <c r="B11" s="13"/>
      <c r="C11" s="67">
        <v>181.2</v>
      </c>
      <c r="D11" s="26">
        <v>8.5</v>
      </c>
      <c r="E11" s="26">
        <v>3.1</v>
      </c>
      <c r="F11" s="26">
        <v>335</v>
      </c>
      <c r="G11" s="26">
        <v>118</v>
      </c>
      <c r="H11" s="26">
        <v>1159</v>
      </c>
      <c r="I11" s="26">
        <v>192.2</v>
      </c>
      <c r="J11" s="26">
        <v>-6.7</v>
      </c>
      <c r="K11" s="26">
        <v>-29.3</v>
      </c>
      <c r="L11" s="26">
        <v>0</v>
      </c>
      <c r="M11" s="26">
        <v>-69</v>
      </c>
    </row>
    <row r="12" ht="20.05" customHeight="1">
      <c r="B12" s="21">
        <v>2019</v>
      </c>
      <c r="C12" s="67">
        <v>154</v>
      </c>
      <c r="D12" s="26">
        <v>6.9</v>
      </c>
      <c r="E12" s="26">
        <v>25.8</v>
      </c>
      <c r="F12" s="26">
        <v>397</v>
      </c>
      <c r="G12" s="26">
        <v>114</v>
      </c>
      <c r="H12" s="26">
        <v>1188</v>
      </c>
      <c r="I12" s="26">
        <v>110.6</v>
      </c>
      <c r="J12" s="26">
        <v>62.4</v>
      </c>
      <c r="K12" s="26">
        <v>0</v>
      </c>
      <c r="L12" s="26">
        <v>0</v>
      </c>
      <c r="M12" s="26">
        <v>-10</v>
      </c>
    </row>
    <row r="13" ht="20.05" customHeight="1">
      <c r="B13" s="13"/>
      <c r="C13" s="67">
        <v>173.1</v>
      </c>
      <c r="D13" s="26">
        <v>7.1</v>
      </c>
      <c r="E13" s="26">
        <v>24.1</v>
      </c>
      <c r="F13" s="26">
        <v>387</v>
      </c>
      <c r="G13" s="26">
        <v>227</v>
      </c>
      <c r="H13" s="26">
        <v>1282</v>
      </c>
      <c r="I13" s="26">
        <v>240.5</v>
      </c>
      <c r="J13" s="26">
        <v>-10.7</v>
      </c>
      <c r="K13" s="26">
        <v>0</v>
      </c>
      <c r="L13" s="26">
        <v>0</v>
      </c>
      <c r="M13" s="26">
        <v>-10</v>
      </c>
    </row>
    <row r="14" ht="20.05" customHeight="1">
      <c r="B14" s="13"/>
      <c r="C14" s="67">
        <v>164.6</v>
      </c>
      <c r="D14" s="26">
        <v>7.2</v>
      </c>
      <c r="E14" s="26">
        <v>18.9</v>
      </c>
      <c r="F14" s="26">
        <v>379</v>
      </c>
      <c r="G14" s="26">
        <v>106</v>
      </c>
      <c r="H14" s="26">
        <v>1180</v>
      </c>
      <c r="I14" s="26">
        <v>221.8</v>
      </c>
      <c r="J14" s="26">
        <v>0</v>
      </c>
      <c r="K14" s="26">
        <v>0</v>
      </c>
      <c r="L14" s="26">
        <v>0</v>
      </c>
      <c r="M14" s="26">
        <v>-10</v>
      </c>
    </row>
    <row r="15" ht="20.05" customHeight="1">
      <c r="B15" s="13"/>
      <c r="C15" s="67">
        <v>190</v>
      </c>
      <c r="D15" s="26">
        <v>8.6</v>
      </c>
      <c r="E15" s="26">
        <v>21.2</v>
      </c>
      <c r="F15" s="26">
        <v>466</v>
      </c>
      <c r="G15" s="26">
        <v>200</v>
      </c>
      <c r="H15" s="26">
        <v>1279</v>
      </c>
      <c r="I15" s="26">
        <v>787.4</v>
      </c>
      <c r="J15" s="26">
        <v>247.6</v>
      </c>
      <c r="K15" s="26">
        <v>-76.7</v>
      </c>
      <c r="L15" s="26">
        <v>0</v>
      </c>
      <c r="M15" s="26">
        <v>-10</v>
      </c>
    </row>
    <row r="16" ht="20.05" customHeight="1">
      <c r="B16" s="21">
        <v>2020</v>
      </c>
      <c r="C16" s="67">
        <v>184.1</v>
      </c>
      <c r="D16" s="26">
        <v>9</v>
      </c>
      <c r="E16" s="26">
        <v>32.3</v>
      </c>
      <c r="F16" s="26">
        <v>496</v>
      </c>
      <c r="G16" s="26">
        <v>283</v>
      </c>
      <c r="H16" s="26">
        <v>1394</v>
      </c>
      <c r="I16" s="26">
        <v>132.9</v>
      </c>
      <c r="J16" s="26">
        <v>41.9</v>
      </c>
      <c r="K16" s="26">
        <v>-9.699999999999999</v>
      </c>
      <c r="L16" s="26">
        <v>0</v>
      </c>
      <c r="M16" s="26">
        <v>-19.25</v>
      </c>
    </row>
    <row r="17" ht="20.05" customHeight="1">
      <c r="B17" s="13"/>
      <c r="C17" s="67">
        <v>154.2</v>
      </c>
      <c r="D17" s="26">
        <v>17.5</v>
      </c>
      <c r="E17" s="26">
        <v>21.8</v>
      </c>
      <c r="F17" s="26">
        <v>545</v>
      </c>
      <c r="G17" s="26">
        <v>281</v>
      </c>
      <c r="H17" s="26">
        <v>1414</v>
      </c>
      <c r="I17" s="26">
        <v>212.6</v>
      </c>
      <c r="J17" s="26">
        <v>41.3</v>
      </c>
      <c r="K17" s="26">
        <v>-0.9</v>
      </c>
      <c r="L17" s="26">
        <v>0</v>
      </c>
      <c r="M17" s="26">
        <v>-19.25</v>
      </c>
    </row>
    <row r="18" ht="20.05" customHeight="1">
      <c r="B18" s="13"/>
      <c r="C18" s="67">
        <v>171.8</v>
      </c>
      <c r="D18" s="26">
        <v>12</v>
      </c>
      <c r="E18" s="26">
        <v>15.6</v>
      </c>
      <c r="F18" s="26">
        <v>562</v>
      </c>
      <c r="G18" s="26">
        <v>277</v>
      </c>
      <c r="H18" s="26">
        <v>1373</v>
      </c>
      <c r="I18" s="26">
        <v>161.1</v>
      </c>
      <c r="J18" s="26">
        <v>60.1</v>
      </c>
      <c r="K18" s="26">
        <v>0</v>
      </c>
      <c r="L18" s="26">
        <v>0</v>
      </c>
      <c r="M18" s="26">
        <v>-19.25</v>
      </c>
    </row>
    <row r="19" ht="20.05" customHeight="1">
      <c r="B19" s="13"/>
      <c r="C19" s="67">
        <v>186.5</v>
      </c>
      <c r="D19" s="26">
        <v>33.6</v>
      </c>
      <c r="E19" s="26">
        <v>10.5</v>
      </c>
      <c r="F19" s="26">
        <v>576</v>
      </c>
      <c r="G19" s="26">
        <v>316</v>
      </c>
      <c r="H19" s="26">
        <v>1408</v>
      </c>
      <c r="I19" s="26">
        <v>174.9</v>
      </c>
      <c r="J19" s="26">
        <v>44.3</v>
      </c>
      <c r="K19" s="26">
        <v>8.800000000000001</v>
      </c>
      <c r="L19" s="26">
        <v>0</v>
      </c>
      <c r="M19" s="26">
        <v>-19.25</v>
      </c>
    </row>
    <row r="20" ht="20.05" customHeight="1">
      <c r="B20" s="21">
        <v>2021</v>
      </c>
      <c r="C20" s="67">
        <v>184.5</v>
      </c>
      <c r="D20" s="26">
        <v>17.3</v>
      </c>
      <c r="E20" s="26">
        <v>33</v>
      </c>
      <c r="F20" s="26">
        <v>525</v>
      </c>
      <c r="G20" s="26">
        <v>239</v>
      </c>
      <c r="H20" s="26">
        <v>1364</v>
      </c>
      <c r="I20" s="26">
        <v>167</v>
      </c>
      <c r="J20" s="26">
        <v>55.3</v>
      </c>
      <c r="K20" s="26">
        <v>-106.5</v>
      </c>
      <c r="L20" s="26">
        <v>0</v>
      </c>
      <c r="M20" s="26">
        <v>0</v>
      </c>
    </row>
    <row r="21" ht="20.05" customHeight="1">
      <c r="B21" s="13"/>
      <c r="C21" s="67">
        <v>208.5</v>
      </c>
      <c r="D21" s="26">
        <v>17.1</v>
      </c>
      <c r="E21" s="26">
        <v>27.5</v>
      </c>
      <c r="F21" s="26">
        <v>548</v>
      </c>
      <c r="G21" s="26">
        <v>322</v>
      </c>
      <c r="H21" s="26">
        <v>1420</v>
      </c>
      <c r="I21" s="26">
        <v>194.3</v>
      </c>
      <c r="J21" s="26">
        <v>22.7</v>
      </c>
      <c r="K21" s="26">
        <v>0</v>
      </c>
      <c r="L21" s="26">
        <v>0</v>
      </c>
      <c r="M21" s="26">
        <v>0</v>
      </c>
    </row>
    <row r="22" ht="20.05" customHeight="1">
      <c r="B22" s="13"/>
      <c r="C22" s="67">
        <v>207.1</v>
      </c>
      <c r="D22" s="26">
        <v>8.9</v>
      </c>
      <c r="E22" s="26">
        <v>30</v>
      </c>
      <c r="F22" s="26">
        <v>571</v>
      </c>
      <c r="G22" s="26">
        <v>297</v>
      </c>
      <c r="H22" s="26">
        <v>1426</v>
      </c>
      <c r="I22" s="26">
        <v>218.7</v>
      </c>
      <c r="J22" s="26">
        <v>88.90000000000001</v>
      </c>
      <c r="K22" s="26">
        <v>-12.1</v>
      </c>
      <c r="L22" s="26">
        <v>0</v>
      </c>
      <c r="M22" s="26">
        <v>-54</v>
      </c>
    </row>
    <row r="23" ht="20.05" customHeight="1">
      <c r="B23" s="13"/>
      <c r="C23" s="67">
        <v>220.1</v>
      </c>
      <c r="D23" s="26">
        <v>40.4</v>
      </c>
      <c r="E23" s="26">
        <v>46.1</v>
      </c>
      <c r="F23" s="26">
        <v>656</v>
      </c>
      <c r="G23" s="26">
        <v>272</v>
      </c>
      <c r="H23" s="26">
        <v>1428</v>
      </c>
      <c r="I23" s="26">
        <v>281.1</v>
      </c>
      <c r="J23" s="26">
        <v>90.8</v>
      </c>
      <c r="K23" s="26">
        <v>12.1</v>
      </c>
      <c r="L23" s="26">
        <v>0</v>
      </c>
      <c r="M23" s="26">
        <v>-17.8</v>
      </c>
    </row>
    <row r="24" ht="20.05" customHeight="1">
      <c r="B24" s="21">
        <v>2022</v>
      </c>
      <c r="C24" s="67">
        <v>213.1</v>
      </c>
      <c r="D24" s="26">
        <v>15.9</v>
      </c>
      <c r="E24" s="26">
        <v>37.7</v>
      </c>
      <c r="F24" s="26">
        <v>716</v>
      </c>
      <c r="G24" s="26">
        <v>315</v>
      </c>
      <c r="H24" s="26">
        <v>1509</v>
      </c>
      <c r="I24" s="26">
        <v>200.3</v>
      </c>
      <c r="J24" s="26">
        <v>60.8</v>
      </c>
      <c r="K24" s="26">
        <v>0</v>
      </c>
      <c r="L24" s="26">
        <v>0</v>
      </c>
      <c r="M24" s="26">
        <v>0</v>
      </c>
    </row>
    <row r="25" ht="20.05" customHeight="1">
      <c r="B25" s="13"/>
      <c r="C25" s="67">
        <v>215.1</v>
      </c>
      <c r="D25" s="26">
        <v>3</v>
      </c>
      <c r="E25" s="26">
        <v>27</v>
      </c>
      <c r="F25" s="26">
        <v>670</v>
      </c>
      <c r="G25" s="26">
        <v>398</v>
      </c>
      <c r="H25" s="26">
        <v>1528</v>
      </c>
      <c r="I25" s="26">
        <v>175.6</v>
      </c>
      <c r="J25" s="26">
        <v>-39.7</v>
      </c>
      <c r="K25" s="26">
        <v>-6.9</v>
      </c>
      <c r="L25" s="26">
        <v>0</v>
      </c>
      <c r="M25" s="26">
        <v>0</v>
      </c>
    </row>
    <row r="26" ht="20.05" customHeight="1">
      <c r="B26" s="13"/>
      <c r="C26" s="67">
        <v>242.8</v>
      </c>
      <c r="D26" s="26">
        <v>23.2</v>
      </c>
      <c r="E26" s="26">
        <v>37</v>
      </c>
      <c r="F26" s="26">
        <v>577</v>
      </c>
      <c r="G26" s="26">
        <v>361</v>
      </c>
      <c r="H26" s="26">
        <v>1528</v>
      </c>
      <c r="I26" s="26">
        <v>212.7</v>
      </c>
      <c r="J26" s="26">
        <v>-1.5</v>
      </c>
      <c r="K26" s="26">
        <v>0</v>
      </c>
      <c r="L26" s="26">
        <v>0</v>
      </c>
      <c r="M26" s="26">
        <v>-91.09999999999999</v>
      </c>
    </row>
  </sheetData>
  <mergeCells count="1">
    <mergeCell ref="B2:M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7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76" customWidth="1"/>
    <col min="2" max="28" width="10.4844" style="276" customWidth="1"/>
    <col min="29" max="29" width="18.9766" style="277" customWidth="1"/>
    <col min="30" max="48" width="9" style="277" customWidth="1"/>
    <col min="49" max="16384" width="16.3516" style="277" customWidth="1"/>
  </cols>
  <sheetData>
    <row r="1" ht="11.65" customHeight="1"/>
    <row r="2" ht="27.65" customHeight="1">
      <c r="B2" t="s" s="2">
        <v>633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314</v>
      </c>
      <c r="AA3" t="s" s="3">
        <v>19</v>
      </c>
      <c r="AB3" t="s" s="3">
        <v>20</v>
      </c>
    </row>
    <row r="4" ht="20.25" customHeight="1">
      <c r="B4" s="6">
        <v>2017</v>
      </c>
      <c r="C4" s="7">
        <v>638.2107809</v>
      </c>
      <c r="D4" s="8">
        <v>38.762115175</v>
      </c>
      <c r="E4" s="8">
        <v>7.9395015</v>
      </c>
      <c r="F4" s="8">
        <v>162.7077312</v>
      </c>
      <c r="G4" s="8">
        <v>1663.2147553</v>
      </c>
      <c r="H4" s="8">
        <v>3748.7804137</v>
      </c>
      <c r="I4" s="8">
        <v>680.5452794</v>
      </c>
      <c r="J4" s="8">
        <v>65.3742215</v>
      </c>
      <c r="K4" s="8">
        <v>-41.6365544</v>
      </c>
      <c r="L4" s="8">
        <v>-6.65</v>
      </c>
      <c r="M4" s="8">
        <v>-5.6525</v>
      </c>
      <c r="N4" s="8"/>
      <c r="O4" s="8"/>
      <c r="P4" s="9"/>
      <c r="Q4" s="9"/>
      <c r="R4" s="9"/>
      <c r="S4" s="9"/>
      <c r="T4" s="9"/>
      <c r="U4" s="9"/>
      <c r="V4" s="8">
        <f>-(L4+M4)</f>
        <v>12.3025</v>
      </c>
      <c r="W4" s="9"/>
      <c r="X4" s="8">
        <f>F4-G4</f>
        <v>-1500.5070241</v>
      </c>
      <c r="Y4" s="9"/>
      <c r="Z4" s="73"/>
      <c r="AA4" s="11"/>
      <c r="AB4" s="12">
        <v>13.3</v>
      </c>
    </row>
    <row r="5" ht="20.05" customHeight="1">
      <c r="B5" s="13"/>
      <c r="C5" s="14">
        <v>616.745200144</v>
      </c>
      <c r="D5" s="15">
        <v>38.840805183250</v>
      </c>
      <c r="E5" s="15">
        <v>8.298829516</v>
      </c>
      <c r="F5" s="15">
        <v>128.429167155</v>
      </c>
      <c r="G5" s="15">
        <v>1731.538288449</v>
      </c>
      <c r="H5" s="15">
        <v>3813.700418093</v>
      </c>
      <c r="I5" s="15">
        <v>557.755007135</v>
      </c>
      <c r="J5" s="15">
        <v>-87.309468294</v>
      </c>
      <c r="K5" s="15">
        <v>-5.832081778</v>
      </c>
      <c r="L5" s="15">
        <v>-6.6635</v>
      </c>
      <c r="M5" s="15">
        <v>-5.663975</v>
      </c>
      <c r="N5" s="15"/>
      <c r="O5" s="15"/>
      <c r="P5" s="16"/>
      <c r="Q5" s="17"/>
      <c r="R5" s="17"/>
      <c r="S5" s="17"/>
      <c r="T5" s="17"/>
      <c r="U5" s="17"/>
      <c r="V5" s="15">
        <f>-(L5+M5)+V4</f>
        <v>24.629975</v>
      </c>
      <c r="W5" s="17"/>
      <c r="X5" s="15">
        <f>F5-G5</f>
        <v>-1603.109121294</v>
      </c>
      <c r="Y5" s="17"/>
      <c r="Z5" s="24"/>
      <c r="AA5" s="19"/>
      <c r="AB5" s="20">
        <v>13.327</v>
      </c>
    </row>
    <row r="6" ht="20.05" customHeight="1">
      <c r="B6" s="13"/>
      <c r="C6" s="14">
        <v>692.847377355</v>
      </c>
      <c r="D6" s="15">
        <v>38.776687398750</v>
      </c>
      <c r="E6" s="15">
        <v>6.2379162</v>
      </c>
      <c r="F6" s="15">
        <v>166.890988095</v>
      </c>
      <c r="G6" s="15">
        <v>1701.76870725</v>
      </c>
      <c r="H6" s="15">
        <v>3807.156045105</v>
      </c>
      <c r="I6" s="15">
        <v>706.97517186</v>
      </c>
      <c r="J6" s="15">
        <v>83.50214008499999</v>
      </c>
      <c r="K6" s="15">
        <v>-21.98001966</v>
      </c>
      <c r="L6" s="15">
        <v>-6.6525</v>
      </c>
      <c r="M6" s="15">
        <v>-5.654625</v>
      </c>
      <c r="N6" s="15"/>
      <c r="O6" s="15"/>
      <c r="P6" s="16"/>
      <c r="Q6" s="17"/>
      <c r="R6" s="17"/>
      <c r="S6" s="17"/>
      <c r="T6" s="17"/>
      <c r="U6" s="17"/>
      <c r="V6" s="15">
        <f>-(L6+M6)+V5</f>
        <v>36.9371</v>
      </c>
      <c r="W6" s="17"/>
      <c r="X6" s="15">
        <f>F6-G6</f>
        <v>-1534.877719155</v>
      </c>
      <c r="Y6" s="17"/>
      <c r="Z6" s="24"/>
      <c r="AA6" s="19"/>
      <c r="AB6" s="20">
        <v>13.305</v>
      </c>
    </row>
    <row r="7" ht="20.05" customHeight="1">
      <c r="B7" s="13"/>
      <c r="C7" s="14">
        <v>713.0592371819999</v>
      </c>
      <c r="D7" s="15">
        <v>39.511127475750</v>
      </c>
      <c r="E7" s="15">
        <v>10.722543111</v>
      </c>
      <c r="F7" s="15">
        <v>156.639326853</v>
      </c>
      <c r="G7" s="15">
        <v>1740.03078225</v>
      </c>
      <c r="H7" s="15">
        <v>3901.615910106</v>
      </c>
      <c r="I7" s="15">
        <v>650.934366024</v>
      </c>
      <c r="J7" s="15">
        <v>50.761325973</v>
      </c>
      <c r="K7" s="15">
        <v>-24.25265958</v>
      </c>
      <c r="L7" s="15">
        <v>-6.7785</v>
      </c>
      <c r="M7" s="15">
        <v>-5.761725</v>
      </c>
      <c r="N7" s="15"/>
      <c r="O7" s="15"/>
      <c r="P7" s="16"/>
      <c r="Q7" s="17"/>
      <c r="R7" s="17"/>
      <c r="S7" s="17"/>
      <c r="T7" s="17"/>
      <c r="U7" s="17"/>
      <c r="V7" s="15">
        <f>-(L7+M7)+V6</f>
        <v>49.477325</v>
      </c>
      <c r="W7" s="17"/>
      <c r="X7" s="15">
        <f>F7-G7</f>
        <v>-1583.391455397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692.167827879</v>
      </c>
      <c r="D8" s="15">
        <v>39.9069</v>
      </c>
      <c r="E8" s="15">
        <v>14.820707088</v>
      </c>
      <c r="F8" s="15">
        <v>103.094343297</v>
      </c>
      <c r="G8" s="15">
        <v>1762.276828257</v>
      </c>
      <c r="H8" s="15">
        <v>3999.056123799</v>
      </c>
      <c r="I8" s="15">
        <v>657.1095887069999</v>
      </c>
      <c r="J8" s="15">
        <v>-17.898712524</v>
      </c>
      <c r="K8" s="15">
        <v>-24.083043534</v>
      </c>
      <c r="L8" s="15">
        <v>3.44025</v>
      </c>
      <c r="M8" s="15">
        <v>0</v>
      </c>
      <c r="N8" s="15">
        <f>SUM(C5:C8)/4</f>
        <v>678.70491064</v>
      </c>
      <c r="O8" s="15"/>
      <c r="P8" s="16"/>
      <c r="Q8" s="16">
        <f>(E8+D8)/C8</f>
        <v>0.07906696162937971</v>
      </c>
      <c r="R8" s="16"/>
      <c r="S8" s="17"/>
      <c r="T8" s="15">
        <f>SUM(J5:K8)/4</f>
        <v>-11.773129828</v>
      </c>
      <c r="U8" s="25"/>
      <c r="V8" s="15">
        <f>-(L8+M8)+V7</f>
        <v>46.037075</v>
      </c>
      <c r="W8" s="17"/>
      <c r="X8" s="15">
        <f>F8-G8</f>
        <v>-1659.18248496</v>
      </c>
      <c r="Y8" s="24"/>
      <c r="Z8" s="15">
        <v>130</v>
      </c>
      <c r="AA8" s="22"/>
      <c r="AB8" s="20">
        <v>13.761</v>
      </c>
    </row>
    <row r="9" ht="20.05" customHeight="1">
      <c r="B9" s="13"/>
      <c r="C9" s="14">
        <v>685.403824</v>
      </c>
      <c r="D9" s="15">
        <v>40.6</v>
      </c>
      <c r="E9" s="15">
        <v>14.230734</v>
      </c>
      <c r="F9" s="15">
        <v>125.604682</v>
      </c>
      <c r="G9" s="15">
        <v>1799.69118</v>
      </c>
      <c r="H9" s="15">
        <v>4048.057412</v>
      </c>
      <c r="I9" s="15">
        <v>716.10336</v>
      </c>
      <c r="J9" s="15">
        <v>18.35204</v>
      </c>
      <c r="K9" s="15">
        <v>-42.981596</v>
      </c>
      <c r="L9" s="15">
        <v>3.5</v>
      </c>
      <c r="M9" s="15">
        <v>0</v>
      </c>
      <c r="N9" s="15">
        <f>SUM(C6:C9)/4</f>
        <v>695.8695666040001</v>
      </c>
      <c r="O9" s="15"/>
      <c r="P9" s="16"/>
      <c r="Q9" s="16">
        <f>(E9+D9)/C9</f>
        <v>0.0799977065783047</v>
      </c>
      <c r="R9" s="16"/>
      <c r="S9" s="17"/>
      <c r="T9" s="15">
        <f>SUM(J6:K9)/4</f>
        <v>5.35486869</v>
      </c>
      <c r="U9" s="25"/>
      <c r="V9" s="15">
        <f>-(L9+M9)+V8</f>
        <v>42.537075</v>
      </c>
      <c r="W9" s="17"/>
      <c r="X9" s="15">
        <f>F13-G9</f>
        <v>-1712.415153207</v>
      </c>
      <c r="Y9" s="24"/>
      <c r="Z9" s="15">
        <v>108</v>
      </c>
      <c r="AA9" s="22"/>
      <c r="AB9" s="20">
        <v>14</v>
      </c>
    </row>
    <row r="10" ht="20.05" customHeight="1">
      <c r="B10" s="13"/>
      <c r="C10" s="14">
        <v>829.58495174</v>
      </c>
      <c r="D10" s="15">
        <v>43.2158</v>
      </c>
      <c r="E10" s="15">
        <v>12.08522396</v>
      </c>
      <c r="F10" s="15">
        <v>125.3042121</v>
      </c>
      <c r="G10" s="15">
        <v>1924.422135628</v>
      </c>
      <c r="H10" s="15">
        <v>4295.181077196</v>
      </c>
      <c r="I10" s="15">
        <v>764.652139296</v>
      </c>
      <c r="J10" s="15">
        <v>-10.776738948</v>
      </c>
      <c r="K10" s="15">
        <v>-30.552855304</v>
      </c>
      <c r="L10" s="15">
        <v>3.7255</v>
      </c>
      <c r="M10" s="15">
        <v>0</v>
      </c>
      <c r="N10" s="15">
        <f>SUM(C7:C10)/4</f>
        <v>730.053960200250</v>
      </c>
      <c r="O10" s="15"/>
      <c r="P10" s="16"/>
      <c r="Q10" s="16">
        <f>(E10+D10)/C10</f>
        <v>0.0666610741238854</v>
      </c>
      <c r="R10" s="16"/>
      <c r="S10" s="17"/>
      <c r="T10" s="15">
        <f>SUM(J7:K10)/4</f>
        <v>-20.358059979250</v>
      </c>
      <c r="U10" s="25"/>
      <c r="V10" s="15">
        <f>-(L10+M10)+V9</f>
        <v>38.811575</v>
      </c>
      <c r="W10" s="17"/>
      <c r="X10" s="15">
        <f>F10-G10</f>
        <v>-1799.117923528</v>
      </c>
      <c r="Y10" s="24"/>
      <c r="Z10" s="15">
        <v>99</v>
      </c>
      <c r="AA10" s="22"/>
      <c r="AB10" s="20">
        <v>14.902</v>
      </c>
    </row>
    <row r="11" ht="20.05" customHeight="1">
      <c r="B11" s="13"/>
      <c r="C11" s="14">
        <v>814.58201936</v>
      </c>
      <c r="D11" s="15">
        <v>41.702</v>
      </c>
      <c r="E11" s="15">
        <v>31.1968348</v>
      </c>
      <c r="F11" s="15">
        <v>174.2634548</v>
      </c>
      <c r="G11" s="15">
        <v>1875.78719336</v>
      </c>
      <c r="H11" s="15">
        <v>4200.78585736</v>
      </c>
      <c r="I11" s="15">
        <v>799.79699228</v>
      </c>
      <c r="J11" s="15">
        <v>71.36109512</v>
      </c>
      <c r="K11" s="15">
        <v>-14.46107444</v>
      </c>
      <c r="L11" s="15">
        <v>3.595</v>
      </c>
      <c r="M11" s="15">
        <v>0</v>
      </c>
      <c r="N11" s="15">
        <f>SUM(C8:C11)/4</f>
        <v>755.434655744750</v>
      </c>
      <c r="O11" s="15"/>
      <c r="P11" s="16"/>
      <c r="Q11" s="16">
        <f>(E11+D11)/C11</f>
        <v>0.0894923200702062</v>
      </c>
      <c r="R11" s="16"/>
      <c r="S11" s="17"/>
      <c r="T11" s="15">
        <f>SUM(J8:K11)/4</f>
        <v>-12.7602214075</v>
      </c>
      <c r="U11" s="25"/>
      <c r="V11" s="15">
        <f>-(L11+M11)+V10</f>
        <v>35.216575</v>
      </c>
      <c r="W11" s="17"/>
      <c r="X11" s="15">
        <f>F11-G11</f>
        <v>-1701.52373856</v>
      </c>
      <c r="Y11" s="24"/>
      <c r="Z11" s="15">
        <v>89</v>
      </c>
      <c r="AA11" s="22"/>
      <c r="AB11" s="20">
        <v>14.38</v>
      </c>
    </row>
    <row r="12" ht="20.05" customHeight="1">
      <c r="B12" s="21">
        <v>2019</v>
      </c>
      <c r="C12" s="14">
        <v>735.12321104</v>
      </c>
      <c r="D12" s="15">
        <v>40.94</v>
      </c>
      <c r="E12" s="15">
        <v>16.25760864</v>
      </c>
      <c r="F12" s="15">
        <v>129.06952304</v>
      </c>
      <c r="G12" s="15">
        <v>1800.28952224</v>
      </c>
      <c r="H12" s="15">
        <v>4134.71015216</v>
      </c>
      <c r="I12" s="15">
        <v>751.34353936</v>
      </c>
      <c r="J12" s="15">
        <v>13.99591216</v>
      </c>
      <c r="K12" s="15">
        <v>-3.2209456</v>
      </c>
      <c r="L12" s="15">
        <v>-56.96</v>
      </c>
      <c r="M12" s="15">
        <v>-4.628</v>
      </c>
      <c r="N12" s="15">
        <f>SUM(C9:C12)/4</f>
        <v>766.173501535</v>
      </c>
      <c r="O12" s="23"/>
      <c r="P12" s="16"/>
      <c r="Q12" s="16">
        <f>(E12+D12)/C12</f>
        <v>0.0778068326248071</v>
      </c>
      <c r="R12" s="16"/>
      <c r="S12" s="17"/>
      <c r="T12" s="15">
        <f>SUM(J9:K12)/4</f>
        <v>0.428959247</v>
      </c>
      <c r="U12" s="25"/>
      <c r="V12" s="15">
        <f>-(L12+M12)+V11</f>
        <v>96.804575</v>
      </c>
      <c r="W12" s="17"/>
      <c r="X12" s="15">
        <f>F12-G12</f>
        <v>-1671.2199992</v>
      </c>
      <c r="Y12" s="24"/>
      <c r="Z12" s="15">
        <v>95</v>
      </c>
      <c r="AA12" s="22"/>
      <c r="AB12" s="20">
        <v>14.24</v>
      </c>
    </row>
    <row r="13" ht="20.05" customHeight="1">
      <c r="B13" s="13"/>
      <c r="C13" s="14">
        <v>671.256229299</v>
      </c>
      <c r="D13" s="15">
        <v>40.615125</v>
      </c>
      <c r="E13" s="15">
        <v>16.017771807</v>
      </c>
      <c r="F13" s="15">
        <v>87.276026793</v>
      </c>
      <c r="G13" s="15">
        <v>1664.520457071</v>
      </c>
      <c r="H13" s="15">
        <v>3959.917967595</v>
      </c>
      <c r="I13" s="15">
        <v>705.097740339</v>
      </c>
      <c r="J13" s="15">
        <v>70.69438990800001</v>
      </c>
      <c r="K13" s="15">
        <v>-3.218017584</v>
      </c>
      <c r="L13" s="15">
        <v>-56.508</v>
      </c>
      <c r="M13" s="15">
        <v>-4.591275</v>
      </c>
      <c r="N13" s="15">
        <f>SUM(C10:C13)/4</f>
        <v>762.636602859750</v>
      </c>
      <c r="O13" s="23"/>
      <c r="P13" s="16"/>
      <c r="Q13" s="16">
        <f>(E13+D13)/C13</f>
        <v>0.0843685232778284</v>
      </c>
      <c r="R13" s="16"/>
      <c r="S13" s="17"/>
      <c r="T13" s="15">
        <f>SUM(J10:K13)/4</f>
        <v>23.455441328</v>
      </c>
      <c r="U13" s="25"/>
      <c r="V13" s="15">
        <f>-(L13+M13)+V12</f>
        <v>157.90385</v>
      </c>
      <c r="W13" s="17"/>
      <c r="X13" s="15">
        <f>F13-G13</f>
        <v>-1577.244430278</v>
      </c>
      <c r="Y13" s="24"/>
      <c r="Z13" s="15">
        <v>100</v>
      </c>
      <c r="AA13" s="24"/>
      <c r="AB13" s="15">
        <v>14.127</v>
      </c>
    </row>
    <row r="14" ht="20.05" customHeight="1">
      <c r="B14" s="13"/>
      <c r="C14" s="14">
        <v>742.62337719</v>
      </c>
      <c r="D14" s="15">
        <v>40.810625</v>
      </c>
      <c r="E14" s="15">
        <v>13.30446248</v>
      </c>
      <c r="F14" s="15">
        <v>115.391595045</v>
      </c>
      <c r="G14" s="15">
        <v>1663.189269895</v>
      </c>
      <c r="H14" s="15">
        <v>3960.062148165</v>
      </c>
      <c r="I14" s="15">
        <v>719.6033173</v>
      </c>
      <c r="J14" s="15">
        <v>38.45297745</v>
      </c>
      <c r="K14" s="15">
        <v>-4.395779845</v>
      </c>
      <c r="L14" s="15">
        <v>-56.78</v>
      </c>
      <c r="M14" s="15">
        <v>-4.613375</v>
      </c>
      <c r="N14" s="15">
        <f>SUM(C11:C14)/4</f>
        <v>740.896209222250</v>
      </c>
      <c r="O14" s="23"/>
      <c r="P14" s="16"/>
      <c r="Q14" s="16">
        <f>(E14+D14)/C14</f>
        <v>0.0728701642611429</v>
      </c>
      <c r="R14" s="16"/>
      <c r="S14" s="17"/>
      <c r="T14" s="15">
        <f>SUM(J11:K14)/4</f>
        <v>42.302139292250</v>
      </c>
      <c r="U14" s="25"/>
      <c r="V14" s="15">
        <f>-(L14+M14)+V13</f>
        <v>219.297225</v>
      </c>
      <c r="W14" s="17"/>
      <c r="X14" s="15">
        <f>F14-G14</f>
        <v>-1547.79767485</v>
      </c>
      <c r="Y14" s="24"/>
      <c r="Z14" s="15">
        <v>100</v>
      </c>
      <c r="AA14" s="24"/>
      <c r="AB14" s="15">
        <v>14.195</v>
      </c>
    </row>
    <row r="15" ht="20.05" customHeight="1">
      <c r="B15" s="13"/>
      <c r="C15" s="14">
        <v>719.1170020759999</v>
      </c>
      <c r="D15" s="15">
        <v>39.91075</v>
      </c>
      <c r="E15" s="15">
        <v>18.008230152</v>
      </c>
      <c r="F15" s="15">
        <v>166.411155218</v>
      </c>
      <c r="G15" s="15">
        <v>1584.432675848</v>
      </c>
      <c r="H15" s="15">
        <v>3852.823523428</v>
      </c>
      <c r="I15" s="15">
        <v>739.35018366</v>
      </c>
      <c r="J15" s="15">
        <v>164.470271152</v>
      </c>
      <c r="K15" s="15">
        <v>-7.903244712</v>
      </c>
      <c r="L15" s="15">
        <v>-55.528</v>
      </c>
      <c r="M15" s="15">
        <v>-4.51165</v>
      </c>
      <c r="N15" s="15">
        <f>SUM(C12:C15)/4</f>
        <v>717.029954901250</v>
      </c>
      <c r="O15" s="15"/>
      <c r="P15" s="16"/>
      <c r="Q15" s="16">
        <f>(E15+D15)/C15</f>
        <v>0.08054180332935421</v>
      </c>
      <c r="R15" s="16"/>
      <c r="S15" s="17"/>
      <c r="T15" s="15">
        <f>SUM(J12:K15)/4</f>
        <v>67.218890732250</v>
      </c>
      <c r="U15" s="25"/>
      <c r="V15" s="15">
        <f>-(L15+M15)+V14</f>
        <v>279.336875</v>
      </c>
      <c r="W15" s="17"/>
      <c r="X15" s="15">
        <f>F15-G15</f>
        <v>-1418.02152063</v>
      </c>
      <c r="Y15" s="24"/>
      <c r="Z15" s="15">
        <v>93</v>
      </c>
      <c r="AA15" s="24"/>
      <c r="AB15" s="15">
        <v>13.882</v>
      </c>
    </row>
    <row r="16" ht="20.05" customHeight="1">
      <c r="B16" s="21">
        <v>2020</v>
      </c>
      <c r="C16" s="14">
        <v>792.6685443600001</v>
      </c>
      <c r="D16" s="15">
        <v>47.299</v>
      </c>
      <c r="E16" s="15">
        <v>18.01563456</v>
      </c>
      <c r="F16" s="15">
        <v>151.45183837</v>
      </c>
      <c r="G16" s="15">
        <v>1806.28989828</v>
      </c>
      <c r="H16" s="15">
        <v>4473.59249274</v>
      </c>
      <c r="I16" s="15">
        <v>795.41567028</v>
      </c>
      <c r="J16" s="15">
        <v>-32.1093339</v>
      </c>
      <c r="K16" s="15">
        <v>-17.20383693</v>
      </c>
      <c r="L16" s="15">
        <v>-57.085</v>
      </c>
      <c r="M16" s="15">
        <v>0</v>
      </c>
      <c r="N16" s="15">
        <f>SUM(C13:C16)/4</f>
        <v>731.416288231250</v>
      </c>
      <c r="O16" s="15"/>
      <c r="P16" s="16"/>
      <c r="Q16" s="16">
        <f>(E16+D16)/C16</f>
        <v>0.0823984186388208</v>
      </c>
      <c r="R16" s="16">
        <f>AVERAGE(Q13:Q16)</f>
        <v>0.0800447273767866</v>
      </c>
      <c r="S16" s="17"/>
      <c r="T16" s="15">
        <f>SUM(J13:K16)/4</f>
        <v>52.196856384750</v>
      </c>
      <c r="U16" s="25"/>
      <c r="V16" s="15">
        <f>-(L16+M16)+V15</f>
        <v>336.421875</v>
      </c>
      <c r="W16" s="17"/>
      <c r="X16" s="15">
        <f>F16-G16</f>
        <v>-1654.83805991</v>
      </c>
      <c r="Y16" s="24"/>
      <c r="Z16" s="15">
        <v>53</v>
      </c>
      <c r="AA16" s="24"/>
      <c r="AB16" s="15">
        <v>16.31</v>
      </c>
    </row>
    <row r="17" ht="20.05" customHeight="1">
      <c r="B17" s="13"/>
      <c r="C17" s="14">
        <v>670.56275515</v>
      </c>
      <c r="D17" s="15">
        <v>41.3395</v>
      </c>
      <c r="E17" s="15">
        <v>20.56979394</v>
      </c>
      <c r="F17" s="15">
        <v>171.367009935</v>
      </c>
      <c r="G17" s="15">
        <v>1530.909067915</v>
      </c>
      <c r="H17" s="15">
        <v>3883.193331315</v>
      </c>
      <c r="I17" s="15">
        <v>687.618534785</v>
      </c>
      <c r="J17" s="15">
        <v>130.36260222</v>
      </c>
      <c r="K17" s="15">
        <v>-9.587143230000001</v>
      </c>
      <c r="L17" s="15">
        <v>-49.8925</v>
      </c>
      <c r="M17" s="15">
        <v>0</v>
      </c>
      <c r="N17" s="15">
        <f>SUM(C14:C17)/4</f>
        <v>731.242919694</v>
      </c>
      <c r="O17" s="15"/>
      <c r="P17" s="16">
        <f>C17/C16-1</f>
        <v>-0.154043944444128</v>
      </c>
      <c r="Q17" s="16">
        <f>(E17+D17)/C17</f>
        <v>0.0923243849505947</v>
      </c>
      <c r="R17" s="16">
        <f>AVERAGE(Q14:Q17)</f>
        <v>0.0820336927949782</v>
      </c>
      <c r="S17" s="17"/>
      <c r="T17" s="25">
        <f>SUM(J14:K17)/4</f>
        <v>65.521628051250</v>
      </c>
      <c r="U17" s="25"/>
      <c r="V17" s="15">
        <f>-(L17+M17)+V16</f>
        <v>386.314375</v>
      </c>
      <c r="W17" s="17"/>
      <c r="X17" s="15">
        <f>F17-G17</f>
        <v>-1359.54205798</v>
      </c>
      <c r="Y17" s="24"/>
      <c r="Z17" s="15">
        <v>72</v>
      </c>
      <c r="AA17" s="24"/>
      <c r="AB17" s="15">
        <v>14.255</v>
      </c>
    </row>
    <row r="18" ht="20.05" customHeight="1">
      <c r="B18" s="13"/>
      <c r="C18" s="14">
        <v>725.59933749</v>
      </c>
      <c r="D18" s="15">
        <v>42.891</v>
      </c>
      <c r="E18" s="15">
        <v>29.3594811</v>
      </c>
      <c r="F18" s="15">
        <v>269.66087871</v>
      </c>
      <c r="G18" s="15">
        <v>1569.60361395</v>
      </c>
      <c r="H18" s="15">
        <v>4071.59871849</v>
      </c>
      <c r="I18" s="15">
        <v>763.08914781</v>
      </c>
      <c r="J18" s="15">
        <v>148.42004598</v>
      </c>
      <c r="K18" s="15">
        <v>-21.41347965</v>
      </c>
      <c r="L18" s="15">
        <v>-51.765</v>
      </c>
      <c r="M18" s="15">
        <v>0</v>
      </c>
      <c r="N18" s="15">
        <f>SUM(C15:C18)/4</f>
        <v>726.986909769</v>
      </c>
      <c r="O18" s="15"/>
      <c r="P18" s="16">
        <f>C18/C17-1</f>
        <v>0.0820752150597579</v>
      </c>
      <c r="Q18" s="16">
        <f>(E18+D18)/C18</f>
        <v>0.0995735213181555</v>
      </c>
      <c r="R18" s="16">
        <f>AVERAGE(Q15:Q18)</f>
        <v>0.08870953205923129</v>
      </c>
      <c r="S18" s="17"/>
      <c r="T18" s="25">
        <f>SUM(J15:K18)/4</f>
        <v>88.7589702325</v>
      </c>
      <c r="U18" s="25"/>
      <c r="V18" s="15">
        <f>-(L18+M18)+V17</f>
        <v>438.079375</v>
      </c>
      <c r="W18" s="17"/>
      <c r="X18" s="15">
        <f>F18-G18</f>
        <v>-1299.94273524</v>
      </c>
      <c r="Y18" s="24"/>
      <c r="Z18" s="15">
        <v>84</v>
      </c>
      <c r="AA18" s="24"/>
      <c r="AB18" s="15">
        <v>14.79</v>
      </c>
    </row>
    <row r="19" ht="20.05" customHeight="1">
      <c r="B19" s="13"/>
      <c r="C19" s="14">
        <v>748.6984803</v>
      </c>
      <c r="D19" s="15">
        <v>40.89</v>
      </c>
      <c r="E19" s="15">
        <v>55.9395786</v>
      </c>
      <c r="F19" s="15">
        <v>397.761</v>
      </c>
      <c r="G19" s="15">
        <v>1474.86</v>
      </c>
      <c r="H19" s="15">
        <v>3955.05</v>
      </c>
      <c r="I19" s="15">
        <v>743.0624706</v>
      </c>
      <c r="J19" s="15">
        <v>249.4076244</v>
      </c>
      <c r="K19" s="15">
        <v>-11.6299056</v>
      </c>
      <c r="L19" s="15">
        <v>-49.35</v>
      </c>
      <c r="M19" s="15">
        <v>0</v>
      </c>
      <c r="N19" s="15">
        <f>SUM(C16:C19)/4</f>
        <v>734.382279325</v>
      </c>
      <c r="O19" s="15"/>
      <c r="P19" s="16">
        <f>C19/C18-1</f>
        <v>0.0318345698742019</v>
      </c>
      <c r="Q19" s="16">
        <f>(E19+D19)/C19</f>
        <v>0.129330539793804</v>
      </c>
      <c r="R19" s="16">
        <f>AVERAGE(Q16:Q19)</f>
        <v>0.100906716175344</v>
      </c>
      <c r="S19" s="17"/>
      <c r="T19" s="25">
        <f>SUM(J16:K19)/4</f>
        <v>109.0616433225</v>
      </c>
      <c r="U19" s="25"/>
      <c r="V19" s="15">
        <f>-(L19+M19)+V18</f>
        <v>487.429375</v>
      </c>
      <c r="W19" s="17"/>
      <c r="X19" s="15">
        <f>F19-G19</f>
        <v>-1077.099</v>
      </c>
      <c r="Y19" s="24"/>
      <c r="Z19" s="15">
        <v>160</v>
      </c>
      <c r="AA19" s="24"/>
      <c r="AB19" s="15">
        <v>14.1</v>
      </c>
    </row>
    <row r="20" ht="20.05" customHeight="1">
      <c r="B20" s="21">
        <v>2021</v>
      </c>
      <c r="C20" s="14">
        <v>823.7784</v>
      </c>
      <c r="D20" s="15">
        <v>42.3574</v>
      </c>
      <c r="E20" s="15">
        <v>33.5938</v>
      </c>
      <c r="F20" s="15">
        <v>373.558776442</v>
      </c>
      <c r="G20" s="15">
        <v>1564.875900106</v>
      </c>
      <c r="H20" s="15">
        <v>4160.344821208</v>
      </c>
      <c r="I20" s="15">
        <v>753.6695999999999</v>
      </c>
      <c r="J20" s="15">
        <v>-77.4118</v>
      </c>
      <c r="K20" s="15">
        <v>-7.303</v>
      </c>
      <c r="L20" s="15">
        <v>53.01978</v>
      </c>
      <c r="M20" s="15">
        <v>0</v>
      </c>
      <c r="N20" s="15">
        <f>SUM(C17:C20)/4</f>
        <v>742.159743235</v>
      </c>
      <c r="O20" s="15">
        <v>748.638882620024</v>
      </c>
      <c r="P20" s="16">
        <f>C20/C19-1</f>
        <v>0.100280582471485</v>
      </c>
      <c r="Q20" s="16">
        <f>(E20+D20)/C20</f>
        <v>0.0921985815602837</v>
      </c>
      <c r="R20" s="16">
        <f>AVERAGE(Q17:Q20)</f>
        <v>0.103356756905709</v>
      </c>
      <c r="S20" s="17"/>
      <c r="T20" s="25">
        <f>SUM(J17:K20)/4</f>
        <v>100.21123603</v>
      </c>
      <c r="U20" s="25"/>
      <c r="V20" s="15">
        <f>-(L20+M20)+V19</f>
        <v>434.409595</v>
      </c>
      <c r="W20" s="17"/>
      <c r="X20" s="15">
        <f>F20-G20</f>
        <v>-1191.317123664</v>
      </c>
      <c r="Y20" s="15"/>
      <c r="Z20" s="15">
        <v>170.942535</v>
      </c>
      <c r="AA20" s="15"/>
      <c r="AB20" s="15">
        <v>14.606</v>
      </c>
    </row>
    <row r="21" ht="20.05" customHeight="1">
      <c r="B21" s="13"/>
      <c r="C21" s="14">
        <v>852.55</v>
      </c>
      <c r="D21" s="15">
        <v>40.46</v>
      </c>
      <c r="E21" s="15">
        <v>39.015</v>
      </c>
      <c r="F21" s="15">
        <v>345.4976215</v>
      </c>
      <c r="G21" s="15">
        <v>1617.5358033</v>
      </c>
      <c r="H21" s="15">
        <v>4207.2576072</v>
      </c>
      <c r="I21" s="15">
        <v>791.86</v>
      </c>
      <c r="J21" s="15">
        <v>-57.8</v>
      </c>
      <c r="K21" s="15">
        <v>-11.56</v>
      </c>
      <c r="L21" s="15">
        <v>72.61125</v>
      </c>
      <c r="M21" s="15">
        <v>-31.79</v>
      </c>
      <c r="N21" s="15">
        <f>SUM(C18:C21)/4</f>
        <v>787.6565544475</v>
      </c>
      <c r="O21" s="15">
        <v>762.705408939675</v>
      </c>
      <c r="P21" s="16">
        <f>C21/C20-1</f>
        <v>0.0349263831146823</v>
      </c>
      <c r="Q21" s="16">
        <f>(E21+D21)/C21</f>
        <v>0.09322033898305079</v>
      </c>
      <c r="R21" s="16">
        <f>AVERAGE(Q18:Q21)</f>
        <v>0.103580745413824</v>
      </c>
      <c r="S21" s="17"/>
      <c r="T21" s="25">
        <f>SUM(J18:K21)/4</f>
        <v>52.6773712825</v>
      </c>
      <c r="U21" s="25"/>
      <c r="V21" s="15">
        <f>-(L21+M21)+V20</f>
        <v>393.588345</v>
      </c>
      <c r="W21" s="17"/>
      <c r="X21" s="15">
        <f>F21-G21</f>
        <v>-1272.0381818</v>
      </c>
      <c r="Y21" s="15"/>
      <c r="Z21" s="15">
        <v>158</v>
      </c>
      <c r="AA21" s="15"/>
      <c r="AB21" s="15">
        <v>14.45</v>
      </c>
    </row>
    <row r="22" ht="20.05" customHeight="1">
      <c r="B22" s="13"/>
      <c r="C22" s="14">
        <v>859.6799999999999</v>
      </c>
      <c r="D22" s="15">
        <v>37.2528</v>
      </c>
      <c r="E22" s="15">
        <v>30.0888</v>
      </c>
      <c r="F22" s="15">
        <v>272.232</v>
      </c>
      <c r="G22" s="15">
        <v>1561.752</v>
      </c>
      <c r="H22" s="15">
        <v>4155.12</v>
      </c>
      <c r="I22" s="15">
        <v>849.6504</v>
      </c>
      <c r="J22" s="15">
        <v>71.64</v>
      </c>
      <c r="K22" s="15">
        <v>-107.46</v>
      </c>
      <c r="L22" s="15">
        <v>-30.318048</v>
      </c>
      <c r="M22" s="15">
        <v>-0.200592</v>
      </c>
      <c r="N22" s="15">
        <f>SUM(C19:C22)/4</f>
        <v>821.176720075</v>
      </c>
      <c r="O22" s="15">
        <v>799.6712688211589</v>
      </c>
      <c r="P22" s="16">
        <f>C22/C21-1</f>
        <v>0.008363145856548</v>
      </c>
      <c r="Q22" s="16">
        <f>(E22+D22)/C22</f>
        <v>0.0783333333333333</v>
      </c>
      <c r="R22" s="16">
        <f>AVERAGE(Q19:Q22)</f>
        <v>0.098270698417618</v>
      </c>
      <c r="S22" s="17"/>
      <c r="T22" s="25">
        <f>SUM(J19:K22)/4</f>
        <v>11.9707297</v>
      </c>
      <c r="U22" s="25"/>
      <c r="V22" s="15">
        <f>-(L22+M22)+V21</f>
        <v>424.106985</v>
      </c>
      <c r="W22" s="17"/>
      <c r="X22" s="15">
        <f>F22-G22</f>
        <v>-1289.52</v>
      </c>
      <c r="Y22" s="15"/>
      <c r="Z22" s="15">
        <v>163</v>
      </c>
      <c r="AA22" s="15"/>
      <c r="AB22" s="15">
        <v>14.328</v>
      </c>
    </row>
    <row r="23" ht="20.05" customHeight="1">
      <c r="B23" s="13"/>
      <c r="C23" s="14">
        <v>913.6</v>
      </c>
      <c r="D23" s="15">
        <v>39.97</v>
      </c>
      <c r="E23" s="15">
        <v>34.26</v>
      </c>
      <c r="F23" s="15">
        <v>285.5</v>
      </c>
      <c r="G23" s="15">
        <v>1641.625</v>
      </c>
      <c r="H23" s="15">
        <v>4268.225</v>
      </c>
      <c r="I23" s="15">
        <v>880.7675</v>
      </c>
      <c r="J23" s="15">
        <v>81.36750000000001</v>
      </c>
      <c r="K23" s="15">
        <v>-68.52</v>
      </c>
      <c r="L23" s="15">
        <v>-0.19985</v>
      </c>
      <c r="M23" s="15">
        <v>0.19985</v>
      </c>
      <c r="N23" s="15">
        <f>SUM(C20:C23)/4</f>
        <v>862.4021</v>
      </c>
      <c r="O23" s="15">
        <v>833.424484535247</v>
      </c>
      <c r="P23" s="16">
        <f>C23/C22-1</f>
        <v>0.0627210124697562</v>
      </c>
      <c r="Q23" s="16">
        <f>(E23+D23)/C23</f>
        <v>0.08125</v>
      </c>
      <c r="R23" s="16">
        <f>AVERAGE(Q20:Q23)</f>
        <v>0.086250563469167</v>
      </c>
      <c r="S23" s="17"/>
      <c r="T23" s="25">
        <f>SUM(J20:K23)/4</f>
        <v>-44.261825</v>
      </c>
      <c r="U23" s="25"/>
      <c r="V23" s="15">
        <f>-(L23+M23)+V22</f>
        <v>424.106985</v>
      </c>
      <c r="W23" s="17"/>
      <c r="X23" s="15">
        <f>F23-G23</f>
        <v>-1356.125</v>
      </c>
      <c r="Y23" s="15"/>
      <c r="Z23" s="15">
        <v>170</v>
      </c>
      <c r="AA23" s="15"/>
      <c r="AB23" s="15">
        <v>14.275</v>
      </c>
    </row>
    <row r="24" ht="20.05" customHeight="1">
      <c r="B24" s="21">
        <v>2022</v>
      </c>
      <c r="C24" s="14">
        <v>863.9181</v>
      </c>
      <c r="D24" s="15">
        <v>38.6829</v>
      </c>
      <c r="E24" s="15">
        <v>32.9521</v>
      </c>
      <c r="F24" s="15">
        <v>272.213</v>
      </c>
      <c r="G24" s="15">
        <v>1719.24</v>
      </c>
      <c r="H24" s="15">
        <v>4398.389</v>
      </c>
      <c r="I24" s="15">
        <v>792.2831</v>
      </c>
      <c r="J24" s="15">
        <v>-180.5202</v>
      </c>
      <c r="K24" s="15">
        <v>8.5962</v>
      </c>
      <c r="L24" s="15">
        <v>154.7316</v>
      </c>
      <c r="M24" s="15">
        <v>0</v>
      </c>
      <c r="N24" s="15">
        <f>SUM(C21:C24)/4</f>
        <v>872.4370249999999</v>
      </c>
      <c r="O24" s="15">
        <v>875.150468</v>
      </c>
      <c r="P24" s="16">
        <f>C24/C23-1</f>
        <v>-0.0543803633975482</v>
      </c>
      <c r="Q24" s="16">
        <f>(E24+D24)/C24</f>
        <v>0.0829187396351575</v>
      </c>
      <c r="R24" s="16">
        <f>AVERAGE(Q21:Q24)</f>
        <v>0.08393060298788541</v>
      </c>
      <c r="S24" s="35"/>
      <c r="T24" s="25">
        <f>SUM(J21:K24)/4</f>
        <v>-66.064125</v>
      </c>
      <c r="U24" s="15">
        <v>30.8123072286774</v>
      </c>
      <c r="V24" s="15">
        <f>-(L24+M24)+V23</f>
        <v>269.375385</v>
      </c>
      <c r="W24" s="15"/>
      <c r="X24" s="15">
        <f>F24-G24</f>
        <v>-1447.027</v>
      </c>
      <c r="Y24" s="15"/>
      <c r="Z24" s="15">
        <v>163</v>
      </c>
      <c r="AA24" s="17"/>
      <c r="AB24" s="15">
        <v>14.327</v>
      </c>
    </row>
    <row r="25" ht="20.05" customHeight="1">
      <c r="B25" s="13"/>
      <c r="C25" s="14">
        <v>857.61</v>
      </c>
      <c r="D25" s="15">
        <v>41.048</v>
      </c>
      <c r="E25" s="15">
        <v>13.194</v>
      </c>
      <c r="F25" s="15">
        <v>278.54</v>
      </c>
      <c r="G25" s="15">
        <v>1803.18</v>
      </c>
      <c r="H25" s="15">
        <v>4456.64</v>
      </c>
      <c r="I25" s="15">
        <v>882.532</v>
      </c>
      <c r="J25" s="15">
        <v>0</v>
      </c>
      <c r="K25" s="15">
        <v>-43.98</v>
      </c>
      <c r="L25" s="15">
        <v>24.922</v>
      </c>
      <c r="M25" s="15">
        <v>0</v>
      </c>
      <c r="N25" s="15">
        <f>SUM(C22:C25)/4</f>
        <v>873.702025</v>
      </c>
      <c r="O25" s="15">
        <v>918.481985</v>
      </c>
      <c r="P25" s="16">
        <f>C25/C24-1</f>
        <v>-0.00730173381018409</v>
      </c>
      <c r="Q25" s="16">
        <f>(E25+D25)/C25</f>
        <v>0.0632478632478632</v>
      </c>
      <c r="R25" s="16">
        <f>AVERAGE(Q22:Q25)</f>
        <v>0.0764374840540885</v>
      </c>
      <c r="S25" s="35"/>
      <c r="T25" s="25">
        <f>SUM(J22:K25)/4</f>
        <v>-59.719125</v>
      </c>
      <c r="U25" s="15">
        <v>49.4382175706408</v>
      </c>
      <c r="V25" s="15">
        <f>-(L25+M25)+V24</f>
        <v>244.453385</v>
      </c>
      <c r="W25" s="15"/>
      <c r="X25" s="15">
        <f>F25-G25</f>
        <v>-1524.64</v>
      </c>
      <c r="Y25" s="15">
        <v>-1398.045143752470</v>
      </c>
      <c r="Z25" s="15">
        <v>157</v>
      </c>
      <c r="AA25" s="17"/>
      <c r="AB25" s="15">
        <v>14.66</v>
      </c>
    </row>
    <row r="26" ht="20.05" customHeight="1">
      <c r="B26" s="13"/>
      <c r="C26" s="14">
        <v>884.1915</v>
      </c>
      <c r="D26" s="15">
        <v>42.4035</v>
      </c>
      <c r="E26" s="15">
        <v>20.4165</v>
      </c>
      <c r="F26" s="15">
        <v>219.87</v>
      </c>
      <c r="G26" s="15">
        <v>1711.845</v>
      </c>
      <c r="H26" s="15">
        <v>4491.63</v>
      </c>
      <c r="I26" s="15">
        <v>958.005</v>
      </c>
      <c r="J26" s="15">
        <v>171.1845</v>
      </c>
      <c r="K26" s="15">
        <v>-40.833</v>
      </c>
      <c r="L26" s="15">
        <v>-180.6075</v>
      </c>
      <c r="M26" s="15">
        <v>-39.2625</v>
      </c>
      <c r="N26" s="15">
        <f>SUM(C23:C26)/4</f>
        <v>879.8299</v>
      </c>
      <c r="O26" s="15">
        <v>965.716155</v>
      </c>
      <c r="P26" s="16">
        <f>C26/C25-1</f>
        <v>0.0309948578024976</v>
      </c>
      <c r="Q26" s="16">
        <f>(E26+D26)/C26</f>
        <v>0.0710479573712256</v>
      </c>
      <c r="R26" s="16">
        <f>AVERAGE(Q23:Q26)</f>
        <v>0.0746161400635616</v>
      </c>
      <c r="S26" s="35">
        <f>S27</f>
        <v>0.0710479573712256</v>
      </c>
      <c r="T26" s="25">
        <f>SUM(J23:K26)/4</f>
        <v>-18.17625</v>
      </c>
      <c r="U26" s="15">
        <v>36.9739004351871</v>
      </c>
      <c r="V26" s="15">
        <f>-(L26+M26)+V25</f>
        <v>464.323385</v>
      </c>
      <c r="W26" s="15">
        <f>W27</f>
        <v>560.541769922</v>
      </c>
      <c r="X26" s="15">
        <f>F26-G26</f>
        <v>-1491.975</v>
      </c>
      <c r="Y26" s="15">
        <v>-1485.424398259250</v>
      </c>
      <c r="Z26" s="15">
        <v>155</v>
      </c>
      <c r="AA26" s="15">
        <v>137.747881868821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913.292916944288</v>
      </c>
      <c r="P27" s="17"/>
      <c r="Q27" s="17"/>
      <c r="R27" s="17"/>
      <c r="S27" s="35">
        <f>AE53</f>
        <v>0.0710479573712256</v>
      </c>
      <c r="T27" s="25"/>
      <c r="U27" s="15">
        <f>SUM(AE55:AH55)/4</f>
        <v>24.0545962305</v>
      </c>
      <c r="V27" s="17"/>
      <c r="W27" s="15">
        <f>-SUM(AE76:AH76)+V26</f>
        <v>560.541769922</v>
      </c>
      <c r="X27" s="26"/>
      <c r="Y27" s="15">
        <f>AH75</f>
        <v>-1395.756615078</v>
      </c>
      <c r="Z27" s="15">
        <v>146</v>
      </c>
      <c r="AA27" s="15">
        <v>187.702399434731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5839.3640677575</v>
      </c>
      <c r="O28" s="15">
        <f>SUM(O20:O26)</f>
        <v>5903.788652916110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164.261955269955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314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0.00800844326613038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0.0627210124697562</v>
      </c>
      <c r="AF50" s="35">
        <f>P24</f>
        <v>-0.0543803633975482</v>
      </c>
      <c r="AG50" s="35">
        <f>P25</f>
        <v>-0.00730173381018409</v>
      </c>
      <c r="AH50" s="35">
        <f>P26</f>
        <v>0.0309948578024976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0.06</v>
      </c>
      <c r="AF51" s="35">
        <v>-0.05</v>
      </c>
      <c r="AG51" s="35">
        <v>0.01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884.1915</v>
      </c>
      <c r="AE52" s="23">
        <f>C26*(1+AE51)</f>
        <v>937.24299</v>
      </c>
      <c r="AF52" s="23">
        <f>AE52*(1+AF51)</f>
        <v>890.3808405</v>
      </c>
      <c r="AG52" s="23">
        <f>AF52*(1+AG51)</f>
        <v>899.284648905</v>
      </c>
      <c r="AH52" s="23">
        <f>AG52*(1+AH51)</f>
        <v>926.263188372150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AVERAGE(Q26)</f>
        <v>0.0710479573712256</v>
      </c>
      <c r="AF53" s="35">
        <f>AE53</f>
        <v>0.0710479573712256</v>
      </c>
      <c r="AG53" s="35">
        <f>AF53</f>
        <v>0.0710479573712256</v>
      </c>
      <c r="AH53" s="35">
        <f>AG53</f>
        <v>0.0710479573712256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-40.833</v>
      </c>
      <c r="AF54" s="15">
        <f>AE54</f>
        <v>-40.833</v>
      </c>
      <c r="AG54" s="15">
        <f>AF54</f>
        <v>-40.833</v>
      </c>
      <c r="AH54" s="15">
        <f>AG54</f>
        <v>-40.833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25.7562</v>
      </c>
      <c r="AF55" s="15">
        <f>(AF52*AF53)+AF54</f>
        <v>22.42674</v>
      </c>
      <c r="AG55" s="15">
        <f>(AG52*AG53)+AG54</f>
        <v>23.0593374</v>
      </c>
      <c r="AH55" s="15">
        <f>(AH52*AH53)+AH54</f>
        <v>24.976107522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-85.59225000000001</v>
      </c>
      <c r="AF56" s="15">
        <f>-AE71/20</f>
        <v>-81.31263749999999</v>
      </c>
      <c r="AG56" s="15">
        <f>-AF71/20</f>
        <v>-77.247005625</v>
      </c>
      <c r="AH56" s="15">
        <f>-AG71/20</f>
        <v>-73.384655343750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-59.83605</v>
      </c>
      <c r="AF59" s="15">
        <f>AF55+AF56+AF58</f>
        <v>-58.8858975</v>
      </c>
      <c r="AG59" s="15">
        <f>AG55+AG56+AG58</f>
        <v>-54.187668225</v>
      </c>
      <c r="AH59" s="15">
        <f>AH55+AH56+AH58</f>
        <v>-48.408547821750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59.83605</v>
      </c>
      <c r="AF60" s="15">
        <f>-MIN(AE72,AF59)</f>
        <v>58.8858975</v>
      </c>
      <c r="AG60" s="15">
        <f>-MIN(AF72,AG59)</f>
        <v>54.187668225</v>
      </c>
      <c r="AH60" s="15">
        <f>-MIN(AG72,AH59)</f>
        <v>48.408547821750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219.87</v>
      </c>
      <c r="AF61" s="15">
        <f>AE63</f>
        <v>219.87</v>
      </c>
      <c r="AG61" s="15">
        <f>AF63</f>
        <v>219.87</v>
      </c>
      <c r="AH61" s="15">
        <f>AG63</f>
        <v>219.87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219.87</v>
      </c>
      <c r="AF63" s="15">
        <f>AF61+AF62</f>
        <v>219.87</v>
      </c>
      <c r="AG63" s="15">
        <f>AG61+AG62</f>
        <v>219.87</v>
      </c>
      <c r="AH63" s="15">
        <f>AH61+AH62</f>
        <v>219.87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-40.7114666666667</v>
      </c>
      <c r="AF65" s="15">
        <f>AE65</f>
        <v>-40.7114666666667</v>
      </c>
      <c r="AG65" s="15">
        <f>AF65</f>
        <v>-40.7114666666667</v>
      </c>
      <c r="AH65" s="15">
        <f>AG65</f>
        <v>-40.7114666666667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25.8777333333333</v>
      </c>
      <c r="AF66" s="15">
        <f>(AF52*AF53)+AF65</f>
        <v>22.5482733333333</v>
      </c>
      <c r="AG66" s="15">
        <f>(AG52*AG53)+AG65</f>
        <v>23.1808707333333</v>
      </c>
      <c r="AH66" s="15">
        <f>(AH52*AH53)+AH65</f>
        <v>25.0976408553333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4312.593</v>
      </c>
      <c r="AF68" s="15">
        <f>AE68-AF54</f>
        <v>4353.426</v>
      </c>
      <c r="AG68" s="15">
        <f>AF68-AG54</f>
        <v>4394.259</v>
      </c>
      <c r="AH68" s="15">
        <f>AG68-AH54</f>
        <v>4435.092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40.7114666666667</v>
      </c>
      <c r="AF69" s="15">
        <f>AE69-AF65</f>
        <v>81.4229333333334</v>
      </c>
      <c r="AG69" s="15">
        <f>AF69-AG65</f>
        <v>122.1344</v>
      </c>
      <c r="AH69" s="15">
        <f>AG69-AH65</f>
        <v>162.845866666667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4271.881533333330</v>
      </c>
      <c r="AF70" s="15">
        <f>AF68-AF69</f>
        <v>4272.003066666670</v>
      </c>
      <c r="AG70" s="15">
        <f>AG68-AG69</f>
        <v>4272.1246</v>
      </c>
      <c r="AH70" s="15">
        <f>AH68-AH69</f>
        <v>4272.246133333330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1626.25275</v>
      </c>
      <c r="AF71" s="15">
        <f>AE71+AF56</f>
        <v>1544.9401125</v>
      </c>
      <c r="AG71" s="15">
        <f>AF71+AG56</f>
        <v>1467.693106875</v>
      </c>
      <c r="AH71" s="15">
        <f>AG71+AH56</f>
        <v>1394.308451531250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59.83605</v>
      </c>
      <c r="AF72" s="15">
        <f>AE72+AF60</f>
        <v>118.7219475</v>
      </c>
      <c r="AG72" s="15">
        <f>AF72+AG60</f>
        <v>172.909615725</v>
      </c>
      <c r="AH72" s="15">
        <f>AG72+AH60</f>
        <v>221.318163546750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2805.662733333330</v>
      </c>
      <c r="AF73" s="15">
        <f>AE73+AF66+AF58</f>
        <v>2828.211006666660</v>
      </c>
      <c r="AG73" s="15">
        <f>AF73+AG66+AG58</f>
        <v>2851.391877399990</v>
      </c>
      <c r="AH73" s="15">
        <f>AG73+AH66+AH58</f>
        <v>2876.489518255320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-9.999999999999999e-12</v>
      </c>
      <c r="AG74" s="15">
        <f>AG71+AG72+AG73-AG63-AG70</f>
        <v>-9.999999999999999e-12</v>
      </c>
      <c r="AH74" s="15">
        <f>AH71+AH72+AH73-AH63-AH70</f>
        <v>-9.999999999999999e-12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-1466.2188</v>
      </c>
      <c r="AF75" s="15">
        <f>AF63-AF71-AF72</f>
        <v>-1443.79206</v>
      </c>
      <c r="AG75" s="15">
        <f>AG63-AG71-AG72</f>
        <v>-1420.7327226</v>
      </c>
      <c r="AH75" s="15">
        <f>AH63-AH71-AH72</f>
        <v>-1395.756615078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-25.7562</v>
      </c>
      <c r="AF76" s="15">
        <f>AF56+AF58+AF60</f>
        <v>-22.42674</v>
      </c>
      <c r="AG76" s="15">
        <f>AG56+AG58+AG60</f>
        <v>-23.0593374</v>
      </c>
      <c r="AH76" s="15">
        <f>AH56+AH58+AH60</f>
        <v>-24.976107522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634</v>
      </c>
      <c r="AD78" s="14"/>
      <c r="AE78" s="15"/>
      <c r="AF78" s="15"/>
      <c r="AG78" s="15"/>
      <c r="AH78" s="15">
        <v>146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634</v>
      </c>
      <c r="AD79" s="14"/>
      <c r="AE79" s="15"/>
      <c r="AF79" s="15"/>
      <c r="AG79" s="15"/>
      <c r="AH79" s="15">
        <v>940733512704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940.733512704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6.443380224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0.209418787222212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96.218384922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44.4015573198059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9.77706613415525</v>
      </c>
      <c r="AH86" s="15">
        <v>11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1058.402234142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164.261955269955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0.125081885410651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0.0285123534338358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0.0110328084378803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634</v>
      </c>
      <c r="AF94" t="s" s="44">
        <v>60</v>
      </c>
      <c r="AG94" s="15">
        <f>AH78</f>
        <v>146</v>
      </c>
      <c r="AH94" t="s" s="44">
        <v>61</v>
      </c>
      <c r="AI94" s="15">
        <f>AH88</f>
        <v>164.261955269955</v>
      </c>
      <c r="AJ94" t="s" s="44">
        <f>IF(AK94&gt;0,"+","")</f>
        <v>361</v>
      </c>
      <c r="AK94" s="16">
        <f>AI94/AG94-1</f>
        <v>0.125081885410651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0.0285123534338358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-0.0772854363304441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0.0427500449988264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-1.58596986272078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0.0309948578024976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0.008363145856548</v>
      </c>
      <c r="AF103" s="16">
        <f>P23</f>
        <v>0.0627210124697562</v>
      </c>
      <c r="AG103" s="16">
        <f>P24</f>
        <v>-0.0543803633975482</v>
      </c>
      <c r="AH103" s="16">
        <f>P25</f>
        <v>-0.00730173381018409</v>
      </c>
      <c r="AI103" s="16">
        <f>P26</f>
        <v>0.0309948578024976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859.6799999999999</v>
      </c>
      <c r="AF104" t="s" s="44">
        <v>72</v>
      </c>
      <c r="AG104" s="15">
        <f>C23</f>
        <v>913.6</v>
      </c>
      <c r="AH104" t="s" s="44">
        <v>72</v>
      </c>
      <c r="AI104" s="15">
        <f>C24</f>
        <v>863.9181</v>
      </c>
      <c r="AJ104" t="s" s="44">
        <v>72</v>
      </c>
      <c r="AK104" s="15">
        <f>C25</f>
        <v>857.61</v>
      </c>
      <c r="AL104" t="s" s="44">
        <v>72</v>
      </c>
      <c r="AM104" s="15">
        <f>C26</f>
        <v>884.1915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0.0309948578024976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884.1915</v>
      </c>
      <c r="AM105" t="s" s="44">
        <v>372</v>
      </c>
      <c r="AN105" t="s" s="44">
        <v>373</v>
      </c>
      <c r="AO105" s="16">
        <f>AH91</f>
        <v>0.0110328084378803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0.00800844326613038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926.263188372150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0.0783333333333333</v>
      </c>
      <c r="AF110" s="16">
        <f>(D23+E23)/C23</f>
        <v>0.08125</v>
      </c>
      <c r="AG110" s="16">
        <f>((E24+D24)/C24)</f>
        <v>0.0829187396351575</v>
      </c>
      <c r="AH110" s="16">
        <f>(D25+E25)/C25</f>
        <v>0.0632478632478632</v>
      </c>
      <c r="AI110" s="16">
        <f>(D26+E26)/C26</f>
        <v>0.0710479573712256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30.0888</v>
      </c>
      <c r="AF111" t="s" s="44">
        <v>72</v>
      </c>
      <c r="AG111" s="15">
        <f>E23</f>
        <v>34.26</v>
      </c>
      <c r="AH111" t="s" s="44">
        <v>72</v>
      </c>
      <c r="AI111" s="15">
        <f>E24</f>
        <v>32.9521</v>
      </c>
      <c r="AJ111" t="s" s="44">
        <v>72</v>
      </c>
      <c r="AK111" s="15">
        <f>E25</f>
        <v>13.194</v>
      </c>
      <c r="AL111" t="s" s="44">
        <v>72</v>
      </c>
      <c r="AM111" s="15">
        <f>E26</f>
        <v>20.4165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0.0632478632478632</v>
      </c>
      <c r="AG112" t="s" s="44">
        <v>76</v>
      </c>
      <c r="AH112" s="16">
        <f>AI110</f>
        <v>0.0710479573712256</v>
      </c>
      <c r="AI112" t="s" s="44">
        <v>90</v>
      </c>
      <c r="AJ112" s="15">
        <f>AK111</f>
        <v>13.194</v>
      </c>
      <c r="AK112" t="s" s="44">
        <v>76</v>
      </c>
      <c r="AL112" s="15">
        <f>AM111</f>
        <v>20.4165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0.0746161400635616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0.0710479573712256</v>
      </c>
      <c r="AG114" t="s" s="44">
        <v>94</v>
      </c>
      <c r="AH114" s="15">
        <f>AH66</f>
        <v>25.0976408553333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71.64</v>
      </c>
      <c r="AF117" t="s" s="44">
        <v>72</v>
      </c>
      <c r="AG117" s="15">
        <f>J23</f>
        <v>81.36750000000001</v>
      </c>
      <c r="AH117" t="s" s="44">
        <v>72</v>
      </c>
      <c r="AI117" s="15">
        <f>J24</f>
        <v>-180.5202</v>
      </c>
      <c r="AJ117" t="s" s="44">
        <v>72</v>
      </c>
      <c r="AK117" s="15">
        <f>J25</f>
        <v>0</v>
      </c>
      <c r="AL117" t="s" s="44">
        <v>72</v>
      </c>
      <c r="AM117" s="15">
        <f>J26</f>
        <v>171.1845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-107.46</v>
      </c>
      <c r="AF118" t="s" s="44">
        <v>72</v>
      </c>
      <c r="AG118" s="15">
        <f>K23</f>
        <v>-68.52</v>
      </c>
      <c r="AH118" t="s" s="44">
        <v>72</v>
      </c>
      <c r="AI118" s="15">
        <f>K24</f>
        <v>8.5962</v>
      </c>
      <c r="AJ118" t="s" s="44">
        <v>72</v>
      </c>
      <c r="AK118" s="15">
        <f>K25</f>
        <v>-43.98</v>
      </c>
      <c r="AL118" t="s" s="44">
        <v>72</v>
      </c>
      <c r="AM118" s="15">
        <f>K26</f>
        <v>-40.833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-43.98</v>
      </c>
      <c r="AG119" t="s" s="44">
        <v>76</v>
      </c>
      <c r="AH119" s="15">
        <f>AM117+AM118</f>
        <v>130.3515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-40.833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-18.17625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-40.833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24.0545962305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272.232</v>
      </c>
      <c r="AF124" t="s" s="44">
        <v>72</v>
      </c>
      <c r="AG124" s="15">
        <f>F23</f>
        <v>285.5</v>
      </c>
      <c r="AH124" t="s" s="44">
        <v>72</v>
      </c>
      <c r="AI124" s="15">
        <f>F24</f>
        <v>272.213</v>
      </c>
      <c r="AJ124" t="s" s="44">
        <v>72</v>
      </c>
      <c r="AK124" s="15">
        <f>F25</f>
        <v>278.54</v>
      </c>
      <c r="AL124" t="s" s="44">
        <v>72</v>
      </c>
      <c r="AM124" s="15">
        <f>F26</f>
        <v>219.87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1561.752</v>
      </c>
      <c r="AF125" t="s" s="44">
        <v>72</v>
      </c>
      <c r="AG125" s="15">
        <f>G23</f>
        <v>1641.625</v>
      </c>
      <c r="AH125" t="s" s="44">
        <v>72</v>
      </c>
      <c r="AI125" s="15">
        <f>G24</f>
        <v>1719.24</v>
      </c>
      <c r="AJ125" t="s" s="44">
        <v>72</v>
      </c>
      <c r="AK125" s="15">
        <f>G25</f>
        <v>1803.18</v>
      </c>
      <c r="AL125" t="s" s="44">
        <v>72</v>
      </c>
      <c r="AM125" s="15">
        <f>G26</f>
        <v>1711.845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278.54</v>
      </c>
      <c r="AH126" t="s" s="44">
        <v>76</v>
      </c>
      <c r="AI126" s="15">
        <f>AM124</f>
        <v>219.87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1803.18</v>
      </c>
      <c r="AH127" t="s" s="44">
        <v>76</v>
      </c>
      <c r="AI127" s="15">
        <f>AM125</f>
        <v>1711.845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-1524.64</v>
      </c>
      <c r="AO127" t="s" s="44">
        <v>76</v>
      </c>
      <c r="AP127" s="15">
        <f>AI126-AI127</f>
        <v>-1491.975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-96.218384922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-1395.756615078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30.318048</v>
      </c>
      <c r="AF131" t="s" s="44">
        <v>72</v>
      </c>
      <c r="AG131" s="15">
        <f>-L23</f>
        <v>0.19985</v>
      </c>
      <c r="AH131" t="s" s="44">
        <v>72</v>
      </c>
      <c r="AI131" s="15">
        <f>-L24</f>
        <v>-154.7316</v>
      </c>
      <c r="AJ131" t="s" s="44">
        <v>72</v>
      </c>
      <c r="AK131" s="15">
        <f>-L25</f>
        <v>-24.922</v>
      </c>
      <c r="AL131" t="s" s="44">
        <v>72</v>
      </c>
      <c r="AM131" s="15">
        <f>-L26</f>
        <v>180.6075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0.200592</v>
      </c>
      <c r="AF132" t="s" s="44">
        <v>72</v>
      </c>
      <c r="AG132" s="15">
        <f>-M23</f>
        <v>-0.19985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39.2625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634</v>
      </c>
      <c r="AF133" t="s" s="44">
        <f>IF(AG133&gt;0,"paid","(raised)")</f>
        <v>374</v>
      </c>
      <c r="AG133" s="15">
        <f>SUM(AM131:AM132)</f>
        <v>219.87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180.6075</v>
      </c>
      <c r="AM133" t="s" s="44">
        <f>AM105</f>
        <v>372</v>
      </c>
      <c r="AN133" t="s" s="44">
        <v>123</v>
      </c>
      <c r="AO133" s="15">
        <f>AM132</f>
        <v>39.2625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96.218384922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940.733512704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0.209418787222212</v>
      </c>
      <c r="AK134" t="s" s="44">
        <v>130</v>
      </c>
      <c r="AL134" t="s" s="44">
        <v>131</v>
      </c>
      <c r="AM134" t="s" s="44">
        <v>132</v>
      </c>
      <c r="AN134" s="15">
        <f>AH85</f>
        <v>44.4015573198059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96.218384922</v>
      </c>
      <c r="AG135" t="s" s="44">
        <f>AG134</f>
        <v>372</v>
      </c>
      <c r="AH135" t="s" s="44">
        <v>136</v>
      </c>
      <c r="AI135" s="15">
        <f>AF134/AF135</f>
        <v>9.77706613415525</v>
      </c>
      <c r="AJ135" t="s" s="44">
        <v>130</v>
      </c>
      <c r="AK135" t="s" s="44">
        <v>137</v>
      </c>
      <c r="AL135" t="s" s="44">
        <v>138</v>
      </c>
      <c r="AM135" s="15">
        <f>AH86</f>
        <v>11</v>
      </c>
      <c r="AN135" t="s" s="44">
        <v>139</v>
      </c>
      <c r="AO135" t="s" s="44">
        <v>140</v>
      </c>
      <c r="AP135" t="s" s="44">
        <v>141</v>
      </c>
      <c r="AQ135" s="16">
        <f>AK94</f>
        <v>0.125081885410651</v>
      </c>
      <c r="AR135" t="s" s="44">
        <f>IF(AQ135&gt;0,"higher","lower")</f>
        <v>363</v>
      </c>
      <c r="AS135" t="s" s="44">
        <v>142</v>
      </c>
      <c r="AT135" s="15">
        <f>AI94</f>
        <v>164.261955269955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859.6799999999999</v>
      </c>
      <c r="AE137" s="15">
        <f>AG104</f>
        <v>913.6</v>
      </c>
      <c r="AF137" s="15">
        <f>AI104</f>
        <v>863.9181</v>
      </c>
      <c r="AG137" s="15">
        <f>AK104</f>
        <v>857.61</v>
      </c>
      <c r="AH137" s="15">
        <f>AM104</f>
        <v>884.1915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-35.82</v>
      </c>
      <c r="AE138" s="15">
        <f>SUM(AG117:AG118)</f>
        <v>12.8475</v>
      </c>
      <c r="AF138" s="15">
        <f>SUM(AI117:AI118)</f>
        <v>-171.924</v>
      </c>
      <c r="AG138" s="15">
        <f>SUM(AK117:AK118)</f>
        <v>-43.98</v>
      </c>
      <c r="AH138" s="15">
        <f>SUM(AM117:AM118)</f>
        <v>130.3515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30.51864</v>
      </c>
      <c r="AE139" s="15">
        <f>SUM(AG131:AG132)</f>
        <v>0</v>
      </c>
      <c r="AF139" s="15">
        <f>SUM(AI131:AI132)</f>
        <v>-154.7316</v>
      </c>
      <c r="AG139" s="15">
        <f>SUM(AK131:AK132)</f>
        <v>-24.922</v>
      </c>
      <c r="AH139" s="15">
        <f>SUM(AM131:AM132)</f>
        <v>219.87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-1289.52</v>
      </c>
      <c r="AE140" s="15">
        <f>(AG124-AG125)</f>
        <v>-1356.125</v>
      </c>
      <c r="AF140" s="15">
        <f>(AI124-AI125)</f>
        <v>-1447.027</v>
      </c>
      <c r="AG140" s="15">
        <f>(AK124-AK125)</f>
        <v>-1524.64</v>
      </c>
      <c r="AH140" s="15">
        <f>(AM124-AM125)</f>
        <v>-1491.975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164.261955269955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78" customWidth="1"/>
    <col min="2" max="26" width="10.4844" style="278" customWidth="1"/>
    <col min="27" max="27" width="18.9766" style="279" customWidth="1"/>
    <col min="28" max="46" width="9" style="279" customWidth="1"/>
    <col min="47" max="16384" width="16.3516" style="279" customWidth="1"/>
  </cols>
  <sheetData>
    <row r="1" ht="11.65" customHeight="1"/>
    <row r="2" ht="27.65" customHeight="1">
      <c r="B2" t="s" s="2">
        <v>635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636</v>
      </c>
      <c r="W3" t="s" s="3">
        <v>18</v>
      </c>
      <c r="X3" t="s" s="3">
        <v>319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487.6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5">
        <f>V4</f>
        <v>487.6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5">
        <f>V5</f>
        <v>487.6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5">
        <f>V6</f>
        <v>487.6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5">
        <f>SUM(J5:K8)/4</f>
        <v>0</v>
      </c>
      <c r="T8" s="15">
        <f>J8+K8+T7</f>
        <v>0</v>
      </c>
      <c r="U8" s="15">
        <f>-(L8+M8)+U7</f>
        <v>0</v>
      </c>
      <c r="V8" s="15">
        <f>V7</f>
        <v>487.6</v>
      </c>
      <c r="W8" s="15">
        <f>F8-G8</f>
        <v>0</v>
      </c>
      <c r="X8" s="18"/>
      <c r="Y8" s="22"/>
      <c r="Z8" s="20">
        <v>13.761</v>
      </c>
    </row>
    <row r="9" ht="20.05" customHeight="1">
      <c r="B9" s="13"/>
      <c r="C9" s="14"/>
      <c r="D9" s="15"/>
      <c r="E9" s="15"/>
      <c r="F9" s="15"/>
      <c r="G9" s="15"/>
      <c r="H9" s="15"/>
      <c r="I9" s="15"/>
      <c r="J9" s="15"/>
      <c r="K9" s="15"/>
      <c r="L9" s="15"/>
      <c r="M9" s="15"/>
      <c r="N9" s="15">
        <f>SUM(C6:C9)/4</f>
        <v>0</v>
      </c>
      <c r="O9" s="15"/>
      <c r="P9" s="16"/>
      <c r="Q9" s="16"/>
      <c r="R9" s="16"/>
      <c r="S9" s="15">
        <f>SUM(J6:K9)/4</f>
        <v>0</v>
      </c>
      <c r="T9" s="15">
        <f>J9+K9+T8</f>
        <v>0</v>
      </c>
      <c r="U9" s="15">
        <f>-(L9+M9)+U8</f>
        <v>0</v>
      </c>
      <c r="V9" s="15">
        <f>V8</f>
        <v>487.6</v>
      </c>
      <c r="W9" s="15">
        <f>F13-G9</f>
        <v>0</v>
      </c>
      <c r="X9" s="18"/>
      <c r="Y9" s="22"/>
      <c r="Z9" s="20">
        <v>14</v>
      </c>
    </row>
    <row r="10" ht="20.05" customHeight="1">
      <c r="B10" s="13"/>
      <c r="C10" s="14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>
        <f>SUM(C7:C10)/4</f>
        <v>0</v>
      </c>
      <c r="O10" s="15"/>
      <c r="P10" s="16"/>
      <c r="Q10" s="16"/>
      <c r="R10" s="16"/>
      <c r="S10" s="15">
        <f>SUM(J7:K10)/4</f>
        <v>0</v>
      </c>
      <c r="T10" s="15">
        <f>J10+K10+T9</f>
        <v>0</v>
      </c>
      <c r="U10" s="15">
        <f>-(L10+M10)+U9</f>
        <v>0</v>
      </c>
      <c r="V10" s="15">
        <f>V9</f>
        <v>487.6</v>
      </c>
      <c r="W10" s="15">
        <f>F10-G10</f>
        <v>0</v>
      </c>
      <c r="X10" s="18"/>
      <c r="Y10" s="22"/>
      <c r="Z10" s="20">
        <v>14.902</v>
      </c>
    </row>
    <row r="11" ht="20.05" customHeight="1">
      <c r="B11" s="13"/>
      <c r="C11" s="14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>
        <f>SUM(C8:C11)/4</f>
        <v>0</v>
      </c>
      <c r="O11" s="15"/>
      <c r="P11" s="16"/>
      <c r="Q11" s="16"/>
      <c r="R11" s="16"/>
      <c r="S11" s="15">
        <f>SUM(J8:K11)/4</f>
        <v>0</v>
      </c>
      <c r="T11" s="15">
        <f>J11+K11+T10</f>
        <v>0</v>
      </c>
      <c r="U11" s="15">
        <f>-(L11+M11)+U10</f>
        <v>0</v>
      </c>
      <c r="V11" s="15">
        <f>V10</f>
        <v>487.6</v>
      </c>
      <c r="W11" s="15">
        <f>F11-G11</f>
        <v>0</v>
      </c>
      <c r="X11" s="18"/>
      <c r="Y11" s="22"/>
      <c r="Z11" s="20">
        <v>14.38</v>
      </c>
    </row>
    <row r="12" ht="20.05" customHeight="1">
      <c r="B12" s="21">
        <v>2019</v>
      </c>
      <c r="C12" s="14">
        <f>C13</f>
        <v>0.625</v>
      </c>
      <c r="D12" s="15">
        <f>D13</f>
        <v>0.075</v>
      </c>
      <c r="E12" s="15">
        <f>E13</f>
        <v>0.05</v>
      </c>
      <c r="F12" s="15"/>
      <c r="G12" s="15"/>
      <c r="H12" s="15"/>
      <c r="I12" s="15">
        <f>I13</f>
        <v>0.625</v>
      </c>
      <c r="J12" s="15">
        <f>J13</f>
        <v>0.45</v>
      </c>
      <c r="K12" s="15">
        <f>K13</f>
        <v>-0.45</v>
      </c>
      <c r="L12" s="15">
        <f>L13</f>
        <v>0</v>
      </c>
      <c r="M12" s="15">
        <f>M13</f>
        <v>0</v>
      </c>
      <c r="N12" s="15">
        <f>SUM(C9:C12)/4</f>
        <v>0.15625</v>
      </c>
      <c r="O12" s="23"/>
      <c r="P12" s="16"/>
      <c r="Q12" s="16"/>
      <c r="R12" s="16"/>
      <c r="S12" s="15">
        <f>SUM(J9:K12)/4</f>
        <v>0</v>
      </c>
      <c r="T12" s="15">
        <f>J12+K12+T11</f>
        <v>0</v>
      </c>
      <c r="U12" s="15">
        <f>-(L12+M12)+U11</f>
        <v>0</v>
      </c>
      <c r="V12" s="15">
        <f>V11</f>
        <v>487.6</v>
      </c>
      <c r="W12" s="15">
        <f>F12-G12</f>
        <v>0</v>
      </c>
      <c r="X12" s="18"/>
      <c r="Y12" s="22"/>
      <c r="Z12" s="20">
        <v>14.24</v>
      </c>
    </row>
    <row r="13" ht="20.05" customHeight="1">
      <c r="B13" s="13"/>
      <c r="C13" s="14">
        <f>C14</f>
        <v>0.625</v>
      </c>
      <c r="D13" s="15">
        <f>D14</f>
        <v>0.075</v>
      </c>
      <c r="E13" s="15">
        <f>E14</f>
        <v>0.05</v>
      </c>
      <c r="F13" s="15"/>
      <c r="G13" s="15"/>
      <c r="H13" s="15"/>
      <c r="I13" s="15">
        <f>I14</f>
        <v>0.625</v>
      </c>
      <c r="J13" s="15">
        <f>J14</f>
        <v>0.45</v>
      </c>
      <c r="K13" s="15">
        <f>K14</f>
        <v>-0.45</v>
      </c>
      <c r="L13" s="15">
        <f>L14</f>
        <v>0</v>
      </c>
      <c r="M13" s="15">
        <f>M14</f>
        <v>0</v>
      </c>
      <c r="N13" s="15">
        <f>SUM(C10:C13)/4</f>
        <v>0.3125</v>
      </c>
      <c r="O13" s="23"/>
      <c r="P13" s="16">
        <f>C13/C12-1</f>
        <v>0</v>
      </c>
      <c r="Q13" s="16"/>
      <c r="R13" s="16"/>
      <c r="S13" s="15">
        <f>SUM(J10:K13)/4</f>
        <v>0</v>
      </c>
      <c r="T13" s="15">
        <f>J13+K13+T12</f>
        <v>0</v>
      </c>
      <c r="U13" s="15">
        <f>-(L13+M13)+U12</f>
        <v>0</v>
      </c>
      <c r="V13" s="15">
        <f>V12</f>
        <v>487.6</v>
      </c>
      <c r="W13" s="15">
        <f>F13-G13</f>
        <v>0</v>
      </c>
      <c r="X13" s="18"/>
      <c r="Y13" s="24"/>
      <c r="Z13" s="15">
        <v>14.127</v>
      </c>
    </row>
    <row r="14" ht="20.05" customHeight="1">
      <c r="B14" s="13"/>
      <c r="C14" s="14">
        <f>C15</f>
        <v>0.625</v>
      </c>
      <c r="D14" s="15">
        <f>D15</f>
        <v>0.075</v>
      </c>
      <c r="E14" s="15">
        <f>E15</f>
        <v>0.05</v>
      </c>
      <c r="F14" s="15"/>
      <c r="G14" s="15"/>
      <c r="H14" s="15"/>
      <c r="I14" s="15">
        <f>I15</f>
        <v>0.625</v>
      </c>
      <c r="J14" s="15">
        <f>J15</f>
        <v>0.45</v>
      </c>
      <c r="K14" s="15">
        <f>K15</f>
        <v>-0.45</v>
      </c>
      <c r="L14" s="15">
        <f>L15</f>
        <v>0</v>
      </c>
      <c r="M14" s="15">
        <f>M15</f>
        <v>0</v>
      </c>
      <c r="N14" s="15">
        <f>SUM(C11:C14)/4</f>
        <v>0.46875</v>
      </c>
      <c r="O14" s="23"/>
      <c r="P14" s="16">
        <f>C14/C13-1</f>
        <v>0</v>
      </c>
      <c r="Q14" s="16"/>
      <c r="R14" s="16"/>
      <c r="S14" s="15">
        <f>SUM(J11:K14)/4</f>
        <v>0</v>
      </c>
      <c r="T14" s="15">
        <f>J14+K14+T13</f>
        <v>0</v>
      </c>
      <c r="U14" s="15">
        <f>-(L14+M14)+U13</f>
        <v>0</v>
      </c>
      <c r="V14" s="15">
        <f>V13</f>
        <v>487.6</v>
      </c>
      <c r="W14" s="15">
        <f>F14-G14</f>
        <v>0</v>
      </c>
      <c r="X14" s="18"/>
      <c r="Y14" s="24"/>
      <c r="Z14" s="15">
        <v>14.195</v>
      </c>
    </row>
    <row r="15" ht="20.05" customHeight="1">
      <c r="B15" s="13"/>
      <c r="C15" s="14">
        <v>0.625</v>
      </c>
      <c r="D15" s="15">
        <v>0.075</v>
      </c>
      <c r="E15" s="15">
        <v>0.05</v>
      </c>
      <c r="F15" s="15"/>
      <c r="G15" s="15"/>
      <c r="H15" s="15"/>
      <c r="I15" s="15">
        <v>0.625</v>
      </c>
      <c r="J15" s="15">
        <v>0.45</v>
      </c>
      <c r="K15" s="15">
        <v>-0.45</v>
      </c>
      <c r="L15" s="15">
        <v>0</v>
      </c>
      <c r="M15" s="15">
        <v>0</v>
      </c>
      <c r="N15" s="15">
        <f>SUM(C12:C15)/4</f>
        <v>0.625</v>
      </c>
      <c r="O15" s="15"/>
      <c r="P15" s="16">
        <f>C15/C14-1</f>
        <v>0</v>
      </c>
      <c r="Q15" s="16"/>
      <c r="R15" s="16"/>
      <c r="S15" s="15">
        <f>SUM(J12:K15)/4</f>
        <v>0</v>
      </c>
      <c r="T15" s="15">
        <f>J15+K15+T14</f>
        <v>0</v>
      </c>
      <c r="U15" s="15">
        <f>-(L15+M15)+U14</f>
        <v>0</v>
      </c>
      <c r="V15" s="15">
        <f>V14</f>
        <v>487.6</v>
      </c>
      <c r="W15" s="15">
        <f>F15-G15</f>
        <v>0</v>
      </c>
      <c r="X15" s="18"/>
      <c r="Y15" s="24"/>
      <c r="Z15" s="15">
        <v>13.882</v>
      </c>
    </row>
    <row r="16" ht="20.05" customHeight="1">
      <c r="B16" s="21">
        <v>2020</v>
      </c>
      <c r="C16" s="14">
        <f>C17</f>
        <v>3.85</v>
      </c>
      <c r="D16" s="15">
        <f>D17</f>
        <v>0.275</v>
      </c>
      <c r="E16" s="15">
        <f>E17</f>
        <v>0.337</v>
      </c>
      <c r="F16" s="15"/>
      <c r="G16" s="15"/>
      <c r="H16" s="15"/>
      <c r="I16" s="15">
        <f>I17</f>
        <v>3.75</v>
      </c>
      <c r="J16" s="15">
        <f>J17</f>
        <v>-1.75</v>
      </c>
      <c r="K16" s="15">
        <f>K17</f>
        <v>-42</v>
      </c>
      <c r="L16" s="15">
        <f>L17</f>
        <v>0</v>
      </c>
      <c r="M16" s="15">
        <f>M17</f>
        <v>43.75</v>
      </c>
      <c r="N16" s="15">
        <f>SUM(C13:C16)/4</f>
        <v>1.43125</v>
      </c>
      <c r="O16" s="15"/>
      <c r="P16" s="16">
        <f>C16/C15-1</f>
        <v>5.16</v>
      </c>
      <c r="Q16" s="16">
        <f>J16/I16</f>
        <v>-0.466666666666667</v>
      </c>
      <c r="R16" s="16">
        <f>AVERAGE(Q13:Q16)</f>
        <v>-0.466666666666667</v>
      </c>
      <c r="S16" s="15">
        <f>SUM(J13:K16)/4</f>
        <v>-10.9375</v>
      </c>
      <c r="T16" s="15">
        <f>J16+K16+T15</f>
        <v>-43.75</v>
      </c>
      <c r="U16" s="15">
        <f>-(L16+M16)+U15</f>
        <v>-43.75</v>
      </c>
      <c r="V16" s="15">
        <f>V15</f>
        <v>487.6</v>
      </c>
      <c r="W16" s="15">
        <f>F16-G16</f>
        <v>0</v>
      </c>
      <c r="X16" s="18"/>
      <c r="Y16" s="24"/>
      <c r="Z16" s="15">
        <v>16.31</v>
      </c>
    </row>
    <row r="17" ht="20.05" customHeight="1">
      <c r="B17" s="13"/>
      <c r="C17" s="14">
        <f>C18</f>
        <v>3.85</v>
      </c>
      <c r="D17" s="15">
        <f>D18</f>
        <v>0.275</v>
      </c>
      <c r="E17" s="15">
        <f>E18</f>
        <v>0.337</v>
      </c>
      <c r="F17" s="15"/>
      <c r="G17" s="15"/>
      <c r="H17" s="15"/>
      <c r="I17" s="15">
        <f>I18</f>
        <v>3.75</v>
      </c>
      <c r="J17" s="15">
        <f>J18</f>
        <v>-1.75</v>
      </c>
      <c r="K17" s="15">
        <f>K18</f>
        <v>-42</v>
      </c>
      <c r="L17" s="15">
        <f>L18</f>
        <v>0</v>
      </c>
      <c r="M17" s="15">
        <f>M18</f>
        <v>43.75</v>
      </c>
      <c r="N17" s="15">
        <f>SUM(C14:C17)/4</f>
        <v>2.2375</v>
      </c>
      <c r="O17" s="15"/>
      <c r="P17" s="16">
        <f>C17/C16-1</f>
        <v>0</v>
      </c>
      <c r="Q17" s="16">
        <f>J17/I17</f>
        <v>-0.466666666666667</v>
      </c>
      <c r="R17" s="16">
        <f>AVERAGE(Q14:Q17)</f>
        <v>-0.466666666666667</v>
      </c>
      <c r="S17" s="25">
        <f>SUM(J14:K17)/4</f>
        <v>-21.875</v>
      </c>
      <c r="T17" s="15">
        <f>J17+K17+T16</f>
        <v>-87.5</v>
      </c>
      <c r="U17" s="15">
        <f>-(L17+M17)+U16</f>
        <v>-87.5</v>
      </c>
      <c r="V17" s="15">
        <f>V16</f>
        <v>487.6</v>
      </c>
      <c r="W17" s="15">
        <f>F17-G17</f>
        <v>0</v>
      </c>
      <c r="X17" s="18"/>
      <c r="Y17" s="24"/>
      <c r="Z17" s="15">
        <v>14.255</v>
      </c>
    </row>
    <row r="18" ht="20.05" customHeight="1">
      <c r="B18" s="13"/>
      <c r="C18" s="14">
        <f>C19</f>
        <v>3.85</v>
      </c>
      <c r="D18" s="15">
        <f>D19</f>
        <v>0.275</v>
      </c>
      <c r="E18" s="15">
        <f>E19</f>
        <v>0.337</v>
      </c>
      <c r="F18" s="15"/>
      <c r="G18" s="15"/>
      <c r="H18" s="15"/>
      <c r="I18" s="15">
        <f>I19</f>
        <v>3.75</v>
      </c>
      <c r="J18" s="15">
        <f>J19</f>
        <v>-1.75</v>
      </c>
      <c r="K18" s="15">
        <f>K19</f>
        <v>-42</v>
      </c>
      <c r="L18" s="15">
        <f>L19</f>
        <v>0</v>
      </c>
      <c r="M18" s="15">
        <f>M19</f>
        <v>43.75</v>
      </c>
      <c r="N18" s="15">
        <f>SUM(C15:C18)/4</f>
        <v>3.04375</v>
      </c>
      <c r="O18" s="15"/>
      <c r="P18" s="16">
        <f>C18/C17-1</f>
        <v>0</v>
      </c>
      <c r="Q18" s="16">
        <f>J18/I18</f>
        <v>-0.466666666666667</v>
      </c>
      <c r="R18" s="16">
        <f>AVERAGE(Q15:Q18)</f>
        <v>-0.466666666666667</v>
      </c>
      <c r="S18" s="25">
        <f>SUM(J15:K18)/4</f>
        <v>-32.8125</v>
      </c>
      <c r="T18" s="15">
        <f>J19+K18+T17</f>
        <v>-131.25</v>
      </c>
      <c r="U18" s="15">
        <f>-(L18+M18)+U17</f>
        <v>-131.25</v>
      </c>
      <c r="V18" s="15">
        <f>V17</f>
        <v>487.6</v>
      </c>
      <c r="W18" s="15">
        <f>F18-G18</f>
        <v>0</v>
      </c>
      <c r="X18" s="18"/>
      <c r="Y18" s="24"/>
      <c r="Z18" s="15">
        <v>14.79</v>
      </c>
    </row>
    <row r="19" ht="20.05" customHeight="1">
      <c r="B19" s="13"/>
      <c r="C19" s="14">
        <v>3.85</v>
      </c>
      <c r="D19" s="15">
        <v>0.275</v>
      </c>
      <c r="E19" s="15">
        <v>0.337</v>
      </c>
      <c r="F19" s="15"/>
      <c r="G19" s="15"/>
      <c r="H19" s="15"/>
      <c r="I19" s="15">
        <v>3.75</v>
      </c>
      <c r="J19" s="15">
        <v>-1.75</v>
      </c>
      <c r="K19" s="15">
        <v>-42</v>
      </c>
      <c r="L19" s="15">
        <v>0</v>
      </c>
      <c r="M19" s="15">
        <v>43.75</v>
      </c>
      <c r="N19" s="15">
        <f>SUM(C16:C19)/4</f>
        <v>3.85</v>
      </c>
      <c r="O19" s="15"/>
      <c r="P19" s="16">
        <f>C19/C18-1</f>
        <v>0</v>
      </c>
      <c r="Q19" s="16">
        <f>J19/I19</f>
        <v>-0.466666666666667</v>
      </c>
      <c r="R19" s="16">
        <f>AVERAGE(Q16:Q19)</f>
        <v>-0.466666666666667</v>
      </c>
      <c r="S19" s="25">
        <f>SUM(J16:K19)/4</f>
        <v>-43.75</v>
      </c>
      <c r="T19" s="15">
        <f>J19+K19+T18</f>
        <v>-175</v>
      </c>
      <c r="U19" s="15">
        <f>-(L19+M19)+U18</f>
        <v>-175</v>
      </c>
      <c r="V19" s="15">
        <f>V18</f>
        <v>487.6</v>
      </c>
      <c r="W19" s="15">
        <f>F19-G19</f>
        <v>0</v>
      </c>
      <c r="X19" s="15"/>
      <c r="Y19" s="24"/>
      <c r="Z19" s="15">
        <v>14.1</v>
      </c>
    </row>
    <row r="20" ht="20.05" customHeight="1">
      <c r="B20" s="21">
        <v>2021</v>
      </c>
      <c r="C20" s="14">
        <v>6.5</v>
      </c>
      <c r="D20" s="15">
        <v>0.375</v>
      </c>
      <c r="E20" s="15">
        <v>0.5</v>
      </c>
      <c r="F20" s="15"/>
      <c r="G20" s="15"/>
      <c r="H20" s="15"/>
      <c r="I20" s="15">
        <v>6.8</v>
      </c>
      <c r="J20" s="15">
        <v>3.3</v>
      </c>
      <c r="K20" s="15">
        <v>-0.7</v>
      </c>
      <c r="L20" s="15">
        <v>0</v>
      </c>
      <c r="M20" s="15">
        <v>-0.3</v>
      </c>
      <c r="N20" s="15">
        <f>SUM(C17:C20)/4</f>
        <v>4.5125</v>
      </c>
      <c r="O20" s="15"/>
      <c r="P20" s="16">
        <f>C20/C19-1</f>
        <v>0.688311688311688</v>
      </c>
      <c r="Q20" s="16">
        <f>J20/I20</f>
        <v>0.485294117647059</v>
      </c>
      <c r="R20" s="16">
        <f>AVERAGE(Q17:Q20)</f>
        <v>-0.228676470588236</v>
      </c>
      <c r="S20" s="25">
        <f>SUM(J17:K20)/4</f>
        <v>-32.1625</v>
      </c>
      <c r="T20" s="15">
        <f>J20+K20+T19</f>
        <v>-172.4</v>
      </c>
      <c r="U20" s="15">
        <f>-(L20+M20)+U19</f>
        <v>-174.7</v>
      </c>
      <c r="V20" s="15">
        <f>V19</f>
        <v>487.6</v>
      </c>
      <c r="W20" s="15">
        <f>F20-G20</f>
        <v>0</v>
      </c>
      <c r="X20" s="24"/>
      <c r="Y20" s="15"/>
      <c r="Z20" s="15">
        <v>14.606</v>
      </c>
    </row>
    <row r="21" ht="20.05" customHeight="1">
      <c r="B21" s="13"/>
      <c r="C21" s="14">
        <v>7</v>
      </c>
      <c r="D21" s="15">
        <v>0.3</v>
      </c>
      <c r="E21" s="15">
        <v>0.7</v>
      </c>
      <c r="F21" s="15"/>
      <c r="G21" s="15"/>
      <c r="H21" s="15"/>
      <c r="I21" s="15">
        <v>5.1</v>
      </c>
      <c r="J21" s="15">
        <v>-0.8</v>
      </c>
      <c r="K21" s="15">
        <v>0.5</v>
      </c>
      <c r="L21" s="15">
        <v>0</v>
      </c>
      <c r="M21" s="15">
        <v>-2.1</v>
      </c>
      <c r="N21" s="15">
        <f>SUM(C18:C21)/4</f>
        <v>5.3</v>
      </c>
      <c r="O21" s="15"/>
      <c r="P21" s="16">
        <f>C21/C20-1</f>
        <v>0.0769230769230769</v>
      </c>
      <c r="Q21" s="16">
        <f>J21/I21</f>
        <v>-0.156862745098039</v>
      </c>
      <c r="R21" s="16">
        <f>AVERAGE(Q18:Q21)</f>
        <v>-0.151225490196079</v>
      </c>
      <c r="S21" s="25">
        <f>SUM(J18:K21)/4</f>
        <v>-21.3</v>
      </c>
      <c r="T21" s="15">
        <f>J21+K21+T20</f>
        <v>-172.7</v>
      </c>
      <c r="U21" s="15">
        <f>-(L21+M21)+U20</f>
        <v>-172.6</v>
      </c>
      <c r="V21" s="15">
        <f>V20</f>
        <v>487.6</v>
      </c>
      <c r="W21" s="15">
        <f>F21-G21</f>
        <v>0</v>
      </c>
      <c r="X21" s="24">
        <v>135</v>
      </c>
      <c r="Y21" s="15"/>
      <c r="Z21" s="15">
        <v>14.45</v>
      </c>
    </row>
    <row r="22" ht="20.05" customHeight="1">
      <c r="B22" s="13"/>
      <c r="C22" s="14">
        <v>7.83333333333333</v>
      </c>
      <c r="D22" s="15">
        <v>0.375</v>
      </c>
      <c r="E22" s="15">
        <v>0.8</v>
      </c>
      <c r="F22" s="15"/>
      <c r="G22" s="15"/>
      <c r="H22" s="15"/>
      <c r="I22" s="15">
        <v>7.4</v>
      </c>
      <c r="J22" s="15">
        <v>-6.1</v>
      </c>
      <c r="K22" s="15">
        <v>-19.1</v>
      </c>
      <c r="L22" s="15">
        <v>0</v>
      </c>
      <c r="M22" s="15">
        <v>31.7666666666667</v>
      </c>
      <c r="N22" s="15">
        <f>SUM(C19:C22)/4</f>
        <v>6.29583333333333</v>
      </c>
      <c r="O22" s="15"/>
      <c r="P22" s="16">
        <f>C22/C21-1</f>
        <v>0.119047619047619</v>
      </c>
      <c r="Q22" s="16">
        <f>J22/I22</f>
        <v>-0.824324324324324</v>
      </c>
      <c r="R22" s="16">
        <f>AVERAGE(Q19:Q22)</f>
        <v>-0.240639904610493</v>
      </c>
      <c r="S22" s="25">
        <f>SUM(J19:K22)/4</f>
        <v>-16.6625</v>
      </c>
      <c r="T22" s="15">
        <f>J22+K22+T21</f>
        <v>-197.9</v>
      </c>
      <c r="U22" s="15">
        <f>-(L22+M22)+U21</f>
        <v>-204.366666666667</v>
      </c>
      <c r="V22" s="15">
        <f>V21</f>
        <v>487.6</v>
      </c>
      <c r="W22" s="15">
        <f>F22-G22</f>
        <v>0</v>
      </c>
      <c r="X22" s="24">
        <v>135</v>
      </c>
      <c r="Y22" s="15"/>
      <c r="Z22" s="15">
        <v>14.328</v>
      </c>
    </row>
    <row r="23" ht="20.05" customHeight="1">
      <c r="B23" s="13"/>
      <c r="C23" s="14">
        <v>7.83333333333333</v>
      </c>
      <c r="D23" s="15">
        <v>0.375</v>
      </c>
      <c r="E23" s="15">
        <v>0.8</v>
      </c>
      <c r="F23" s="15">
        <v>21.4</v>
      </c>
      <c r="G23" s="15">
        <v>5.4</v>
      </c>
      <c r="H23" s="15">
        <v>294</v>
      </c>
      <c r="I23" s="15">
        <v>7.4</v>
      </c>
      <c r="J23" s="15">
        <v>-6.1</v>
      </c>
      <c r="K23" s="15">
        <v>-19.1</v>
      </c>
      <c r="L23" s="15">
        <v>0</v>
      </c>
      <c r="M23" s="15">
        <v>31.7666666666667</v>
      </c>
      <c r="N23" s="15">
        <f>SUM(C20:C23)/4</f>
        <v>7.29166666666667</v>
      </c>
      <c r="O23" s="15"/>
      <c r="P23" s="16">
        <f>C23/C22-1</f>
        <v>0</v>
      </c>
      <c r="Q23" s="16">
        <f>J23/I23</f>
        <v>-0.824324324324324</v>
      </c>
      <c r="R23" s="16">
        <f>AVERAGE(Q20:Q23)</f>
        <v>-0.330054319024907</v>
      </c>
      <c r="S23" s="25">
        <f>SUM(J20:K23)/4</f>
        <v>-12.025</v>
      </c>
      <c r="T23" s="15">
        <f>J23+K23+T22</f>
        <v>-223.1</v>
      </c>
      <c r="U23" s="15">
        <f>-(L23+M23)+U22</f>
        <v>-236.133333333334</v>
      </c>
      <c r="V23" s="15">
        <f>V22</f>
        <v>487.6</v>
      </c>
      <c r="W23" s="15">
        <f>F23-G23</f>
        <v>16</v>
      </c>
      <c r="X23" s="15">
        <v>188</v>
      </c>
      <c r="Y23" s="15"/>
      <c r="Z23" s="15">
        <v>14.275</v>
      </c>
    </row>
    <row r="24" ht="20.05" customHeight="1">
      <c r="B24" s="21">
        <v>2022</v>
      </c>
      <c r="C24" s="14">
        <v>13.2</v>
      </c>
      <c r="D24" s="15">
        <v>0.4</v>
      </c>
      <c r="E24" s="15">
        <v>1.1</v>
      </c>
      <c r="F24" s="15">
        <v>13.6</v>
      </c>
      <c r="G24" s="15">
        <v>6.9</v>
      </c>
      <c r="H24" s="15">
        <v>287</v>
      </c>
      <c r="I24" s="15">
        <v>13.7</v>
      </c>
      <c r="J24" s="15">
        <v>2.7</v>
      </c>
      <c r="K24" s="15">
        <v>-10.5</v>
      </c>
      <c r="L24" s="15">
        <v>0</v>
      </c>
      <c r="M24" s="15">
        <v>0</v>
      </c>
      <c r="N24" s="15">
        <f>SUM(C21:C24)/4</f>
        <v>8.96666666666667</v>
      </c>
      <c r="O24" s="15"/>
      <c r="P24" s="16">
        <f>C24/C23-1</f>
        <v>0.6851063829787239</v>
      </c>
      <c r="Q24" s="16">
        <f>J24/I24</f>
        <v>0.197080291970803</v>
      </c>
      <c r="R24" s="16">
        <f>AVERAGE(Q21:Q24)</f>
        <v>-0.402107775443971</v>
      </c>
      <c r="S24" s="25">
        <f>SUM(J21:K24)/4</f>
        <v>-14.625</v>
      </c>
      <c r="T24" s="15">
        <f>J24+K24+T23</f>
        <v>-230.9</v>
      </c>
      <c r="U24" s="15">
        <f>-(L24+M24)+U23</f>
        <v>-236.133333333334</v>
      </c>
      <c r="V24" s="15">
        <f>V23</f>
        <v>487.6</v>
      </c>
      <c r="W24" s="15">
        <f>F24-G24</f>
        <v>6.7</v>
      </c>
      <c r="X24" s="15">
        <v>370</v>
      </c>
      <c r="Y24" s="15"/>
      <c r="Z24" s="15">
        <v>14.327</v>
      </c>
    </row>
    <row r="25" ht="20.05" customHeight="1">
      <c r="B25" s="13"/>
      <c r="C25" s="14">
        <v>12.5</v>
      </c>
      <c r="D25" s="15">
        <v>0.3</v>
      </c>
      <c r="E25" s="15">
        <v>1.4</v>
      </c>
      <c r="F25" s="15">
        <v>1</v>
      </c>
      <c r="G25" s="15">
        <v>8</v>
      </c>
      <c r="H25" s="15">
        <v>290</v>
      </c>
      <c r="I25" s="15">
        <v>10</v>
      </c>
      <c r="J25" s="15">
        <v>-1.5</v>
      </c>
      <c r="K25" s="15">
        <v>-11.1</v>
      </c>
      <c r="L25" s="15">
        <v>0</v>
      </c>
      <c r="M25" s="15">
        <v>0</v>
      </c>
      <c r="N25" s="15">
        <f>SUM(C22:C25)/4</f>
        <v>10.3416666666667</v>
      </c>
      <c r="O25" s="15"/>
      <c r="P25" s="16">
        <f>C25/C24-1</f>
        <v>-0.053030303030303</v>
      </c>
      <c r="Q25" s="16">
        <f>J25/I25</f>
        <v>-0.15</v>
      </c>
      <c r="R25" s="16">
        <f>AVERAGE(Q22:Q25)</f>
        <v>-0.400392089169461</v>
      </c>
      <c r="S25" s="25">
        <f>SUM(J22:K25)/4</f>
        <v>-17.7</v>
      </c>
      <c r="T25" s="15">
        <f>J25+K25+T24</f>
        <v>-243.5</v>
      </c>
      <c r="U25" s="15">
        <f>-(L25+M25)+U24</f>
        <v>-236.133333333334</v>
      </c>
      <c r="V25" s="15">
        <f>V24</f>
        <v>487.6</v>
      </c>
      <c r="W25" s="15">
        <f>F25-G25</f>
        <v>-7</v>
      </c>
      <c r="X25" s="15">
        <v>282</v>
      </c>
      <c r="Y25" s="15">
        <v>252</v>
      </c>
      <c r="Z25" s="15">
        <v>14.66</v>
      </c>
    </row>
    <row r="26" ht="20.05" customHeight="1">
      <c r="B26" s="13"/>
      <c r="C26" s="14">
        <v>18.174</v>
      </c>
      <c r="D26" s="15">
        <v>0.449</v>
      </c>
      <c r="E26" s="15">
        <v>3.546</v>
      </c>
      <c r="F26" s="15">
        <v>2.075</v>
      </c>
      <c r="G26" s="15">
        <v>10.469</v>
      </c>
      <c r="H26" s="15">
        <v>295.438</v>
      </c>
      <c r="I26" s="15">
        <v>14.066</v>
      </c>
      <c r="J26" s="15">
        <v>0.55</v>
      </c>
      <c r="K26" s="15">
        <v>0.485</v>
      </c>
      <c r="L26" s="15">
        <v>0</v>
      </c>
      <c r="M26" s="15">
        <v>0</v>
      </c>
      <c r="N26" s="15">
        <f>SUM(C23:C26)/4</f>
        <v>12.9268333333333</v>
      </c>
      <c r="O26" s="15">
        <v>15.18</v>
      </c>
      <c r="P26" s="16">
        <f>C26/C25-1</f>
        <v>0.45392</v>
      </c>
      <c r="Q26" s="16">
        <f>J26/I26</f>
        <v>0.0391013792122849</v>
      </c>
      <c r="R26" s="16">
        <f>AVERAGE(Q23:Q26)</f>
        <v>-0.184535663285309</v>
      </c>
      <c r="S26" s="25">
        <f>SUM(J23:K26)/4</f>
        <v>-11.14125</v>
      </c>
      <c r="T26" s="15">
        <f>J26+K26+T25</f>
        <v>-242.465</v>
      </c>
      <c r="U26" s="15">
        <f>-(L26+M26)+U25</f>
        <v>-236.133333333334</v>
      </c>
      <c r="V26" s="15">
        <f>V25</f>
        <v>487.6</v>
      </c>
      <c r="W26" s="15">
        <f>F26-G26</f>
        <v>-8.394</v>
      </c>
      <c r="X26" s="15">
        <v>155</v>
      </c>
      <c r="Y26" s="15">
        <v>122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18.538810972890</v>
      </c>
      <c r="P27" s="17"/>
      <c r="Q27" s="17"/>
      <c r="R27" s="17"/>
      <c r="S27" s="25"/>
      <c r="T27" s="17"/>
      <c r="U27" s="17"/>
      <c r="V27" s="17"/>
      <c r="W27" s="26"/>
      <c r="X27" s="26">
        <v>125</v>
      </c>
      <c r="Y27" s="15"/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SUM(N26)</f>
        <v>12.9268333333333</v>
      </c>
      <c r="O28" s="15">
        <f>SUM(O26)</f>
        <v>15.18</v>
      </c>
      <c r="P28" s="17"/>
      <c r="Q28" s="17"/>
      <c r="R28" s="17"/>
      <c r="S28" s="17"/>
      <c r="T28" s="17"/>
      <c r="U28" s="17"/>
      <c r="V28" s="17"/>
      <c r="W28" s="26"/>
      <c r="X28" s="15">
        <v>106</v>
      </c>
      <c r="Y28" s="17"/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>
        <f>AF87</f>
        <v>126.249712486523</v>
      </c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319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0.271499019987105</v>
      </c>
      <c r="AD49" s="35"/>
      <c r="AE49" s="35"/>
      <c r="AF49" s="35">
        <f>AVERAGE(AC51:AF51)</f>
        <v>0.0125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</v>
      </c>
      <c r="AD50" s="35">
        <f>P24</f>
        <v>0.6851063829787239</v>
      </c>
      <c r="AE50" s="35">
        <f>P25</f>
        <v>-0.053030303030303</v>
      </c>
      <c r="AF50" s="35">
        <f>P26</f>
        <v>0.45392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0.01</v>
      </c>
      <c r="AD51" s="35">
        <v>-0.01</v>
      </c>
      <c r="AE51" s="35">
        <v>0.02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18.174</v>
      </c>
      <c r="AC52" s="23">
        <f>C26*(1+AC51)</f>
        <v>18.35574</v>
      </c>
      <c r="AD52" s="23">
        <f>AC52*(1+AD51)</f>
        <v>18.1721826</v>
      </c>
      <c r="AE52" s="23">
        <f>AD52*(1+AE51)</f>
        <v>18.535626252</v>
      </c>
      <c r="AF52" s="23">
        <f>AE52*(1+AF51)</f>
        <v>19.091695039560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AVERAGE(Q26)</f>
        <v>0.0391013792122849</v>
      </c>
      <c r="AD53" s="35">
        <f>AC53</f>
        <v>0.0391013792122849</v>
      </c>
      <c r="AE53" s="35">
        <f>AD53</f>
        <v>0.0391013792122849</v>
      </c>
      <c r="AF53" s="35">
        <f>AE53</f>
        <v>0.0391013792122849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0.485</v>
      </c>
      <c r="AD54" s="15">
        <f>AC54</f>
        <v>0.485</v>
      </c>
      <c r="AE54" s="15">
        <f>AD54</f>
        <v>0.485</v>
      </c>
      <c r="AF54" s="15">
        <f>AE54</f>
        <v>0.485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1.20273475046211</v>
      </c>
      <c r="AD55" s="15">
        <f>(AD52*AD53)+AD54</f>
        <v>1.19555740295749</v>
      </c>
      <c r="AE55" s="15">
        <f>(AE52*AE53)+AE54</f>
        <v>1.20976855101664</v>
      </c>
      <c r="AF55" s="15">
        <f>(AF52*AF53)+AF54</f>
        <v>1.23151160754713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-0.52345</v>
      </c>
      <c r="AD56" s="15">
        <f>-AC71/20</f>
        <v>-0.4972775</v>
      </c>
      <c r="AE56" s="15">
        <f>-AD71/20</f>
        <v>-0.472413625</v>
      </c>
      <c r="AF56" s="15">
        <f>-AE71/20</f>
        <v>-0.448792943750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0.67928475046211</v>
      </c>
      <c r="AD59" s="15">
        <f>AD55+AD56+AD58</f>
        <v>0.69827990295749</v>
      </c>
      <c r="AE59" s="15">
        <f>AE55+AE56+AE58</f>
        <v>0.73735492601664</v>
      </c>
      <c r="AF59" s="15">
        <f>AF55+AF56+AF58</f>
        <v>0.78271866379713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0</v>
      </c>
      <c r="AD60" s="15">
        <f>-MIN(AC72,AD59)</f>
        <v>0</v>
      </c>
      <c r="AE60" s="15">
        <f>-MIN(AD72,AE59)</f>
        <v>0</v>
      </c>
      <c r="AF60" s="15">
        <f>-MIN(AE72,AF59)</f>
        <v>0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2.075</v>
      </c>
      <c r="AD61" s="15">
        <f>AC63</f>
        <v>2.75428475046211</v>
      </c>
      <c r="AE61" s="15">
        <f>AD63</f>
        <v>3.4525646534196</v>
      </c>
      <c r="AF61" s="15">
        <f>AE63</f>
        <v>4.18991957943624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0.67928475046211</v>
      </c>
      <c r="AD62" s="15">
        <f>AD55+AD56+AD58+AD60</f>
        <v>0.69827990295749</v>
      </c>
      <c r="AE62" s="15">
        <f>AE55+AE56+AE58+AE60</f>
        <v>0.73735492601664</v>
      </c>
      <c r="AF62" s="15">
        <f>AF55+AF56+AF58+AF60</f>
        <v>0.78271866379713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2.75428475046211</v>
      </c>
      <c r="AD63" s="15">
        <f>AD61+AD62</f>
        <v>3.4525646534196</v>
      </c>
      <c r="AE63" s="15">
        <f>AE61+AE62</f>
        <v>4.18991957943624</v>
      </c>
      <c r="AF63" s="15">
        <f>AF61+AF62</f>
        <v>4.97263824323337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-0.383</v>
      </c>
      <c r="AD65" s="15">
        <f>AC65</f>
        <v>-0.383</v>
      </c>
      <c r="AE65" s="15">
        <f>AD65</f>
        <v>-0.383</v>
      </c>
      <c r="AF65" s="15">
        <f>AE65</f>
        <v>-0.383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0.334734750462106</v>
      </c>
      <c r="AD66" s="15">
        <f>(AD52*AD53)+AD65</f>
        <v>0.327557402957485</v>
      </c>
      <c r="AE66" s="15">
        <f>(AE52*AE53)+AE65</f>
        <v>0.341768551016635</v>
      </c>
      <c r="AF66" s="15">
        <f>(AF52*AF53)+AF65</f>
        <v>0.363511607547134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292.878</v>
      </c>
      <c r="AD68" s="15">
        <f>AC68-AD54</f>
        <v>292.393</v>
      </c>
      <c r="AE68" s="15">
        <f>AD68-AE54</f>
        <v>291.908</v>
      </c>
      <c r="AF68" s="15">
        <f>AE68-AF54</f>
        <v>291.423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0.383</v>
      </c>
      <c r="AD69" s="15">
        <f>AC69-AD65</f>
        <v>0.766</v>
      </c>
      <c r="AE69" s="15">
        <f>AD69-AE65</f>
        <v>1.149</v>
      </c>
      <c r="AF69" s="15">
        <f>AE69-AF65</f>
        <v>1.532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292.495</v>
      </c>
      <c r="AD70" s="15">
        <f>AD68-AD69</f>
        <v>291.627</v>
      </c>
      <c r="AE70" s="15">
        <f>AE68-AE69</f>
        <v>290.759</v>
      </c>
      <c r="AF70" s="15">
        <f>AF68-AF69</f>
        <v>289.891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9.945550000000001</v>
      </c>
      <c r="AD71" s="15">
        <f>AC71+AD56</f>
        <v>9.4482725</v>
      </c>
      <c r="AE71" s="15">
        <f>AD71+AE56</f>
        <v>8.975858875</v>
      </c>
      <c r="AF71" s="15">
        <f>AE71+AF56</f>
        <v>8.527065931250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0</v>
      </c>
      <c r="AD72" s="15">
        <f>AC72+AD60</f>
        <v>0</v>
      </c>
      <c r="AE72" s="15">
        <f>AD72+AE60</f>
        <v>0</v>
      </c>
      <c r="AF72" s="15">
        <f>AE72+AF60</f>
        <v>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285.303734750462</v>
      </c>
      <c r="AD73" s="15">
        <f>AC73+AD66+AD58</f>
        <v>285.631292153419</v>
      </c>
      <c r="AE73" s="15">
        <f>AD73+AE66+AE58</f>
        <v>285.973060704436</v>
      </c>
      <c r="AF73" s="15">
        <f>AE73+AF66+AF58</f>
        <v>286.336572311983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-1.1e-13</v>
      </c>
      <c r="AD74" s="15">
        <f>AD71+AD72+AD73-AD63-AD70</f>
        <v>-6e-13</v>
      </c>
      <c r="AE74" s="15">
        <f>AE71+AE72+AE73-AE63-AE70</f>
        <v>-2.4e-13</v>
      </c>
      <c r="AF74" s="15">
        <f>AF71+AF72+AF73-AF63-AF70</f>
        <v>-3.7e-13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-7.19126524953789</v>
      </c>
      <c r="AD75" s="15">
        <f>AD63-AD71-AD72</f>
        <v>-5.9957078465804</v>
      </c>
      <c r="AE75" s="15">
        <f>AE63-AE71-AE72</f>
        <v>-4.78593929556376</v>
      </c>
      <c r="AF75" s="15">
        <f>AF63-AF71-AF72</f>
        <v>-3.55442768801663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-0.52345</v>
      </c>
      <c r="AD76" s="15">
        <f>AD56+AD58+AD60</f>
        <v>-0.4972775</v>
      </c>
      <c r="AE76" s="15">
        <f>AE56+AE58+AE60</f>
        <v>-0.472413625</v>
      </c>
      <c r="AF76" s="15">
        <f>AF56+AF58+AF60</f>
        <v>-0.448792943750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637</v>
      </c>
      <c r="AB78" s="14"/>
      <c r="AC78" s="15"/>
      <c r="AD78" s="15"/>
      <c r="AE78" s="15"/>
      <c r="AF78" s="15">
        <v>106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v>46</v>
      </c>
      <c r="AB79" s="14"/>
      <c r="AC79" s="15"/>
      <c r="AD79" s="15"/>
      <c r="AE79" s="15"/>
      <c r="AF79" s="15">
        <v>487.6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47</v>
      </c>
      <c r="AB80" s="14"/>
      <c r="AC80" s="15"/>
      <c r="AD80" s="15"/>
      <c r="AE80" s="15"/>
      <c r="AF80" s="15">
        <f>AF79/AF78</f>
        <v>4.6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48</v>
      </c>
      <c r="AB81" s="14"/>
      <c r="AC81" s="15"/>
      <c r="AD81" s="15"/>
      <c r="AE81" s="15"/>
      <c r="AF81" s="43">
        <f>AF79/(AF63+AF70)</f>
        <v>1.65364574250345</v>
      </c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</row>
    <row r="82" ht="20.05" customHeight="1">
      <c r="AA82" t="s" s="33">
        <v>49</v>
      </c>
      <c r="AB82" s="14"/>
      <c r="AC82" s="15"/>
      <c r="AD82" s="15"/>
      <c r="AE82" s="15"/>
      <c r="AF82" s="16">
        <f>-(AC58+AD58+AE58+AF58)/AF79</f>
        <v>0</v>
      </c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</row>
    <row r="83" ht="20.05" customHeight="1">
      <c r="AA83" t="s" s="33">
        <v>50</v>
      </c>
      <c r="AB83" s="14"/>
      <c r="AC83" s="15"/>
      <c r="AD83" s="15"/>
      <c r="AE83" s="15">
        <f>SUM(J23:K26)</f>
        <v>-44.565</v>
      </c>
      <c r="AF83" s="15">
        <f>SUM(AC55:AF55)</f>
        <v>4.83957231198337</v>
      </c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ht="20.05" customHeight="1">
      <c r="AA84" t="s" s="33">
        <v>51</v>
      </c>
      <c r="AB84" s="14"/>
      <c r="AC84" s="15"/>
      <c r="AD84" s="15"/>
      <c r="AE84" s="15"/>
      <c r="AF84" s="15">
        <f>AF70/AF83</f>
        <v>59.9001278030694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52</v>
      </c>
      <c r="AB85" s="14"/>
      <c r="AC85" s="15"/>
      <c r="AD85" s="15"/>
      <c r="AE85" s="15">
        <f>AF79/AF83</f>
        <v>100.752704695132</v>
      </c>
      <c r="AF85" s="15">
        <v>120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53</v>
      </c>
      <c r="AB86" s="14"/>
      <c r="AC86" s="15"/>
      <c r="AD86" s="15"/>
      <c r="AE86" s="15"/>
      <c r="AF86" s="15">
        <f>AF83*AF85</f>
        <v>580.7486774380041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54</v>
      </c>
      <c r="AB87" s="14"/>
      <c r="AC87" s="15"/>
      <c r="AD87" s="15"/>
      <c r="AE87" s="15"/>
      <c r="AF87" s="15">
        <f>(AF86/AF80)</f>
        <v>126.249712486523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55</v>
      </c>
      <c r="AB88" s="38"/>
      <c r="AC88" s="23"/>
      <c r="AD88" s="23"/>
      <c r="AE88" s="23"/>
      <c r="AF88" s="16">
        <f>AF87/AF78-1</f>
        <v>0.191035023457764</v>
      </c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</row>
    <row r="89" ht="20.05" customHeight="1">
      <c r="AA89" t="s" s="33">
        <v>56</v>
      </c>
      <c r="AB89" s="38"/>
      <c r="AC89" s="23"/>
      <c r="AD89" s="23"/>
      <c r="AE89" s="23"/>
      <c r="AF89" s="16">
        <f>C26/C22-1</f>
        <v>1.32008510638298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57</v>
      </c>
      <c r="AB90" s="38"/>
      <c r="AC90" s="23"/>
      <c r="AD90" s="23"/>
      <c r="AE90" s="23"/>
      <c r="AF90" s="16">
        <f>O28/N28-1</f>
        <v>0.174301517515249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s="36"/>
      <c r="AB91" s="38"/>
      <c r="AC91" s="23"/>
      <c r="AD91" s="23"/>
      <c r="AE91" s="23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t="s" s="44">
        <f>$AA78</f>
        <v>637</v>
      </c>
      <c r="AD92" t="s" s="44">
        <f>AC114</f>
        <v>15</v>
      </c>
      <c r="AE92" t="s" s="44">
        <f>AD114</f>
        <v>58</v>
      </c>
      <c r="AF92" t="s" s="44">
        <f>AE114</f>
        <v>59</v>
      </c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45"/>
      <c r="AC93" t="s" s="44">
        <v>60</v>
      </c>
      <c r="AD93" s="15">
        <f>AF78</f>
        <v>106</v>
      </c>
      <c r="AE93" t="s" s="44">
        <v>61</v>
      </c>
      <c r="AF93" s="15">
        <f>AF87</f>
        <v>126.249712486523</v>
      </c>
      <c r="AG93" t="s" s="44">
        <f>IF(AH93&gt;0,"+","")</f>
        <v>361</v>
      </c>
      <c r="AH93" s="16">
        <f>AF93/AD93-1</f>
        <v>0.191035023457764</v>
      </c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20.05" customHeight="1">
      <c r="AA94" s="36"/>
      <c r="AB94" s="46"/>
      <c r="AC94" s="47">
        <f>TODAY()</f>
        <v>44942</v>
      </c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32.05" customHeight="1">
      <c r="AA95" s="36"/>
      <c r="AB95" s="34"/>
      <c r="AC95" t="s" s="44">
        <v>62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63</v>
      </c>
      <c r="AD96" t="s" s="44">
        <v>64</v>
      </c>
      <c r="AE96" t="s" s="44">
        <f>IF(AF96&gt;0,"+","")</f>
        <v>361</v>
      </c>
      <c r="AF96" s="16">
        <f>AK103/AC103-1</f>
        <v>1.32008510638298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65</v>
      </c>
      <c r="AE97" t="s" s="44">
        <f>IF(AF97&gt;0,"+","")</f>
      </c>
      <c r="AF97" s="16">
        <f>(AE118+AE119+AG118+AG119+AI118+AI119+AK118+AK119)/AD135</f>
        <v>-0.0913966365873667</v>
      </c>
      <c r="AG97" t="s" s="44">
        <v>66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68.05" customHeight="1">
      <c r="AA98" s="36"/>
      <c r="AB98" s="34"/>
      <c r="AC98" t="s" s="44">
        <v>63</v>
      </c>
      <c r="AD98" t="s" s="44">
        <v>67</v>
      </c>
      <c r="AE98" t="s" s="44">
        <f>IF(AF98&gt;0,"+","")</f>
      </c>
      <c r="AF98" s="16">
        <f>(AE132+AE133+AG132+AG133+AI132+AI133+AK132+AK133)/AD135</f>
        <v>-0.06514902925895549</v>
      </c>
      <c r="AG98" t="s" s="44">
        <f>AG97</f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44.05" customHeight="1">
      <c r="AA99" s="36"/>
      <c r="AB99" s="34"/>
      <c r="AC99" t="s" s="44">
        <v>68</v>
      </c>
      <c r="AD99" t="s" s="44">
        <v>69</v>
      </c>
      <c r="AE99" s="16">
        <f>AN128/AD135</f>
        <v>-0.0172149302707137</v>
      </c>
      <c r="AF99" t="s" s="44">
        <f>AG98</f>
        <v>66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20.05" customHeight="1">
      <c r="AA100" s="36"/>
      <c r="AB100" s="34"/>
      <c r="AC100" t="s" s="44">
        <v>28</v>
      </c>
      <c r="AD100" t="s" s="44">
        <f>AD104</f>
        <v>362</v>
      </c>
      <c r="AE100" s="16">
        <f>AE104</f>
        <v>0.45392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70</v>
      </c>
      <c r="AD101" t="s" s="44">
        <v>71</v>
      </c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20.05" customHeight="1">
      <c r="AA102" s="36"/>
      <c r="AB102" s="34"/>
      <c r="AC102" s="16">
        <f>P22</f>
        <v>0.119047619047619</v>
      </c>
      <c r="AD102" s="16">
        <f>P23</f>
        <v>0</v>
      </c>
      <c r="AE102" s="16">
        <f>P24</f>
        <v>0.6851063829787239</v>
      </c>
      <c r="AF102" s="16">
        <f>P25</f>
        <v>-0.053030303030303</v>
      </c>
      <c r="AG102" s="16">
        <f>P26</f>
        <v>0.45392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32.05" customHeight="1">
      <c r="AA103" s="36"/>
      <c r="AB103" s="34"/>
      <c r="AC103" s="15">
        <f>C22</f>
        <v>7.83333333333333</v>
      </c>
      <c r="AD103" t="s" s="44">
        <v>72</v>
      </c>
      <c r="AE103" s="15">
        <f>C23</f>
        <v>7.83333333333333</v>
      </c>
      <c r="AF103" t="s" s="44">
        <v>72</v>
      </c>
      <c r="AG103" s="15">
        <f>C24</f>
        <v>13.2</v>
      </c>
      <c r="AH103" t="s" s="44">
        <v>72</v>
      </c>
      <c r="AI103" s="15">
        <f>C25</f>
        <v>12.5</v>
      </c>
      <c r="AJ103" t="s" s="44">
        <v>72</v>
      </c>
      <c r="AK103" s="15">
        <f>C26</f>
        <v>18.174</v>
      </c>
      <c r="AL103" t="s" s="48">
        <f>AA$47</f>
        <v>22</v>
      </c>
      <c r="AM103" s="17"/>
      <c r="AN103" s="17"/>
      <c r="AO103" s="17"/>
      <c r="AP103" s="17"/>
      <c r="AQ103" s="17"/>
      <c r="AR103" s="17"/>
      <c r="AS103" s="17"/>
      <c r="AT103" s="17"/>
    </row>
    <row r="104" ht="56.05" customHeight="1">
      <c r="AA104" s="36"/>
      <c r="AB104" s="34"/>
      <c r="AC104" t="s" s="44">
        <v>2</v>
      </c>
      <c r="AD104" t="s" s="44">
        <f>IF(AE104&lt;0,"declined","grew")</f>
        <v>362</v>
      </c>
      <c r="AE104" s="16">
        <f>AK103/AI103-1</f>
        <v>0.45392</v>
      </c>
      <c r="AF104" t="s" s="44">
        <v>73</v>
      </c>
      <c r="AG104" t="s" s="44">
        <v>74</v>
      </c>
      <c r="AH104" t="s" s="44">
        <v>75</v>
      </c>
      <c r="AI104" t="s" s="44">
        <v>76</v>
      </c>
      <c r="AJ104" s="15">
        <f>AK103</f>
        <v>18.174</v>
      </c>
      <c r="AK104" t="s" s="48">
        <f>AL103</f>
        <v>22</v>
      </c>
      <c r="AL104" t="s" s="44">
        <v>77</v>
      </c>
      <c r="AM104" t="s" s="44">
        <f>IF(AN104&gt;0,"+","")</f>
        <v>361</v>
      </c>
      <c r="AN104" s="16">
        <f>AF90</f>
        <v>0.174301517515249</v>
      </c>
      <c r="AO104" t="s" s="44">
        <v>78</v>
      </c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79</v>
      </c>
      <c r="AD105" s="16">
        <f>AVERAGE(AD102:AG102)</f>
        <v>0.271499019987105</v>
      </c>
      <c r="AE105" t="s" s="44">
        <v>80</v>
      </c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81</v>
      </c>
      <c r="AD106" s="35">
        <f>AF49</f>
        <v>0.0125</v>
      </c>
      <c r="AE106" t="s" s="44">
        <v>82</v>
      </c>
      <c r="AF106" t="s" s="44">
        <v>83</v>
      </c>
      <c r="AG106" s="23">
        <f>AF52</f>
        <v>19.091695039560</v>
      </c>
      <c r="AH106" t="s" s="48">
        <f>AL103</f>
        <v>22</v>
      </c>
      <c r="AI106" t="s" s="44">
        <v>84</v>
      </c>
      <c r="AJ106" t="s" s="44">
        <f>AG104</f>
        <v>74</v>
      </c>
      <c r="AK106" t="s" s="44">
        <f>AH104</f>
        <v>75</v>
      </c>
      <c r="AL106" t="s" s="44">
        <v>85</v>
      </c>
      <c r="AM106" s="17"/>
      <c r="AN106" s="17"/>
      <c r="AO106" s="17"/>
      <c r="AP106" s="17"/>
      <c r="AQ106" s="17"/>
      <c r="AR106" s="17"/>
      <c r="AS106" s="17"/>
      <c r="AT106" s="17"/>
    </row>
    <row r="107" ht="20.05" customHeight="1">
      <c r="AA107" s="36"/>
      <c r="AB107" s="34"/>
      <c r="AC107" t="s" s="44">
        <v>14</v>
      </c>
      <c r="AD107" t="s" s="44">
        <f>IF(AF111&lt;AD111,"down","up")</f>
        <v>108</v>
      </c>
      <c r="AE107" t="s" s="44">
        <v>86</v>
      </c>
      <c r="AF107" t="s" s="44">
        <f>IF(AJ111&gt;AH111,"up","down")</f>
        <v>108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44.05" customHeight="1">
      <c r="AA108" s="36"/>
      <c r="AB108" s="34"/>
      <c r="AC108" t="s" s="44">
        <f>AC101</f>
        <v>70</v>
      </c>
      <c r="AD108" t="s" s="44">
        <v>88</v>
      </c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20.05" customHeight="1">
      <c r="AA109" s="36"/>
      <c r="AB109" s="34"/>
      <c r="AC109" s="16">
        <f>(D22+E22)/C22</f>
        <v>0.15</v>
      </c>
      <c r="AD109" s="16">
        <f>(D23+E23)/C23</f>
        <v>0.15</v>
      </c>
      <c r="AE109" s="16">
        <f>((E24+D24)/C24)</f>
        <v>0.113636363636364</v>
      </c>
      <c r="AF109" s="16">
        <f>(D25+E25)/C25</f>
        <v>0.136</v>
      </c>
      <c r="AG109" s="16">
        <f>(D26+E26)/C26</f>
        <v>0.21981952239463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32.05" customHeight="1">
      <c r="AA110" s="36"/>
      <c r="AB110" s="34"/>
      <c r="AC110" s="15">
        <f>E22</f>
        <v>0.8</v>
      </c>
      <c r="AD110" t="s" s="44">
        <v>72</v>
      </c>
      <c r="AE110" s="15">
        <f>E23</f>
        <v>0.8</v>
      </c>
      <c r="AF110" t="s" s="44">
        <v>72</v>
      </c>
      <c r="AG110" s="15">
        <f>E24</f>
        <v>1.1</v>
      </c>
      <c r="AH110" t="s" s="44">
        <v>72</v>
      </c>
      <c r="AI110" s="15">
        <f>E25</f>
        <v>1.4</v>
      </c>
      <c r="AJ110" t="s" s="44">
        <v>72</v>
      </c>
      <c r="AK110" s="15">
        <f>E26</f>
        <v>3.546</v>
      </c>
      <c r="AL110" t="s" s="48">
        <f>AL103</f>
        <v>22</v>
      </c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89</v>
      </c>
      <c r="AD111" s="16">
        <f>AF109</f>
        <v>0.136</v>
      </c>
      <c r="AE111" t="s" s="44">
        <v>76</v>
      </c>
      <c r="AF111" s="16">
        <f>AG109</f>
        <v>0.21981952239463</v>
      </c>
      <c r="AG111" t="s" s="44">
        <v>90</v>
      </c>
      <c r="AH111" s="15">
        <f>AI110</f>
        <v>1.4</v>
      </c>
      <c r="AI111" t="s" s="44">
        <v>76</v>
      </c>
      <c r="AJ111" s="15">
        <f>AK110</f>
        <v>3.546</v>
      </c>
      <c r="AK111" t="s" s="48">
        <f>AH106</f>
        <v>22</v>
      </c>
      <c r="AL111" t="s" s="44">
        <v>73</v>
      </c>
      <c r="AM111" t="s" s="44">
        <f>AJ106</f>
        <v>74</v>
      </c>
      <c r="AN111" t="s" s="44">
        <v>91</v>
      </c>
      <c r="AO111" s="17"/>
      <c r="AP111" s="17"/>
      <c r="AQ111" s="17"/>
      <c r="AR111" s="17"/>
      <c r="AS111" s="17"/>
      <c r="AT111" s="17"/>
    </row>
    <row r="112" ht="68.05" customHeight="1">
      <c r="AA112" s="36"/>
      <c r="AB112" s="34"/>
      <c r="AC112" t="s" s="44">
        <v>92</v>
      </c>
      <c r="AD112" s="16">
        <f>AVERAGE(AD109:AG109)</f>
        <v>0.154863971507749</v>
      </c>
      <c r="AE112" t="s" s="44">
        <v>78</v>
      </c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44.05" customHeight="1">
      <c r="AA113" s="36"/>
      <c r="AB113" s="34"/>
      <c r="AC113" t="s" s="44">
        <v>93</v>
      </c>
      <c r="AD113" s="35">
        <f>AC53</f>
        <v>0.0391013792122849</v>
      </c>
      <c r="AE113" t="s" s="44">
        <v>94</v>
      </c>
      <c r="AF113" s="15">
        <f>AF66</f>
        <v>0.363511607547134</v>
      </c>
      <c r="AG113" t="s" s="48">
        <f>AK111</f>
        <v>22</v>
      </c>
      <c r="AH113" t="s" s="44">
        <v>95</v>
      </c>
      <c r="AI113" t="s" s="44">
        <f>AM111</f>
        <v>74</v>
      </c>
      <c r="AJ113" t="s" s="44">
        <f>AH104</f>
        <v>75</v>
      </c>
      <c r="AK113" t="s" s="44">
        <f>AL106</f>
        <v>85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20.05" customHeight="1">
      <c r="AA114" s="36"/>
      <c r="AB114" s="34"/>
      <c r="AC114" t="s" s="44">
        <v>15</v>
      </c>
      <c r="AD114" t="s" s="44">
        <f>IF(AD116&gt;AC116,"more","less")</f>
        <v>58</v>
      </c>
      <c r="AE114" t="s" s="44">
        <f>IF(AF120&lt;0,"negative","positive")</f>
        <v>59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8.35" customHeight="1" hidden="1">
      <c r="AA115" s="36"/>
      <c r="AB115" s="34"/>
      <c r="AC115" s="17"/>
      <c r="AD115" s="15">
        <f>ABS(AD120)</f>
        <v>12.6</v>
      </c>
      <c r="AE115" s="15">
        <f>ABS(AF120)</f>
        <v>1.035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5">
        <f>ABS(AD120)</f>
        <v>12.6</v>
      </c>
      <c r="AD116" s="15">
        <f>ABS(AF120)</f>
        <v>1.035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56.05" customHeight="1">
      <c r="AA117" s="36"/>
      <c r="AB117" s="34"/>
      <c r="AC117" t="s" s="44">
        <f>AC108</f>
        <v>70</v>
      </c>
      <c r="AD117" t="s" s="44">
        <v>96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32.05" customHeight="1">
      <c r="AA118" s="36"/>
      <c r="AB118" s="34"/>
      <c r="AC118" s="15">
        <f>J22</f>
        <v>-6.1</v>
      </c>
      <c r="AD118" t="s" s="44">
        <v>72</v>
      </c>
      <c r="AE118" s="15">
        <f>J23</f>
        <v>-6.1</v>
      </c>
      <c r="AF118" t="s" s="44">
        <v>72</v>
      </c>
      <c r="AG118" s="15">
        <f>J24</f>
        <v>2.7</v>
      </c>
      <c r="AH118" t="s" s="44">
        <v>72</v>
      </c>
      <c r="AI118" s="15">
        <f>J25</f>
        <v>-1.5</v>
      </c>
      <c r="AJ118" t="s" s="44">
        <v>72</v>
      </c>
      <c r="AK118" s="15">
        <f>J26</f>
        <v>0.55</v>
      </c>
      <c r="AL118" t="s" s="48">
        <f>AL103</f>
        <v>22</v>
      </c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K22</f>
        <v>-19.1</v>
      </c>
      <c r="AD119" t="s" s="44">
        <v>72</v>
      </c>
      <c r="AE119" s="15">
        <f>K23</f>
        <v>-19.1</v>
      </c>
      <c r="AF119" t="s" s="44">
        <v>72</v>
      </c>
      <c r="AG119" s="15">
        <f>K24</f>
        <v>-10.5</v>
      </c>
      <c r="AH119" t="s" s="44">
        <v>72</v>
      </c>
      <c r="AI119" s="15">
        <f>K25</f>
        <v>-11.1</v>
      </c>
      <c r="AJ119" t="s" s="44">
        <v>72</v>
      </c>
      <c r="AK119" s="15">
        <f>K26</f>
        <v>0.485</v>
      </c>
      <c r="AL119" t="s" s="48">
        <f>AL118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44.05" customHeight="1">
      <c r="AA120" s="36"/>
      <c r="AB120" s="34"/>
      <c r="AC120" t="s" s="44">
        <v>97</v>
      </c>
      <c r="AD120" s="15">
        <f>AI118+AI119</f>
        <v>-12.6</v>
      </c>
      <c r="AE120" t="s" s="44">
        <v>76</v>
      </c>
      <c r="AF120" s="15">
        <f>AK118+AK119</f>
        <v>1.035</v>
      </c>
      <c r="AG120" t="s" s="48">
        <f>AG113</f>
        <v>22</v>
      </c>
      <c r="AH120" t="s" s="44">
        <v>84</v>
      </c>
      <c r="AI120" t="s" s="44">
        <f>AI113</f>
        <v>74</v>
      </c>
      <c r="AJ120" t="s" s="44">
        <v>98</v>
      </c>
      <c r="AK120" s="15">
        <f>AK119</f>
        <v>0.485</v>
      </c>
      <c r="AL120" t="s" s="48">
        <f>AL103</f>
        <v>22</v>
      </c>
      <c r="AM120" t="s" s="44">
        <v>99</v>
      </c>
      <c r="AN120" s="17"/>
      <c r="AO120" s="17"/>
      <c r="AP120" s="17"/>
      <c r="AQ120" s="17"/>
      <c r="AR120" s="17"/>
      <c r="AS120" s="17"/>
      <c r="AT120" s="17"/>
    </row>
    <row r="121" ht="56.05" customHeight="1">
      <c r="AA121" s="36"/>
      <c r="AB121" s="34"/>
      <c r="AC121" t="s" s="44">
        <v>100</v>
      </c>
      <c r="AD121" s="15">
        <f>(AE118+AE119+AG118+AG119+AI118+AI119+AK118+AK119)/4</f>
        <v>-11.14125</v>
      </c>
      <c r="AE121" t="s" s="48">
        <f>AL103</f>
        <v>22</v>
      </c>
      <c r="AF121" t="s" s="44">
        <v>78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ht="44.05" customHeight="1">
      <c r="AA122" s="36"/>
      <c r="AB122" s="34"/>
      <c r="AC122" t="s" s="44">
        <v>101</v>
      </c>
      <c r="AD122" s="15">
        <f>AC54</f>
        <v>0.485</v>
      </c>
      <c r="AE122" t="s" s="48">
        <f>AE121</f>
        <v>22</v>
      </c>
      <c r="AF122" t="s" s="44">
        <v>102</v>
      </c>
      <c r="AG122" t="s" s="44">
        <v>103</v>
      </c>
      <c r="AH122" t="s" s="44">
        <f>IF(AG106&gt;AJ104,"higher","lower")</f>
        <v>363</v>
      </c>
      <c r="AI122" t="s" s="44">
        <v>105</v>
      </c>
      <c r="AJ122" s="15">
        <f>SUM(AC55:AF55)/4</f>
        <v>1.20989307799584</v>
      </c>
      <c r="AK122" t="s" s="48">
        <f>AE122</f>
        <v>22</v>
      </c>
      <c r="AL122" t="s" s="44">
        <v>106</v>
      </c>
      <c r="AM122" t="s" s="44">
        <v>107</v>
      </c>
      <c r="AN122" s="17"/>
      <c r="AO122" s="17"/>
      <c r="AP122" s="17"/>
      <c r="AQ122" s="17"/>
      <c r="AR122" s="17"/>
      <c r="AS122" s="17"/>
      <c r="AT122" s="17"/>
    </row>
    <row r="123" ht="20.05" customHeight="1">
      <c r="AA123" s="36"/>
      <c r="AB123" s="34"/>
      <c r="AC123" t="s" s="44">
        <v>18</v>
      </c>
      <c r="AD123" t="s" s="44">
        <f>AK128</f>
        <v>87</v>
      </c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32.05" customHeight="1">
      <c r="AA124" s="36"/>
      <c r="AB124" s="34"/>
      <c r="AC124" t="s" s="44">
        <f>AC101</f>
        <v>70</v>
      </c>
      <c r="AD124" t="s" s="44">
        <v>109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s="15">
        <f>F22</f>
        <v>0</v>
      </c>
      <c r="AD125" t="s" s="44">
        <v>72</v>
      </c>
      <c r="AE125" s="15">
        <f>F23</f>
        <v>21.4</v>
      </c>
      <c r="AF125" t="s" s="44">
        <v>72</v>
      </c>
      <c r="AG125" s="15">
        <f>F24</f>
        <v>13.6</v>
      </c>
      <c r="AH125" t="s" s="44">
        <v>72</v>
      </c>
      <c r="AI125" s="15">
        <f>F25</f>
        <v>1</v>
      </c>
      <c r="AJ125" t="s" s="44">
        <v>72</v>
      </c>
      <c r="AK125" s="15">
        <f>F26</f>
        <v>2.075</v>
      </c>
      <c r="AL125" t="s" s="48">
        <f>AL103</f>
        <v>22</v>
      </c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G22</f>
        <v>0</v>
      </c>
      <c r="AD126" t="s" s="44">
        <v>72</v>
      </c>
      <c r="AE126" s="15">
        <f>G23</f>
        <v>5.4</v>
      </c>
      <c r="AF126" t="s" s="44">
        <v>72</v>
      </c>
      <c r="AG126" s="15">
        <f>G24</f>
        <v>6.9</v>
      </c>
      <c r="AH126" t="s" s="44">
        <v>72</v>
      </c>
      <c r="AI126" s="15">
        <f>G25</f>
        <v>8</v>
      </c>
      <c r="AJ126" t="s" s="44">
        <v>72</v>
      </c>
      <c r="AK126" s="15">
        <f>G26</f>
        <v>10.469</v>
      </c>
      <c r="AL126" t="s" s="48">
        <f>AL125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t="s" s="44">
        <v>110</v>
      </c>
      <c r="AD127" t="s" s="44">
        <f>IF(AG127&lt;AE127,"declined","increased")</f>
        <v>111</v>
      </c>
      <c r="AE127" s="15">
        <f>AI125</f>
        <v>1</v>
      </c>
      <c r="AF127" t="s" s="44">
        <v>76</v>
      </c>
      <c r="AG127" s="15">
        <f>AK125</f>
        <v>2.075</v>
      </c>
      <c r="AH127" t="s" s="48">
        <f>AK122</f>
        <v>22</v>
      </c>
      <c r="AI127" t="s" s="44">
        <v>84</v>
      </c>
      <c r="AJ127" t="s" s="44">
        <f>AG104</f>
        <v>74</v>
      </c>
      <c r="AK127" t="s" s="44">
        <f>AN111</f>
        <v>91</v>
      </c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112</v>
      </c>
      <c r="AD128" t="s" s="44">
        <f>IF(AG128&lt;AE128,"declined","increased")</f>
        <v>111</v>
      </c>
      <c r="AE128" s="15">
        <f>AI126</f>
        <v>8</v>
      </c>
      <c r="AF128" t="s" s="44">
        <v>76</v>
      </c>
      <c r="AG128" s="15">
        <f>AK126</f>
        <v>10.469</v>
      </c>
      <c r="AH128" t="s" s="48">
        <f>AH127</f>
        <v>22</v>
      </c>
      <c r="AI128" t="s" s="44">
        <v>113</v>
      </c>
      <c r="AJ128" t="s" s="44">
        <v>114</v>
      </c>
      <c r="AK128" t="s" s="44">
        <f>IF(AN128&lt;AL128,"down","up")</f>
        <v>87</v>
      </c>
      <c r="AL128" s="15">
        <f>AE127-AE128</f>
        <v>-7</v>
      </c>
      <c r="AM128" t="s" s="44">
        <v>76</v>
      </c>
      <c r="AN128" s="15">
        <f>AG127-AG128</f>
        <v>-8.394</v>
      </c>
      <c r="AO128" t="s" s="48">
        <f>AH128</f>
        <v>22</v>
      </c>
      <c r="AP128" t="s" s="44">
        <v>115</v>
      </c>
      <c r="AQ128" s="17"/>
      <c r="AR128" s="17"/>
      <c r="AS128" s="17"/>
      <c r="AT128" s="17"/>
    </row>
    <row r="129" ht="56.05" customHeight="1">
      <c r="AA129" s="36"/>
      <c r="AB129" s="34"/>
      <c r="AC129" t="s" s="44">
        <v>116</v>
      </c>
      <c r="AD129" s="15">
        <f>SUM(AC58:AF58)</f>
        <v>0</v>
      </c>
      <c r="AE129" t="s" s="48">
        <f>AH128</f>
        <v>22</v>
      </c>
      <c r="AF129" t="s" s="44">
        <v>117</v>
      </c>
      <c r="AG129" t="s" s="44">
        <f>IF(AH129&gt;0,"+","")</f>
      </c>
      <c r="AH129" s="15">
        <f>AC56+AD56+AE56+AF56+AC60+AD60+AE60+AF60</f>
        <v>-1.941934068750</v>
      </c>
      <c r="AI129" t="s" s="48">
        <f>AO128</f>
        <v>22</v>
      </c>
      <c r="AJ129" t="s" s="44">
        <v>118</v>
      </c>
      <c r="AK129" t="s" s="44">
        <v>119</v>
      </c>
      <c r="AL129" s="15">
        <f>AF75</f>
        <v>-3.55442768801663</v>
      </c>
      <c r="AM129" t="s" s="48">
        <f>AH128</f>
        <v>22</v>
      </c>
      <c r="AN129" t="s" s="44">
        <v>120</v>
      </c>
      <c r="AO129" s="17"/>
      <c r="AP129" s="17"/>
      <c r="AQ129" s="17"/>
      <c r="AR129" s="17"/>
      <c r="AS129" s="17"/>
      <c r="AT129" s="17"/>
    </row>
    <row r="130" ht="20.05" customHeight="1">
      <c r="AA130" s="36"/>
      <c r="AB130" s="34"/>
      <c r="AC130" t="s" s="44">
        <v>17</v>
      </c>
      <c r="AD130" t="s" s="44">
        <f>AD134</f>
        <v>121</v>
      </c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68.05" customHeight="1">
      <c r="AA131" s="36"/>
      <c r="AB131" s="34"/>
      <c r="AC131" t="s" s="44">
        <f>AC101</f>
        <v>70</v>
      </c>
      <c r="AD131" t="s" s="44">
        <v>122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32.05" customHeight="1">
      <c r="AA132" s="36"/>
      <c r="AB132" s="34"/>
      <c r="AC132" s="15">
        <f>-L22</f>
        <v>0</v>
      </c>
      <c r="AD132" t="s" s="44">
        <v>72</v>
      </c>
      <c r="AE132" s="15">
        <f>-L23</f>
        <v>0</v>
      </c>
      <c r="AF132" t="s" s="44">
        <v>72</v>
      </c>
      <c r="AG132" s="15">
        <f>-L24</f>
        <v>0</v>
      </c>
      <c r="AH132" t="s" s="44">
        <v>72</v>
      </c>
      <c r="AI132" s="15">
        <f>-L25</f>
        <v>0</v>
      </c>
      <c r="AJ132" t="s" s="44">
        <v>72</v>
      </c>
      <c r="AK132" s="15">
        <f>-L26</f>
        <v>0</v>
      </c>
      <c r="AL132" t="s" s="48">
        <f>AL103</f>
        <v>22</v>
      </c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-M22</f>
        <v>-31.7666666666667</v>
      </c>
      <c r="AD133" t="s" s="44">
        <v>72</v>
      </c>
      <c r="AE133" s="15">
        <f>-M23</f>
        <v>-31.7666666666667</v>
      </c>
      <c r="AF133" t="s" s="44">
        <v>72</v>
      </c>
      <c r="AG133" s="15">
        <f>-M24</f>
        <v>0</v>
      </c>
      <c r="AH133" t="s" s="44">
        <v>72</v>
      </c>
      <c r="AI133" s="15">
        <f>-M25</f>
        <v>0</v>
      </c>
      <c r="AJ133" t="s" s="44">
        <v>72</v>
      </c>
      <c r="AK133" s="15">
        <f>-M26</f>
        <v>0</v>
      </c>
      <c r="AL133" t="s" s="48">
        <f>AL132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44.05" customHeight="1">
      <c r="AA134" s="36"/>
      <c r="AB134" s="34"/>
      <c r="AC134" t="s" s="44">
        <f>AC92</f>
        <v>637</v>
      </c>
      <c r="AD134" t="s" s="44">
        <f>IF(AE134&gt;0,"paid","(raised)")</f>
        <v>121</v>
      </c>
      <c r="AE134" s="15">
        <f>SUM(AK132:AK133)</f>
        <v>0</v>
      </c>
      <c r="AF134" t="s" s="48">
        <f>AL103</f>
        <v>22</v>
      </c>
      <c r="AG134" t="s" s="44">
        <f>AF104</f>
        <v>73</v>
      </c>
      <c r="AH134" t="s" s="44">
        <f>AG104</f>
        <v>74</v>
      </c>
      <c r="AI134" t="s" s="44">
        <f>AH104</f>
        <v>75</v>
      </c>
      <c r="AJ134" s="15">
        <f>AK132</f>
        <v>0</v>
      </c>
      <c r="AK134" t="s" s="48">
        <f>AL103</f>
        <v>22</v>
      </c>
      <c r="AL134" t="s" s="44">
        <v>123</v>
      </c>
      <c r="AM134" s="15">
        <f>AK133</f>
        <v>0</v>
      </c>
      <c r="AN134" t="s" s="48">
        <f>AL103</f>
        <v>22</v>
      </c>
      <c r="AO134" t="s" s="44">
        <v>124</v>
      </c>
      <c r="AP134" t="s" s="44">
        <v>125</v>
      </c>
      <c r="AQ134" t="s" s="44">
        <f>IF(AR134&gt;0,"pay","raise")</f>
        <v>364</v>
      </c>
      <c r="AR134" s="15">
        <f>-SUM(AC76:AF76)</f>
        <v>1.941934068750</v>
      </c>
      <c r="AS134" t="s" s="48">
        <f>AL103</f>
        <v>22</v>
      </c>
      <c r="AT134" t="s" s="44">
        <v>126</v>
      </c>
    </row>
    <row r="135" ht="56.05" customHeight="1">
      <c r="AA135" s="36"/>
      <c r="AB135" s="34"/>
      <c r="AC135" t="s" s="44">
        <v>127</v>
      </c>
      <c r="AD135" s="15">
        <f>AF79</f>
        <v>487.6</v>
      </c>
      <c r="AE135" t="s" s="48">
        <f>AL103</f>
        <v>22</v>
      </c>
      <c r="AF135" t="s" s="44">
        <v>128</v>
      </c>
      <c r="AG135" t="s" s="44">
        <v>129</v>
      </c>
      <c r="AH135" s="43">
        <f>AF81</f>
        <v>1.65364574250345</v>
      </c>
      <c r="AI135" t="s" s="44">
        <v>130</v>
      </c>
      <c r="AJ135" t="s" s="44">
        <v>131</v>
      </c>
      <c r="AK135" t="s" s="44">
        <v>132</v>
      </c>
      <c r="AL135" s="15">
        <f>AF84</f>
        <v>59.9001278030694</v>
      </c>
      <c r="AM135" t="s" s="44">
        <v>133</v>
      </c>
      <c r="AN135" s="16">
        <f>-AD129/AD135</f>
        <v>0</v>
      </c>
      <c r="AO135" t="s" s="44">
        <v>134</v>
      </c>
      <c r="AP135" s="17"/>
      <c r="AQ135" s="17"/>
      <c r="AR135" s="17"/>
      <c r="AS135" s="17"/>
      <c r="AT135" s="17"/>
    </row>
    <row r="136" ht="56.05" customHeight="1">
      <c r="AA136" s="36"/>
      <c r="AB136" s="34"/>
      <c r="AC136" t="s" s="44">
        <v>135</v>
      </c>
      <c r="AD136" s="15">
        <f>AF83</f>
        <v>4.83957231198337</v>
      </c>
      <c r="AE136" t="s" s="48">
        <f>AE135</f>
        <v>22</v>
      </c>
      <c r="AF136" t="s" s="44">
        <v>136</v>
      </c>
      <c r="AG136" s="15">
        <f>AD135/AD136</f>
        <v>100.752704695132</v>
      </c>
      <c r="AH136" t="s" s="44">
        <v>130</v>
      </c>
      <c r="AI136" t="s" s="44">
        <v>137</v>
      </c>
      <c r="AJ136" t="s" s="44">
        <v>138</v>
      </c>
      <c r="AK136" s="15">
        <f>AF85</f>
        <v>120</v>
      </c>
      <c r="AL136" t="s" s="44">
        <v>139</v>
      </c>
      <c r="AM136" t="s" s="44">
        <v>140</v>
      </c>
      <c r="AN136" t="s" s="44">
        <v>141</v>
      </c>
      <c r="AO136" s="16">
        <f>AH93</f>
        <v>0.191035023457764</v>
      </c>
      <c r="AP136" t="s" s="44">
        <f>IF(AO136&gt;0,"higher","lower")</f>
        <v>363</v>
      </c>
      <c r="AQ136" t="s" s="44">
        <v>142</v>
      </c>
      <c r="AR136" s="15">
        <f>AF93</f>
        <v>126.249712486523</v>
      </c>
      <c r="AS136" t="s" s="44">
        <v>143</v>
      </c>
      <c r="AT136" s="17"/>
    </row>
    <row r="137" ht="20.05" customHeight="1">
      <c r="AA137" s="36"/>
      <c r="AB137" s="34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t="s" s="33">
        <v>28</v>
      </c>
      <c r="AB138" s="14">
        <f>AC103</f>
        <v>7.83333333333333</v>
      </c>
      <c r="AC138" s="15">
        <f>AE103</f>
        <v>7.83333333333333</v>
      </c>
      <c r="AD138" s="15">
        <f>AG103</f>
        <v>13.2</v>
      </c>
      <c r="AE138" s="15">
        <f>AI103</f>
        <v>12.5</v>
      </c>
      <c r="AF138" s="15">
        <f>AK103</f>
        <v>18.174</v>
      </c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144</v>
      </c>
      <c r="AB139" s="14">
        <f>SUM(AC118:AC119)</f>
        <v>-25.2</v>
      </c>
      <c r="AC139" s="15">
        <f>SUM(AE118:AE119)</f>
        <v>-25.2</v>
      </c>
      <c r="AD139" s="15">
        <f>SUM(AG118:AG119)</f>
        <v>-7.8</v>
      </c>
      <c r="AE139" s="15">
        <f>SUM(AI118:AI119)</f>
        <v>-12.6</v>
      </c>
      <c r="AF139" s="15">
        <f>SUM(AK118:AK119)</f>
        <v>1.035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145</v>
      </c>
      <c r="AB140" s="14">
        <f>SUM(AC132:AC133)</f>
        <v>-31.7666666666667</v>
      </c>
      <c r="AC140" s="15">
        <f>SUM(AE132:AE133)</f>
        <v>-31.7666666666667</v>
      </c>
      <c r="AD140" s="15">
        <f>SUM(AG132:AG133)</f>
        <v>0</v>
      </c>
      <c r="AE140" s="15">
        <f>SUM(AI132:AI133)</f>
        <v>0</v>
      </c>
      <c r="AF140" s="15">
        <f>SUM(AK132:AK133)</f>
        <v>0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146</v>
      </c>
      <c r="AB141" s="14">
        <f>(AC125-AC126)</f>
        <v>0</v>
      </c>
      <c r="AC141" s="15">
        <f>(AE125-AE126)</f>
        <v>16</v>
      </c>
      <c r="AD141" s="15">
        <f>(AG125-AG126)</f>
        <v>6.7</v>
      </c>
      <c r="AE141" s="15">
        <f>(AI125-AI126)</f>
        <v>-7</v>
      </c>
      <c r="AF141" s="15">
        <f>(AK125-AK126)</f>
        <v>-8.394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s="36"/>
      <c r="AB142" s="34"/>
      <c r="AC142" s="17"/>
      <c r="AD142" s="17"/>
      <c r="AE142" s="17"/>
      <c r="AF142" s="15">
        <f>AR136</f>
        <v>126.249712486523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7"/>
      <c r="AG143" s="15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80" customWidth="1"/>
    <col min="2" max="28" width="10.4844" style="280" customWidth="1"/>
    <col min="29" max="29" width="18.9766" style="281" customWidth="1"/>
    <col min="30" max="48" width="9" style="281" customWidth="1"/>
    <col min="49" max="16384" width="16.3516" style="281" customWidth="1"/>
  </cols>
  <sheetData>
    <row r="1" ht="11.65" customHeight="1"/>
    <row r="2" ht="27.65" customHeight="1">
      <c r="B2" t="s" s="2">
        <v>638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290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/>
      <c r="D8" s="15"/>
      <c r="E8" s="15"/>
      <c r="F8" s="15"/>
      <c r="G8" s="15"/>
      <c r="H8" s="15"/>
      <c r="I8" s="15"/>
      <c r="J8" s="15"/>
      <c r="K8" s="15"/>
      <c r="L8" s="15"/>
      <c r="M8" s="15"/>
      <c r="N8" s="15">
        <f>SUM(C5:C8)/4</f>
        <v>0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68"/>
      <c r="AA8" s="22"/>
      <c r="AB8" s="20">
        <v>13.761</v>
      </c>
    </row>
    <row r="9" ht="20.05" customHeight="1">
      <c r="B9" s="13"/>
      <c r="C9" s="14">
        <v>767.96</v>
      </c>
      <c r="D9" s="15">
        <v>506</v>
      </c>
      <c r="E9" s="15">
        <v>-65.34</v>
      </c>
      <c r="F9" s="17"/>
      <c r="G9" s="15"/>
      <c r="H9" s="15"/>
      <c r="I9" s="15">
        <v>1560.14</v>
      </c>
      <c r="J9" s="15">
        <v>826.2</v>
      </c>
      <c r="K9" s="15">
        <v>-552.3099999999999</v>
      </c>
      <c r="L9" s="15">
        <v>135</v>
      </c>
      <c r="M9" s="15">
        <v>141.25</v>
      </c>
      <c r="N9" s="15">
        <f>SUM(C6:C9)/4</f>
        <v>191.99</v>
      </c>
      <c r="O9" s="15"/>
      <c r="P9" s="16"/>
      <c r="Q9" s="16">
        <f>(E9+D9)/C9</f>
        <v>0.5738059273920521</v>
      </c>
      <c r="R9" s="16"/>
      <c r="S9" s="17"/>
      <c r="T9" s="15">
        <f>SUM(J6:K9)/4</f>
        <v>68.4725</v>
      </c>
      <c r="U9" s="25"/>
      <c r="V9" s="15">
        <f>-(L9+M9)+V8</f>
        <v>-276.25</v>
      </c>
      <c r="W9" s="17"/>
      <c r="X9" s="15">
        <f>F13-G9</f>
        <v>17</v>
      </c>
      <c r="Y9" s="24"/>
      <c r="Z9" s="69"/>
      <c r="AA9" s="22"/>
      <c r="AB9" s="20">
        <v>14</v>
      </c>
    </row>
    <row r="10" ht="20.05" customHeight="1">
      <c r="B10" s="13"/>
      <c r="C10" s="14">
        <v>868.46</v>
      </c>
      <c r="D10" s="15">
        <v>256.21</v>
      </c>
      <c r="E10" s="15">
        <v>-4.69</v>
      </c>
      <c r="F10" s="15"/>
      <c r="G10" s="15"/>
      <c r="H10" s="15"/>
      <c r="I10" s="15">
        <v>649.65</v>
      </c>
      <c r="J10" s="15">
        <v>62.29</v>
      </c>
      <c r="K10" s="15">
        <v>-928.59</v>
      </c>
      <c r="L10" s="15">
        <v>135</v>
      </c>
      <c r="M10" s="15">
        <v>141.25</v>
      </c>
      <c r="N10" s="15">
        <f>SUM(C7:C10)/4</f>
        <v>409.105</v>
      </c>
      <c r="O10" s="15"/>
      <c r="P10" s="16">
        <f>C10/C9-1</f>
        <v>0.130866190947445</v>
      </c>
      <c r="Q10" s="16">
        <f>(E10+D10)/C10</f>
        <v>0.289616102065726</v>
      </c>
      <c r="R10" s="16"/>
      <c r="S10" s="17"/>
      <c r="T10" s="15">
        <f>SUM(J7:K10)/4</f>
        <v>-148.1025</v>
      </c>
      <c r="U10" s="25"/>
      <c r="V10" s="15">
        <f>-(L10+M10)+V9</f>
        <v>-552.5</v>
      </c>
      <c r="W10" s="17"/>
      <c r="X10" s="15">
        <f>F10-G10</f>
        <v>0</v>
      </c>
      <c r="Y10" s="24"/>
      <c r="Z10" s="69"/>
      <c r="AA10" s="22"/>
      <c r="AB10" s="20">
        <v>14.902</v>
      </c>
    </row>
    <row r="11" ht="20.05" customHeight="1">
      <c r="B11" s="13"/>
      <c r="C11" s="14">
        <v>822.8200000000001</v>
      </c>
      <c r="D11" s="15">
        <v>127.79</v>
      </c>
      <c r="E11" s="15">
        <v>0.9</v>
      </c>
      <c r="F11" s="15"/>
      <c r="G11" s="15"/>
      <c r="H11" s="15"/>
      <c r="I11" s="15">
        <v>988.49</v>
      </c>
      <c r="J11" s="15">
        <v>28.13</v>
      </c>
      <c r="K11" s="15">
        <v>-510.9</v>
      </c>
      <c r="L11" s="15">
        <v>135</v>
      </c>
      <c r="M11" s="15">
        <v>141.25</v>
      </c>
      <c r="N11" s="15">
        <f>SUM(C8:C11)/4</f>
        <v>614.8099999999999</v>
      </c>
      <c r="O11" s="15"/>
      <c r="P11" s="16">
        <f>C11/C10-1</f>
        <v>-0.0525527946019391</v>
      </c>
      <c r="Q11" s="16">
        <f>(E11+D11)/C11</f>
        <v>0.15640115699667</v>
      </c>
      <c r="R11" s="16"/>
      <c r="S11" s="17"/>
      <c r="T11" s="15">
        <f>SUM(J8:K11)/4</f>
        <v>-268.795</v>
      </c>
      <c r="U11" s="25"/>
      <c r="V11" s="15">
        <f>-(L11+M11)+V10</f>
        <v>-828.75</v>
      </c>
      <c r="W11" s="17"/>
      <c r="X11" s="15">
        <f>F11-G11</f>
        <v>0</v>
      </c>
      <c r="Y11" s="24"/>
      <c r="Z11" s="69"/>
      <c r="AA11" s="22"/>
      <c r="AB11" s="20">
        <v>14.38</v>
      </c>
    </row>
    <row r="12" ht="20.05" customHeight="1">
      <c r="B12" s="21">
        <v>2019</v>
      </c>
      <c r="C12" s="14">
        <v>764.6900000000001</v>
      </c>
      <c r="D12" s="15">
        <v>276</v>
      </c>
      <c r="E12" s="15">
        <v>-4.025</v>
      </c>
      <c r="F12" s="15"/>
      <c r="G12" s="15"/>
      <c r="H12" s="15"/>
      <c r="I12" s="15">
        <v>757.92</v>
      </c>
      <c r="J12" s="15">
        <v>186.94</v>
      </c>
      <c r="K12" s="15">
        <v>-304.15</v>
      </c>
      <c r="L12" s="15">
        <v>-398.5</v>
      </c>
      <c r="M12" s="15">
        <v>481.25</v>
      </c>
      <c r="N12" s="15">
        <f>SUM(C9:C12)/4</f>
        <v>805.9825</v>
      </c>
      <c r="O12" s="23"/>
      <c r="P12" s="16">
        <f>C12/C11-1</f>
        <v>-0.0706472861622226</v>
      </c>
      <c r="Q12" s="16">
        <f>(E12+D12)/C12</f>
        <v>0.355667002314663</v>
      </c>
      <c r="R12" s="16">
        <f>AVERAGE(Q9:Q12)</f>
        <v>0.343872547192278</v>
      </c>
      <c r="S12" s="17"/>
      <c r="T12" s="15">
        <f>SUM(J9:K12)/4</f>
        <v>-298.0975</v>
      </c>
      <c r="U12" s="25"/>
      <c r="V12" s="15">
        <f>-(L12+M12)+V11</f>
        <v>-911.5</v>
      </c>
      <c r="W12" s="17"/>
      <c r="X12" s="15">
        <f>F12-G12</f>
        <v>0</v>
      </c>
      <c r="Y12" s="24"/>
      <c r="Z12" s="15"/>
      <c r="AA12" s="22"/>
      <c r="AB12" s="20">
        <v>14.24</v>
      </c>
    </row>
    <row r="13" ht="20.05" customHeight="1">
      <c r="B13" s="13"/>
      <c r="C13" s="14">
        <v>784.98</v>
      </c>
      <c r="D13" s="15">
        <v>246</v>
      </c>
      <c r="E13" s="15">
        <v>26.925</v>
      </c>
      <c r="F13" s="15">
        <v>17</v>
      </c>
      <c r="G13" s="15">
        <v>5084</v>
      </c>
      <c r="H13" s="15">
        <v>9220</v>
      </c>
      <c r="I13" s="15">
        <v>802.22</v>
      </c>
      <c r="J13" s="15">
        <v>644.96</v>
      </c>
      <c r="K13" s="15">
        <v>-248.15</v>
      </c>
      <c r="L13" s="15">
        <v>-48.5</v>
      </c>
      <c r="M13" s="15">
        <v>461.5</v>
      </c>
      <c r="N13" s="15">
        <f>SUM(C10:C13)/4</f>
        <v>810.2375</v>
      </c>
      <c r="O13" s="23"/>
      <c r="P13" s="16">
        <f>C13/C12-1</f>
        <v>0.0265336280061201</v>
      </c>
      <c r="Q13" s="16">
        <f>(E13+D13)/C13</f>
        <v>0.347684017427196</v>
      </c>
      <c r="R13" s="16">
        <f>AVERAGE(Q10:Q13)</f>
        <v>0.287342069701064</v>
      </c>
      <c r="S13" s="17"/>
      <c r="T13" s="15">
        <f>SUM(J10:K13)/4</f>
        <v>-267.3675</v>
      </c>
      <c r="U13" s="25"/>
      <c r="V13" s="15">
        <f>-(L13+M13)+V12</f>
        <v>-1324.5</v>
      </c>
      <c r="W13" s="17"/>
      <c r="X13" s="15">
        <f>F13-G13</f>
        <v>-5067</v>
      </c>
      <c r="Y13" s="24"/>
      <c r="Z13" s="15"/>
      <c r="AA13" s="24"/>
      <c r="AB13" s="15">
        <v>14.127</v>
      </c>
    </row>
    <row r="14" ht="20.05" customHeight="1">
      <c r="B14" s="13"/>
      <c r="C14" s="14">
        <v>977.77</v>
      </c>
      <c r="D14" s="15">
        <v>245</v>
      </c>
      <c r="E14" s="15">
        <v>133.8</v>
      </c>
      <c r="F14" s="15">
        <v>330</v>
      </c>
      <c r="G14" s="15">
        <v>4634</v>
      </c>
      <c r="H14" s="15">
        <v>10169</v>
      </c>
      <c r="I14" s="15">
        <v>959.03</v>
      </c>
      <c r="J14" s="15">
        <v>95.59999999999999</v>
      </c>
      <c r="K14" s="15">
        <v>-260.59</v>
      </c>
      <c r="L14" s="15">
        <v>-398.5</v>
      </c>
      <c r="M14" s="15">
        <v>481.25</v>
      </c>
      <c r="N14" s="15">
        <f>SUM(C11:C14)/4</f>
        <v>837.5650000000001</v>
      </c>
      <c r="O14" s="23"/>
      <c r="P14" s="16">
        <f>C14/C13-1</f>
        <v>0.245598613977426</v>
      </c>
      <c r="Q14" s="16">
        <f>(E14+D14)/C14</f>
        <v>0.387412172596827</v>
      </c>
      <c r="R14" s="16">
        <f>AVERAGE(Q11:Q14)</f>
        <v>0.311791087333839</v>
      </c>
      <c r="S14" s="17"/>
      <c r="T14" s="15">
        <f>SUM(J11:K14)/4</f>
        <v>-92.04000000000001</v>
      </c>
      <c r="U14" s="25"/>
      <c r="V14" s="15">
        <f>-(L14+M14)+V13</f>
        <v>-1407.25</v>
      </c>
      <c r="W14" s="17"/>
      <c r="X14" s="15">
        <f>F14-G14</f>
        <v>-4304</v>
      </c>
      <c r="Y14" s="24"/>
      <c r="Z14" s="15">
        <v>525</v>
      </c>
      <c r="AA14" s="24"/>
      <c r="AB14" s="15">
        <v>14.195</v>
      </c>
    </row>
    <row r="15" ht="20.05" customHeight="1">
      <c r="B15" s="13"/>
      <c r="C15" s="14">
        <v>997.46</v>
      </c>
      <c r="D15" s="15">
        <v>277</v>
      </c>
      <c r="E15" s="15">
        <v>169.48</v>
      </c>
      <c r="F15" s="15">
        <v>84</v>
      </c>
      <c r="G15" s="15">
        <v>4551</v>
      </c>
      <c r="H15" s="15">
        <v>10222</v>
      </c>
      <c r="I15" s="15">
        <v>904.33</v>
      </c>
      <c r="J15" s="15">
        <v>-184.63</v>
      </c>
      <c r="K15" s="15">
        <v>-584.78</v>
      </c>
      <c r="L15" s="15">
        <v>-398.5</v>
      </c>
      <c r="M15" s="15">
        <v>481.25</v>
      </c>
      <c r="N15" s="15">
        <f>SUM(C12:C15)/4</f>
        <v>881.225</v>
      </c>
      <c r="O15" s="15"/>
      <c r="P15" s="16">
        <f>C15/C14-1</f>
        <v>0.0201376601859333</v>
      </c>
      <c r="Q15" s="16">
        <f>(E15+D15)/C15</f>
        <v>0.447616947045496</v>
      </c>
      <c r="R15" s="16">
        <f>AVERAGE(Q12:Q15)</f>
        <v>0.384595034846046</v>
      </c>
      <c r="S15" s="17"/>
      <c r="T15" s="15">
        <f>SUM(J12:K15)/4</f>
        <v>-163.7</v>
      </c>
      <c r="U15" s="25"/>
      <c r="V15" s="15">
        <f>-(L15+M15)+V14</f>
        <v>-1490</v>
      </c>
      <c r="W15" s="17"/>
      <c r="X15" s="15">
        <f>F15-G15</f>
        <v>-4467</v>
      </c>
      <c r="Y15" s="24"/>
      <c r="Z15" s="15">
        <v>505</v>
      </c>
      <c r="AA15" s="24"/>
      <c r="AB15" s="15">
        <v>13.882</v>
      </c>
    </row>
    <row r="16" ht="20.05" customHeight="1">
      <c r="B16" s="21">
        <v>2020</v>
      </c>
      <c r="C16" s="14">
        <v>842.65</v>
      </c>
      <c r="D16" s="15">
        <v>237</v>
      </c>
      <c r="E16" s="15">
        <v>40.811</v>
      </c>
      <c r="F16" s="15">
        <v>68</v>
      </c>
      <c r="G16" s="15">
        <v>4347</v>
      </c>
      <c r="H16" s="15">
        <v>10215</v>
      </c>
      <c r="I16" s="15">
        <v>795.52</v>
      </c>
      <c r="J16" s="15">
        <v>144.13</v>
      </c>
      <c r="K16" s="15">
        <v>-160.07</v>
      </c>
      <c r="L16" s="15">
        <v>-48.5</v>
      </c>
      <c r="M16" s="15">
        <v>461.5</v>
      </c>
      <c r="N16" s="15">
        <f>SUM(C13:C16)/4</f>
        <v>900.715</v>
      </c>
      <c r="O16" s="17"/>
      <c r="P16" s="16">
        <f>C16/C15-1</f>
        <v>-0.155204218715537</v>
      </c>
      <c r="Q16" s="16">
        <f>(E16+D16)/C16</f>
        <v>0.32968729603038</v>
      </c>
      <c r="R16" s="16">
        <f>AVERAGE(Q13:Q16)</f>
        <v>0.378100108274975</v>
      </c>
      <c r="S16" s="17"/>
      <c r="T16" s="15">
        <f>SUM(J13:K16)/4</f>
        <v>-138.3825</v>
      </c>
      <c r="U16" s="25"/>
      <c r="V16" s="15">
        <f>-(L16+M16)+V15</f>
        <v>-1903</v>
      </c>
      <c r="W16" s="17"/>
      <c r="X16" s="15">
        <f>F16-G16</f>
        <v>-4279</v>
      </c>
      <c r="Y16" s="24"/>
      <c r="Z16" s="15">
        <v>394</v>
      </c>
      <c r="AA16" s="24"/>
      <c r="AB16" s="15">
        <v>16.31</v>
      </c>
    </row>
    <row r="17" ht="20.05" customHeight="1">
      <c r="B17" s="13"/>
      <c r="C17" s="14">
        <v>890.9400000000001</v>
      </c>
      <c r="D17" s="15">
        <v>278</v>
      </c>
      <c r="E17" s="15">
        <v>84.979</v>
      </c>
      <c r="F17" s="15">
        <v>49</v>
      </c>
      <c r="G17" s="15">
        <v>3833</v>
      </c>
      <c r="H17" s="15">
        <v>10145</v>
      </c>
      <c r="I17" s="15">
        <v>865.3</v>
      </c>
      <c r="J17" s="15">
        <v>507.97</v>
      </c>
      <c r="K17" s="15">
        <v>-341.4</v>
      </c>
      <c r="L17" s="15">
        <v>-48.5</v>
      </c>
      <c r="M17" s="15">
        <v>461.5</v>
      </c>
      <c r="N17" s="15">
        <f>SUM(C14:C17)/4</f>
        <v>927.205</v>
      </c>
      <c r="O17" s="17"/>
      <c r="P17" s="16">
        <f>C17/C16-1</f>
        <v>0.0573073043375067</v>
      </c>
      <c r="Q17" s="16">
        <f>(E17+D17)/C17</f>
        <v>0.40741127348643</v>
      </c>
      <c r="R17" s="16">
        <f>AVERAGE(Q14:Q17)</f>
        <v>0.393031922289783</v>
      </c>
      <c r="S17" s="17"/>
      <c r="T17" s="25">
        <f>SUM(J14:K17)/4</f>
        <v>-195.9425</v>
      </c>
      <c r="U17" s="25"/>
      <c r="V17" s="15">
        <f>-(L17+M17)+V16</f>
        <v>-2316</v>
      </c>
      <c r="W17" s="17"/>
      <c r="X17" s="15">
        <f>F17-G17</f>
        <v>-3784</v>
      </c>
      <c r="Y17" s="24"/>
      <c r="Z17" s="25">
        <v>376</v>
      </c>
      <c r="AA17" s="24"/>
      <c r="AB17" s="15">
        <v>14.255</v>
      </c>
    </row>
    <row r="18" ht="20.05" customHeight="1">
      <c r="B18" s="13"/>
      <c r="C18" s="14">
        <v>952.61</v>
      </c>
      <c r="D18" s="15">
        <v>245</v>
      </c>
      <c r="E18" s="15">
        <v>110.31</v>
      </c>
      <c r="F18" s="15">
        <v>57</v>
      </c>
      <c r="G18" s="15">
        <v>3401</v>
      </c>
      <c r="H18" s="15">
        <v>10118</v>
      </c>
      <c r="I18" s="15">
        <v>1014.85</v>
      </c>
      <c r="J18" s="15">
        <v>134.8</v>
      </c>
      <c r="K18" s="15">
        <v>-233.82</v>
      </c>
      <c r="L18" s="15">
        <v>-48.5</v>
      </c>
      <c r="M18" s="15">
        <v>461.5</v>
      </c>
      <c r="N18" s="15">
        <f>SUM(C15:C18)/4</f>
        <v>920.915</v>
      </c>
      <c r="O18" s="17"/>
      <c r="P18" s="16">
        <f>C18/C17-1</f>
        <v>0.06921902709497831</v>
      </c>
      <c r="Q18" s="16">
        <f>(E18+D18)/C18</f>
        <v>0.372985796915842</v>
      </c>
      <c r="R18" s="16">
        <f>AVERAGE(Q15:Q18)</f>
        <v>0.389425328369537</v>
      </c>
      <c r="S18" s="17"/>
      <c r="T18" s="25">
        <f>SUM(J15:K18)/4</f>
        <v>-179.45</v>
      </c>
      <c r="U18" s="25"/>
      <c r="V18" s="15">
        <f>-(L18+M18)+V17</f>
        <v>-2729</v>
      </c>
      <c r="W18" s="17"/>
      <c r="X18" s="15">
        <f>F18-G18</f>
        <v>-3344</v>
      </c>
      <c r="Y18" s="24"/>
      <c r="Z18" s="25">
        <v>284</v>
      </c>
      <c r="AA18" s="24"/>
      <c r="AB18" s="15">
        <v>14.79</v>
      </c>
    </row>
    <row r="19" ht="20.05" customHeight="1">
      <c r="B19" s="13"/>
      <c r="C19" s="14">
        <v>999.1</v>
      </c>
      <c r="D19" s="15">
        <v>210</v>
      </c>
      <c r="E19" s="15">
        <v>4.3</v>
      </c>
      <c r="F19" s="15">
        <v>81</v>
      </c>
      <c r="G19" s="15">
        <v>3761</v>
      </c>
      <c r="H19" s="15">
        <v>11065</v>
      </c>
      <c r="I19" s="15">
        <v>987.63</v>
      </c>
      <c r="J19" s="15">
        <v>219.7</v>
      </c>
      <c r="K19" s="15">
        <v>-1572.21</v>
      </c>
      <c r="L19" s="15">
        <v>-48.5</v>
      </c>
      <c r="M19" s="15">
        <v>461.5</v>
      </c>
      <c r="N19" s="15">
        <f>SUM(C16:C19)/4</f>
        <v>921.325</v>
      </c>
      <c r="O19" s="17"/>
      <c r="P19" s="16">
        <f>C19/C18-1</f>
        <v>0.048802762935514</v>
      </c>
      <c r="Q19" s="16">
        <f>(E19+D19)/C19</f>
        <v>0.214493043739365</v>
      </c>
      <c r="R19" s="16">
        <f>AVERAGE(Q16:Q19)</f>
        <v>0.331144352543004</v>
      </c>
      <c r="S19" s="17"/>
      <c r="T19" s="25">
        <f>SUM(J16:K19)/4</f>
        <v>-325.225</v>
      </c>
      <c r="U19" s="25"/>
      <c r="V19" s="15">
        <f>-(L19+M19)+V18</f>
        <v>-3142</v>
      </c>
      <c r="W19" s="17"/>
      <c r="X19" s="15">
        <f>F19-G19</f>
        <v>-3680</v>
      </c>
      <c r="Y19" s="24"/>
      <c r="Z19" s="25">
        <v>296</v>
      </c>
      <c r="AA19" s="24"/>
      <c r="AB19" s="15">
        <v>14.1</v>
      </c>
    </row>
    <row r="20" ht="20.05" customHeight="1">
      <c r="B20" s="21">
        <v>2021</v>
      </c>
      <c r="C20" s="14">
        <v>1002.6</v>
      </c>
      <c r="D20" s="15">
        <v>238.8</v>
      </c>
      <c r="E20" s="15">
        <v>101.3</v>
      </c>
      <c r="F20" s="15">
        <v>81</v>
      </c>
      <c r="G20" s="15">
        <v>3804</v>
      </c>
      <c r="H20" s="15">
        <v>11186</v>
      </c>
      <c r="I20" s="15">
        <v>975.1</v>
      </c>
      <c r="J20" s="15">
        <v>273</v>
      </c>
      <c r="K20" s="15">
        <v>-272.9</v>
      </c>
      <c r="L20" s="15">
        <v>-330.271</v>
      </c>
      <c r="M20" s="15">
        <v>330.299</v>
      </c>
      <c r="N20" s="15">
        <f>SUM(C17:C20)/4</f>
        <v>961.3125</v>
      </c>
      <c r="O20" s="15">
        <v>1004.0033095</v>
      </c>
      <c r="P20" s="16">
        <f>C20/C19-1</f>
        <v>0.0035031528375538</v>
      </c>
      <c r="Q20" s="16">
        <f>(E20+D20)/C20</f>
        <v>0.339218033113904</v>
      </c>
      <c r="R20" s="16">
        <f>AVERAGE(Q17:Q20)</f>
        <v>0.333527036813885</v>
      </c>
      <c r="S20" s="17"/>
      <c r="T20" s="25">
        <f>SUM(J17:K20)/4</f>
        <v>-321.215</v>
      </c>
      <c r="U20" s="25"/>
      <c r="V20" s="15">
        <f>-(L20+M20)+V19</f>
        <v>-3142.028</v>
      </c>
      <c r="W20" s="17"/>
      <c r="X20" s="15">
        <f>F20-G20</f>
        <v>-3723</v>
      </c>
      <c r="Y20" s="15"/>
      <c r="Z20" s="15">
        <v>246</v>
      </c>
      <c r="AA20" s="17"/>
      <c r="AB20" s="15">
        <v>14.606</v>
      </c>
    </row>
    <row r="21" ht="20.05" customHeight="1">
      <c r="B21" s="13"/>
      <c r="C21" s="14">
        <v>1049.6</v>
      </c>
      <c r="D21" s="15">
        <v>267.6</v>
      </c>
      <c r="E21" s="15">
        <v>63</v>
      </c>
      <c r="F21" s="15">
        <v>32</v>
      </c>
      <c r="G21" s="15">
        <v>3626</v>
      </c>
      <c r="H21" s="15">
        <v>11272</v>
      </c>
      <c r="I21" s="15">
        <v>1032.8</v>
      </c>
      <c r="J21" s="15">
        <v>430.5</v>
      </c>
      <c r="K21" s="15">
        <v>-206.2</v>
      </c>
      <c r="L21" s="15">
        <v>-114.729</v>
      </c>
      <c r="M21" s="15">
        <v>-157.347</v>
      </c>
      <c r="N21" s="15">
        <f>SUM(C18:C21)/4</f>
        <v>1000.9775</v>
      </c>
      <c r="O21" s="15">
        <v>1013.561539666670</v>
      </c>
      <c r="P21" s="16">
        <f>C21/C20-1</f>
        <v>0.0468781168960702</v>
      </c>
      <c r="Q21" s="16">
        <f>(E21+D21)/C21</f>
        <v>0.314977134146341</v>
      </c>
      <c r="R21" s="16">
        <f>AVERAGE(Q18:Q21)</f>
        <v>0.310418501978863</v>
      </c>
      <c r="S21" s="17"/>
      <c r="T21" s="25">
        <f>SUM(J18:K21)/4</f>
        <v>-306.7825</v>
      </c>
      <c r="U21" s="25"/>
      <c r="V21" s="15">
        <f>-(L21+M21)+V20</f>
        <v>-2869.952</v>
      </c>
      <c r="W21" s="17"/>
      <c r="X21" s="15">
        <f>F21-G21</f>
        <v>-3594</v>
      </c>
      <c r="Y21" s="15"/>
      <c r="Z21" s="15">
        <v>262</v>
      </c>
      <c r="AA21" s="17"/>
      <c r="AB21" s="15">
        <v>14.45</v>
      </c>
    </row>
    <row r="22" ht="20.05" customHeight="1">
      <c r="B22" s="13"/>
      <c r="C22" s="14">
        <v>874.3</v>
      </c>
      <c r="D22" s="15">
        <v>162.1</v>
      </c>
      <c r="E22" s="15">
        <v>92.59999999999999</v>
      </c>
      <c r="F22" s="15">
        <v>101</v>
      </c>
      <c r="G22" s="15">
        <v>3658</v>
      </c>
      <c r="H22" s="15">
        <v>11674</v>
      </c>
      <c r="I22" s="15">
        <v>913.4</v>
      </c>
      <c r="J22" s="15">
        <v>339.3</v>
      </c>
      <c r="K22" s="15">
        <v>-483.5</v>
      </c>
      <c r="L22" s="15">
        <v>-80</v>
      </c>
      <c r="M22" s="15">
        <v>276.911</v>
      </c>
      <c r="N22" s="15">
        <f>SUM(C19:C22)/4</f>
        <v>981.4</v>
      </c>
      <c r="O22" s="15">
        <v>1040.93915475</v>
      </c>
      <c r="P22" s="16">
        <f>C22/C21-1</f>
        <v>-0.167016006097561</v>
      </c>
      <c r="Q22" s="16">
        <f>(E22+D22)/C22</f>
        <v>0.291318769301155</v>
      </c>
      <c r="R22" s="16">
        <f>AVERAGE(Q19:Q22)</f>
        <v>0.290001745075191</v>
      </c>
      <c r="S22" s="17"/>
      <c r="T22" s="25">
        <f>SUM(J19:K22)/4</f>
        <v>-318.0775</v>
      </c>
      <c r="U22" s="25"/>
      <c r="V22" s="15">
        <f>-(L22+M22)+V21</f>
        <v>-3066.863</v>
      </c>
      <c r="W22" s="17"/>
      <c r="X22" s="15">
        <f>F22-G22</f>
        <v>-3557</v>
      </c>
      <c r="Y22" s="15"/>
      <c r="Z22" s="15">
        <v>238</v>
      </c>
      <c r="AA22" s="17"/>
      <c r="AB22" s="15">
        <v>14.328</v>
      </c>
    </row>
    <row r="23" ht="20.05" customHeight="1">
      <c r="B23" s="13"/>
      <c r="C23" s="14">
        <v>815.2</v>
      </c>
      <c r="D23" s="15">
        <v>212.7</v>
      </c>
      <c r="E23" s="15">
        <v>-64.40000000000001</v>
      </c>
      <c r="F23" s="15">
        <v>28</v>
      </c>
      <c r="G23" s="15">
        <v>4177</v>
      </c>
      <c r="H23" s="15">
        <v>12316</v>
      </c>
      <c r="I23" s="15">
        <v>746.1</v>
      </c>
      <c r="J23" s="15">
        <v>-252.6</v>
      </c>
      <c r="K23" s="15">
        <v>-155.1</v>
      </c>
      <c r="L23" s="15">
        <v>321</v>
      </c>
      <c r="M23" s="15">
        <v>6.637</v>
      </c>
      <c r="N23" s="15">
        <f>SUM(C20:C23)/4</f>
        <v>935.425</v>
      </c>
      <c r="O23" s="15">
        <v>1030.91997975</v>
      </c>
      <c r="P23" s="16">
        <f>C23/C22-1</f>
        <v>-0.06759693469060959</v>
      </c>
      <c r="Q23" s="16">
        <f>(E23+D23)/C23</f>
        <v>0.181918547595682</v>
      </c>
      <c r="R23" s="16">
        <f>AVERAGE(Q20:Q23)</f>
        <v>0.281858121039271</v>
      </c>
      <c r="S23" s="17"/>
      <c r="T23" s="25">
        <f>SUM(J20:K23)/4</f>
        <v>-81.875</v>
      </c>
      <c r="U23" s="25"/>
      <c r="V23" s="15">
        <f>-(L23+M23)+V22</f>
        <v>-3394.5</v>
      </c>
      <c r="W23" s="17"/>
      <c r="X23" s="15">
        <f>F23-G23</f>
        <v>-4149</v>
      </c>
      <c r="Y23" s="15"/>
      <c r="Z23" s="15">
        <v>168</v>
      </c>
      <c r="AA23" s="15">
        <v>200.626111692517</v>
      </c>
      <c r="AB23" s="15">
        <v>14.275</v>
      </c>
    </row>
    <row r="24" ht="20.05" customHeight="1">
      <c r="B24" s="21">
        <v>2022</v>
      </c>
      <c r="C24" s="14">
        <v>689</v>
      </c>
      <c r="D24" s="15">
        <v>193</v>
      </c>
      <c r="E24" s="15">
        <v>17.3</v>
      </c>
      <c r="F24" s="15">
        <v>55</v>
      </c>
      <c r="G24" s="15">
        <v>3379</v>
      </c>
      <c r="H24" s="15">
        <v>11349</v>
      </c>
      <c r="I24" s="15">
        <v>734.4</v>
      </c>
      <c r="J24" s="15">
        <v>229.3</v>
      </c>
      <c r="K24" s="15">
        <v>-139.1</v>
      </c>
      <c r="L24" s="15">
        <v>-63.7</v>
      </c>
      <c r="M24" s="15">
        <v>0</v>
      </c>
      <c r="N24" s="15">
        <f>SUM(C21:C24)/4</f>
        <v>857.025</v>
      </c>
      <c r="O24" s="15">
        <v>1028.5455</v>
      </c>
      <c r="P24" s="16">
        <f>C24/C23-1</f>
        <v>-0.154808635917566</v>
      </c>
      <c r="Q24" s="16">
        <f>(E24+D24)/C24</f>
        <v>0.30522496371553</v>
      </c>
      <c r="R24" s="16">
        <f>AVERAGE(Q21:Q24)</f>
        <v>0.273359853689677</v>
      </c>
      <c r="S24" s="35"/>
      <c r="T24" s="25">
        <f>SUM(J21:K24)/4</f>
        <v>-59.35</v>
      </c>
      <c r="U24" s="15">
        <v>98.85715899874501</v>
      </c>
      <c r="V24" s="15">
        <f>-(L24+M24)+V23</f>
        <v>-3330.8</v>
      </c>
      <c r="W24" s="15"/>
      <c r="X24" s="15">
        <f>F24-G24</f>
        <v>-3324</v>
      </c>
      <c r="Y24" s="15"/>
      <c r="Z24" s="15">
        <v>133</v>
      </c>
      <c r="AA24" s="15">
        <v>200.626111692517</v>
      </c>
      <c r="AB24" s="15">
        <v>14.327</v>
      </c>
    </row>
    <row r="25" ht="20.05" customHeight="1">
      <c r="B25" s="13"/>
      <c r="C25" s="14">
        <v>772</v>
      </c>
      <c r="D25" s="15">
        <v>205</v>
      </c>
      <c r="E25" s="15">
        <v>95.09999999999999</v>
      </c>
      <c r="F25" s="15">
        <v>14</v>
      </c>
      <c r="G25" s="15">
        <v>3372</v>
      </c>
      <c r="H25" s="15">
        <v>11437</v>
      </c>
      <c r="I25" s="15">
        <v>681.1</v>
      </c>
      <c r="J25" s="15">
        <v>175.1</v>
      </c>
      <c r="K25" s="15">
        <v>-31.6</v>
      </c>
      <c r="L25" s="15">
        <v>-183.7</v>
      </c>
      <c r="M25" s="15">
        <v>0</v>
      </c>
      <c r="N25" s="15">
        <f>SUM(C22:C25)/4</f>
        <v>787.625</v>
      </c>
      <c r="O25" s="15">
        <v>963.296</v>
      </c>
      <c r="P25" s="16">
        <f>C25/C24-1</f>
        <v>0.120464441219158</v>
      </c>
      <c r="Q25" s="16">
        <f>(E25+D25)/C25</f>
        <v>0.388730569948187</v>
      </c>
      <c r="R25" s="16">
        <f>AVERAGE(Q22:Q25)</f>
        <v>0.291798212640139</v>
      </c>
      <c r="S25" s="35"/>
      <c r="T25" s="25">
        <f>SUM(J22:K25)/4</f>
        <v>-79.55</v>
      </c>
      <c r="U25" s="15">
        <v>8.278687968925</v>
      </c>
      <c r="V25" s="15">
        <f>-(L25+M25)+V24</f>
        <v>-3147.1</v>
      </c>
      <c r="W25" s="15"/>
      <c r="X25" s="15">
        <f>F25-G25</f>
        <v>-3358</v>
      </c>
      <c r="Y25" s="15">
        <v>-3336.018072130090</v>
      </c>
      <c r="Z25" s="15">
        <v>114</v>
      </c>
      <c r="AA25" s="15">
        <v>114.375633768631</v>
      </c>
      <c r="AB25" s="15">
        <v>14.66</v>
      </c>
    </row>
    <row r="26" ht="20.05" customHeight="1">
      <c r="B26" s="13"/>
      <c r="C26" s="14">
        <v>649.8</v>
      </c>
      <c r="D26" s="15">
        <v>144.2</v>
      </c>
      <c r="E26" s="15">
        <v>-83.40000000000001</v>
      </c>
      <c r="F26" s="15">
        <v>15</v>
      </c>
      <c r="G26" s="15">
        <v>3215</v>
      </c>
      <c r="H26" s="15">
        <v>11197</v>
      </c>
      <c r="I26" s="15">
        <v>906.7</v>
      </c>
      <c r="J26" s="15">
        <v>297.7</v>
      </c>
      <c r="K26" s="15">
        <v>-182.4</v>
      </c>
      <c r="L26" s="15">
        <v>-114</v>
      </c>
      <c r="M26" s="15">
        <v>0</v>
      </c>
      <c r="N26" s="15">
        <f>SUM(C23:C26)/4</f>
        <v>731.5</v>
      </c>
      <c r="O26" s="15">
        <v>889.038</v>
      </c>
      <c r="P26" s="16">
        <f>C26/C25-1</f>
        <v>-0.158290155440415</v>
      </c>
      <c r="Q26" s="16">
        <f>(E26+D26)/C26</f>
        <v>0.0935672514619883</v>
      </c>
      <c r="R26" s="16">
        <f>AVERAGE(Q23:Q26)</f>
        <v>0.242360333180347</v>
      </c>
      <c r="S26" s="35">
        <f>S27</f>
        <v>0.242360333180347</v>
      </c>
      <c r="T26" s="25">
        <f>SUM(J23:K26)/4</f>
        <v>-14.675</v>
      </c>
      <c r="U26" s="15">
        <v>222.297524467858</v>
      </c>
      <c r="V26" s="15">
        <f>-(L26+M26)+V25</f>
        <v>-3033.1</v>
      </c>
      <c r="W26" s="15">
        <f>W27</f>
        <v>-2791.097944843340</v>
      </c>
      <c r="X26" s="15">
        <f>F26-G26</f>
        <v>-3200</v>
      </c>
      <c r="Y26" s="15">
        <v>-2468.809902128570</v>
      </c>
      <c r="Z26" s="15">
        <v>85</v>
      </c>
      <c r="AA26" s="15">
        <v>126.431125545716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735.27095565</v>
      </c>
      <c r="P27" s="17"/>
      <c r="Q27" s="17"/>
      <c r="R27" s="17"/>
      <c r="S27" s="35">
        <f>AE53</f>
        <v>0.242360333180347</v>
      </c>
      <c r="T27" s="25"/>
      <c r="U27" s="15">
        <f>SUM(AE55:AH55)/4</f>
        <v>60.5005137891662</v>
      </c>
      <c r="V27" s="17"/>
      <c r="W27" s="15">
        <f>-SUM(AE76:AH76)+V26</f>
        <v>-2791.097944843340</v>
      </c>
      <c r="X27" s="26"/>
      <c r="Y27" s="15">
        <f>AH75</f>
        <v>-2959.004322859060</v>
      </c>
      <c r="Z27" s="15">
        <v>60</v>
      </c>
      <c r="AA27" s="15">
        <v>114.375633768631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SUM(N20:N26)</f>
        <v>6255.265</v>
      </c>
      <c r="O28" s="15">
        <f>SUM(O20:O26)</f>
        <v>6970.303483666670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63.0840947662831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290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-0.0650578212073582</v>
      </c>
      <c r="AF49" s="35"/>
      <c r="AG49" s="35"/>
      <c r="AH49" s="35">
        <f>AVERAGE(AE51:AH51)</f>
        <v>0.045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-0.06759693469060959</v>
      </c>
      <c r="AF50" s="35">
        <f>P24</f>
        <v>-0.154808635917566</v>
      </c>
      <c r="AG50" s="35">
        <f>P25</f>
        <v>0.120464441219158</v>
      </c>
      <c r="AH50" s="35">
        <f>P26</f>
        <v>-0.158290155440415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-0.03</v>
      </c>
      <c r="AG51" s="35">
        <v>0.1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649.8</v>
      </c>
      <c r="AE52" s="23">
        <f>C26*(1+AE51)</f>
        <v>714.78</v>
      </c>
      <c r="AF52" s="23">
        <f>AE52*(1+AF51)</f>
        <v>693.3366</v>
      </c>
      <c r="AG52" s="23">
        <f>AF52*(1+AG51)</f>
        <v>762.67026</v>
      </c>
      <c r="AH52" s="23">
        <f>AG52*(1+AH51)</f>
        <v>770.2969626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0.242360333180347</v>
      </c>
      <c r="AF53" s="35">
        <f>AE53</f>
        <v>0.242360333180347</v>
      </c>
      <c r="AG53" s="35">
        <f>AF53</f>
        <v>0.242360333180347</v>
      </c>
      <c r="AH53" s="35">
        <f>AG53</f>
        <v>0.242360333180347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-117.7</v>
      </c>
      <c r="AF54" s="15">
        <f>AE54</f>
        <v>-117.7</v>
      </c>
      <c r="AG54" s="15">
        <f>AF54</f>
        <v>-117.7</v>
      </c>
      <c r="AH54" s="15">
        <f>AG54</f>
        <v>-117.7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55.5343189506484</v>
      </c>
      <c r="AF55" s="15">
        <f>(AF52*AF53)+AF54</f>
        <v>50.337289382129</v>
      </c>
      <c r="AG55" s="15">
        <f>(AG52*AG53)+AG54</f>
        <v>67.1410183203419</v>
      </c>
      <c r="AH55" s="15">
        <f>(AH52*AH53)+AH54</f>
        <v>68.9894285035453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-160.75</v>
      </c>
      <c r="AF56" s="15">
        <f>-AE71/20</f>
        <v>-152.7125</v>
      </c>
      <c r="AG56" s="15">
        <f>-AF71/20</f>
        <v>-145.076875</v>
      </c>
      <c r="AH56" s="15">
        <f>-AG71/20</f>
        <v>-137.82303125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-0.1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-0.410768498700887</v>
      </c>
      <c r="AH58" s="15">
        <f>IF(AH66&gt;0,AH66*$AE$57,0)</f>
        <v>-0.595609517021229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-105.215681049352</v>
      </c>
      <c r="AF59" s="15">
        <f>AF55+AF56+AF58</f>
        <v>-102.375210617871</v>
      </c>
      <c r="AG59" s="15">
        <f>AG55+AG56+AG58</f>
        <v>-78.34662517835901</v>
      </c>
      <c r="AH59" s="15">
        <f>AH55+AH56+AH58</f>
        <v>-69.4292122634759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105.215681049352</v>
      </c>
      <c r="AF60" s="15">
        <f>-MIN(AE72,AF59)</f>
        <v>102.375210617871</v>
      </c>
      <c r="AG60" s="15">
        <f>-MIN(AF72,AG59)</f>
        <v>78.34662517835901</v>
      </c>
      <c r="AH60" s="15">
        <f>-MIN(AG72,AH59)</f>
        <v>69.4292122634759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15</v>
      </c>
      <c r="AF61" s="15">
        <f>AE63</f>
        <v>15.0000000000004</v>
      </c>
      <c r="AG61" s="15">
        <f>AF63</f>
        <v>15.0000000000004</v>
      </c>
      <c r="AH61" s="15">
        <f>AG63</f>
        <v>15.0000000000004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4e-13</v>
      </c>
      <c r="AF62" s="15">
        <f>AF55+AF56+AF58+AF60</f>
        <v>0</v>
      </c>
      <c r="AG62" s="15">
        <f>AG55+AG56+AG58+AG60</f>
        <v>1.3e-14</v>
      </c>
      <c r="AH62" s="15">
        <f>AH55+AH56+AH58+AH60</f>
        <v>-2.9e-14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15.0000000000004</v>
      </c>
      <c r="AF63" s="15">
        <f>AF61+AF62</f>
        <v>15.0000000000004</v>
      </c>
      <c r="AG63" s="15">
        <f>AG61+AG62</f>
        <v>15.0000000000004</v>
      </c>
      <c r="AH63" s="15">
        <f>AH61+AH62</f>
        <v>15.0000000000004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-180.733333333333</v>
      </c>
      <c r="AF65" s="15">
        <f>AE65</f>
        <v>-180.733333333333</v>
      </c>
      <c r="AG65" s="15">
        <f>AF65</f>
        <v>-180.733333333333</v>
      </c>
      <c r="AH65" s="15">
        <f>AG65</f>
        <v>-180.733333333333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-7.49901438268457</v>
      </c>
      <c r="AF66" s="15">
        <f>(AF52*AF53)+AF65</f>
        <v>-12.696043951204</v>
      </c>
      <c r="AG66" s="15">
        <f>(AG52*AG53)+AG65</f>
        <v>4.10768498700887</v>
      </c>
      <c r="AH66" s="15">
        <f>(AH52*AH53)+AH65</f>
        <v>5.95609517021229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11299.7</v>
      </c>
      <c r="AF68" s="15">
        <f>AE68-AF54</f>
        <v>11417.4</v>
      </c>
      <c r="AG68" s="15">
        <f>AF68-AG54</f>
        <v>11535.1</v>
      </c>
      <c r="AH68" s="15">
        <f>AG68-AH54</f>
        <v>11652.8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180.733333333333</v>
      </c>
      <c r="AF69" s="15">
        <f>AE69-AF65</f>
        <v>361.466666666666</v>
      </c>
      <c r="AG69" s="15">
        <f>AF69-AG65</f>
        <v>542.199999999999</v>
      </c>
      <c r="AH69" s="15">
        <f>AG69-AH65</f>
        <v>722.933333333332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11118.9666666667</v>
      </c>
      <c r="AF70" s="15">
        <f>AF68-AF69</f>
        <v>11055.9333333333</v>
      </c>
      <c r="AG70" s="15">
        <f>AG68-AG69</f>
        <v>10992.9</v>
      </c>
      <c r="AH70" s="15">
        <f>AH68-AH69</f>
        <v>10929.8666666667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3054.25</v>
      </c>
      <c r="AF71" s="15">
        <f>AE71+AF56</f>
        <v>2901.5375</v>
      </c>
      <c r="AG71" s="15">
        <f>AF71+AG56</f>
        <v>2756.460625</v>
      </c>
      <c r="AH71" s="15">
        <f>AG71+AH56</f>
        <v>2618.63759375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105.215681049352</v>
      </c>
      <c r="AF72" s="15">
        <f>AE72+AF60</f>
        <v>207.590891667223</v>
      </c>
      <c r="AG72" s="15">
        <f>AF72+AG60</f>
        <v>285.937516845582</v>
      </c>
      <c r="AH72" s="15">
        <f>AG72+AH60</f>
        <v>355.366729109058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7974.500985617320</v>
      </c>
      <c r="AF73" s="15">
        <f>AE73+AF66+AF58</f>
        <v>7961.804941666120</v>
      </c>
      <c r="AG73" s="15">
        <f>AF73+AG66+AG58</f>
        <v>7965.501858154430</v>
      </c>
      <c r="AH73" s="15">
        <f>AG73+AH66+AH58</f>
        <v>7970.862343807620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-2.84e-11</v>
      </c>
      <c r="AF74" s="15">
        <f>AF71+AF72+AF73-AF63-AF70</f>
        <v>4.26e-11</v>
      </c>
      <c r="AG74" s="15">
        <f>AG71+AG72+AG73-AG63-AG70</f>
        <v>1.16e-11</v>
      </c>
      <c r="AH74" s="15">
        <f>AH71+AH72+AH73-AH63-AH70</f>
        <v>-2.24e-11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-3144.465681049350</v>
      </c>
      <c r="AF75" s="15">
        <f>AF63-AF71-AF72</f>
        <v>-3094.128391667220</v>
      </c>
      <c r="AG75" s="15">
        <f>AG63-AG71-AG72</f>
        <v>-3027.398141845580</v>
      </c>
      <c r="AH75" s="15">
        <f>AH63-AH71-AH72</f>
        <v>-2959.004322859060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-55.534318950648</v>
      </c>
      <c r="AF76" s="15">
        <f>AF56+AF58+AF60</f>
        <v>-50.337289382129</v>
      </c>
      <c r="AG76" s="15">
        <f>AG56+AG58+AG60</f>
        <v>-67.1410183203419</v>
      </c>
      <c r="AH76" s="15">
        <f>AH56+AH58+AH60</f>
        <v>-68.9894285035453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639</v>
      </c>
      <c r="AD78" s="14"/>
      <c r="AE78" s="15"/>
      <c r="AF78" s="15"/>
      <c r="AG78" s="15"/>
      <c r="AH78" s="15">
        <v>60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639</v>
      </c>
      <c r="AD79" s="14"/>
      <c r="AE79" s="15"/>
      <c r="AF79" s="15"/>
      <c r="AG79" s="15"/>
      <c r="AH79" s="15">
        <v>2531879976960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2531.87997696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42.197999616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0.231330362814835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0.000397482512946946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242.002055156665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45.1643547390167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10.4622251051584</v>
      </c>
      <c r="AH86" s="15">
        <v>11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2662.022606723320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63.0840947662831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0.0514015794380517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-0.25677685005147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0.11430986275828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639</v>
      </c>
      <c r="AF94" t="s" s="44">
        <v>60</v>
      </c>
      <c r="AG94" s="15">
        <f>AH78</f>
        <v>60</v>
      </c>
      <c r="AH94" t="s" s="44">
        <v>61</v>
      </c>
      <c r="AI94" s="15">
        <f>AH88</f>
        <v>63.0840947662831</v>
      </c>
      <c r="AJ94" t="s" s="44">
        <f>IF(AK94&gt;0,"+","")</f>
        <v>361</v>
      </c>
      <c r="AK94" s="16">
        <f>AI94/AG94-1</f>
        <v>0.0514015794380517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-0.25677685005147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-0.0231843533398769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0.013335150286444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-1.26388297593877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-0.158290155440415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-0.167016006097561</v>
      </c>
      <c r="AF103" s="16">
        <f>P23</f>
        <v>-0.06759693469060959</v>
      </c>
      <c r="AG103" s="16">
        <f>P24</f>
        <v>-0.154808635917566</v>
      </c>
      <c r="AH103" s="16">
        <f>P25</f>
        <v>0.120464441219158</v>
      </c>
      <c r="AI103" s="16">
        <f>P26</f>
        <v>-0.158290155440415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874.3</v>
      </c>
      <c r="AF104" t="s" s="44">
        <v>72</v>
      </c>
      <c r="AG104" s="15">
        <f>C23</f>
        <v>815.2</v>
      </c>
      <c r="AH104" t="s" s="44">
        <v>72</v>
      </c>
      <c r="AI104" s="15">
        <f>C24</f>
        <v>689</v>
      </c>
      <c r="AJ104" t="s" s="44">
        <v>72</v>
      </c>
      <c r="AK104" s="15">
        <f>C25</f>
        <v>772</v>
      </c>
      <c r="AL104" t="s" s="44">
        <v>72</v>
      </c>
      <c r="AM104" s="15">
        <f>C26</f>
        <v>649.8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-0.158290155440415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649.8</v>
      </c>
      <c r="AM105" t="s" s="44">
        <v>372</v>
      </c>
      <c r="AN105" t="s" s="44">
        <v>373</v>
      </c>
      <c r="AO105" s="16">
        <f>AH91</f>
        <v>0.11430986275828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-0.0650578212073582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0.045</v>
      </c>
      <c r="AG107" t="s" s="44">
        <v>82</v>
      </c>
      <c r="AH107" t="s" s="44">
        <v>83</v>
      </c>
      <c r="AI107" s="23">
        <f>AH52</f>
        <v>770.2969626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0.291318769301155</v>
      </c>
      <c r="AF110" s="16">
        <f>(D23+E23)/C23</f>
        <v>0.181918547595682</v>
      </c>
      <c r="AG110" s="16">
        <f>((E24+D24)/C24)</f>
        <v>0.30522496371553</v>
      </c>
      <c r="AH110" s="16">
        <f>(D25+E25)/C25</f>
        <v>0.388730569948187</v>
      </c>
      <c r="AI110" s="16">
        <f>(D26+E26)/C26</f>
        <v>0.0935672514619883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92.59999999999999</v>
      </c>
      <c r="AF111" t="s" s="44">
        <v>72</v>
      </c>
      <c r="AG111" s="15">
        <f>E23</f>
        <v>-64.40000000000001</v>
      </c>
      <c r="AH111" t="s" s="44">
        <v>72</v>
      </c>
      <c r="AI111" s="15">
        <f>E24</f>
        <v>17.3</v>
      </c>
      <c r="AJ111" t="s" s="44">
        <v>72</v>
      </c>
      <c r="AK111" s="15">
        <f>E25</f>
        <v>95.09999999999999</v>
      </c>
      <c r="AL111" t="s" s="44">
        <v>72</v>
      </c>
      <c r="AM111" s="15">
        <f>E26</f>
        <v>-83.40000000000001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0.388730569948187</v>
      </c>
      <c r="AG112" t="s" s="44">
        <v>76</v>
      </c>
      <c r="AH112" s="16">
        <f>AI110</f>
        <v>0.0935672514619883</v>
      </c>
      <c r="AI112" t="s" s="44">
        <v>90</v>
      </c>
      <c r="AJ112" s="15">
        <f>AK111</f>
        <v>95.09999999999999</v>
      </c>
      <c r="AK112" t="s" s="44">
        <v>76</v>
      </c>
      <c r="AL112" s="15">
        <f>AM111</f>
        <v>-83.40000000000001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0.242360333180347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0.242360333180347</v>
      </c>
      <c r="AG114" t="s" s="44">
        <v>94</v>
      </c>
      <c r="AH114" s="15">
        <f>AH66</f>
        <v>5.95609517021229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339.3</v>
      </c>
      <c r="AF117" t="s" s="44">
        <v>72</v>
      </c>
      <c r="AG117" s="15">
        <f>J23</f>
        <v>-252.6</v>
      </c>
      <c r="AH117" t="s" s="44">
        <v>72</v>
      </c>
      <c r="AI117" s="15">
        <f>J24</f>
        <v>229.3</v>
      </c>
      <c r="AJ117" t="s" s="44">
        <v>72</v>
      </c>
      <c r="AK117" s="15">
        <f>J25</f>
        <v>175.1</v>
      </c>
      <c r="AL117" t="s" s="44">
        <v>72</v>
      </c>
      <c r="AM117" s="15">
        <f>J26</f>
        <v>297.7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-483.5</v>
      </c>
      <c r="AF118" t="s" s="44">
        <v>72</v>
      </c>
      <c r="AG118" s="15">
        <f>K23</f>
        <v>-155.1</v>
      </c>
      <c r="AH118" t="s" s="44">
        <v>72</v>
      </c>
      <c r="AI118" s="15">
        <f>K24</f>
        <v>-139.1</v>
      </c>
      <c r="AJ118" t="s" s="44">
        <v>72</v>
      </c>
      <c r="AK118" s="15">
        <f>K25</f>
        <v>-31.6</v>
      </c>
      <c r="AL118" t="s" s="44">
        <v>72</v>
      </c>
      <c r="AM118" s="15">
        <f>K26</f>
        <v>-182.4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143.5</v>
      </c>
      <c r="AG119" t="s" s="44">
        <v>76</v>
      </c>
      <c r="AH119" s="15">
        <f>AM117+AM118</f>
        <v>115.3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-182.4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-14.675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-117.7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60.5005137891662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101</v>
      </c>
      <c r="AF124" t="s" s="44">
        <v>72</v>
      </c>
      <c r="AG124" s="15">
        <f>F23</f>
        <v>28</v>
      </c>
      <c r="AH124" t="s" s="44">
        <v>72</v>
      </c>
      <c r="AI124" s="15">
        <f>F24</f>
        <v>55</v>
      </c>
      <c r="AJ124" t="s" s="44">
        <v>72</v>
      </c>
      <c r="AK124" s="15">
        <f>F25</f>
        <v>14</v>
      </c>
      <c r="AL124" t="s" s="44">
        <v>72</v>
      </c>
      <c r="AM124" s="15">
        <f>F26</f>
        <v>15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3658</v>
      </c>
      <c r="AF125" t="s" s="44">
        <v>72</v>
      </c>
      <c r="AG125" s="15">
        <f>G23</f>
        <v>4177</v>
      </c>
      <c r="AH125" t="s" s="44">
        <v>72</v>
      </c>
      <c r="AI125" s="15">
        <f>G24</f>
        <v>3379</v>
      </c>
      <c r="AJ125" t="s" s="44">
        <v>72</v>
      </c>
      <c r="AK125" s="15">
        <f>G25</f>
        <v>3372</v>
      </c>
      <c r="AL125" t="s" s="44">
        <v>72</v>
      </c>
      <c r="AM125" s="15">
        <f>G26</f>
        <v>3215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14</v>
      </c>
      <c r="AH126" t="s" s="44">
        <v>76</v>
      </c>
      <c r="AI126" s="15">
        <f>AM124</f>
        <v>15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3372</v>
      </c>
      <c r="AH127" t="s" s="44">
        <v>76</v>
      </c>
      <c r="AI127" s="15">
        <f>AM125</f>
        <v>3215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-3358</v>
      </c>
      <c r="AO127" t="s" s="44">
        <v>76</v>
      </c>
      <c r="AP127" s="15">
        <f>AI126-AI127</f>
        <v>-3200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-1.00637801572212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-240.995677140942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-2959.004322859060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80</v>
      </c>
      <c r="AF131" t="s" s="44">
        <v>72</v>
      </c>
      <c r="AG131" s="15">
        <f>-L23</f>
        <v>-321</v>
      </c>
      <c r="AH131" t="s" s="44">
        <v>72</v>
      </c>
      <c r="AI131" s="15">
        <f>-L24</f>
        <v>63.7</v>
      </c>
      <c r="AJ131" t="s" s="44">
        <v>72</v>
      </c>
      <c r="AK131" s="15">
        <f>-L25</f>
        <v>183.7</v>
      </c>
      <c r="AL131" t="s" s="44">
        <v>72</v>
      </c>
      <c r="AM131" s="15">
        <f>-L26</f>
        <v>114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-276.911</v>
      </c>
      <c r="AF132" t="s" s="44">
        <v>72</v>
      </c>
      <c r="AG132" s="15">
        <f>-M23</f>
        <v>-6.637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639</v>
      </c>
      <c r="AF133" t="s" s="44">
        <f>IF(AG133&gt;0,"paid","(raised)")</f>
        <v>374</v>
      </c>
      <c r="AG133" s="15">
        <f>SUM(AM131:AM132)</f>
        <v>114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114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242.002055156664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2531.87997696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0.231330362814835</v>
      </c>
      <c r="AK134" t="s" s="44">
        <v>130</v>
      </c>
      <c r="AL134" t="s" s="44">
        <v>131</v>
      </c>
      <c r="AM134" t="s" s="44">
        <v>132</v>
      </c>
      <c r="AN134" s="15">
        <f>AH85</f>
        <v>45.1643547390167</v>
      </c>
      <c r="AO134" t="s" s="44">
        <v>133</v>
      </c>
      <c r="AP134" s="16">
        <f>-AF128/AF134</f>
        <v>0.000397482512946947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242.002055156665</v>
      </c>
      <c r="AG135" t="s" s="44">
        <f>AG134</f>
        <v>372</v>
      </c>
      <c r="AH135" t="s" s="44">
        <v>136</v>
      </c>
      <c r="AI135" s="15">
        <f>AF134/AF135</f>
        <v>10.4622251051584</v>
      </c>
      <c r="AJ135" t="s" s="44">
        <v>130</v>
      </c>
      <c r="AK135" t="s" s="44">
        <v>137</v>
      </c>
      <c r="AL135" t="s" s="44">
        <v>138</v>
      </c>
      <c r="AM135" s="15">
        <f>AH86</f>
        <v>11</v>
      </c>
      <c r="AN135" t="s" s="44">
        <v>139</v>
      </c>
      <c r="AO135" t="s" s="44">
        <v>140</v>
      </c>
      <c r="AP135" t="s" s="44">
        <v>141</v>
      </c>
      <c r="AQ135" s="16">
        <f>AK94</f>
        <v>0.0514015794380517</v>
      </c>
      <c r="AR135" t="s" s="44">
        <f>IF(AQ135&gt;0,"higher","lower")</f>
        <v>363</v>
      </c>
      <c r="AS135" t="s" s="44">
        <v>142</v>
      </c>
      <c r="AT135" s="15">
        <f>AI94</f>
        <v>63.0840947662831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874.3</v>
      </c>
      <c r="AE137" s="15">
        <f>AG104</f>
        <v>815.2</v>
      </c>
      <c r="AF137" s="15">
        <f>AI104</f>
        <v>689</v>
      </c>
      <c r="AG137" s="15">
        <f>AK104</f>
        <v>772</v>
      </c>
      <c r="AH137" s="15">
        <f>AM104</f>
        <v>649.8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-144.2</v>
      </c>
      <c r="AE138" s="15">
        <f>SUM(AG117:AG118)</f>
        <v>-407.7</v>
      </c>
      <c r="AF138" s="15">
        <f>SUM(AI117:AI118)</f>
        <v>90.2</v>
      </c>
      <c r="AG138" s="15">
        <f>SUM(AK117:AK118)</f>
        <v>143.5</v>
      </c>
      <c r="AH138" s="15">
        <f>SUM(AM117:AM118)</f>
        <v>115.3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-196.911</v>
      </c>
      <c r="AE139" s="15">
        <f>SUM(AG131:AG132)</f>
        <v>-327.637</v>
      </c>
      <c r="AF139" s="15">
        <f>SUM(AI131:AI132)</f>
        <v>63.7</v>
      </c>
      <c r="AG139" s="15">
        <f>SUM(AK131:AK132)</f>
        <v>183.7</v>
      </c>
      <c r="AH139" s="15">
        <f>SUM(AM131:AM132)</f>
        <v>114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-3557</v>
      </c>
      <c r="AE140" s="15">
        <f>(AG124-AG125)</f>
        <v>-4149</v>
      </c>
      <c r="AF140" s="15">
        <f>(AI124-AI125)</f>
        <v>-3324</v>
      </c>
      <c r="AG140" s="15">
        <f>(AK124-AK125)</f>
        <v>-3358</v>
      </c>
      <c r="AH140" s="15">
        <f>(AM124-AM125)</f>
        <v>-3200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63.0840947662831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82" customWidth="1"/>
    <col min="2" max="26" width="10.4844" style="282" customWidth="1"/>
    <col min="27" max="27" width="18.9766" style="283" customWidth="1"/>
    <col min="28" max="46" width="9" style="283" customWidth="1"/>
    <col min="47" max="16384" width="16.3516" style="283" customWidth="1"/>
  </cols>
  <sheetData>
    <row r="1" ht="11.65" customHeight="1"/>
    <row r="2" ht="27.65" customHeight="1">
      <c r="B2" t="s" s="2">
        <v>640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641</v>
      </c>
      <c r="W3" t="s" s="3">
        <v>18</v>
      </c>
      <c r="X3" t="s" s="3">
        <v>349</v>
      </c>
      <c r="Y3" t="s" s="3">
        <v>19</v>
      </c>
      <c r="Z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8">
        <f>J4+K4</f>
        <v>0</v>
      </c>
      <c r="U4" s="8">
        <f>-(L4+M4)</f>
        <v>0</v>
      </c>
      <c r="V4" s="8">
        <v>1625.02817792</v>
      </c>
      <c r="W4" s="8">
        <f>F4-G4</f>
        <v>0</v>
      </c>
      <c r="X4" s="10"/>
      <c r="Y4" s="11"/>
      <c r="Z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5">
        <f>J5+K5+T4</f>
        <v>0</v>
      </c>
      <c r="U5" s="15">
        <f>-(L5+M5)+U4</f>
        <v>0</v>
      </c>
      <c r="V5" s="15">
        <f>V4</f>
        <v>1625.02817792</v>
      </c>
      <c r="W5" s="15">
        <f>F5-G5</f>
        <v>0</v>
      </c>
      <c r="X5" s="18"/>
      <c r="Y5" s="19"/>
      <c r="Z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5">
        <f>J6+K6+T5</f>
        <v>0</v>
      </c>
      <c r="U6" s="15">
        <f>-(L6+M6)+U5</f>
        <v>0</v>
      </c>
      <c r="V6" s="15">
        <f>V5</f>
        <v>1625.02817792</v>
      </c>
      <c r="W6" s="15">
        <f>F6-G6</f>
        <v>0</v>
      </c>
      <c r="X6" s="18"/>
      <c r="Y6" s="19"/>
      <c r="Z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5">
        <f>J7+K7+T6</f>
        <v>0</v>
      </c>
      <c r="U7" s="15">
        <f>-(L7+M7)+U6</f>
        <v>0</v>
      </c>
      <c r="V7" s="15">
        <f>V6</f>
        <v>1625.02817792</v>
      </c>
      <c r="W7" s="15">
        <f>F7-G7</f>
        <v>0</v>
      </c>
      <c r="X7" s="18"/>
      <c r="Y7" s="19"/>
      <c r="Z7" s="20">
        <v>13.557</v>
      </c>
    </row>
    <row r="8" ht="20.05" customHeight="1">
      <c r="B8" s="21">
        <v>2018</v>
      </c>
      <c r="C8" s="14">
        <v>1121</v>
      </c>
      <c r="D8" s="15">
        <v>28.75</v>
      </c>
      <c r="E8" s="15">
        <v>12</v>
      </c>
      <c r="F8" s="15"/>
      <c r="G8" s="15"/>
      <c r="H8" s="15"/>
      <c r="I8" s="15">
        <v>1099</v>
      </c>
      <c r="J8" s="15">
        <v>-114.5</v>
      </c>
      <c r="K8" s="15">
        <v>-9</v>
      </c>
      <c r="L8" s="15">
        <v>127.1</v>
      </c>
      <c r="M8" s="15">
        <v>0</v>
      </c>
      <c r="N8" s="15">
        <f>SUM(C5:C8)/4</f>
        <v>280.25</v>
      </c>
      <c r="O8" s="15"/>
      <c r="P8" s="16"/>
      <c r="Q8" s="16"/>
      <c r="R8" s="16"/>
      <c r="S8" s="15">
        <f>SUM(J5:K8)/4</f>
        <v>-30.875</v>
      </c>
      <c r="T8" s="15">
        <f>J8+K8+T7</f>
        <v>-123.5</v>
      </c>
      <c r="U8" s="15">
        <f>-(L8+M8)+U7</f>
        <v>-127.1</v>
      </c>
      <c r="V8" s="15">
        <f>V7</f>
        <v>1625.02817792</v>
      </c>
      <c r="W8" s="15">
        <f>F8-G8</f>
        <v>0</v>
      </c>
      <c r="X8" s="25">
        <v>120.619354</v>
      </c>
      <c r="Y8" s="22"/>
      <c r="Z8" s="20">
        <v>13.761</v>
      </c>
    </row>
    <row r="9" ht="20.05" customHeight="1">
      <c r="B9" s="13"/>
      <c r="C9" s="14">
        <v>962</v>
      </c>
      <c r="D9" s="15">
        <v>28.75</v>
      </c>
      <c r="E9" s="15">
        <v>1</v>
      </c>
      <c r="F9" s="15"/>
      <c r="G9" s="15"/>
      <c r="H9" s="15"/>
      <c r="I9" s="15">
        <v>1152</v>
      </c>
      <c r="J9" s="15">
        <v>-214.5</v>
      </c>
      <c r="K9" s="15">
        <v>-12</v>
      </c>
      <c r="L9" s="15">
        <v>127.1</v>
      </c>
      <c r="M9" s="15">
        <v>0</v>
      </c>
      <c r="N9" s="15">
        <f>SUM(C6:C9)/4</f>
        <v>520.75</v>
      </c>
      <c r="O9" s="15"/>
      <c r="P9" s="16"/>
      <c r="Q9" s="16"/>
      <c r="R9" s="16"/>
      <c r="S9" s="15">
        <f>SUM(J6:K9)/4</f>
        <v>-87.5</v>
      </c>
      <c r="T9" s="15">
        <f>J9+K9+T8</f>
        <v>-350</v>
      </c>
      <c r="U9" s="15">
        <f>-(L9+M9)+U8</f>
        <v>-254.2</v>
      </c>
      <c r="V9" s="15">
        <f>V8</f>
        <v>1625.02817792</v>
      </c>
      <c r="W9" s="15">
        <f>F13-G9</f>
        <v>223</v>
      </c>
      <c r="X9" s="25">
        <v>89.238708</v>
      </c>
      <c r="Y9" s="22"/>
      <c r="Z9" s="20">
        <v>14</v>
      </c>
    </row>
    <row r="10" ht="20.05" customHeight="1">
      <c r="B10" s="13"/>
      <c r="C10" s="14">
        <v>1303</v>
      </c>
      <c r="D10" s="15">
        <v>28.75</v>
      </c>
      <c r="E10" s="15">
        <v>3</v>
      </c>
      <c r="F10" s="15"/>
      <c r="G10" s="15"/>
      <c r="H10" s="15"/>
      <c r="I10" s="15">
        <v>1327</v>
      </c>
      <c r="J10" s="15">
        <v>-116.5</v>
      </c>
      <c r="K10" s="15">
        <v>-18</v>
      </c>
      <c r="L10" s="15">
        <v>127.1</v>
      </c>
      <c r="M10" s="15">
        <v>0</v>
      </c>
      <c r="N10" s="15">
        <f>SUM(C7:C10)/4</f>
        <v>846.5</v>
      </c>
      <c r="O10" s="15"/>
      <c r="P10" s="16"/>
      <c r="Q10" s="16"/>
      <c r="R10" s="16"/>
      <c r="S10" s="15">
        <f>SUM(J7:K10)/4</f>
        <v>-121.125</v>
      </c>
      <c r="T10" s="15">
        <f>J10+K10+T9</f>
        <v>-484.5</v>
      </c>
      <c r="U10" s="15">
        <f>-(L10+M10)+U9</f>
        <v>-381.3</v>
      </c>
      <c r="V10" s="15">
        <f>V9</f>
        <v>1625.02817792</v>
      </c>
      <c r="W10" s="15">
        <f>F10-G10</f>
        <v>0</v>
      </c>
      <c r="X10" s="25">
        <v>83.354843</v>
      </c>
      <c r="Y10" s="22"/>
      <c r="Z10" s="20">
        <v>14.902</v>
      </c>
    </row>
    <row r="11" ht="20.05" customHeight="1">
      <c r="B11" s="13"/>
      <c r="C11" s="14">
        <v>1082</v>
      </c>
      <c r="D11" s="15">
        <v>28.75</v>
      </c>
      <c r="E11" s="15">
        <v>33</v>
      </c>
      <c r="F11" s="15"/>
      <c r="G11" s="15"/>
      <c r="H11" s="15"/>
      <c r="I11" s="15">
        <v>1369</v>
      </c>
      <c r="J11" s="15">
        <v>72.5</v>
      </c>
      <c r="K11" s="15">
        <v>-36</v>
      </c>
      <c r="L11" s="15">
        <v>127.1</v>
      </c>
      <c r="M11" s="15">
        <v>0</v>
      </c>
      <c r="N11" s="15">
        <f>SUM(C8:C11)/4</f>
        <v>1117</v>
      </c>
      <c r="O11" s="15"/>
      <c r="P11" s="16"/>
      <c r="Q11" s="16"/>
      <c r="R11" s="16"/>
      <c r="S11" s="15">
        <f>SUM(J8:K11)/4</f>
        <v>-112</v>
      </c>
      <c r="T11" s="15">
        <f>J11+K11+T10</f>
        <v>-448</v>
      </c>
      <c r="U11" s="15">
        <f>-(L11+M11)+U10</f>
        <v>-508.4</v>
      </c>
      <c r="V11" s="15">
        <f>V10</f>
        <v>1625.02817792</v>
      </c>
      <c r="W11" s="15">
        <f>F11-G11</f>
        <v>0</v>
      </c>
      <c r="X11" s="25">
        <v>118.658066</v>
      </c>
      <c r="Y11" s="22"/>
      <c r="Z11" s="20">
        <v>14.38</v>
      </c>
    </row>
    <row r="12" ht="20.05" customHeight="1">
      <c r="B12" s="21">
        <v>2019</v>
      </c>
      <c r="C12" s="14">
        <v>1230</v>
      </c>
      <c r="D12" s="15">
        <v>26.75</v>
      </c>
      <c r="E12" s="15">
        <v>22</v>
      </c>
      <c r="F12" s="15">
        <v>214</v>
      </c>
      <c r="G12" s="15">
        <v>3518</v>
      </c>
      <c r="H12" s="15">
        <v>6455</v>
      </c>
      <c r="I12" s="15">
        <v>1146</v>
      </c>
      <c r="J12" s="15">
        <v>152.65</v>
      </c>
      <c r="K12" s="15">
        <v>-8.4</v>
      </c>
      <c r="L12" s="15">
        <v>-81.47499999999999</v>
      </c>
      <c r="M12" s="15">
        <v>0</v>
      </c>
      <c r="N12" s="15">
        <f>SUM(C9:C12)/4</f>
        <v>1144.25</v>
      </c>
      <c r="O12" s="23"/>
      <c r="P12" s="16"/>
      <c r="Q12" s="16">
        <f>(E12+D12)/C12</f>
        <v>0.0396341463414634</v>
      </c>
      <c r="R12" s="16">
        <f>AVERAGE(Q9:Q12)</f>
        <v>0.0396341463414634</v>
      </c>
      <c r="S12" s="15">
        <f>SUM(J9:K12)/4</f>
        <v>-45.0625</v>
      </c>
      <c r="T12" s="15">
        <f>J12+K12+T11</f>
        <v>-303.75</v>
      </c>
      <c r="U12" s="15">
        <f>-(L12+M12)+U11</f>
        <v>-426.925</v>
      </c>
      <c r="V12" s="15">
        <f>V11</f>
        <v>1625.02817792</v>
      </c>
      <c r="W12" s="15">
        <f>F12-G12</f>
        <v>-3304</v>
      </c>
      <c r="X12" s="25">
        <v>100.02581</v>
      </c>
      <c r="Y12" s="22"/>
      <c r="Z12" s="20">
        <v>14.24</v>
      </c>
    </row>
    <row r="13" ht="20.05" customHeight="1">
      <c r="B13" s="13"/>
      <c r="C13" s="14">
        <v>1061</v>
      </c>
      <c r="D13" s="15">
        <v>26.75</v>
      </c>
      <c r="E13" s="15">
        <v>30</v>
      </c>
      <c r="F13" s="15">
        <v>223</v>
      </c>
      <c r="G13" s="15">
        <v>3732</v>
      </c>
      <c r="H13" s="15">
        <v>6700</v>
      </c>
      <c r="I13" s="15">
        <v>1272</v>
      </c>
      <c r="J13" s="15">
        <v>-78.34999999999999</v>
      </c>
      <c r="K13" s="15">
        <v>-31.6</v>
      </c>
      <c r="L13" s="15">
        <v>-81.47499999999999</v>
      </c>
      <c r="M13" s="15">
        <v>0</v>
      </c>
      <c r="N13" s="15">
        <f>SUM(C10:C13)/4</f>
        <v>1169</v>
      </c>
      <c r="O13" s="23"/>
      <c r="P13" s="16">
        <f>C13/C12-1</f>
        <v>-0.13739837398374</v>
      </c>
      <c r="Q13" s="16">
        <f>(E13+D13)/C13</f>
        <v>0.0534872761545712</v>
      </c>
      <c r="R13" s="16">
        <f>AVERAGE(Q10:Q13)</f>
        <v>0.0465607112480173</v>
      </c>
      <c r="S13" s="15">
        <f>SUM(J10:K13)/4</f>
        <v>-15.925</v>
      </c>
      <c r="T13" s="15">
        <f>J13+K13+T12</f>
        <v>-413.7</v>
      </c>
      <c r="U13" s="15">
        <f>-(L13+M13)+U12</f>
        <v>-345.45</v>
      </c>
      <c r="V13" s="15">
        <f>V12</f>
        <v>1625.02817792</v>
      </c>
      <c r="W13" s="15">
        <f>F13-G13</f>
        <v>-3509</v>
      </c>
      <c r="X13" s="25">
        <v>121.600006</v>
      </c>
      <c r="Y13" s="24"/>
      <c r="Z13" s="15">
        <v>14.127</v>
      </c>
    </row>
    <row r="14" ht="20.05" customHeight="1">
      <c r="B14" s="13"/>
      <c r="C14" s="14">
        <v>1319</v>
      </c>
      <c r="D14" s="15">
        <v>26.75</v>
      </c>
      <c r="E14" s="15">
        <v>70</v>
      </c>
      <c r="F14" s="15">
        <v>225</v>
      </c>
      <c r="G14" s="15">
        <v>3709</v>
      </c>
      <c r="H14" s="15">
        <v>6746</v>
      </c>
      <c r="I14" s="15">
        <v>1343</v>
      </c>
      <c r="J14" s="15">
        <v>-114.35</v>
      </c>
      <c r="K14" s="15">
        <v>-12</v>
      </c>
      <c r="L14" s="15">
        <v>-81.47499999999999</v>
      </c>
      <c r="M14" s="15">
        <v>0</v>
      </c>
      <c r="N14" s="15">
        <f>SUM(C11:C14)/4</f>
        <v>1173</v>
      </c>
      <c r="O14" s="23"/>
      <c r="P14" s="16">
        <f>C14/C13-1</f>
        <v>0.243166823751178</v>
      </c>
      <c r="Q14" s="16">
        <f>(E14+D14)/C14</f>
        <v>0.0733510235026535</v>
      </c>
      <c r="R14" s="16">
        <f>AVERAGE(Q11:Q14)</f>
        <v>0.055490815332896</v>
      </c>
      <c r="S14" s="15">
        <f>SUM(J11:K14)/4</f>
        <v>-13.8875</v>
      </c>
      <c r="T14" s="15">
        <f>J14+K14+T13</f>
        <v>-540.05</v>
      </c>
      <c r="U14" s="15">
        <f>-(L14+M14)+U13</f>
        <v>-263.975</v>
      </c>
      <c r="V14" s="15">
        <f>V13</f>
        <v>1625.02817792</v>
      </c>
      <c r="W14" s="15">
        <f>F14-G14</f>
        <v>-3484</v>
      </c>
      <c r="X14" s="25">
        <v>203.974197</v>
      </c>
      <c r="Y14" s="24"/>
      <c r="Z14" s="15">
        <v>14.195</v>
      </c>
    </row>
    <row r="15" ht="20.05" customHeight="1">
      <c r="B15" s="13"/>
      <c r="C15" s="14">
        <v>1276</v>
      </c>
      <c r="D15" s="15">
        <v>26.75</v>
      </c>
      <c r="E15" s="15">
        <v>64</v>
      </c>
      <c r="F15" s="15">
        <v>219</v>
      </c>
      <c r="G15" s="15">
        <v>3326</v>
      </c>
      <c r="H15" s="15">
        <v>6425</v>
      </c>
      <c r="I15" s="15">
        <v>1441</v>
      </c>
      <c r="J15" s="15">
        <v>491.65</v>
      </c>
      <c r="K15" s="15">
        <v>-87</v>
      </c>
      <c r="L15" s="15">
        <v>-81.47499999999999</v>
      </c>
      <c r="M15" s="15">
        <v>0</v>
      </c>
      <c r="N15" s="15">
        <f>SUM(C12:C15)/4</f>
        <v>1221.5</v>
      </c>
      <c r="O15" s="15"/>
      <c r="P15" s="16">
        <f>C15/C14-1</f>
        <v>-0.0326004548900682</v>
      </c>
      <c r="Q15" s="16">
        <f>(E15+D15)/C15</f>
        <v>0.0711206896551724</v>
      </c>
      <c r="R15" s="16">
        <f>AVERAGE(Q12:Q15)</f>
        <v>0.0593982839134651</v>
      </c>
      <c r="S15" s="15">
        <f>SUM(J12:K15)/4</f>
        <v>78.15000000000001</v>
      </c>
      <c r="T15" s="15">
        <f>J15+K15+T14</f>
        <v>-135.4</v>
      </c>
      <c r="U15" s="15">
        <f>-(L15+M15)+U14</f>
        <v>-182.5</v>
      </c>
      <c r="V15" s="15">
        <f>V14</f>
        <v>1625.02817792</v>
      </c>
      <c r="W15" s="15">
        <f>F15-G15</f>
        <v>-3107</v>
      </c>
      <c r="X15" s="25">
        <v>155.922577</v>
      </c>
      <c r="Y15" s="24"/>
      <c r="Z15" s="15">
        <v>13.882</v>
      </c>
    </row>
    <row r="16" ht="20.05" customHeight="1">
      <c r="B16" s="21">
        <v>2020</v>
      </c>
      <c r="C16" s="14">
        <v>1051</v>
      </c>
      <c r="D16" s="15">
        <v>25.5</v>
      </c>
      <c r="E16" s="15">
        <v>-75</v>
      </c>
      <c r="F16" s="15">
        <v>24</v>
      </c>
      <c r="G16" s="15">
        <v>3357</v>
      </c>
      <c r="H16" s="15">
        <v>6380</v>
      </c>
      <c r="I16" s="15">
        <v>1176</v>
      </c>
      <c r="J16" s="15">
        <v>-194.275</v>
      </c>
      <c r="K16" s="15">
        <v>-25</v>
      </c>
      <c r="L16" s="15">
        <v>-108.675</v>
      </c>
      <c r="M16" s="15">
        <v>0</v>
      </c>
      <c r="N16" s="15">
        <f>SUM(C13:C16)/4</f>
        <v>1176.75</v>
      </c>
      <c r="O16" s="15"/>
      <c r="P16" s="16">
        <f>C16/C15-1</f>
        <v>-0.176332288401254</v>
      </c>
      <c r="Q16" s="16">
        <f>(E16+D16)/C16</f>
        <v>-0.0470980019029496</v>
      </c>
      <c r="R16" s="16">
        <f>AVERAGE(Q13:Q16)</f>
        <v>0.0377152468523619</v>
      </c>
      <c r="S16" s="15">
        <f>SUM(J13:K16)/4</f>
        <v>-12.73125</v>
      </c>
      <c r="T16" s="15">
        <f>J16+K16+T15</f>
        <v>-354.675</v>
      </c>
      <c r="U16" s="15">
        <f>-(L16+M16)+U15</f>
        <v>-73.825</v>
      </c>
      <c r="V16" s="15">
        <f>V15</f>
        <v>1625.02817792</v>
      </c>
      <c r="W16" s="15">
        <f>F16-G16</f>
        <v>-3333</v>
      </c>
      <c r="X16" s="25">
        <v>123.561295</v>
      </c>
      <c r="Y16" s="24"/>
      <c r="Z16" s="15">
        <v>16.31</v>
      </c>
    </row>
    <row r="17" ht="20.05" customHeight="1">
      <c r="B17" s="13"/>
      <c r="C17" s="14">
        <v>615</v>
      </c>
      <c r="D17" s="15">
        <v>25.5</v>
      </c>
      <c r="E17" s="15">
        <v>77.59999999999999</v>
      </c>
      <c r="F17" s="15">
        <v>15</v>
      </c>
      <c r="G17" s="15">
        <v>3206</v>
      </c>
      <c r="H17" s="15">
        <v>6306</v>
      </c>
      <c r="I17" s="15">
        <v>869</v>
      </c>
      <c r="J17" s="15">
        <v>167.725</v>
      </c>
      <c r="K17" s="15">
        <v>-13</v>
      </c>
      <c r="L17" s="15">
        <v>-108.675</v>
      </c>
      <c r="M17" s="15">
        <v>0</v>
      </c>
      <c r="N17" s="15">
        <f>SUM(C14:C17)/4</f>
        <v>1065.25</v>
      </c>
      <c r="O17" s="15"/>
      <c r="P17" s="16">
        <f>C17/C16-1</f>
        <v>-0.414843006660324</v>
      </c>
      <c r="Q17" s="16">
        <f>(E17+D17)/C17</f>
        <v>0.167642276422764</v>
      </c>
      <c r="R17" s="16">
        <f>AVERAGE(Q14:Q17)</f>
        <v>0.0662539969194101</v>
      </c>
      <c r="S17" s="25">
        <f>SUM(J14:K17)/4</f>
        <v>53.4375</v>
      </c>
      <c r="T17" s="15">
        <f>J17+K17+T16</f>
        <v>-199.95</v>
      </c>
      <c r="U17" s="15">
        <f>-(L17+M17)+U16</f>
        <v>34.85</v>
      </c>
      <c r="V17" s="15">
        <f>V16</f>
        <v>1625.02817792</v>
      </c>
      <c r="W17" s="15">
        <f>F17-G17</f>
        <v>-3191</v>
      </c>
      <c r="X17" s="25">
        <v>126.503227</v>
      </c>
      <c r="Y17" s="24"/>
      <c r="Z17" s="15">
        <v>14.255</v>
      </c>
    </row>
    <row r="18" ht="20.05" customHeight="1">
      <c r="B18" s="13"/>
      <c r="C18" s="14">
        <v>1050</v>
      </c>
      <c r="D18" s="15">
        <v>25.5</v>
      </c>
      <c r="E18" s="15">
        <v>46.4</v>
      </c>
      <c r="F18" s="15">
        <v>18</v>
      </c>
      <c r="G18" s="15">
        <v>3113</v>
      </c>
      <c r="H18" s="15">
        <v>6261</v>
      </c>
      <c r="I18" s="15">
        <v>854</v>
      </c>
      <c r="J18" s="15">
        <v>-77.27500000000001</v>
      </c>
      <c r="K18" s="15">
        <v>-22</v>
      </c>
      <c r="L18" s="15">
        <v>-108.675</v>
      </c>
      <c r="M18" s="15">
        <v>0</v>
      </c>
      <c r="N18" s="15">
        <f>SUM(C15:C18)/4</f>
        <v>998</v>
      </c>
      <c r="O18" s="15"/>
      <c r="P18" s="16">
        <f>C18/C17-1</f>
        <v>0.707317073170732</v>
      </c>
      <c r="Q18" s="16">
        <f>(E18+D18)/C18</f>
        <v>0.0684761904761905</v>
      </c>
      <c r="R18" s="16">
        <f>AVERAGE(Q15:Q18)</f>
        <v>0.0650352886627943</v>
      </c>
      <c r="S18" s="25">
        <f>SUM(J15:K18)/4</f>
        <v>60.20625</v>
      </c>
      <c r="T18" s="15">
        <f>J18+K18+T17</f>
        <v>-299.225</v>
      </c>
      <c r="U18" s="15">
        <f>-(L18+M18)+U17</f>
        <v>143.525</v>
      </c>
      <c r="V18" s="15">
        <f>V17</f>
        <v>1625.02817792</v>
      </c>
      <c r="W18" s="15">
        <f>F18-G18</f>
        <v>-3095</v>
      </c>
      <c r="X18" s="25">
        <v>119.63871</v>
      </c>
      <c r="Y18" s="24"/>
      <c r="Z18" s="15">
        <v>14.79</v>
      </c>
    </row>
    <row r="19" ht="20.05" customHeight="1">
      <c r="B19" s="13"/>
      <c r="C19" s="14">
        <v>1060</v>
      </c>
      <c r="D19" s="15">
        <v>25.5</v>
      </c>
      <c r="E19" s="15">
        <v>127</v>
      </c>
      <c r="F19" s="15">
        <v>60</v>
      </c>
      <c r="G19" s="15">
        <v>2741</v>
      </c>
      <c r="H19" s="15">
        <v>6077</v>
      </c>
      <c r="I19" s="15">
        <v>1181</v>
      </c>
      <c r="J19" s="15">
        <v>445.725</v>
      </c>
      <c r="K19" s="15">
        <v>-6</v>
      </c>
      <c r="L19" s="15">
        <v>-108.675</v>
      </c>
      <c r="M19" s="15">
        <v>0</v>
      </c>
      <c r="N19" s="15">
        <f>SUM(C16:C19)/4</f>
        <v>944</v>
      </c>
      <c r="O19" s="15"/>
      <c r="P19" s="16">
        <f>C19/C18-1</f>
        <v>0.009523809523809519</v>
      </c>
      <c r="Q19" s="16">
        <f>(E19+D19)/C19</f>
        <v>0.143867924528302</v>
      </c>
      <c r="R19" s="16">
        <f>AVERAGE(Q16:Q19)</f>
        <v>0.08322209738107671</v>
      </c>
      <c r="S19" s="25">
        <f>SUM(J16:K19)/4</f>
        <v>68.97499999999999</v>
      </c>
      <c r="T19" s="15">
        <f>J19+K19+T18</f>
        <v>140.5</v>
      </c>
      <c r="U19" s="15">
        <f>-(L19+M19)+U18</f>
        <v>252.2</v>
      </c>
      <c r="V19" s="15">
        <f>V18</f>
        <v>1625.02817792</v>
      </c>
      <c r="W19" s="15">
        <f>F19-G19</f>
        <v>-2681</v>
      </c>
      <c r="X19" s="25">
        <v>163.767746</v>
      </c>
      <c r="Y19" s="24"/>
      <c r="Z19" s="15">
        <v>14.1</v>
      </c>
    </row>
    <row r="20" ht="20.05" customHeight="1">
      <c r="B20" s="21">
        <v>2021</v>
      </c>
      <c r="C20" s="14">
        <v>1068</v>
      </c>
      <c r="D20" s="15">
        <v>24</v>
      </c>
      <c r="E20" s="15">
        <v>109</v>
      </c>
      <c r="F20" s="15">
        <v>38</v>
      </c>
      <c r="G20" s="15">
        <v>2322</v>
      </c>
      <c r="H20" s="15">
        <v>5766</v>
      </c>
      <c r="I20" s="15">
        <v>1187</v>
      </c>
      <c r="J20" s="15">
        <v>461</v>
      </c>
      <c r="K20" s="15">
        <v>-14</v>
      </c>
      <c r="L20" s="15">
        <v>-469</v>
      </c>
      <c r="M20" s="15">
        <v>0</v>
      </c>
      <c r="N20" s="15">
        <f>SUM(C17:C20)/4</f>
        <v>948.25</v>
      </c>
      <c r="O20" s="15"/>
      <c r="P20" s="16">
        <f>C20/C19-1</f>
        <v>0.00754716981132075</v>
      </c>
      <c r="Q20" s="16">
        <f>(E20+D20)/C20</f>
        <v>0.124531835205993</v>
      </c>
      <c r="R20" s="16">
        <f>AVERAGE(Q17:Q20)</f>
        <v>0.126129556658312</v>
      </c>
      <c r="S20" s="25">
        <f>SUM(J17:K20)/4</f>
        <v>235.54375</v>
      </c>
      <c r="T20" s="15">
        <f>J20+K20+T19</f>
        <v>587.5</v>
      </c>
      <c r="U20" s="15">
        <f>-(L20+M20)+U19</f>
        <v>721.2</v>
      </c>
      <c r="V20" s="15">
        <f>V19</f>
        <v>1625.02817792</v>
      </c>
      <c r="W20" s="15">
        <f>F20-G20</f>
        <v>-2284</v>
      </c>
      <c r="X20" s="25">
        <v>187</v>
      </c>
      <c r="Y20" s="15"/>
      <c r="Z20" s="15">
        <v>14.606</v>
      </c>
    </row>
    <row r="21" ht="20.05" customHeight="1">
      <c r="B21" s="13"/>
      <c r="C21" s="14">
        <v>1122.5</v>
      </c>
      <c r="D21" s="15">
        <v>37.3</v>
      </c>
      <c r="E21" s="15">
        <v>145.2</v>
      </c>
      <c r="F21" s="15">
        <v>37</v>
      </c>
      <c r="G21" s="15">
        <v>2705</v>
      </c>
      <c r="H21" s="15">
        <v>6339</v>
      </c>
      <c r="I21" s="15">
        <v>1301.9</v>
      </c>
      <c r="J21" s="15">
        <v>-276.7</v>
      </c>
      <c r="K21" s="15">
        <v>77.7</v>
      </c>
      <c r="L21" s="15">
        <v>197.7</v>
      </c>
      <c r="M21" s="15">
        <v>0</v>
      </c>
      <c r="N21" s="15">
        <f>SUM(C18:C21)/4</f>
        <v>1075.125</v>
      </c>
      <c r="O21" s="15"/>
      <c r="P21" s="16">
        <f>C21/C20-1</f>
        <v>0.0510299625468165</v>
      </c>
      <c r="Q21" s="16">
        <f>(E21+D21)/C21</f>
        <v>0.162583518930958</v>
      </c>
      <c r="R21" s="16">
        <f>AVERAGE(Q18:Q21)</f>
        <v>0.124864867285361</v>
      </c>
      <c r="S21" s="25">
        <f>SUM(J18:K21)/4</f>
        <v>147.1125</v>
      </c>
      <c r="T21" s="15">
        <f>J21+K21+T20</f>
        <v>388.5</v>
      </c>
      <c r="U21" s="15">
        <f>-(L21+M21)+U20</f>
        <v>523.5</v>
      </c>
      <c r="V21" s="15">
        <f>V20</f>
        <v>1625.02817792</v>
      </c>
      <c r="W21" s="15">
        <f>F21-G21</f>
        <v>-2668</v>
      </c>
      <c r="X21" s="25">
        <v>240</v>
      </c>
      <c r="Y21" s="15"/>
      <c r="Z21" s="15">
        <v>14.45</v>
      </c>
    </row>
    <row r="22" ht="20.05" customHeight="1">
      <c r="B22" s="13"/>
      <c r="C22" s="14">
        <v>1624.2</v>
      </c>
      <c r="D22" s="15">
        <v>30.4</v>
      </c>
      <c r="E22" s="15">
        <v>191.3</v>
      </c>
      <c r="F22" s="15">
        <v>54</v>
      </c>
      <c r="G22" s="15">
        <v>3085</v>
      </c>
      <c r="H22" s="15">
        <v>6868</v>
      </c>
      <c r="I22" s="15">
        <v>1492.1</v>
      </c>
      <c r="J22" s="15">
        <v>-230.7</v>
      </c>
      <c r="K22" s="15">
        <v>-28.8</v>
      </c>
      <c r="L22" s="15">
        <v>277.2</v>
      </c>
      <c r="M22" s="15">
        <v>0</v>
      </c>
      <c r="N22" s="15">
        <f>SUM(C19:C22)/4</f>
        <v>1218.675</v>
      </c>
      <c r="O22" s="15">
        <v>1174.0975</v>
      </c>
      <c r="P22" s="16">
        <f>C22/C21-1</f>
        <v>0.446948775055679</v>
      </c>
      <c r="Q22" s="16">
        <f>(E22+D22)/C22</f>
        <v>0.136497968230513</v>
      </c>
      <c r="R22" s="16">
        <f>AVERAGE(Q19:Q22)</f>
        <v>0.141870311723942</v>
      </c>
      <c r="S22" s="25">
        <f>SUM(J19:K22)/4</f>
        <v>107.05625</v>
      </c>
      <c r="T22" s="15">
        <f>J22+K22+T21</f>
        <v>129</v>
      </c>
      <c r="U22" s="15">
        <f>-(L22+M22)+U21</f>
        <v>246.3</v>
      </c>
      <c r="V22" s="15">
        <f>V21</f>
        <v>1625.02817792</v>
      </c>
      <c r="W22" s="15">
        <f>F22-G22</f>
        <v>-3031</v>
      </c>
      <c r="X22" s="25">
        <v>306</v>
      </c>
      <c r="Y22" s="15"/>
      <c r="Z22" s="15">
        <v>14.328</v>
      </c>
    </row>
    <row r="23" ht="20.05" customHeight="1">
      <c r="B23" s="13"/>
      <c r="C23" s="14">
        <v>1564.1</v>
      </c>
      <c r="D23" s="15">
        <v>31.5</v>
      </c>
      <c r="E23" s="15">
        <v>40.6</v>
      </c>
      <c r="F23" s="15">
        <v>50</v>
      </c>
      <c r="G23" s="15">
        <v>3310</v>
      </c>
      <c r="H23" s="15">
        <v>7097</v>
      </c>
      <c r="I23" s="15">
        <v>1228.5</v>
      </c>
      <c r="J23" s="15">
        <v>-44.6</v>
      </c>
      <c r="K23" s="15">
        <v>6.5</v>
      </c>
      <c r="L23" s="15">
        <v>75.59999999999999</v>
      </c>
      <c r="M23" s="15">
        <v>-42.4</v>
      </c>
      <c r="N23" s="15">
        <f>SUM(C20:C23)/4</f>
        <v>1344.7</v>
      </c>
      <c r="O23" s="15">
        <v>1307.889666666670</v>
      </c>
      <c r="P23" s="16">
        <f>C23/C22-1</f>
        <v>-0.0370028321635267</v>
      </c>
      <c r="Q23" s="16">
        <f>(E23+D23)/C23</f>
        <v>0.0460967968799949</v>
      </c>
      <c r="R23" s="16">
        <f>AVERAGE(Q20:Q23)</f>
        <v>0.117427529811865</v>
      </c>
      <c r="S23" s="25">
        <f>SUM(J20:K23)/4</f>
        <v>-12.4</v>
      </c>
      <c r="T23" s="15">
        <f>J23+K23+T22</f>
        <v>90.90000000000001</v>
      </c>
      <c r="U23" s="15">
        <f>-(L23+M23)+U22</f>
        <v>213.1</v>
      </c>
      <c r="V23" s="15">
        <f>V22</f>
        <v>1625.02817792</v>
      </c>
      <c r="W23" s="15">
        <f>F23-G23</f>
        <v>-3260</v>
      </c>
      <c r="X23" s="15">
        <v>398</v>
      </c>
      <c r="Y23" s="15"/>
      <c r="Z23" s="15">
        <v>14.275</v>
      </c>
    </row>
    <row r="24" ht="20.05" customHeight="1">
      <c r="B24" s="21">
        <v>2022</v>
      </c>
      <c r="C24" s="14">
        <v>2011.9</v>
      </c>
      <c r="D24" s="15">
        <v>27.9</v>
      </c>
      <c r="E24" s="15">
        <v>120.4</v>
      </c>
      <c r="F24" s="15">
        <v>28</v>
      </c>
      <c r="G24" s="15">
        <v>3307</v>
      </c>
      <c r="H24" s="15">
        <v>7214</v>
      </c>
      <c r="I24" s="15">
        <v>1353.9</v>
      </c>
      <c r="J24" s="15">
        <v>-159.9</v>
      </c>
      <c r="K24" s="15">
        <v>-46</v>
      </c>
      <c r="L24" s="15">
        <v>184.1</v>
      </c>
      <c r="M24" s="15">
        <v>0</v>
      </c>
      <c r="N24" s="15">
        <f>SUM(C21:C24)/4</f>
        <v>1580.675</v>
      </c>
      <c r="O24" s="15">
        <v>1374.78575</v>
      </c>
      <c r="P24" s="16">
        <f>C24/C23-1</f>
        <v>0.286298829998082</v>
      </c>
      <c r="Q24" s="16">
        <f>(E24+D24)/C24</f>
        <v>0.07371141706844279</v>
      </c>
      <c r="R24" s="16">
        <f>AVERAGE(Q21:Q24)</f>
        <v>0.104722425277477</v>
      </c>
      <c r="S24" s="25">
        <f>SUM(J21:K24)/4</f>
        <v>-175.625</v>
      </c>
      <c r="T24" s="15">
        <f>J24+K24+T23</f>
        <v>-115</v>
      </c>
      <c r="U24" s="15">
        <f>-(L24+M24)+U23</f>
        <v>29</v>
      </c>
      <c r="V24" s="15">
        <f>V23</f>
        <v>1625.02817792</v>
      </c>
      <c r="W24" s="15">
        <f>F24-G24</f>
        <v>-3279</v>
      </c>
      <c r="X24" s="15">
        <v>416</v>
      </c>
      <c r="Y24" s="15">
        <v>548.069316976806</v>
      </c>
      <c r="Z24" s="15">
        <v>14.327</v>
      </c>
    </row>
    <row r="25" ht="20.05" customHeight="1">
      <c r="B25" s="13"/>
      <c r="C25" s="14">
        <v>1115.9</v>
      </c>
      <c r="D25" s="15">
        <v>28</v>
      </c>
      <c r="E25" s="15">
        <v>70.40000000000001</v>
      </c>
      <c r="F25" s="15">
        <v>22</v>
      </c>
      <c r="G25" s="15">
        <v>3240</v>
      </c>
      <c r="H25" s="15">
        <v>7154</v>
      </c>
      <c r="I25" s="15">
        <v>1695.3</v>
      </c>
      <c r="J25" s="15">
        <v>77.2</v>
      </c>
      <c r="K25" s="15">
        <v>-65.59999999999999</v>
      </c>
      <c r="L25" s="15">
        <v>-18.2</v>
      </c>
      <c r="M25" s="15">
        <v>0</v>
      </c>
      <c r="N25" s="15">
        <f>SUM(C22:C25)/4</f>
        <v>1579.025</v>
      </c>
      <c r="O25" s="15">
        <v>1603.37125</v>
      </c>
      <c r="P25" s="16">
        <f>C25/C24-1</f>
        <v>-0.44535016650927</v>
      </c>
      <c r="Q25" s="16">
        <f>(E25+D25)/C25</f>
        <v>0.0881799444394659</v>
      </c>
      <c r="R25" s="16">
        <f>AVERAGE(Q22:Q25)</f>
        <v>0.08612153165460421</v>
      </c>
      <c r="S25" s="25">
        <f>SUM(J22:K25)/4</f>
        <v>-122.975</v>
      </c>
      <c r="T25" s="15">
        <f>J25+K25+T24</f>
        <v>-103.4</v>
      </c>
      <c r="U25" s="15">
        <f>-(L25+M25)+U24</f>
        <v>47.2</v>
      </c>
      <c r="V25" s="15">
        <f>V24</f>
        <v>1625.02817792</v>
      </c>
      <c r="W25" s="15">
        <f>F25-G25</f>
        <v>-3218</v>
      </c>
      <c r="X25" s="15">
        <v>292</v>
      </c>
      <c r="Y25" s="15">
        <v>481.083067124087</v>
      </c>
      <c r="Z25" s="15">
        <v>14.66</v>
      </c>
    </row>
    <row r="26" ht="20.05" customHeight="1">
      <c r="B26" s="13"/>
      <c r="C26" s="14">
        <v>1624.2</v>
      </c>
      <c r="D26" s="15">
        <v>28.8</v>
      </c>
      <c r="E26" s="15">
        <v>102.1</v>
      </c>
      <c r="F26" s="15">
        <v>68</v>
      </c>
      <c r="G26" s="15">
        <v>3448</v>
      </c>
      <c r="H26" s="15">
        <v>7476</v>
      </c>
      <c r="I26" s="15">
        <v>1335.7</v>
      </c>
      <c r="J26" s="15">
        <v>-280.3</v>
      </c>
      <c r="K26" s="15">
        <v>-58.4</v>
      </c>
      <c r="L26" s="15">
        <v>451.1</v>
      </c>
      <c r="M26" s="15">
        <v>-66</v>
      </c>
      <c r="N26" s="15">
        <f>SUM(C23:C26)/4</f>
        <v>1579.025</v>
      </c>
      <c r="O26" s="15">
        <v>1773.568</v>
      </c>
      <c r="P26" s="16">
        <f>C26/C25-1</f>
        <v>0.455506765839233</v>
      </c>
      <c r="Q26" s="16">
        <f>(E26+D26)/C26</f>
        <v>0.0805935229651521</v>
      </c>
      <c r="R26" s="16">
        <f>AVERAGE(Q23:Q26)</f>
        <v>0.0721454203382639</v>
      </c>
      <c r="S26" s="25">
        <f>SUM(J23:K26)/4</f>
        <v>-142.775</v>
      </c>
      <c r="T26" s="15">
        <f>J26+K26+T25</f>
        <v>-442.1</v>
      </c>
      <c r="U26" s="15">
        <f>-(L26+M26)+U25</f>
        <v>-337.9</v>
      </c>
      <c r="V26" s="15">
        <f>V25</f>
        <v>1625.02817792</v>
      </c>
      <c r="W26" s="15">
        <f>F26-G26</f>
        <v>-3380</v>
      </c>
      <c r="X26" s="15">
        <v>272</v>
      </c>
      <c r="Y26" s="15">
        <v>394.433371360269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1730.2643205</v>
      </c>
      <c r="P27" s="17"/>
      <c r="Q27" s="17"/>
      <c r="R27" s="17"/>
      <c r="S27" s="25"/>
      <c r="T27" s="17"/>
      <c r="U27" s="17"/>
      <c r="V27" s="17"/>
      <c r="W27" s="26"/>
      <c r="X27" s="15">
        <v>230</v>
      </c>
      <c r="Y27" s="15">
        <v>481.083067124087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7302.1</v>
      </c>
      <c r="O28" s="15">
        <f>SUM(O22:O26)</f>
        <v>7233.712166666670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AF88</f>
        <v>225.655883854636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349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0.0648631492911296</v>
      </c>
      <c r="AD49" s="35"/>
      <c r="AE49" s="35"/>
      <c r="AF49" s="35">
        <f>AVERAGE(AC51:AF51)</f>
        <v>0.0425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-0.0370028321635267</v>
      </c>
      <c r="AD50" s="35">
        <f>P24</f>
        <v>0.286298829998082</v>
      </c>
      <c r="AE50" s="35">
        <f>P25</f>
        <v>-0.44535016650927</v>
      </c>
      <c r="AF50" s="35">
        <f>P26</f>
        <v>0.455506765839233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-0.03</v>
      </c>
      <c r="AD51" s="35">
        <v>0.2</v>
      </c>
      <c r="AE51" s="35">
        <v>-0.15</v>
      </c>
      <c r="AF51" s="35">
        <v>0.15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1624.2</v>
      </c>
      <c r="AC52" s="23">
        <f>C26*(1+AC51)</f>
        <v>1575.474</v>
      </c>
      <c r="AD52" s="23">
        <f>AC52*(1+AD51)</f>
        <v>1890.5688</v>
      </c>
      <c r="AE52" s="23">
        <f>AD52*(1+AE51)</f>
        <v>1606.98348</v>
      </c>
      <c r="AF52" s="23">
        <f>AE52*(1+AF51)</f>
        <v>1848.031002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0.0721454203382639</v>
      </c>
      <c r="AD53" s="35">
        <f>AC53</f>
        <v>0.0721454203382639</v>
      </c>
      <c r="AE53" s="35">
        <f>AD53</f>
        <v>0.0721454203382639</v>
      </c>
      <c r="AF53" s="35">
        <f>AE53</f>
        <v>0.0721454203382639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-58.4</v>
      </c>
      <c r="AD54" s="15">
        <f>AC54</f>
        <v>-58.4</v>
      </c>
      <c r="AE54" s="15">
        <f>AD54</f>
        <v>-58.4</v>
      </c>
      <c r="AF54" s="15">
        <f>AE54</f>
        <v>-58.4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55.263233962006</v>
      </c>
      <c r="AD55" s="15">
        <f>(AD52*AD53)+AD54</f>
        <v>77.9958807544072</v>
      </c>
      <c r="AE55" s="15">
        <f>(AE52*AE53)+AE54</f>
        <v>57.5364986412461</v>
      </c>
      <c r="AF55" s="15">
        <f>(AF52*AF53)+AF54</f>
        <v>74.92697343743301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-172.4</v>
      </c>
      <c r="AD56" s="15">
        <f>-AC71/20</f>
        <v>-163.78</v>
      </c>
      <c r="AE56" s="15">
        <f>-AD71/20</f>
        <v>-155.591</v>
      </c>
      <c r="AF56" s="15">
        <f>-AE71/20</f>
        <v>-147.81145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0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0</v>
      </c>
      <c r="AD58" s="15">
        <f>IF(AD66&gt;0,AD66*$AC$57,0)</f>
        <v>0</v>
      </c>
      <c r="AE58" s="15">
        <f>IF(AE66&gt;0,AE66*$AC$57,0)</f>
        <v>0</v>
      </c>
      <c r="AF58" s="15">
        <f>IF(AF66&gt;0,AF66*$AC$57,0)</f>
        <v>0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-117.136766037994</v>
      </c>
      <c r="AD59" s="15">
        <f>AD55+AD56+AD58</f>
        <v>-85.78411924559281</v>
      </c>
      <c r="AE59" s="15">
        <f>AE55+AE56+AE58</f>
        <v>-98.0545013587539</v>
      </c>
      <c r="AF59" s="15">
        <f>AF55+AF56+AF58</f>
        <v>-72.884476562567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117.136766037994</v>
      </c>
      <c r="AD60" s="15">
        <f>-MIN(AC72,AD59)</f>
        <v>85.78411924559281</v>
      </c>
      <c r="AE60" s="15">
        <f>-MIN(AD72,AE59)</f>
        <v>98.0545013587539</v>
      </c>
      <c r="AF60" s="15">
        <f>-MIN(AE72,AF59)</f>
        <v>72.884476562567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68</v>
      </c>
      <c r="AD61" s="15">
        <f>AC63</f>
        <v>68</v>
      </c>
      <c r="AE61" s="15">
        <f>AD63</f>
        <v>68</v>
      </c>
      <c r="AF61" s="15">
        <f>AE63</f>
        <v>68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68</v>
      </c>
      <c r="AD63" s="15">
        <f>AD61+AD62</f>
        <v>68</v>
      </c>
      <c r="AE63" s="15">
        <f>AE61+AE62</f>
        <v>68</v>
      </c>
      <c r="AF63" s="15">
        <f>AF61+AF62</f>
        <v>68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-28.2333333333333</v>
      </c>
      <c r="AD65" s="15">
        <f>AC65</f>
        <v>-28.2333333333333</v>
      </c>
      <c r="AE65" s="15">
        <f>AD65</f>
        <v>-28.2333333333333</v>
      </c>
      <c r="AF65" s="15">
        <f>AE65</f>
        <v>-28.2333333333333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85.4299006286727</v>
      </c>
      <c r="AD66" s="15">
        <f>(AD52*AD53)+AD65</f>
        <v>108.162547421074</v>
      </c>
      <c r="AE66" s="15">
        <f>(AE52*AE53)+AE65</f>
        <v>87.7031653079128</v>
      </c>
      <c r="AF66" s="15">
        <f>(AF52*AF53)+AF65</f>
        <v>105.0936401041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7466.4</v>
      </c>
      <c r="AD68" s="15">
        <f>AC68-AD54</f>
        <v>7524.8</v>
      </c>
      <c r="AE68" s="15">
        <f>AD68-AE54</f>
        <v>7583.2</v>
      </c>
      <c r="AF68" s="15">
        <f>AE68-AF54</f>
        <v>7641.6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28.2333333333333</v>
      </c>
      <c r="AD69" s="15">
        <f>AC69-AD65</f>
        <v>56.4666666666666</v>
      </c>
      <c r="AE69" s="15">
        <f>AD69-AE65</f>
        <v>84.6999999999999</v>
      </c>
      <c r="AF69" s="15">
        <f>AE69-AF65</f>
        <v>112.933333333333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7438.166666666670</v>
      </c>
      <c r="AD70" s="15">
        <f>AD68-AD69</f>
        <v>7468.333333333330</v>
      </c>
      <c r="AE70" s="15">
        <f>AE68-AE69</f>
        <v>7498.5</v>
      </c>
      <c r="AF70" s="15">
        <f>AF68-AF69</f>
        <v>7528.666666666670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3275.6</v>
      </c>
      <c r="AD71" s="15">
        <f>AC71+AD56</f>
        <v>3111.82</v>
      </c>
      <c r="AE71" s="15">
        <f>AD71+AE56</f>
        <v>2956.229</v>
      </c>
      <c r="AF71" s="15">
        <f>AE71+AF56</f>
        <v>2808.41755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117.136766037994</v>
      </c>
      <c r="AD72" s="15">
        <f>AC72+AD60</f>
        <v>202.920885283587</v>
      </c>
      <c r="AE72" s="15">
        <f>AD72+AE60</f>
        <v>300.975386642341</v>
      </c>
      <c r="AF72" s="15">
        <f>AE72+AF60</f>
        <v>373.859863204908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4113.429900628670</v>
      </c>
      <c r="AD73" s="15">
        <f>AC73+AD66+AD58</f>
        <v>4221.592448049740</v>
      </c>
      <c r="AE73" s="15">
        <f>AD73+AE66+AE58</f>
        <v>4309.295613357650</v>
      </c>
      <c r="AF73" s="15">
        <f>AE73+AF66+AF58</f>
        <v>4414.389253461750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-6e-12</v>
      </c>
      <c r="AD74" s="15">
        <f>AD71+AD72+AD73-AD63-AD70</f>
        <v>-3e-12</v>
      </c>
      <c r="AE74" s="15">
        <f>AE71+AE72+AE73-AE63-AE70</f>
        <v>-9e-12</v>
      </c>
      <c r="AF74" s="15">
        <f>AF71+AF72+AF73-AF63-AF70</f>
        <v>-1.2e-11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-3324.736766037990</v>
      </c>
      <c r="AD75" s="15">
        <f>AD63-AD71-AD72</f>
        <v>-3246.740885283590</v>
      </c>
      <c r="AE75" s="15">
        <f>AE63-AE71-AE72</f>
        <v>-3189.204386642340</v>
      </c>
      <c r="AF75" s="15">
        <f>AF63-AF71-AF72</f>
        <v>-3114.277413204910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-55.263233962006</v>
      </c>
      <c r="AD76" s="15">
        <f>AD56+AD58+AD60</f>
        <v>-77.9958807544072</v>
      </c>
      <c r="AE76" s="15">
        <f>AE56+AE58+AE60</f>
        <v>-57.5364986412461</v>
      </c>
      <c r="AF76" s="15">
        <f>AF56+AF58+AF60</f>
        <v>-74.92697343743301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642</v>
      </c>
      <c r="AB78" s="14"/>
      <c r="AC78" s="15"/>
      <c r="AD78" s="15"/>
      <c r="AE78" s="15"/>
      <c r="AF78" s="15">
        <v>230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642</v>
      </c>
      <c r="AB79" s="14"/>
      <c r="AC79" s="15"/>
      <c r="AD79" s="15"/>
      <c r="AE79" s="15"/>
      <c r="AF79" s="15">
        <v>1625028177920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1625.02817792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7.065339904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0.213913318725757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-571.1</v>
      </c>
      <c r="AF84" s="15">
        <f>SUM(AC55:AF55)</f>
        <v>265.722586795092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28.3328066216377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6.11550639153275</v>
      </c>
      <c r="AF86" s="15">
        <v>6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1594.335520770550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225.655883854636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-0.0188874615015826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0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-0.0093655021614782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642</v>
      </c>
      <c r="AD93" t="s" s="44">
        <f>AC115</f>
        <v>15</v>
      </c>
      <c r="AE93" t="s" s="44">
        <f>AD115</f>
        <v>360</v>
      </c>
      <c r="AF93" t="s" s="44">
        <f>AE115</f>
        <v>485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230</v>
      </c>
      <c r="AE94" t="s" s="44">
        <v>61</v>
      </c>
      <c r="AF94" s="15">
        <f>AF88</f>
        <v>225.655883854636</v>
      </c>
      <c r="AG94" t="s" s="44">
        <f>IF(AH94&gt;0,"+","")</f>
      </c>
      <c r="AH94" s="16">
        <f>AF94/AD94-1</f>
        <v>-0.0188874615015826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</c>
      <c r="AF97" s="16">
        <f>AK104/AC104-1</f>
        <v>0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</c>
      <c r="AF98" s="16">
        <f>(AE119+AE120+AG119+AG120+AI119+AI120+AK119+AK120)/AD136</f>
        <v>-0.351440059784683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</c>
      <c r="AF99" s="16">
        <f>(AE133+AE134+AG133+AG134+AI133+AI134+AK133+AK134)/AD136</f>
        <v>-0.359501458459485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-2.07996393288781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362</v>
      </c>
      <c r="AE101" s="16">
        <f>AE105</f>
        <v>0.455506765839233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393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0.446948775055679</v>
      </c>
      <c r="AD103" s="16">
        <f>P23</f>
        <v>-0.0370028321635267</v>
      </c>
      <c r="AE103" s="16">
        <f>P24</f>
        <v>0.286298829998082</v>
      </c>
      <c r="AF103" s="16">
        <f>P25</f>
        <v>-0.44535016650927</v>
      </c>
      <c r="AG103" s="16">
        <f>P26</f>
        <v>0.455506765839233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1624.2</v>
      </c>
      <c r="AD104" t="s" s="44">
        <v>72</v>
      </c>
      <c r="AE104" s="15">
        <f>C23</f>
        <v>1564.1</v>
      </c>
      <c r="AF104" t="s" s="44">
        <v>72</v>
      </c>
      <c r="AG104" s="15">
        <f>C24</f>
        <v>2011.9</v>
      </c>
      <c r="AH104" t="s" s="44">
        <v>72</v>
      </c>
      <c r="AI104" s="15">
        <f>C25</f>
        <v>1115.9</v>
      </c>
      <c r="AJ104" t="s" s="44">
        <v>72</v>
      </c>
      <c r="AK104" s="15">
        <f>C26</f>
        <v>1624.2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362</v>
      </c>
      <c r="AE105" s="16">
        <f>AK104/AI104-1</f>
        <v>0.455506765839233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1624.2</v>
      </c>
      <c r="AK105" t="s" s="48">
        <f>AL104</f>
        <v>22</v>
      </c>
      <c r="AL105" t="s" s="44">
        <v>77</v>
      </c>
      <c r="AM105" t="s" s="44">
        <f>IF(AN105&gt;0,"+","")</f>
      </c>
      <c r="AN105" s="16">
        <f>AF91</f>
        <v>-0.0093655021614782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0.0648631492911296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0.0425</v>
      </c>
      <c r="AE107" t="s" s="44">
        <v>82</v>
      </c>
      <c r="AF107" t="s" s="44">
        <v>83</v>
      </c>
      <c r="AG107" s="23">
        <f>AF52</f>
        <v>1848.031002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87</v>
      </c>
      <c r="AE108" t="s" s="44">
        <v>86</v>
      </c>
      <c r="AF108" t="s" s="44">
        <f>IF(AJ112&gt;AH112,"up","down")</f>
        <v>108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0.136497968230513</v>
      </c>
      <c r="AD110" s="16">
        <f>(D23+E23)/C23</f>
        <v>0.0460967968799949</v>
      </c>
      <c r="AE110" s="16">
        <f>((E24+D24)/C24)</f>
        <v>0.07371141706844279</v>
      </c>
      <c r="AF110" s="16">
        <f>(D25+E25)/C25</f>
        <v>0.0881799444394659</v>
      </c>
      <c r="AG110" s="16">
        <f>(D26+E26)/C26</f>
        <v>0.0805935229651521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191.3</v>
      </c>
      <c r="AD111" t="s" s="44">
        <v>72</v>
      </c>
      <c r="AE111" s="15">
        <f>E23</f>
        <v>40.6</v>
      </c>
      <c r="AF111" t="s" s="44">
        <v>72</v>
      </c>
      <c r="AG111" s="15">
        <f>E24</f>
        <v>120.4</v>
      </c>
      <c r="AH111" t="s" s="44">
        <v>72</v>
      </c>
      <c r="AI111" s="15">
        <f>E25</f>
        <v>70.40000000000001</v>
      </c>
      <c r="AJ111" t="s" s="44">
        <v>72</v>
      </c>
      <c r="AK111" s="15">
        <f>E26</f>
        <v>102.1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0.0881799444394659</v>
      </c>
      <c r="AE112" t="s" s="44">
        <v>76</v>
      </c>
      <c r="AF112" s="16">
        <f>AG110</f>
        <v>0.0805935229651521</v>
      </c>
      <c r="AG112" t="s" s="44">
        <v>90</v>
      </c>
      <c r="AH112" s="15">
        <f>AI111</f>
        <v>70.40000000000001</v>
      </c>
      <c r="AI112" t="s" s="44">
        <v>76</v>
      </c>
      <c r="AJ112" s="15">
        <f>AK111</f>
        <v>102.1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0.0721454203382639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0.0721454203382639</v>
      </c>
      <c r="AE114" t="s" s="44">
        <v>94</v>
      </c>
      <c r="AF114" s="15">
        <f>AF66</f>
        <v>105.0936401041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360</v>
      </c>
      <c r="AE115" t="s" s="44">
        <f>IF(AF121&lt;0,"negative","positive")</f>
        <v>485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11.6</v>
      </c>
      <c r="AE116" s="15">
        <f>ABS(AF121)</f>
        <v>338.7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11.6</v>
      </c>
      <c r="AD117" s="15">
        <f>ABS(AF121)</f>
        <v>338.7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-230.7</v>
      </c>
      <c r="AD119" t="s" s="44">
        <v>72</v>
      </c>
      <c r="AE119" s="15">
        <f>J23</f>
        <v>-44.6</v>
      </c>
      <c r="AF119" t="s" s="44">
        <v>72</v>
      </c>
      <c r="AG119" s="15">
        <f>J24</f>
        <v>-159.9</v>
      </c>
      <c r="AH119" t="s" s="44">
        <v>72</v>
      </c>
      <c r="AI119" s="15">
        <f>J25</f>
        <v>77.2</v>
      </c>
      <c r="AJ119" t="s" s="44">
        <v>72</v>
      </c>
      <c r="AK119" s="15">
        <f>J26</f>
        <v>-280.3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-28.8</v>
      </c>
      <c r="AD120" t="s" s="44">
        <v>72</v>
      </c>
      <c r="AE120" s="15">
        <f>K23</f>
        <v>6.5</v>
      </c>
      <c r="AF120" t="s" s="44">
        <v>72</v>
      </c>
      <c r="AG120" s="15">
        <f>K24</f>
        <v>-46</v>
      </c>
      <c r="AH120" t="s" s="44">
        <v>72</v>
      </c>
      <c r="AI120" s="15">
        <f>K25</f>
        <v>-65.59999999999999</v>
      </c>
      <c r="AJ120" t="s" s="44">
        <v>72</v>
      </c>
      <c r="AK120" s="15">
        <f>K26</f>
        <v>-58.4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11.6</v>
      </c>
      <c r="AE121" t="s" s="44">
        <v>76</v>
      </c>
      <c r="AF121" s="15">
        <f>AK119+AK120</f>
        <v>-338.7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-58.4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-142.775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-58.4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66.4306466987731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87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54</v>
      </c>
      <c r="AD126" t="s" s="44">
        <v>72</v>
      </c>
      <c r="AE126" s="15">
        <f>F23</f>
        <v>50</v>
      </c>
      <c r="AF126" t="s" s="44">
        <v>72</v>
      </c>
      <c r="AG126" s="15">
        <f>F24</f>
        <v>28</v>
      </c>
      <c r="AH126" t="s" s="44">
        <v>72</v>
      </c>
      <c r="AI126" s="15">
        <f>F25</f>
        <v>22</v>
      </c>
      <c r="AJ126" t="s" s="44">
        <v>72</v>
      </c>
      <c r="AK126" s="15">
        <f>F26</f>
        <v>68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3085</v>
      </c>
      <c r="AD127" t="s" s="44">
        <v>72</v>
      </c>
      <c r="AE127" s="15">
        <f>G23</f>
        <v>3310</v>
      </c>
      <c r="AF127" t="s" s="44">
        <v>72</v>
      </c>
      <c r="AG127" s="15">
        <f>G24</f>
        <v>3307</v>
      </c>
      <c r="AH127" t="s" s="44">
        <v>72</v>
      </c>
      <c r="AI127" s="15">
        <f>G25</f>
        <v>3240</v>
      </c>
      <c r="AJ127" t="s" s="44">
        <v>72</v>
      </c>
      <c r="AK127" s="15">
        <f>G26</f>
        <v>3448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111</v>
      </c>
      <c r="AE128" s="15">
        <f>AI126</f>
        <v>22</v>
      </c>
      <c r="AF128" t="s" s="44">
        <v>76</v>
      </c>
      <c r="AG128" s="15">
        <f>AK126</f>
        <v>68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111</v>
      </c>
      <c r="AE129" s="15">
        <f>AI127</f>
        <v>3240</v>
      </c>
      <c r="AF129" t="s" s="44">
        <v>76</v>
      </c>
      <c r="AG129" s="15">
        <f>AK127</f>
        <v>3448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87</v>
      </c>
      <c r="AL129" s="15">
        <f>AE128-AE129</f>
        <v>-3218</v>
      </c>
      <c r="AM129" t="s" s="44">
        <v>76</v>
      </c>
      <c r="AN129" s="15">
        <f>AG128-AG129</f>
        <v>-3380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0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-265.722586795092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-3114.277413204910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121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-277.2</v>
      </c>
      <c r="AD133" t="s" s="44">
        <v>72</v>
      </c>
      <c r="AE133" s="15">
        <f>-L23</f>
        <v>-75.59999999999999</v>
      </c>
      <c r="AF133" t="s" s="44">
        <v>72</v>
      </c>
      <c r="AG133" s="15">
        <f>-L24</f>
        <v>-184.1</v>
      </c>
      <c r="AH133" t="s" s="44">
        <v>72</v>
      </c>
      <c r="AI133" s="15">
        <f>-L25</f>
        <v>18.2</v>
      </c>
      <c r="AJ133" t="s" s="44">
        <v>72</v>
      </c>
      <c r="AK133" s="15">
        <f>-L26</f>
        <v>-451.1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0</v>
      </c>
      <c r="AD134" t="s" s="44">
        <v>72</v>
      </c>
      <c r="AE134" s="15">
        <f>-M23</f>
        <v>42.4</v>
      </c>
      <c r="AF134" t="s" s="44">
        <v>72</v>
      </c>
      <c r="AG134" s="15">
        <f>-M24</f>
        <v>0</v>
      </c>
      <c r="AH134" t="s" s="44">
        <v>72</v>
      </c>
      <c r="AI134" s="15">
        <f>-M25</f>
        <v>0</v>
      </c>
      <c r="AJ134" t="s" s="44">
        <v>72</v>
      </c>
      <c r="AK134" s="15">
        <f>-M26</f>
        <v>66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642</v>
      </c>
      <c r="AD135" t="s" s="44">
        <f>IF(AE135&gt;0,"paid","(raised)")</f>
        <v>121</v>
      </c>
      <c r="AE135" s="15">
        <f>SUM(AK133:AK134)</f>
        <v>-385.1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-451.1</v>
      </c>
      <c r="AK135" t="s" s="48">
        <f>AL104</f>
        <v>22</v>
      </c>
      <c r="AL135" t="s" s="44">
        <v>123</v>
      </c>
      <c r="AM135" s="15">
        <f>AK134</f>
        <v>66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265.722586795092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1625.02817792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0.213913318725757</v>
      </c>
      <c r="AI136" t="s" s="44">
        <v>130</v>
      </c>
      <c r="AJ136" t="s" s="44">
        <v>131</v>
      </c>
      <c r="AK136" t="s" s="44">
        <v>132</v>
      </c>
      <c r="AL136" s="15">
        <f>AF85</f>
        <v>28.3328066216377</v>
      </c>
      <c r="AM136" t="s" s="44">
        <v>133</v>
      </c>
      <c r="AN136" s="16">
        <f>-AD130/AD136</f>
        <v>0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265.722586795092</v>
      </c>
      <c r="AE137" t="s" s="48">
        <f>AE136</f>
        <v>22</v>
      </c>
      <c r="AF137" t="s" s="44">
        <v>136</v>
      </c>
      <c r="AG137" s="15">
        <f>AD136/AD137</f>
        <v>6.11550639153275</v>
      </c>
      <c r="AH137" t="s" s="44">
        <v>130</v>
      </c>
      <c r="AI137" t="s" s="44">
        <v>137</v>
      </c>
      <c r="AJ137" t="s" s="44">
        <v>138</v>
      </c>
      <c r="AK137" s="15">
        <f>AF86</f>
        <v>6</v>
      </c>
      <c r="AL137" t="s" s="44">
        <v>139</v>
      </c>
      <c r="AM137" t="s" s="44">
        <v>140</v>
      </c>
      <c r="AN137" t="s" s="44">
        <v>141</v>
      </c>
      <c r="AO137" s="16">
        <f>AH94</f>
        <v>-0.0188874615015826</v>
      </c>
      <c r="AP137" t="s" s="44">
        <f>IF(AO137&gt;0,"higher","lower")</f>
        <v>104</v>
      </c>
      <c r="AQ137" t="s" s="44">
        <v>142</v>
      </c>
      <c r="AR137" s="15">
        <f>AF94</f>
        <v>225.655883854636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1624.2</v>
      </c>
      <c r="AC139" s="15">
        <f>AE104</f>
        <v>1564.1</v>
      </c>
      <c r="AD139" s="15">
        <f>AG104</f>
        <v>2011.9</v>
      </c>
      <c r="AE139" s="15">
        <f>AI104</f>
        <v>1115.9</v>
      </c>
      <c r="AF139" s="15">
        <f>AK104</f>
        <v>1624.2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-259.5</v>
      </c>
      <c r="AC140" s="15">
        <f>SUM(AE119:AE120)</f>
        <v>-38.1</v>
      </c>
      <c r="AD140" s="15">
        <f>SUM(AG119:AG120)</f>
        <v>-205.9</v>
      </c>
      <c r="AE140" s="15">
        <f>SUM(AI119:AI120)</f>
        <v>11.6</v>
      </c>
      <c r="AF140" s="15">
        <f>SUM(AK119:AK120)</f>
        <v>-338.7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-277.2</v>
      </c>
      <c r="AC141" s="15">
        <f>SUM(AE133:AE134)</f>
        <v>-33.2</v>
      </c>
      <c r="AD141" s="15">
        <f>SUM(AG133:AG134)</f>
        <v>-184.1</v>
      </c>
      <c r="AE141" s="15">
        <f>SUM(AI133:AI134)</f>
        <v>18.2</v>
      </c>
      <c r="AF141" s="15">
        <f>SUM(AK133:AK134)</f>
        <v>-385.1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-3031</v>
      </c>
      <c r="AC142" s="15">
        <f>(AE126-AE127)</f>
        <v>-3260</v>
      </c>
      <c r="AD142" s="15">
        <f>(AG126-AG127)</f>
        <v>-3279</v>
      </c>
      <c r="AE142" s="15">
        <f>(AI126-AI127)</f>
        <v>-3218</v>
      </c>
      <c r="AF142" s="15">
        <f>(AK126-AK127)</f>
        <v>-3380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225.655883854636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7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5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84" customWidth="1"/>
    <col min="2" max="27" width="10.4844" style="284" customWidth="1"/>
    <col min="28" max="28" width="18.9766" style="285" customWidth="1"/>
    <col min="29" max="32" width="9" style="285" customWidth="1"/>
    <col min="33" max="46" hidden="1" width="16.3333" style="285" customWidth="1"/>
    <col min="47" max="16384" width="16.3516" style="285" customWidth="1"/>
  </cols>
  <sheetData>
    <row r="1" ht="11.65" customHeight="1"/>
    <row r="2" ht="27.65" customHeight="1">
      <c r="B2" t="s" s="2">
        <v>643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164</v>
      </c>
      <c r="Z3" t="s" s="3">
        <v>19</v>
      </c>
      <c r="AA3" t="s" s="3">
        <v>20</v>
      </c>
    </row>
    <row r="4" ht="20.25" customHeight="1">
      <c r="B4" s="6">
        <v>2017</v>
      </c>
      <c r="C4" s="87">
        <v>4894.4</v>
      </c>
      <c r="D4" s="88">
        <v>325.85</v>
      </c>
      <c r="E4" s="88">
        <v>758.1</v>
      </c>
      <c r="F4" s="8">
        <v>5373.2</v>
      </c>
      <c r="G4" s="8">
        <v>5665.8</v>
      </c>
      <c r="H4" s="8">
        <v>17183.6</v>
      </c>
      <c r="I4" s="8">
        <v>4748.1</v>
      </c>
      <c r="J4" s="8">
        <v>1170.4</v>
      </c>
      <c r="K4" s="8">
        <v>-159.6</v>
      </c>
      <c r="L4" s="8">
        <v>0</v>
      </c>
      <c r="M4" s="8">
        <v>-661.675</v>
      </c>
      <c r="N4" s="9"/>
      <c r="O4" s="9"/>
      <c r="P4" s="9"/>
      <c r="Q4" s="9"/>
      <c r="R4" s="9"/>
      <c r="S4" s="9"/>
      <c r="T4" s="9"/>
      <c r="U4" s="8">
        <f>-(L4+M4)</f>
        <v>661.675</v>
      </c>
      <c r="V4" s="9"/>
      <c r="W4" s="9"/>
      <c r="X4" s="9"/>
      <c r="Y4" s="8"/>
      <c r="Z4" s="11"/>
      <c r="AA4" s="12">
        <v>13.3</v>
      </c>
    </row>
    <row r="5" ht="20.05" customHeight="1">
      <c r="B5" s="13"/>
      <c r="C5" s="38">
        <v>5073.5889</v>
      </c>
      <c r="D5" s="23">
        <v>326.5115</v>
      </c>
      <c r="E5" s="23">
        <v>643.56083</v>
      </c>
      <c r="F5" s="15">
        <v>4930.99</v>
      </c>
      <c r="G5" s="15">
        <v>4517.853</v>
      </c>
      <c r="H5" s="15">
        <v>16725.385</v>
      </c>
      <c r="I5" s="15">
        <v>5264.165</v>
      </c>
      <c r="J5" s="15">
        <v>799.62</v>
      </c>
      <c r="K5" s="15">
        <v>-13.327</v>
      </c>
      <c r="L5" s="15">
        <v>0</v>
      </c>
      <c r="M5" s="15">
        <v>-663.01825</v>
      </c>
      <c r="N5" s="17"/>
      <c r="O5" s="17"/>
      <c r="P5" s="17"/>
      <c r="Q5" s="17"/>
      <c r="R5" s="17"/>
      <c r="S5" s="17"/>
      <c r="T5" s="17"/>
      <c r="U5" s="15">
        <f>-(L5+M5)+U4</f>
        <v>1324.69325</v>
      </c>
      <c r="V5" s="17"/>
      <c r="W5" s="17"/>
      <c r="X5" s="17"/>
      <c r="Y5" s="15"/>
      <c r="Z5" s="19"/>
      <c r="AA5" s="20">
        <v>13.327</v>
      </c>
    </row>
    <row r="6" ht="20.05" customHeight="1">
      <c r="B6" s="13"/>
      <c r="C6" s="38">
        <v>5525.5665</v>
      </c>
      <c r="D6" s="23">
        <v>325.9725</v>
      </c>
      <c r="E6" s="23">
        <v>887.57655</v>
      </c>
      <c r="F6" s="15">
        <v>5348.61</v>
      </c>
      <c r="G6" s="15">
        <v>4869.63</v>
      </c>
      <c r="H6" s="15">
        <v>17921.835</v>
      </c>
      <c r="I6" s="15">
        <v>5135.73</v>
      </c>
      <c r="J6" s="15">
        <v>971.265</v>
      </c>
      <c r="K6" s="15">
        <v>-532.2</v>
      </c>
      <c r="L6" s="15">
        <v>0</v>
      </c>
      <c r="M6" s="15">
        <v>-661.92375</v>
      </c>
      <c r="N6" s="17"/>
      <c r="O6" s="17"/>
      <c r="P6" s="17"/>
      <c r="Q6" s="17"/>
      <c r="R6" s="17"/>
      <c r="S6" s="17"/>
      <c r="T6" s="17"/>
      <c r="U6" s="15">
        <f>-(L6+M6)+U5</f>
        <v>1986.617</v>
      </c>
      <c r="V6" s="17"/>
      <c r="W6" s="17"/>
      <c r="X6" s="17"/>
      <c r="Y6" s="15"/>
      <c r="Z6" s="19"/>
      <c r="AA6" s="20">
        <v>13.305</v>
      </c>
    </row>
    <row r="7" ht="20.05" customHeight="1">
      <c r="B7" s="13"/>
      <c r="C7" s="38">
        <v>7130.982</v>
      </c>
      <c r="D7" s="23">
        <v>332.1465</v>
      </c>
      <c r="E7" s="23">
        <v>1098.117</v>
      </c>
      <c r="F7" s="15">
        <v>5070.318</v>
      </c>
      <c r="G7" s="15">
        <v>5436.357</v>
      </c>
      <c r="H7" s="15">
        <v>18423.963</v>
      </c>
      <c r="I7" s="15">
        <v>6778.5</v>
      </c>
      <c r="J7" s="15">
        <v>1328.586</v>
      </c>
      <c r="K7" s="15">
        <v>-284.697</v>
      </c>
      <c r="L7" s="15">
        <v>0</v>
      </c>
      <c r="M7" s="15">
        <v>-674.46075</v>
      </c>
      <c r="N7" s="17"/>
      <c r="O7" s="17"/>
      <c r="P7" s="17"/>
      <c r="Q7" s="17"/>
      <c r="R7" s="17"/>
      <c r="S7" s="17"/>
      <c r="T7" s="17"/>
      <c r="U7" s="15">
        <f>-(L7+M7)+U6</f>
        <v>2661.07775</v>
      </c>
      <c r="V7" s="17"/>
      <c r="W7" s="17"/>
      <c r="X7" s="17"/>
      <c r="Y7" s="15"/>
      <c r="Z7" s="19"/>
      <c r="AA7" s="20">
        <v>13.557</v>
      </c>
    </row>
    <row r="8" ht="20.05" customHeight="1">
      <c r="B8" s="21">
        <v>2018</v>
      </c>
      <c r="C8" s="38">
        <v>5201.658</v>
      </c>
      <c r="D8" s="23">
        <v>344.025</v>
      </c>
      <c r="E8" s="23">
        <v>798.138</v>
      </c>
      <c r="F8" s="15">
        <v>5834.664</v>
      </c>
      <c r="G8" s="15">
        <v>6880.5</v>
      </c>
      <c r="H8" s="15">
        <v>18893.853</v>
      </c>
      <c r="I8" s="15">
        <v>5651.6427</v>
      </c>
      <c r="J8" s="15">
        <v>884.8323</v>
      </c>
      <c r="K8" s="15">
        <v>-214.25877</v>
      </c>
      <c r="L8" s="15">
        <v>0</v>
      </c>
      <c r="M8" s="15">
        <v>-856.62225</v>
      </c>
      <c r="N8" s="23">
        <f>SUM(C5:C8)/4</f>
        <v>5732.94885</v>
      </c>
      <c r="O8" s="17"/>
      <c r="P8" s="16">
        <f>C8/C7-1</f>
        <v>-0.270555163370206</v>
      </c>
      <c r="Q8" s="16">
        <f>(D5+D6+D7+D8+E5+E6+E7+E8-C5-C6-C7-C8)/(C5+C6+C7+C8)</f>
        <v>-0.792600282836991</v>
      </c>
      <c r="R8" s="17"/>
      <c r="S8" s="15">
        <f>SUM(J5:K8)/4</f>
        <v>734.9551325</v>
      </c>
      <c r="T8" s="17"/>
      <c r="U8" s="15">
        <f>-(L8+M8)+U7</f>
        <v>3517.7</v>
      </c>
      <c r="V8" s="17"/>
      <c r="W8" s="15">
        <f>F8-G8</f>
        <v>-1045.836</v>
      </c>
      <c r="X8" s="24"/>
      <c r="Y8" s="18">
        <v>28500</v>
      </c>
      <c r="Z8" s="22"/>
      <c r="AA8" s="20">
        <v>13.761</v>
      </c>
    </row>
    <row r="9" ht="20.05" customHeight="1">
      <c r="B9" s="13"/>
      <c r="C9" s="38">
        <v>6032.46</v>
      </c>
      <c r="D9" s="23">
        <v>350</v>
      </c>
      <c r="E9" s="23">
        <v>623</v>
      </c>
      <c r="F9" s="15">
        <v>3752</v>
      </c>
      <c r="G9" s="15">
        <v>5754</v>
      </c>
      <c r="H9" s="15">
        <v>18340</v>
      </c>
      <c r="I9" s="15">
        <v>5138</v>
      </c>
      <c r="J9" s="15">
        <v>404.6</v>
      </c>
      <c r="K9" s="15">
        <v>-491.82</v>
      </c>
      <c r="L9" s="15">
        <v>0</v>
      </c>
      <c r="M9" s="15">
        <v>-871.5</v>
      </c>
      <c r="N9" s="23">
        <f>SUM(C6:C9)/4</f>
        <v>5972.666625</v>
      </c>
      <c r="O9" s="17"/>
      <c r="P9" s="16">
        <f>C9/C8-1</f>
        <v>0.159718689694709</v>
      </c>
      <c r="Q9" s="16">
        <f>(D6+D7+D8+D9+E6+E7+E8+E9-C6-C7-C8-C9)/(C6+C7+C8+C9)</f>
        <v>-0.800801892655443</v>
      </c>
      <c r="R9" s="17"/>
      <c r="S9" s="15">
        <f>SUM(J6:K9)/4</f>
        <v>516.5768825</v>
      </c>
      <c r="T9" s="17"/>
      <c r="U9" s="15">
        <f>-(L9+M9)+U8</f>
        <v>4389.2</v>
      </c>
      <c r="V9" s="17"/>
      <c r="W9" s="15">
        <f>F9-G9</f>
        <v>-2002</v>
      </c>
      <c r="X9" s="24"/>
      <c r="Y9" s="18">
        <v>22375</v>
      </c>
      <c r="Z9" s="22"/>
      <c r="AA9" s="20">
        <v>14</v>
      </c>
    </row>
    <row r="10" ht="20.05" customHeight="1">
      <c r="B10" s="13"/>
      <c r="C10" s="38">
        <v>9035.0826</v>
      </c>
      <c r="D10" s="23">
        <v>372.55</v>
      </c>
      <c r="E10" s="23">
        <v>1408.239</v>
      </c>
      <c r="F10" s="15">
        <v>5230.602</v>
      </c>
      <c r="G10" s="15">
        <v>7018.842</v>
      </c>
      <c r="H10" s="15">
        <v>21950.646</v>
      </c>
      <c r="I10" s="15">
        <v>8725.866099999999</v>
      </c>
      <c r="J10" s="15">
        <v>1800.1616</v>
      </c>
      <c r="K10" s="15">
        <v>-511.1386</v>
      </c>
      <c r="L10" s="15">
        <v>0</v>
      </c>
      <c r="M10" s="15">
        <v>-927.6495</v>
      </c>
      <c r="N10" s="23">
        <f>SUM(C7:C10)/4</f>
        <v>6850.04565</v>
      </c>
      <c r="O10" s="17"/>
      <c r="P10" s="16">
        <f>C10/C9-1</f>
        <v>0.497744303319044</v>
      </c>
      <c r="Q10" s="16">
        <f>(D7+D8+D9+D10+E7+E8+E9+E10-C7-C8-C9-C10)/(C7+C8+C9+C10)</f>
        <v>-0.805613868427286</v>
      </c>
      <c r="R10" s="17"/>
      <c r="S10" s="15">
        <f>SUM(J7:K10)/4</f>
        <v>729.0663825</v>
      </c>
      <c r="T10" s="17"/>
      <c r="U10" s="15">
        <f>-(L10+M10)+U9</f>
        <v>5316.8495</v>
      </c>
      <c r="V10" s="17"/>
      <c r="W10" s="15">
        <f>F10-G10</f>
        <v>-1788.24</v>
      </c>
      <c r="X10" s="24"/>
      <c r="Y10" s="18">
        <v>25850</v>
      </c>
      <c r="Z10" s="22"/>
      <c r="AA10" s="20">
        <v>14.902</v>
      </c>
    </row>
    <row r="11" ht="20.05" customHeight="1">
      <c r="B11" s="13"/>
      <c r="C11" s="38">
        <v>8524.6078</v>
      </c>
      <c r="D11" s="23">
        <v>359.5</v>
      </c>
      <c r="E11" s="23">
        <v>891.5599999999999</v>
      </c>
      <c r="F11" s="15">
        <v>5291.84</v>
      </c>
      <c r="G11" s="15">
        <v>6801.74</v>
      </c>
      <c r="H11" s="15">
        <v>20750.34</v>
      </c>
      <c r="I11" s="15">
        <v>8739.445</v>
      </c>
      <c r="J11" s="15">
        <v>2027.58</v>
      </c>
      <c r="K11" s="15">
        <v>-345.12</v>
      </c>
      <c r="L11" s="15">
        <v>0</v>
      </c>
      <c r="M11" s="15">
        <v>-895.155</v>
      </c>
      <c r="N11" s="23">
        <f>SUM(C8:C11)/4</f>
        <v>7198.4521</v>
      </c>
      <c r="O11" s="17"/>
      <c r="P11" s="16">
        <f>C11/C10-1</f>
        <v>-0.0564991846339069</v>
      </c>
      <c r="Q11" s="16">
        <f>(D8+D9+D10+D11+E8+E9+E10+E11-C8-C9-C10-C11)/(C8+C9+C10+C11)</f>
        <v>-0.8212458759015711</v>
      </c>
      <c r="R11" s="17"/>
      <c r="S11" s="15">
        <f>SUM(J8:K11)/4</f>
        <v>888.7091325</v>
      </c>
      <c r="T11" s="17"/>
      <c r="U11" s="15">
        <f>-(L11+M11)+U10</f>
        <v>6212.0045</v>
      </c>
      <c r="V11" s="17"/>
      <c r="W11" s="15">
        <f>F11-G11</f>
        <v>-1509.9</v>
      </c>
      <c r="X11" s="24"/>
      <c r="Y11" s="18">
        <v>20250</v>
      </c>
      <c r="Z11" s="22"/>
      <c r="AA11" s="20">
        <v>14.38</v>
      </c>
    </row>
    <row r="12" ht="20.05" customHeight="1">
      <c r="B12" s="21">
        <v>2019</v>
      </c>
      <c r="C12" s="38">
        <v>6450.72</v>
      </c>
      <c r="D12" s="23">
        <v>751.16</v>
      </c>
      <c r="E12" s="23">
        <v>555.36</v>
      </c>
      <c r="F12" s="15">
        <v>5582.08</v>
      </c>
      <c r="G12" s="15">
        <v>8771.84</v>
      </c>
      <c r="H12" s="15">
        <v>20918.56</v>
      </c>
      <c r="I12" s="15">
        <v>7305.12</v>
      </c>
      <c r="J12" s="15">
        <v>356</v>
      </c>
      <c r="K12" s="15">
        <v>-227.84</v>
      </c>
      <c r="L12" s="15">
        <v>39.16</v>
      </c>
      <c r="M12" s="15">
        <v>-761.84</v>
      </c>
      <c r="N12" s="23">
        <f>SUM(C9:C12)/4</f>
        <v>7510.7176</v>
      </c>
      <c r="O12" s="17"/>
      <c r="P12" s="16">
        <f>C12/C11-1</f>
        <v>-0.243282488609036</v>
      </c>
      <c r="Q12" s="16">
        <f>(D9+D10+D11+D12+E9+E10+E11+E12-C9-C10-C11-C12)/(C9+C10+C11+C12)</f>
        <v>-0.82320700621203</v>
      </c>
      <c r="R12" s="17"/>
      <c r="S12" s="15">
        <f>SUM(J9:K12)/4</f>
        <v>753.1057499999999</v>
      </c>
      <c r="T12" s="17"/>
      <c r="U12" s="15">
        <f>-(L12+M12)+U11</f>
        <v>6934.6845</v>
      </c>
      <c r="V12" s="17"/>
      <c r="W12" s="15">
        <f>F12-G12</f>
        <v>-3189.76</v>
      </c>
      <c r="X12" s="24"/>
      <c r="Y12" s="18">
        <v>23925</v>
      </c>
      <c r="Z12" s="22"/>
      <c r="AA12" s="20">
        <v>14.24</v>
      </c>
    </row>
    <row r="13" ht="20.05" customHeight="1">
      <c r="B13" s="13"/>
      <c r="C13" s="38">
        <v>6211.6419</v>
      </c>
      <c r="D13" s="23">
        <v>745.19925</v>
      </c>
      <c r="E13" s="23">
        <v>423.81</v>
      </c>
      <c r="F13" s="15">
        <v>4054.449</v>
      </c>
      <c r="G13" s="15">
        <v>6201.753</v>
      </c>
      <c r="H13" s="15">
        <v>18704.148</v>
      </c>
      <c r="I13" s="15">
        <v>6102.864</v>
      </c>
      <c r="J13" s="15">
        <v>1271.43</v>
      </c>
      <c r="K13" s="15">
        <v>-367.302</v>
      </c>
      <c r="L13" s="15">
        <v>38.84925</v>
      </c>
      <c r="M13" s="15">
        <v>-755.7945</v>
      </c>
      <c r="N13" s="23">
        <f>SUM(C10:C13)/4</f>
        <v>7555.513075</v>
      </c>
      <c r="O13" s="17"/>
      <c r="P13" s="16">
        <f>C13/C12-1</f>
        <v>-0.037062234913312</v>
      </c>
      <c r="Q13" s="16">
        <f>(D10+D11+D12+D13+E10+E11+E12+E13-C10-C11-C12-C13)/(C10+C11+C12+C13)</f>
        <v>-0.817769548032977</v>
      </c>
      <c r="R13" s="17"/>
      <c r="S13" s="15">
        <f>SUM(J10:K13)/4</f>
        <v>1000.94275</v>
      </c>
      <c r="T13" s="17"/>
      <c r="U13" s="15">
        <f>-(L13+M13)+U12</f>
        <v>7651.62975</v>
      </c>
      <c r="V13" s="17"/>
      <c r="W13" s="15">
        <f>F13-G13</f>
        <v>-2147.304</v>
      </c>
      <c r="X13" s="24"/>
      <c r="Y13" s="18">
        <v>17550</v>
      </c>
      <c r="Z13" s="24"/>
      <c r="AA13" s="15">
        <v>14.127</v>
      </c>
    </row>
    <row r="14" ht="20.05" customHeight="1">
      <c r="B14" s="13"/>
      <c r="C14" s="38">
        <v>5849.7595</v>
      </c>
      <c r="D14" s="23">
        <v>748.78625</v>
      </c>
      <c r="E14" s="23">
        <v>420.172</v>
      </c>
      <c r="F14" s="15">
        <v>3846.845</v>
      </c>
      <c r="G14" s="15">
        <v>5635.415</v>
      </c>
      <c r="H14" s="15">
        <v>18567.06</v>
      </c>
      <c r="I14" s="15">
        <v>6174.825</v>
      </c>
      <c r="J14" s="15">
        <v>-198.73</v>
      </c>
      <c r="K14" s="15">
        <v>-127.755</v>
      </c>
      <c r="L14" s="15">
        <v>39.03625</v>
      </c>
      <c r="M14" s="15">
        <v>-759.4325</v>
      </c>
      <c r="N14" s="23">
        <f>SUM(C11:C14)/4</f>
        <v>6759.1823</v>
      </c>
      <c r="O14" s="17"/>
      <c r="P14" s="16">
        <f>C14/C13-1</f>
        <v>-0.058258735101906</v>
      </c>
      <c r="Q14" s="16">
        <f>(D11+D12+D13+D14+E11+E12+E13+E14-C11-C12-C13-C14)/(C11+C12+C13+C14)</f>
        <v>-0.818929743173224</v>
      </c>
      <c r="R14" s="17"/>
      <c r="S14" s="15">
        <f>SUM(J11:K14)/4</f>
        <v>597.06575</v>
      </c>
      <c r="T14" s="17"/>
      <c r="U14" s="15">
        <f>-(L14+M14)+U13</f>
        <v>8372.026</v>
      </c>
      <c r="V14" s="17"/>
      <c r="W14" s="15">
        <f>F14-G14</f>
        <v>-1788.57</v>
      </c>
      <c r="X14" s="24"/>
      <c r="Y14" s="18">
        <v>12400</v>
      </c>
      <c r="Z14" s="24"/>
      <c r="AA14" s="15">
        <v>14.195</v>
      </c>
    </row>
    <row r="15" ht="20.05" customHeight="1">
      <c r="B15" s="13"/>
      <c r="C15" s="38">
        <v>5708.2784</v>
      </c>
      <c r="D15" s="23">
        <v>732.2755</v>
      </c>
      <c r="E15" s="23">
        <v>394.2488</v>
      </c>
      <c r="F15" s="15">
        <v>2207.238</v>
      </c>
      <c r="G15" s="15">
        <v>4511.65</v>
      </c>
      <c r="H15" s="15">
        <v>16783.338</v>
      </c>
      <c r="I15" s="15">
        <v>5816.558</v>
      </c>
      <c r="J15" s="15">
        <v>-152.702</v>
      </c>
      <c r="K15" s="15">
        <v>-624.6900000000001</v>
      </c>
      <c r="L15" s="15">
        <v>38.1755</v>
      </c>
      <c r="M15" s="15">
        <v>-742.687</v>
      </c>
      <c r="N15" s="23">
        <f>SUM(C12:C15)/4</f>
        <v>6055.09995</v>
      </c>
      <c r="O15" s="17"/>
      <c r="P15" s="16">
        <f>C15/C14-1</f>
        <v>-0.024185797723821</v>
      </c>
      <c r="Q15" s="16">
        <f>(D12+D13+D14+D15+E12+E13+E14+E15-C12-C13-C14-C15)/(C12+C13+C14+C15)</f>
        <v>-0.80301680238986</v>
      </c>
      <c r="R15" s="17"/>
      <c r="S15" s="15">
        <f>SUM(J12:K15)/4</f>
        <v>-17.89725</v>
      </c>
      <c r="T15" s="17"/>
      <c r="U15" s="15">
        <f>-(L15+M15)+U14</f>
        <v>9076.5375</v>
      </c>
      <c r="V15" s="17"/>
      <c r="W15" s="15">
        <f>F15-G15</f>
        <v>-2304.412</v>
      </c>
      <c r="X15" s="24"/>
      <c r="Y15" s="18">
        <v>11475</v>
      </c>
      <c r="Z15" s="24"/>
      <c r="AA15" s="15">
        <v>13.882</v>
      </c>
    </row>
    <row r="16" ht="20.05" customHeight="1">
      <c r="B16" s="21">
        <v>2020</v>
      </c>
      <c r="C16" s="38">
        <v>5967.829</v>
      </c>
      <c r="D16" s="23">
        <v>815.5</v>
      </c>
      <c r="E16" s="23">
        <v>234.864</v>
      </c>
      <c r="F16" s="15">
        <v>3620.82</v>
      </c>
      <c r="G16" s="15">
        <v>6099.94</v>
      </c>
      <c r="H16" s="15">
        <v>20208.09</v>
      </c>
      <c r="I16" s="15">
        <v>6458.76</v>
      </c>
      <c r="J16" s="15">
        <v>1500.52</v>
      </c>
      <c r="K16" s="15">
        <v>-212.03</v>
      </c>
      <c r="L16" s="15">
        <v>138.635</v>
      </c>
      <c r="M16" s="15">
        <v>-265.0375</v>
      </c>
      <c r="N16" s="23">
        <f>SUM(C13:C16)/4</f>
        <v>5934.3772</v>
      </c>
      <c r="O16" s="15"/>
      <c r="P16" s="16">
        <f>C16/C15-1</f>
        <v>0.0454691558141243</v>
      </c>
      <c r="Q16" s="16">
        <f>(D13+D14+D15+D16+E13+E14+E15+E16-C13-C14-C15-C16)/(C13+C14+C15+C16)</f>
        <v>-0.809800774039102</v>
      </c>
      <c r="R16" s="17"/>
      <c r="S16" s="15">
        <f>SUM(J13:K16)/4</f>
        <v>272.18525</v>
      </c>
      <c r="T16" s="17"/>
      <c r="U16" s="15">
        <f>-(L16+M16)+U15</f>
        <v>9202.940000000001</v>
      </c>
      <c r="V16" s="17"/>
      <c r="W16" s="15">
        <f>F16-G16</f>
        <v>-2479.12</v>
      </c>
      <c r="X16" s="24"/>
      <c r="Y16" s="18">
        <v>8100</v>
      </c>
      <c r="Z16" s="24"/>
      <c r="AA16" s="15">
        <v>16.31</v>
      </c>
    </row>
    <row r="17" ht="20.05" customHeight="1">
      <c r="B17" s="13"/>
      <c r="C17" s="38">
        <v>4086.9085</v>
      </c>
      <c r="D17" s="23">
        <v>712.75</v>
      </c>
      <c r="E17" s="23">
        <v>200.9955</v>
      </c>
      <c r="F17" s="15">
        <v>2965.04</v>
      </c>
      <c r="G17" s="15">
        <v>5231.585</v>
      </c>
      <c r="H17" s="15">
        <v>17519.395</v>
      </c>
      <c r="I17" s="15">
        <v>4048.42</v>
      </c>
      <c r="J17" s="15">
        <v>427.65</v>
      </c>
      <c r="K17" s="15">
        <v>-128.295</v>
      </c>
      <c r="L17" s="15">
        <v>121.1675</v>
      </c>
      <c r="M17" s="15">
        <v>-231.64375</v>
      </c>
      <c r="N17" s="23">
        <f>SUM(C14:C17)/4</f>
        <v>5403.19385</v>
      </c>
      <c r="O17" s="15"/>
      <c r="P17" s="16">
        <f>C17/C16-1</f>
        <v>-0.315176674800836</v>
      </c>
      <c r="Q17" s="16">
        <f>(D14+D15+D16+D17+E14+E15+E16+E17-C14-C15-C16-C17)/(C14+C15+C16+C17)</f>
        <v>-0.802913232050706</v>
      </c>
      <c r="R17" s="17"/>
      <c r="S17" s="15">
        <f>SUM(J14:K17)/4</f>
        <v>120.992</v>
      </c>
      <c r="T17" s="17"/>
      <c r="U17" s="15">
        <f>-(L17+M17)+U16</f>
        <v>9313.41625</v>
      </c>
      <c r="V17" s="17"/>
      <c r="W17" s="15">
        <f>F17-G17</f>
        <v>-2266.545</v>
      </c>
      <c r="X17" s="24"/>
      <c r="Y17" s="18">
        <v>7100</v>
      </c>
      <c r="Z17" s="24"/>
      <c r="AA17" s="15">
        <v>14.255</v>
      </c>
    </row>
    <row r="18" ht="20.05" customHeight="1">
      <c r="B18" s="13"/>
      <c r="C18" s="38">
        <v>3243.447</v>
      </c>
      <c r="D18" s="23">
        <v>739.5</v>
      </c>
      <c r="E18" s="23">
        <v>149.379</v>
      </c>
      <c r="F18" s="15">
        <v>3091.11</v>
      </c>
      <c r="G18" s="15">
        <v>4673.64</v>
      </c>
      <c r="H18" s="15">
        <v>17452.2</v>
      </c>
      <c r="I18" s="15">
        <v>3727.08</v>
      </c>
      <c r="J18" s="15">
        <v>310.59</v>
      </c>
      <c r="K18" s="15">
        <v>-221.85</v>
      </c>
      <c r="L18" s="15">
        <v>125.715</v>
      </c>
      <c r="M18" s="15">
        <v>-240.3375</v>
      </c>
      <c r="N18" s="23">
        <f>SUM(C15:C18)/4</f>
        <v>4751.615725</v>
      </c>
      <c r="O18" s="15"/>
      <c r="P18" s="16">
        <f>C18/C17-1</f>
        <v>-0.20638130263988</v>
      </c>
      <c r="Q18" s="16">
        <f>(D15+D16+D17+D18+E15+E16+E17+E18-C15-C16-C17-C18)/(C15+C16+C17+C18)</f>
        <v>-0.790623177971741</v>
      </c>
      <c r="R18" s="17"/>
      <c r="S18" s="15">
        <f>SUM(J15:K18)/4</f>
        <v>224.79825</v>
      </c>
      <c r="T18" s="17"/>
      <c r="U18" s="15">
        <f>-(L18+M18)+U17</f>
        <v>9428.03875</v>
      </c>
      <c r="V18" s="17"/>
      <c r="W18" s="15">
        <f>F18-G18</f>
        <v>-1582.53</v>
      </c>
      <c r="X18" s="24"/>
      <c r="Y18" s="15">
        <v>8150</v>
      </c>
      <c r="Z18" s="24"/>
      <c r="AA18" s="15">
        <v>14.79</v>
      </c>
    </row>
    <row r="19" ht="20.05" customHeight="1">
      <c r="B19" s="13"/>
      <c r="C19" s="38">
        <v>4418.94</v>
      </c>
      <c r="D19" s="23">
        <v>705</v>
      </c>
      <c r="E19" s="23">
        <v>-11.28</v>
      </c>
      <c r="F19" s="15">
        <v>3257.1</v>
      </c>
      <c r="G19" s="15">
        <v>4413.3</v>
      </c>
      <c r="H19" s="15">
        <v>16341.9</v>
      </c>
      <c r="I19" s="15">
        <v>4335.75</v>
      </c>
      <c r="J19" s="15">
        <v>80.37</v>
      </c>
      <c r="K19" s="15">
        <v>-109.98</v>
      </c>
      <c r="L19" s="15">
        <v>119.85</v>
      </c>
      <c r="M19" s="15">
        <v>-229.125</v>
      </c>
      <c r="N19" s="23">
        <f>SUM(C16:C19)/4</f>
        <v>4429.281125</v>
      </c>
      <c r="O19" s="15"/>
      <c r="P19" s="16">
        <f>C19/C18-1</f>
        <v>0.362420905906586</v>
      </c>
      <c r="Q19" s="16">
        <f>(D16+D17+D18+D19+E16+E17+E18+E19-C16-C17-C18-C19)/(C16+C17+C18+C19)</f>
        <v>-0.799814665184522</v>
      </c>
      <c r="R19" s="17"/>
      <c r="S19" s="15">
        <f>SUM(J16:K19)/4</f>
        <v>411.74375</v>
      </c>
      <c r="T19" s="17"/>
      <c r="U19" s="15">
        <f>-(L19+M19)+U18</f>
        <v>9537.313749999999</v>
      </c>
      <c r="V19" s="17"/>
      <c r="W19" s="15">
        <f>F19-G19</f>
        <v>-1156.2</v>
      </c>
      <c r="X19" s="24"/>
      <c r="Y19" s="15">
        <v>13850</v>
      </c>
      <c r="Z19" s="24"/>
      <c r="AA19" s="15">
        <v>14.1</v>
      </c>
    </row>
    <row r="20" ht="20.05" customHeight="1">
      <c r="B20" s="21">
        <v>2021</v>
      </c>
      <c r="C20" s="38">
        <v>4151.0252</v>
      </c>
      <c r="D20" s="23">
        <v>582.7794</v>
      </c>
      <c r="E20" s="23">
        <v>613.452</v>
      </c>
      <c r="F20" s="15">
        <v>4031.256</v>
      </c>
      <c r="G20" s="15">
        <v>4644.708</v>
      </c>
      <c r="H20" s="15">
        <v>17541.806</v>
      </c>
      <c r="I20" s="15">
        <v>4007.8864</v>
      </c>
      <c r="J20" s="15">
        <v>727.3788</v>
      </c>
      <c r="K20" s="15">
        <v>-58.424</v>
      </c>
      <c r="L20" s="15">
        <v>0</v>
      </c>
      <c r="M20" s="15">
        <v>0</v>
      </c>
      <c r="N20" s="23">
        <f>SUM(C17:C20)/4</f>
        <v>3975.080175</v>
      </c>
      <c r="O20" s="15">
        <v>4565.287875</v>
      </c>
      <c r="P20" s="16">
        <f>C20/C19-1</f>
        <v>-0.0606287480708043</v>
      </c>
      <c r="Q20" s="16">
        <f>(D17+D18+D19+D20+E17+E18+E19+E20-C17-C18-C19-C20)/(C17+C18+C19+C20)</f>
        <v>-0.767767206104214</v>
      </c>
      <c r="R20" s="17"/>
      <c r="S20" s="15">
        <f>SUM(J17:K20)/4</f>
        <v>256.85995</v>
      </c>
      <c r="T20" s="17"/>
      <c r="U20" s="15">
        <f>-(L20+M20)+U19</f>
        <v>9537.313749999999</v>
      </c>
      <c r="V20" s="17"/>
      <c r="W20" s="15">
        <f>F20-G20</f>
        <v>-613.452</v>
      </c>
      <c r="X20" s="15"/>
      <c r="Y20" s="15">
        <v>11266.989258</v>
      </c>
      <c r="Z20" s="15"/>
      <c r="AA20" s="15">
        <v>14.606</v>
      </c>
    </row>
    <row r="21" ht="20.05" customHeight="1">
      <c r="B21" s="13"/>
      <c r="C21" s="38">
        <v>5665.845</v>
      </c>
      <c r="D21" s="23">
        <v>591.005</v>
      </c>
      <c r="E21" s="23">
        <v>1092.42</v>
      </c>
      <c r="F21" s="15">
        <v>5635.5</v>
      </c>
      <c r="G21" s="15">
        <v>5895.6</v>
      </c>
      <c r="H21" s="15">
        <v>18987.3</v>
      </c>
      <c r="I21" s="15">
        <v>5433.2</v>
      </c>
      <c r="J21" s="15">
        <v>1986.875</v>
      </c>
      <c r="K21" s="15">
        <v>-105.485</v>
      </c>
      <c r="L21" s="15">
        <v>-55.24235</v>
      </c>
      <c r="M21" s="15">
        <v>-183.18265</v>
      </c>
      <c r="N21" s="23">
        <f>SUM(C18:C21)/4</f>
        <v>4369.8143</v>
      </c>
      <c r="O21" s="15">
        <v>4530.49405</v>
      </c>
      <c r="P21" s="16">
        <f>C21/C20-1</f>
        <v>0.364926669199696</v>
      </c>
      <c r="Q21" s="16">
        <f>(D18+D19+D20+D21+E18+E19+E20+E21-C18-C19-C20-C21)/(C18+C19+C20+C21)</f>
        <v>-0.744711382815512</v>
      </c>
      <c r="R21" s="17"/>
      <c r="S21" s="15">
        <f>SUM(J18:K21)/4</f>
        <v>652.3687</v>
      </c>
      <c r="T21" s="17"/>
      <c r="U21" s="15">
        <f>-(L21+M21)+U20</f>
        <v>9775.73875</v>
      </c>
      <c r="V21" s="17"/>
      <c r="W21" s="15">
        <f>F21-G21</f>
        <v>-260.1</v>
      </c>
      <c r="X21" s="15"/>
      <c r="Y21" s="15">
        <v>14200</v>
      </c>
      <c r="Z21" s="15"/>
      <c r="AA21" s="15">
        <v>14.45</v>
      </c>
    </row>
    <row r="22" ht="20.05" customHeight="1">
      <c r="B22" s="13"/>
      <c r="C22" s="38">
        <v>9270.216</v>
      </c>
      <c r="D22" s="23">
        <v>723.564</v>
      </c>
      <c r="E22" s="23">
        <v>2205.0792</v>
      </c>
      <c r="F22" s="15">
        <v>7307.28</v>
      </c>
      <c r="G22" s="15">
        <v>6762.816</v>
      </c>
      <c r="H22" s="15">
        <v>21635.28</v>
      </c>
      <c r="I22" s="15">
        <v>7810.1928</v>
      </c>
      <c r="J22" s="15">
        <v>1846.8792</v>
      </c>
      <c r="K22" s="15">
        <v>-147.5784</v>
      </c>
      <c r="L22" s="15">
        <v>0</v>
      </c>
      <c r="M22" s="15">
        <v>0</v>
      </c>
      <c r="N22" s="23">
        <f>SUM(C19:C22)/4</f>
        <v>5876.50655</v>
      </c>
      <c r="O22" s="15">
        <v>4731.549768</v>
      </c>
      <c r="P22" s="16">
        <f>C22/C21-1</f>
        <v>0.636157713456687</v>
      </c>
      <c r="Q22" s="16">
        <f>(D19+D20+D21+D22+E19+E20+E21+E22-C19-C20-C21-C22)/(C19+C20+C21+C22)</f>
        <v>-0.723389247307144</v>
      </c>
      <c r="R22" s="17"/>
      <c r="S22" s="15">
        <f>SUM(J19:K22)/4</f>
        <v>1055.0089</v>
      </c>
      <c r="T22" s="17"/>
      <c r="U22" s="15">
        <f>-(L22+M22)+U21</f>
        <v>9775.73875</v>
      </c>
      <c r="V22" s="17"/>
      <c r="W22" s="15">
        <f>F22-G22</f>
        <v>544.4640000000001</v>
      </c>
      <c r="X22" s="15"/>
      <c r="Y22" s="15">
        <v>21175</v>
      </c>
      <c r="Z22" s="15"/>
      <c r="AA22" s="15">
        <v>14.328</v>
      </c>
    </row>
    <row r="23" ht="20.05" customHeight="1">
      <c r="B23" s="13"/>
      <c r="C23" s="38">
        <v>19992.1375</v>
      </c>
      <c r="D23" s="23">
        <v>668.0700000000001</v>
      </c>
      <c r="E23" s="23">
        <v>2910.6725</v>
      </c>
      <c r="F23" s="15">
        <v>9864.025</v>
      </c>
      <c r="G23" s="15">
        <v>6637.875</v>
      </c>
      <c r="H23" s="15">
        <v>23782.15</v>
      </c>
      <c r="I23" s="15">
        <v>10978.9025</v>
      </c>
      <c r="J23" s="15">
        <v>4018.4125</v>
      </c>
      <c r="K23" s="15">
        <v>-44.2525</v>
      </c>
      <c r="L23" s="15">
        <v>-55.344175</v>
      </c>
      <c r="M23" s="15">
        <v>-1337.895825</v>
      </c>
      <c r="N23" s="23">
        <f>SUM(C20:C23)/4</f>
        <v>9769.805925000001</v>
      </c>
      <c r="O23" s="15">
        <v>6220.47043125</v>
      </c>
      <c r="P23" s="16">
        <f>C23/C22-1</f>
        <v>1.15659888615325</v>
      </c>
      <c r="Q23" s="16">
        <f>(D20+D21+D22+D23+E20+E21+E22+E23-C20-C21-C22-C23)/(C20+C21+C22+C23)</f>
        <v>-0.759794560606894</v>
      </c>
      <c r="R23" s="17"/>
      <c r="S23" s="15">
        <f>SUM(J20:K23)/4</f>
        <v>2055.9514</v>
      </c>
      <c r="T23" s="17"/>
      <c r="U23" s="15">
        <f>-(L23+M23)+U22</f>
        <v>11168.97875</v>
      </c>
      <c r="V23" s="17"/>
      <c r="W23" s="15">
        <f>F23-G23</f>
        <v>3226.15</v>
      </c>
      <c r="X23" s="15"/>
      <c r="Y23" s="15">
        <v>20400</v>
      </c>
      <c r="Z23" s="15">
        <v>51578.4233049986</v>
      </c>
      <c r="AA23" s="15">
        <v>14.275</v>
      </c>
    </row>
    <row r="24" ht="20.05" customHeight="1">
      <c r="B24" s="21">
        <v>2022</v>
      </c>
      <c r="C24" s="38">
        <v>9167.847299999999</v>
      </c>
      <c r="D24" s="23">
        <v>495.7142</v>
      </c>
      <c r="E24" s="23">
        <v>3054.5164</v>
      </c>
      <c r="F24" s="15">
        <v>13209.494</v>
      </c>
      <c r="G24" s="15">
        <v>10716.596</v>
      </c>
      <c r="H24" s="15">
        <v>28310.152</v>
      </c>
      <c r="I24" s="15">
        <v>8677.8639</v>
      </c>
      <c r="J24" s="15">
        <v>2634.7353</v>
      </c>
      <c r="K24" s="15">
        <v>-181.9529</v>
      </c>
      <c r="L24" s="15">
        <v>0</v>
      </c>
      <c r="M24" s="15">
        <v>858.1873000000001</v>
      </c>
      <c r="N24" s="23">
        <f>SUM(C21:C24)/4</f>
        <v>11024.01145</v>
      </c>
      <c r="O24" s="15">
        <v>10030.561932</v>
      </c>
      <c r="P24" s="16">
        <f>C24/C23-1</f>
        <v>-0.541427358630362</v>
      </c>
      <c r="Q24" s="16">
        <f>(D21+D22+D23+D24+E21+E22+E23+E24-C21-C22-C23-C24)/(C21+C22+C23+C24)</f>
        <v>-0.733739361727532</v>
      </c>
      <c r="R24" s="35">
        <v>-0.729944362899261</v>
      </c>
      <c r="S24" s="15">
        <f>SUM(J21:K24)/4</f>
        <v>2501.9083</v>
      </c>
      <c r="T24" s="15">
        <v>3695.3770517225</v>
      </c>
      <c r="U24" s="15">
        <f>-(L24+M24)+U23</f>
        <v>10310.79145</v>
      </c>
      <c r="V24" s="15"/>
      <c r="W24" s="15">
        <f>F24-G24</f>
        <v>2492.898</v>
      </c>
      <c r="X24" s="15">
        <v>4228.895844689390</v>
      </c>
      <c r="Y24" s="15">
        <v>28550</v>
      </c>
      <c r="Z24" s="15">
        <v>91148.6400045216</v>
      </c>
      <c r="AA24" s="15">
        <v>14.327</v>
      </c>
    </row>
    <row r="25" ht="20.05" customHeight="1">
      <c r="B25" s="13"/>
      <c r="C25" s="38">
        <v>11458.256</v>
      </c>
      <c r="D25" s="23">
        <v>441.266</v>
      </c>
      <c r="E25" s="23">
        <v>3628.35</v>
      </c>
      <c r="F25" s="15">
        <v>11845.28</v>
      </c>
      <c r="G25" s="15">
        <v>7212.72</v>
      </c>
      <c r="H25" s="15">
        <v>28938.84</v>
      </c>
      <c r="I25" s="15">
        <v>10461.376</v>
      </c>
      <c r="J25" s="15">
        <v>2116.904</v>
      </c>
      <c r="K25" s="15">
        <v>-216.968</v>
      </c>
      <c r="L25" s="15">
        <v>-73.3</v>
      </c>
      <c r="M25" s="15">
        <v>-3427.508</v>
      </c>
      <c r="N25" s="23">
        <f>SUM(C22:C25)/4</f>
        <v>12472.1142</v>
      </c>
      <c r="O25" s="15">
        <v>11804.550855</v>
      </c>
      <c r="P25" s="16">
        <f>C25/C24-1</f>
        <v>0.24983059000121</v>
      </c>
      <c r="Q25" s="16">
        <f>(D22+D23+D24+D25+E22+E23+E24+E25-C22-C23-C24-C25)/(C22+C23+C24+C25)</f>
        <v>-0.716823626021641</v>
      </c>
      <c r="R25" s="35">
        <v>-0.729944362899261</v>
      </c>
      <c r="S25" s="15">
        <f>SUM(J22:K25)/4</f>
        <v>2506.5448</v>
      </c>
      <c r="T25" s="15">
        <v>3781.268065767560</v>
      </c>
      <c r="U25" s="15">
        <f>-(L25+M25)+U24</f>
        <v>13811.59945</v>
      </c>
      <c r="V25" s="15"/>
      <c r="W25" s="15">
        <f>F25-G25</f>
        <v>4632.56</v>
      </c>
      <c r="X25" s="15">
        <v>4327.187344394950</v>
      </c>
      <c r="Y25" s="15">
        <v>30675</v>
      </c>
      <c r="Z25" s="15">
        <v>104547.490085186</v>
      </c>
      <c r="AA25" s="15">
        <v>14.66</v>
      </c>
    </row>
    <row r="26" ht="20.05" customHeight="1">
      <c r="B26" s="13"/>
      <c r="C26" s="38">
        <v>18759.6225</v>
      </c>
      <c r="D26" s="23">
        <v>758.5515</v>
      </c>
      <c r="E26" s="23">
        <v>6804.9765</v>
      </c>
      <c r="F26" s="15">
        <v>19646.955</v>
      </c>
      <c r="G26" s="15">
        <v>8669.16</v>
      </c>
      <c r="H26" s="15">
        <v>39168.27</v>
      </c>
      <c r="I26" s="15">
        <v>17569.1835</v>
      </c>
      <c r="J26" s="15">
        <v>7282.4085</v>
      </c>
      <c r="K26" s="15">
        <v>-196.3125</v>
      </c>
      <c r="L26" s="15">
        <v>-78.52500000000001</v>
      </c>
      <c r="M26" s="15">
        <v>-1.5705</v>
      </c>
      <c r="N26" s="23">
        <f>SUM(C23:C26)/4</f>
        <v>14844.465825</v>
      </c>
      <c r="O26" s="15">
        <v>14374.9042875</v>
      </c>
      <c r="P26" s="16">
        <f>C26/C25-1</f>
        <v>0.6372144678911</v>
      </c>
      <c r="Q26" s="16">
        <f>(D23+D24+D25+D26+E23+E24+E25+E26-C23-C24-C25-C26)/(C23+C24+C25+C26)</f>
        <v>-0.6840216865802921</v>
      </c>
      <c r="R26" s="35">
        <v>-0.705176695999337</v>
      </c>
      <c r="S26" s="15">
        <f>SUM(J23:K26)/4</f>
        <v>3853.2436</v>
      </c>
      <c r="T26" s="15">
        <v>3761.641707114690</v>
      </c>
      <c r="U26" s="15">
        <f>-(L26+M26)+U25</f>
        <v>13891.69495</v>
      </c>
      <c r="V26" s="15">
        <f>U26</f>
        <v>13891.69495</v>
      </c>
      <c r="W26" s="15">
        <f>F26-G26</f>
        <v>10977.795</v>
      </c>
      <c r="X26" s="15">
        <v>8210.804839591130</v>
      </c>
      <c r="Y26" s="15">
        <v>41425</v>
      </c>
      <c r="Z26" s="15">
        <v>104547.490085186</v>
      </c>
      <c r="AA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AVERAGE(AC38:AF38)</f>
        <v>18155.5438958775</v>
      </c>
      <c r="P27" s="17"/>
      <c r="Q27" s="17"/>
      <c r="R27" s="35">
        <f>AC39</f>
        <v>-0.67</v>
      </c>
      <c r="S27" s="17"/>
      <c r="T27" s="15">
        <f>SUM(AC42:AF42)/4</f>
        <v>5795.016985639550</v>
      </c>
      <c r="U27" s="17"/>
      <c r="V27" s="15">
        <f>-SUM(AC63:AF63)+U26</f>
        <v>35033.9180560524</v>
      </c>
      <c r="W27" s="17"/>
      <c r="X27" s="15">
        <f>AF62</f>
        <v>14623.7148342559</v>
      </c>
      <c r="Y27" s="15">
        <v>35300</v>
      </c>
      <c r="Z27" s="15">
        <v>74461.1310362705</v>
      </c>
      <c r="AA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23">
        <f>SUM(N20:N26)</f>
        <v>62331.798425</v>
      </c>
      <c r="O28" s="15">
        <f>SUM(O20:O26)</f>
        <v>56257.81919875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AF75</f>
        <v>82059.1473469208</v>
      </c>
      <c r="AA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  <c r="AA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  <c r="AA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  <c r="AA31" s="15"/>
    </row>
    <row r="33" ht="27.65" customHeight="1">
      <c r="AB33" t="s" s="2">
        <v>164</v>
      </c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ht="20.25" customHeight="1">
      <c r="AB34" t="s" s="28">
        <v>366</v>
      </c>
      <c r="AC34" t="s" s="29">
        <v>24</v>
      </c>
      <c r="AD34" t="s" s="29">
        <v>25</v>
      </c>
      <c r="AE34" t="s" s="29">
        <v>26</v>
      </c>
      <c r="AF34" t="s" s="29">
        <v>23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</row>
    <row r="35" ht="20.25" customHeight="1">
      <c r="AB35" t="s" s="31">
        <v>15</v>
      </c>
      <c r="AC35" s="32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</row>
    <row r="36" ht="20.05" customHeight="1">
      <c r="AB36" t="s" s="33">
        <v>27</v>
      </c>
      <c r="AC36" s="71">
        <f>AVERAGE(P23:P26)</f>
        <v>0.3755541463538</v>
      </c>
      <c r="AD36" s="35"/>
      <c r="AE36" s="35"/>
      <c r="AF36" s="35">
        <f>AVERAGE(AC37:AF37)</f>
        <v>-0.01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</row>
    <row r="37" ht="20.05" customHeight="1">
      <c r="AB37" t="s" s="33">
        <v>13</v>
      </c>
      <c r="AC37" s="37">
        <v>-0.02</v>
      </c>
      <c r="AD37" s="35">
        <v>-0.01</v>
      </c>
      <c r="AE37" s="35">
        <v>-0.01</v>
      </c>
      <c r="AF37" s="35">
        <v>0</v>
      </c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</row>
    <row r="38" ht="20.05" customHeight="1">
      <c r="AB38" t="s" s="33">
        <v>28</v>
      </c>
      <c r="AC38" s="38">
        <f>C26*(1+AC37)</f>
        <v>18384.43005</v>
      </c>
      <c r="AD38" s="23">
        <f>AC38*(1+AD37)</f>
        <v>18200.5857495</v>
      </c>
      <c r="AE38" s="23">
        <f>AD38*(1+AE37)</f>
        <v>18018.579892005</v>
      </c>
      <c r="AF38" s="23">
        <f>AE38*(1+AF37)</f>
        <v>18018.579892005</v>
      </c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</row>
    <row r="39" ht="20.05" customHeight="1">
      <c r="AB39" t="s" s="33">
        <v>570</v>
      </c>
      <c r="AC39" s="37">
        <v>-0.67</v>
      </c>
      <c r="AD39" s="35">
        <f>AC39</f>
        <v>-0.67</v>
      </c>
      <c r="AE39" s="35">
        <f>AD39</f>
        <v>-0.67</v>
      </c>
      <c r="AF39" s="35">
        <f>AE39</f>
        <v>-0.67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B40" t="s" s="33">
        <v>571</v>
      </c>
      <c r="AC40" s="14">
        <f>AC38*AC39</f>
        <v>-12317.5681335</v>
      </c>
      <c r="AD40" s="15">
        <f>AD38*AD39</f>
        <v>-12194.392452165</v>
      </c>
      <c r="AE40" s="15">
        <f>AE38*AE39</f>
        <v>-12072.4485276434</v>
      </c>
      <c r="AF40" s="15">
        <f>AF38*AF39</f>
        <v>-12072.4485276434</v>
      </c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ht="20.05" customHeight="1">
      <c r="AB41" t="s" s="33">
        <v>29</v>
      </c>
      <c r="AC41" s="14">
        <f>AVERAGE(K26)</f>
        <v>-196.3125</v>
      </c>
      <c r="AD41" s="15">
        <f>AC41</f>
        <v>-196.3125</v>
      </c>
      <c r="AE41" s="15">
        <f>AD41</f>
        <v>-196.3125</v>
      </c>
      <c r="AF41" s="15">
        <f>AE41</f>
        <v>-196.3125</v>
      </c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ht="20.05" customHeight="1">
      <c r="AB42" t="s" s="33">
        <v>30</v>
      </c>
      <c r="AC42" s="14">
        <f>AC38+AC40+AC41</f>
        <v>5870.5494165</v>
      </c>
      <c r="AD42" s="15">
        <f>AD38+AD40+AD41</f>
        <v>5809.880797335</v>
      </c>
      <c r="AE42" s="15">
        <f>AE38+AE40+AE41</f>
        <v>5749.8188643616</v>
      </c>
      <c r="AF42" s="15">
        <f>AF38+AF40+AF41</f>
        <v>5749.8188643616</v>
      </c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ht="20.05" customHeight="1">
      <c r="AB43" t="s" s="33">
        <v>31</v>
      </c>
      <c r="AC43" s="14">
        <f>-G26/20</f>
        <v>-433.458</v>
      </c>
      <c r="AD43" s="15">
        <f>-AC58/20</f>
        <v>-411.7851</v>
      </c>
      <c r="AE43" s="15">
        <f>-AD58/20</f>
        <v>-391.195845</v>
      </c>
      <c r="AF43" s="15">
        <f>-AE58/20</f>
        <v>-371.63605275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B44" t="s" s="33">
        <v>32</v>
      </c>
      <c r="AC44" s="39">
        <v>-0.9</v>
      </c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B45" t="s" s="33">
        <v>33</v>
      </c>
      <c r="AC45" s="14">
        <f>IF(AC53&gt;0,AC53*$AC$44,0)</f>
        <v>-4951.51621485</v>
      </c>
      <c r="AD45" s="15">
        <f>IF(AD53&gt;0,AD53*$AC$44,0)</f>
        <v>-4896.9144576015</v>
      </c>
      <c r="AE45" s="15">
        <f>IF(AE53&gt;0,AE53*$AC$44,0)</f>
        <v>-4842.858717925440</v>
      </c>
      <c r="AF45" s="15">
        <f>IF(AF53&gt;0,AF53*$AC$44,0)</f>
        <v>-4842.858717925440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B46" t="s" s="33">
        <v>34</v>
      </c>
      <c r="AC46" s="14">
        <f>AC42+AC43+AC45</f>
        <v>485.57520165</v>
      </c>
      <c r="AD46" s="15">
        <f>AD42+AD43+AD45</f>
        <v>501.1812397335</v>
      </c>
      <c r="AE46" s="15">
        <f>AE42+AE43+AE45</f>
        <v>515.7643014361601</v>
      </c>
      <c r="AF46" s="15">
        <f>AF42+AF43+AF45</f>
        <v>535.324093686160</v>
      </c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B47" t="s" s="33">
        <v>35</v>
      </c>
      <c r="AC47" s="14">
        <f>-MIN(0,AC46)</f>
        <v>0</v>
      </c>
      <c r="AD47" s="15">
        <f>-MIN(AC59,AD46)</f>
        <v>0</v>
      </c>
      <c r="AE47" s="15">
        <f>-MIN(AD59,AE46)</f>
        <v>0</v>
      </c>
      <c r="AF47" s="15">
        <f>-MIN(AE59,AF46)</f>
        <v>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B48" t="s" s="33">
        <v>36</v>
      </c>
      <c r="AC48" s="14">
        <f>F26</f>
        <v>19646.955</v>
      </c>
      <c r="AD48" s="15">
        <f>AC50</f>
        <v>20132.53020165</v>
      </c>
      <c r="AE48" s="15">
        <f>AD50</f>
        <v>20633.7114413835</v>
      </c>
      <c r="AF48" s="15">
        <f>AE50</f>
        <v>21149.4757428197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B49" t="s" s="33">
        <v>37</v>
      </c>
      <c r="AC49" s="14">
        <f>AC42+AC43+AC45+AC47</f>
        <v>485.57520165</v>
      </c>
      <c r="AD49" s="15">
        <f>AD42+AD43+AD45+AD47</f>
        <v>501.1812397335</v>
      </c>
      <c r="AE49" s="15">
        <f>AE42+AE43+AE45+AE47</f>
        <v>515.7643014361601</v>
      </c>
      <c r="AF49" s="15">
        <f>AF42+AF43+AF45+AF47</f>
        <v>535.324093686160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B50" t="s" s="33">
        <v>38</v>
      </c>
      <c r="AC50" s="14">
        <f>AC48+AC49</f>
        <v>20132.53020165</v>
      </c>
      <c r="AD50" s="15">
        <f>AD48+AD49</f>
        <v>20633.7114413835</v>
      </c>
      <c r="AE50" s="15">
        <f>AE48+AE49</f>
        <v>21149.4757428197</v>
      </c>
      <c r="AF50" s="15">
        <f>AF48+AF49</f>
        <v>21684.7998365059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B51" t="s" s="41">
        <v>4</v>
      </c>
      <c r="AC51" s="14"/>
      <c r="AD51" s="15"/>
      <c r="AE51" s="15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ht="20.05" customHeight="1">
      <c r="AB52" t="s" s="33">
        <v>3</v>
      </c>
      <c r="AC52" s="14">
        <f>-AVERAGE(D24:D26)</f>
        <v>-565.177233333333</v>
      </c>
      <c r="AD52" s="15">
        <f>AC52</f>
        <v>-565.177233333333</v>
      </c>
      <c r="AE52" s="15">
        <f>AD52</f>
        <v>-565.177233333333</v>
      </c>
      <c r="AF52" s="15">
        <f>AE52</f>
        <v>-565.177233333333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B53" t="s" s="33">
        <v>4</v>
      </c>
      <c r="AC53" s="14">
        <f>AC38+AC40+AC52</f>
        <v>5501.684683166670</v>
      </c>
      <c r="AD53" s="15">
        <f>AD38+AD40+AD52</f>
        <v>5441.016064001670</v>
      </c>
      <c r="AE53" s="15">
        <f>AE38+AE40+AE52</f>
        <v>5380.954131028270</v>
      </c>
      <c r="AF53" s="15">
        <f>AF38+AF40+AF52</f>
        <v>5380.954131028270</v>
      </c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ht="20.05" customHeight="1">
      <c r="AB54" t="s" s="41">
        <v>39</v>
      </c>
      <c r="AC54" s="14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B55" t="s" s="33">
        <v>40</v>
      </c>
      <c r="AC55" s="14">
        <f>H26-F26-AC41</f>
        <v>19717.6275</v>
      </c>
      <c r="AD55" s="15">
        <f>AC55-AD41</f>
        <v>19913.94</v>
      </c>
      <c r="AE55" s="15">
        <f>AD55-AE41</f>
        <v>20110.2525</v>
      </c>
      <c r="AF55" s="15">
        <f>AE55-AF41</f>
        <v>20306.565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B56" t="s" s="33">
        <v>41</v>
      </c>
      <c r="AC56" s="14">
        <f>0-AC52</f>
        <v>565.177233333333</v>
      </c>
      <c r="AD56" s="15">
        <f>AC56-AD52</f>
        <v>1130.354466666670</v>
      </c>
      <c r="AE56" s="15">
        <f>AD56-AE52</f>
        <v>1695.5317</v>
      </c>
      <c r="AF56" s="15">
        <f>AE56-AF52</f>
        <v>2260.708933333330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B57" t="s" s="33">
        <v>42</v>
      </c>
      <c r="AC57" s="14">
        <f>AC55-AC56</f>
        <v>19152.4502666667</v>
      </c>
      <c r="AD57" s="15">
        <f>AD55-AD56</f>
        <v>18783.5855333333</v>
      </c>
      <c r="AE57" s="15">
        <f>AE55-AE56</f>
        <v>18414.7208</v>
      </c>
      <c r="AF57" s="15">
        <f>AF55-AF56</f>
        <v>18045.8560666667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B58" t="s" s="33">
        <v>6</v>
      </c>
      <c r="AC58" s="14">
        <f>G26+AC43</f>
        <v>8235.701999999999</v>
      </c>
      <c r="AD58" s="15">
        <f>AC58+AD43</f>
        <v>7823.9169</v>
      </c>
      <c r="AE58" s="15">
        <f>AD58+AE43</f>
        <v>7432.721055</v>
      </c>
      <c r="AF58" s="15">
        <f>AE58+AF43</f>
        <v>7061.08500225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B59" t="s" s="33">
        <v>35</v>
      </c>
      <c r="AC59" s="14">
        <f>AC47</f>
        <v>0</v>
      </c>
      <c r="AD59" s="15">
        <f>AC59+AD47</f>
        <v>0</v>
      </c>
      <c r="AE59" s="15">
        <f>AD59+AE47</f>
        <v>0</v>
      </c>
      <c r="AF59" s="15">
        <f>AE59+AF47</f>
        <v>0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B60" t="s" s="33">
        <v>11</v>
      </c>
      <c r="AC60" s="14">
        <f>(H26-G26)+AC53+AC45</f>
        <v>31049.2784683167</v>
      </c>
      <c r="AD60" s="15">
        <f>AC60+AD53+AD45</f>
        <v>31593.3800747169</v>
      </c>
      <c r="AE60" s="15">
        <f>AD60+AE53+AE45</f>
        <v>32131.4754878197</v>
      </c>
      <c r="AF60" s="15">
        <f>AE60+AF53+AF45</f>
        <v>32669.5709009225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B61" t="s" s="33">
        <v>43</v>
      </c>
      <c r="AC61" s="14">
        <f>AC58+AC59+AC60-AC50-AC57</f>
        <v>0</v>
      </c>
      <c r="AD61" s="15">
        <f>AD58+AD59+AD60-AD50-AD57</f>
        <v>1e-10</v>
      </c>
      <c r="AE61" s="15">
        <f>AE58+AE59+AE60-AE50-AE57</f>
        <v>0</v>
      </c>
      <c r="AF61" s="15">
        <f>AF58+AF59+AF60-AF50-AF57</f>
        <v>-1e-10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B62" t="s" s="33">
        <v>18</v>
      </c>
      <c r="AC62" s="14">
        <f>AC50-AC58-AC59</f>
        <v>11896.82820165</v>
      </c>
      <c r="AD62" s="15">
        <f>AD50-AD58-AD59</f>
        <v>12809.7945413835</v>
      </c>
      <c r="AE62" s="15">
        <f>AE50-AE58-AE59</f>
        <v>13716.7546878197</v>
      </c>
      <c r="AF62" s="15">
        <f>AF50-AF58-AF59</f>
        <v>14623.7148342559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B63" t="s" s="33">
        <v>44</v>
      </c>
      <c r="AC63" s="14">
        <f>AC43+AC45+AC47</f>
        <v>-5384.97421485</v>
      </c>
      <c r="AD63" s="15">
        <f>AD43+AD45+AD47</f>
        <v>-5308.6995576015</v>
      </c>
      <c r="AE63" s="15">
        <f>AE43+AE45+AE47</f>
        <v>-5234.054562925440</v>
      </c>
      <c r="AF63" s="15">
        <f>AF43+AF45+AF47</f>
        <v>-5214.494770675440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B64" t="s" s="33">
        <v>45</v>
      </c>
      <c r="AC64" s="14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B65" t="s" s="33">
        <v>164</v>
      </c>
      <c r="AC65" s="14"/>
      <c r="AD65" s="15"/>
      <c r="AE65" s="15"/>
      <c r="AF65" s="15">
        <v>35300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8.35" customHeight="1" hidden="1">
      <c r="AB66" t="s" s="33">
        <f>$AB65</f>
        <v>644</v>
      </c>
      <c r="AC66" s="14"/>
      <c r="AD66" s="15"/>
      <c r="AE66" s="15"/>
      <c r="AF66" s="15">
        <v>39886176000000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B67" t="s" s="33">
        <v>46</v>
      </c>
      <c r="AC67" s="14"/>
      <c r="AD67" s="15"/>
      <c r="AE67" s="15"/>
      <c r="AF67" s="15">
        <f>AF66/1000000000</f>
        <v>39886.176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B68" t="s" s="33">
        <v>47</v>
      </c>
      <c r="AC68" s="14"/>
      <c r="AD68" s="15"/>
      <c r="AE68" s="15"/>
      <c r="AF68" s="15">
        <f>AF67/AF65</f>
        <v>1.12992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B69" t="s" s="33">
        <v>48</v>
      </c>
      <c r="AC69" s="14"/>
      <c r="AD69" s="15"/>
      <c r="AE69" s="15"/>
      <c r="AF69" s="43">
        <f>AF67/(AF50+AF57)</f>
        <v>1.00391436016577</v>
      </c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</row>
    <row r="70" ht="20.05" customHeight="1">
      <c r="AB70" t="s" s="33">
        <v>49</v>
      </c>
      <c r="AC70" s="14"/>
      <c r="AD70" s="15"/>
      <c r="AE70" s="15"/>
      <c r="AF70" s="16">
        <f>-(AC45+AD45+AE45+AF45)/AF67</f>
        <v>0.489747327703272</v>
      </c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</row>
    <row r="71" ht="20.05" customHeight="1">
      <c r="AB71" t="s" s="33">
        <v>50</v>
      </c>
      <c r="AC71" s="14"/>
      <c r="AD71" s="15"/>
      <c r="AE71" s="15"/>
      <c r="AF71" s="15">
        <f>SUM(AC42:AF42)</f>
        <v>23180.0679425582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B72" t="s" s="33">
        <v>51</v>
      </c>
      <c r="AC72" s="14"/>
      <c r="AD72" s="15"/>
      <c r="AE72" s="15"/>
      <c r="AF72" s="15">
        <f>(H26+F26)/AF71</f>
        <v>2.53731892183182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B73" t="s" s="33">
        <v>52</v>
      </c>
      <c r="AC73" s="14"/>
      <c r="AD73" s="15"/>
      <c r="AE73" s="15">
        <f>AF67/AF71</f>
        <v>1.72071005567545</v>
      </c>
      <c r="AF73" s="15">
        <v>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B74" t="s" s="33">
        <v>53</v>
      </c>
      <c r="AC74" s="14"/>
      <c r="AD74" s="15"/>
      <c r="AE74" s="15"/>
      <c r="AF74" s="15">
        <f>AF71*AF73</f>
        <v>92720.271770232794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B75" t="s" s="33">
        <v>54</v>
      </c>
      <c r="AC75" s="14"/>
      <c r="AD75" s="15"/>
      <c r="AE75" s="15"/>
      <c r="AF75" s="15">
        <f>(AF74/AF68)</f>
        <v>82059.1473469208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B76" t="s" s="33">
        <v>55</v>
      </c>
      <c r="AC76" s="38"/>
      <c r="AD76" s="23"/>
      <c r="AE76" s="23"/>
      <c r="AF76" s="16">
        <f>AF75/AF65-1</f>
        <v>1.32462173787311</v>
      </c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</row>
    <row r="77" ht="20.05" customHeight="1">
      <c r="AB77" t="s" s="33">
        <v>56</v>
      </c>
      <c r="AC77" s="38"/>
      <c r="AD77" s="23"/>
      <c r="AE77" s="23"/>
      <c r="AF77" s="16">
        <f>C26/C22-1</f>
        <v>1.02364459468906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B78" t="s" s="33">
        <v>57</v>
      </c>
      <c r="AC78" s="38"/>
      <c r="AD78" s="23"/>
      <c r="AE78" s="23"/>
      <c r="AF78" s="16">
        <f>O28/N28-1</f>
        <v>-0.0974459165261924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8.35" customHeight="1" hidden="1">
      <c r="AB79" s="36"/>
      <c r="AC79" s="38"/>
      <c r="AD79" s="23"/>
      <c r="AE79" s="23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8.35" customHeight="1" hidden="1">
      <c r="AB80" s="36"/>
      <c r="AC80" s="38"/>
      <c r="AD80" s="23"/>
      <c r="AE80" s="23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8.35" customHeight="1" hidden="1">
      <c r="AB81" s="36"/>
      <c r="AC81" t="s" s="45">
        <f>$AB65</f>
        <v>644</v>
      </c>
      <c r="AD81" t="s" s="44">
        <v>60</v>
      </c>
      <c r="AE81" s="15">
        <f>AF65</f>
        <v>35300</v>
      </c>
      <c r="AF81" t="s" s="44">
        <v>61</v>
      </c>
      <c r="AG81" s="15">
        <f>AF75</f>
        <v>82059.1473469208</v>
      </c>
      <c r="AH81" t="s" s="44">
        <f>IF(AI81&gt;0,"+","")</f>
        <v>361</v>
      </c>
      <c r="AI81" s="16">
        <f>AG81/AE81-1</f>
        <v>1.32462173787311</v>
      </c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ht="8.35" customHeight="1" hidden="1">
      <c r="AB82" s="36"/>
      <c r="AC82" s="46">
        <f>TODAY()</f>
        <v>44942</v>
      </c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8.35" customHeight="1" hidden="1">
      <c r="AB83" s="36"/>
      <c r="AC83" t="s" s="45">
        <v>62</v>
      </c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8.35" customHeight="1" hidden="1">
      <c r="AB84" s="36"/>
      <c r="AC84" t="s" s="45">
        <v>63</v>
      </c>
      <c r="AD84" t="s" s="44">
        <v>64</v>
      </c>
      <c r="AE84" t="s" s="44">
        <f>IF(AF84&gt;0,"+","")</f>
        <v>361</v>
      </c>
      <c r="AF84" s="16">
        <f>AG91/AC91-1</f>
        <v>1.02364459468906</v>
      </c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8.35" customHeight="1" hidden="1">
      <c r="AB85" s="36"/>
      <c r="AC85" t="s" s="45">
        <v>63</v>
      </c>
      <c r="AD85" t="s" s="44">
        <v>65</v>
      </c>
      <c r="AE85" t="s" s="44">
        <f>IF(AF85&gt;0,"+","")</f>
        <v>361</v>
      </c>
      <c r="AF85" s="16">
        <f>SUM(AD104:AG105)/AD121</f>
        <v>0.386423968043464</v>
      </c>
      <c r="AG85" t="s" s="44">
        <v>66</v>
      </c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8.35" customHeight="1" hidden="1">
      <c r="AB86" s="36"/>
      <c r="AC86" t="s" s="45">
        <v>63</v>
      </c>
      <c r="AD86" t="s" s="44">
        <v>17</v>
      </c>
      <c r="AE86" t="s" s="44">
        <f>IF(AF86&gt;0,"+","")</f>
        <v>361</v>
      </c>
      <c r="AF86" s="16">
        <f>SUM(AD118:AG119)/AD121</f>
        <v>0.103192549719482</v>
      </c>
      <c r="AG86" t="s" s="44">
        <f>AG85</f>
        <v>66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8.35" customHeight="1" hidden="1">
      <c r="AB87" s="36"/>
      <c r="AC87" t="s" s="45">
        <v>68</v>
      </c>
      <c r="AD87" t="s" s="44">
        <v>369</v>
      </c>
      <c r="AE87" s="16">
        <f>AN114/AD121</f>
        <v>0.275228063978858</v>
      </c>
      <c r="AF87" t="s" s="44">
        <f>AG86</f>
        <v>66</v>
      </c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8.35" customHeight="1" hidden="1">
      <c r="AB88" s="36"/>
      <c r="AC88" t="s" s="45">
        <v>28</v>
      </c>
      <c r="AD88" t="s" s="44">
        <f>AD92</f>
        <v>362</v>
      </c>
      <c r="AE88" s="16">
        <f>AE92</f>
        <v>0.6372144678911</v>
      </c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8.35" customHeight="1" hidden="1">
      <c r="AB89" s="36"/>
      <c r="AC89" t="s" s="45">
        <v>70</v>
      </c>
      <c r="AD89" t="s" s="44">
        <v>371</v>
      </c>
      <c r="AE89" t="s" s="44">
        <f>AK92</f>
        <v>558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8.35" customHeight="1" hidden="1">
      <c r="AB90" s="36"/>
      <c r="AC90" s="71">
        <f>P22</f>
        <v>0.636157713456687</v>
      </c>
      <c r="AD90" s="16">
        <f>P23</f>
        <v>1.15659888615325</v>
      </c>
      <c r="AE90" s="16">
        <f>P24</f>
        <v>-0.541427358630362</v>
      </c>
      <c r="AF90" s="16">
        <f>P25</f>
        <v>0.24983059000121</v>
      </c>
      <c r="AG90" s="16">
        <f>P26</f>
        <v>0.6372144678911</v>
      </c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8.35" customHeight="1" hidden="1">
      <c r="AB91" s="36"/>
      <c r="AC91" s="38">
        <f>C22</f>
        <v>9270.216</v>
      </c>
      <c r="AD91" s="23">
        <f>C23</f>
        <v>19992.1375</v>
      </c>
      <c r="AE91" s="23">
        <f>C24</f>
        <v>9167.847299999999</v>
      </c>
      <c r="AF91" s="23">
        <f>C25</f>
        <v>11458.256</v>
      </c>
      <c r="AG91" s="23">
        <f>C26</f>
        <v>18759.6225</v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8.35" customHeight="1" hidden="1">
      <c r="AB92" s="36"/>
      <c r="AC92" t="s" s="45">
        <v>2</v>
      </c>
      <c r="AD92" t="s" s="44">
        <f>IF(AE92&lt;0,"declined","grew")</f>
        <v>362</v>
      </c>
      <c r="AE92" s="16">
        <f>AG91/AF91-1</f>
        <v>0.6372144678911</v>
      </c>
      <c r="AF92" t="s" s="44">
        <v>73</v>
      </c>
      <c r="AG92" t="s" s="44">
        <v>74</v>
      </c>
      <c r="AH92" t="s" s="44">
        <v>75</v>
      </c>
      <c r="AI92" t="s" s="44">
        <v>76</v>
      </c>
      <c r="AJ92" s="23">
        <f>AG91</f>
        <v>18759.6225</v>
      </c>
      <c r="AK92" t="s" s="44">
        <v>558</v>
      </c>
      <c r="AL92" t="s" s="44">
        <v>378</v>
      </c>
      <c r="AM92" s="16">
        <v>0.0297063450445726</v>
      </c>
      <c r="AN92" t="s" s="44">
        <v>78</v>
      </c>
      <c r="AO92" s="17"/>
      <c r="AP92" s="17"/>
      <c r="AQ92" s="17"/>
      <c r="AR92" s="17"/>
      <c r="AS92" s="17"/>
      <c r="AT92" s="17"/>
    </row>
    <row r="93" ht="8.35" customHeight="1" hidden="1">
      <c r="AB93" s="36"/>
      <c r="AC93" t="s" s="45">
        <v>79</v>
      </c>
      <c r="AD93" s="16">
        <f>AVERAGE(AD90:AG90)</f>
        <v>0.3755541463538</v>
      </c>
      <c r="AE93" t="s" s="44">
        <v>80</v>
      </c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ht="8.35" customHeight="1" hidden="1">
      <c r="AB94" s="36"/>
      <c r="AC94" t="s" s="45">
        <v>81</v>
      </c>
      <c r="AD94" s="35">
        <f>AF36</f>
        <v>-0.01</v>
      </c>
      <c r="AE94" t="s" s="44">
        <v>82</v>
      </c>
      <c r="AF94" t="s" s="44">
        <v>83</v>
      </c>
      <c r="AG94" s="23">
        <f>AF38</f>
        <v>18018.579892005</v>
      </c>
      <c r="AH94" t="s" s="44">
        <f>AK92</f>
        <v>558</v>
      </c>
      <c r="AI94" t="s" s="44">
        <v>84</v>
      </c>
      <c r="AJ94" t="s" s="44">
        <f>AG92</f>
        <v>74</v>
      </c>
      <c r="AK94" t="s" s="44">
        <f>AH92</f>
        <v>75</v>
      </c>
      <c r="AL94" t="s" s="44">
        <v>85</v>
      </c>
      <c r="AM94" s="17"/>
      <c r="AN94" s="17"/>
      <c r="AO94" s="17"/>
      <c r="AP94" s="17"/>
      <c r="AQ94" s="17"/>
      <c r="AR94" s="17"/>
      <c r="AS94" s="17"/>
      <c r="AT94" s="17"/>
    </row>
    <row r="95" ht="8.35" customHeight="1" hidden="1">
      <c r="AB95" s="36"/>
      <c r="AC95" t="s" s="45">
        <v>574</v>
      </c>
      <c r="AD95" t="s" s="44">
        <f>IF(AF99&lt;AD99,"up","down")</f>
        <v>87</v>
      </c>
      <c r="AE95" t="s" s="44">
        <v>86</v>
      </c>
      <c r="AF95" t="s" s="44">
        <f>IF(AJ99&gt;AH99,"up","down")</f>
        <v>108</v>
      </c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8.35" customHeight="1" hidden="1">
      <c r="AB96" s="36"/>
      <c r="AC96" t="s" s="45">
        <f>AC89</f>
        <v>70</v>
      </c>
      <c r="AD96" t="s" s="44">
        <v>575</v>
      </c>
      <c r="AE96" t="s" s="44">
        <f>AK92</f>
        <v>558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8.35" customHeight="1" hidden="1">
      <c r="AB97" s="36"/>
      <c r="AC97" s="71">
        <f>Q22</f>
        <v>-0.723389247307144</v>
      </c>
      <c r="AD97" s="16">
        <f>Q23</f>
        <v>-0.759794560606894</v>
      </c>
      <c r="AE97" s="16">
        <f>Q24</f>
        <v>-0.733739361727532</v>
      </c>
      <c r="AF97" s="16">
        <f>Q25</f>
        <v>-0.716823626021641</v>
      </c>
      <c r="AG97" s="16">
        <f>Q26</f>
        <v>-0.6840216865802921</v>
      </c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8.35" customHeight="1" hidden="1">
      <c r="AB98" s="36"/>
      <c r="AC98" s="38">
        <f>E22</f>
        <v>2205.0792</v>
      </c>
      <c r="AD98" s="23">
        <f>E23</f>
        <v>2910.6725</v>
      </c>
      <c r="AE98" s="23">
        <f>E24</f>
        <v>3054.5164</v>
      </c>
      <c r="AF98" s="23">
        <f>E25</f>
        <v>3628.35</v>
      </c>
      <c r="AG98" s="23">
        <f>E26</f>
        <v>6804.9765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8.35" customHeight="1" hidden="1">
      <c r="AB99" s="36"/>
      <c r="AC99" t="s" s="45">
        <v>576</v>
      </c>
      <c r="AD99" s="16">
        <f>AF97</f>
        <v>-0.716823626021641</v>
      </c>
      <c r="AE99" t="s" s="44">
        <v>76</v>
      </c>
      <c r="AF99" s="16">
        <f>AG97</f>
        <v>-0.6840216865802921</v>
      </c>
      <c r="AG99" t="s" s="44">
        <v>90</v>
      </c>
      <c r="AH99" s="23">
        <f>AF98</f>
        <v>3628.35</v>
      </c>
      <c r="AI99" t="s" s="44">
        <v>76</v>
      </c>
      <c r="AJ99" s="23">
        <f>AG98</f>
        <v>6804.9765</v>
      </c>
      <c r="AK99" t="s" s="44">
        <f>AH94</f>
        <v>558</v>
      </c>
      <c r="AL99" t="s" s="44">
        <v>73</v>
      </c>
      <c r="AM99" t="s" s="44">
        <f>AJ94</f>
        <v>74</v>
      </c>
      <c r="AN99" t="s" s="44">
        <v>91</v>
      </c>
      <c r="AO99" s="17"/>
      <c r="AP99" s="17"/>
      <c r="AQ99" s="17"/>
      <c r="AR99" s="17"/>
      <c r="AS99" s="17"/>
      <c r="AT99" s="17"/>
    </row>
    <row r="100" ht="8.35" customHeight="1" hidden="1">
      <c r="AB100" s="36"/>
      <c r="AC100" t="s" s="45">
        <v>577</v>
      </c>
      <c r="AD100" s="16">
        <f>AVERAGE(AD97:AG97)</f>
        <v>-0.72359480873409</v>
      </c>
      <c r="AE100" t="s" s="44">
        <v>78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8.35" customHeight="1" hidden="1">
      <c r="AB101" s="36"/>
      <c r="AC101" t="s" s="45">
        <v>93</v>
      </c>
      <c r="AD101" s="35">
        <f>AC39</f>
        <v>-0.67</v>
      </c>
      <c r="AE101" t="s" s="44">
        <v>559</v>
      </c>
      <c r="AF101" s="15">
        <f>AF53</f>
        <v>5380.954131028270</v>
      </c>
      <c r="AG101" t="s" s="44">
        <f>AK99</f>
        <v>558</v>
      </c>
      <c r="AH101" t="s" s="44">
        <v>95</v>
      </c>
      <c r="AI101" t="s" s="44">
        <f>AM99</f>
        <v>74</v>
      </c>
      <c r="AJ101" t="s" s="44">
        <f>AH92</f>
        <v>75</v>
      </c>
      <c r="AK101" t="s" s="44">
        <f>AL94</f>
        <v>85</v>
      </c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8.35" customHeight="1" hidden="1">
      <c r="AB102" s="36"/>
      <c r="AC102" t="s" s="45">
        <v>15</v>
      </c>
      <c r="AD102" t="s" s="44">
        <f>IF(AF106&lt;AD106,"lower","higher")</f>
        <v>363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8.35" customHeight="1" hidden="1">
      <c r="AB103" s="36"/>
      <c r="AC103" t="s" s="45">
        <f>AC96</f>
        <v>70</v>
      </c>
      <c r="AD103" t="s" s="44">
        <v>96</v>
      </c>
      <c r="AE103" t="s" s="44">
        <f>AK92</f>
        <v>558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B104" s="36"/>
      <c r="AC104" s="14">
        <f>J22</f>
        <v>1846.8792</v>
      </c>
      <c r="AD104" s="15">
        <f>J23</f>
        <v>4018.4125</v>
      </c>
      <c r="AE104" s="15">
        <f>J24</f>
        <v>2634.7353</v>
      </c>
      <c r="AF104" s="15">
        <f>J25</f>
        <v>2116.904</v>
      </c>
      <c r="AG104" s="15">
        <f>J26</f>
        <v>7282.4085</v>
      </c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B105" s="36"/>
      <c r="AC105" s="14">
        <f>K22</f>
        <v>-147.5784</v>
      </c>
      <c r="AD105" s="15">
        <f>K23</f>
        <v>-44.2525</v>
      </c>
      <c r="AE105" s="15">
        <f>K24</f>
        <v>-181.9529</v>
      </c>
      <c r="AF105" s="15">
        <f>K25</f>
        <v>-216.968</v>
      </c>
      <c r="AG105" s="15">
        <f>K26</f>
        <v>-196.3125</v>
      </c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8.35" customHeight="1" hidden="1">
      <c r="AB106" s="36"/>
      <c r="AC106" t="s" s="45">
        <v>97</v>
      </c>
      <c r="AD106" s="15">
        <f>AF104+AF105</f>
        <v>1899.936</v>
      </c>
      <c r="AE106" t="s" s="44">
        <v>76</v>
      </c>
      <c r="AF106" s="15">
        <f>AG104+AG105</f>
        <v>7086.096</v>
      </c>
      <c r="AG106" t="s" s="44">
        <f>AG101</f>
        <v>558</v>
      </c>
      <c r="AH106" t="s" s="44">
        <v>84</v>
      </c>
      <c r="AI106" t="s" s="44">
        <f>AI101</f>
        <v>74</v>
      </c>
      <c r="AJ106" t="s" s="44">
        <v>98</v>
      </c>
      <c r="AK106" s="15">
        <f>AG105</f>
        <v>-196.3125</v>
      </c>
      <c r="AL106" t="s" s="44">
        <f>AK92</f>
        <v>558</v>
      </c>
      <c r="AM106" t="s" s="44">
        <v>99</v>
      </c>
      <c r="AN106" s="17"/>
      <c r="AO106" s="17"/>
      <c r="AP106" s="17"/>
      <c r="AQ106" s="17"/>
      <c r="AR106" s="17"/>
      <c r="AS106" s="17"/>
      <c r="AT106" s="17"/>
    </row>
    <row r="107" ht="8.35" customHeight="1" hidden="1">
      <c r="AB107" s="36"/>
      <c r="AC107" t="s" s="45">
        <v>100</v>
      </c>
      <c r="AD107" s="15">
        <f>SUM(AD104:AG105)/4</f>
        <v>3853.2436</v>
      </c>
      <c r="AE107" t="s" s="44">
        <f>AK92</f>
        <v>558</v>
      </c>
      <c r="AF107" t="s" s="44">
        <v>78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ht="8.35" customHeight="1" hidden="1">
      <c r="AB108" s="36"/>
      <c r="AC108" t="s" s="45">
        <v>101</v>
      </c>
      <c r="AD108" s="15">
        <f>AC41</f>
        <v>-196.3125</v>
      </c>
      <c r="AE108" t="s" s="44">
        <f>AE107</f>
        <v>558</v>
      </c>
      <c r="AF108" t="s" s="44">
        <v>102</v>
      </c>
      <c r="AG108" t="s" s="44">
        <v>103</v>
      </c>
      <c r="AH108" t="s" s="44">
        <f>IF(AG94&gt;AJ92,"higher","lower")</f>
        <v>104</v>
      </c>
      <c r="AI108" t="s" s="44">
        <v>105</v>
      </c>
      <c r="AJ108" s="15">
        <f>SUM(AC42:AF42)/4</f>
        <v>5795.016985639550</v>
      </c>
      <c r="AK108" t="s" s="44">
        <f>AE108</f>
        <v>558</v>
      </c>
      <c r="AL108" t="s" s="44">
        <v>106</v>
      </c>
      <c r="AM108" t="s" s="44">
        <v>107</v>
      </c>
      <c r="AN108" s="17"/>
      <c r="AO108" s="17"/>
      <c r="AP108" s="17"/>
      <c r="AQ108" s="17"/>
      <c r="AR108" s="17"/>
      <c r="AS108" s="17"/>
      <c r="AT108" s="17"/>
    </row>
    <row r="109" ht="8.35" customHeight="1" hidden="1">
      <c r="AB109" s="36"/>
      <c r="AC109" t="s" s="45">
        <v>18</v>
      </c>
      <c r="AD109" t="s" s="44">
        <f>AK114</f>
        <v>108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8.35" customHeight="1" hidden="1">
      <c r="AB110" s="36"/>
      <c r="AC110" t="s" s="45">
        <f>AC89</f>
        <v>70</v>
      </c>
      <c r="AD110" t="s" s="44">
        <v>109</v>
      </c>
      <c r="AE110" t="s" s="44">
        <f>AK92</f>
        <v>558</v>
      </c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8.35" customHeight="1" hidden="1">
      <c r="AB111" s="36"/>
      <c r="AC111" s="14">
        <f>F22</f>
        <v>7307.28</v>
      </c>
      <c r="AD111" s="15">
        <f>F23</f>
        <v>9864.025</v>
      </c>
      <c r="AE111" s="15">
        <f>F24</f>
        <v>13209.494</v>
      </c>
      <c r="AF111" s="15">
        <f>F25</f>
        <v>11845.28</v>
      </c>
      <c r="AG111" s="15">
        <f>F26</f>
        <v>19646.955</v>
      </c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ht="8.35" customHeight="1" hidden="1">
      <c r="AB112" s="36"/>
      <c r="AC112" s="14">
        <f>G22</f>
        <v>6762.816</v>
      </c>
      <c r="AD112" s="15">
        <f>G23</f>
        <v>6637.875</v>
      </c>
      <c r="AE112" s="15">
        <f>G24</f>
        <v>10716.596</v>
      </c>
      <c r="AF112" s="15">
        <f>G25</f>
        <v>7212.72</v>
      </c>
      <c r="AG112" s="15">
        <f>G26</f>
        <v>8669.16</v>
      </c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8.35" customHeight="1" hidden="1">
      <c r="AB113" s="36"/>
      <c r="AC113" t="s" s="45">
        <v>110</v>
      </c>
      <c r="AD113" t="s" s="44">
        <f>IF(AG113&lt;AE113,"declined","increased")</f>
        <v>111</v>
      </c>
      <c r="AE113" s="15">
        <f>AF111</f>
        <v>11845.28</v>
      </c>
      <c r="AF113" t="s" s="44">
        <v>76</v>
      </c>
      <c r="AG113" s="15">
        <f>AG111</f>
        <v>19646.955</v>
      </c>
      <c r="AH113" t="s" s="44">
        <f>AK108</f>
        <v>558</v>
      </c>
      <c r="AI113" t="s" s="44">
        <v>84</v>
      </c>
      <c r="AJ113" t="s" s="44">
        <f>AG92</f>
        <v>74</v>
      </c>
      <c r="AK113" t="s" s="44">
        <f>AN99</f>
        <v>91</v>
      </c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8.35" customHeight="1" hidden="1">
      <c r="AB114" s="36"/>
      <c r="AC114" t="s" s="45">
        <v>112</v>
      </c>
      <c r="AD114" t="s" s="44">
        <f>IF(AG114&lt;AE114,"declined","increased")</f>
        <v>111</v>
      </c>
      <c r="AE114" s="15">
        <f>AF112</f>
        <v>7212.72</v>
      </c>
      <c r="AF114" t="s" s="44">
        <v>76</v>
      </c>
      <c r="AG114" s="15">
        <f>AG112</f>
        <v>8669.16</v>
      </c>
      <c r="AH114" t="s" s="44">
        <f>AH113</f>
        <v>558</v>
      </c>
      <c r="AI114" t="s" s="44">
        <v>113</v>
      </c>
      <c r="AJ114" t="s" s="44">
        <v>114</v>
      </c>
      <c r="AK114" t="s" s="44">
        <f>IF(AN114&lt;AL114,"down","up")</f>
        <v>108</v>
      </c>
      <c r="AL114" s="15">
        <f>AE113-AE114</f>
        <v>4632.56</v>
      </c>
      <c r="AM114" t="s" s="44">
        <v>76</v>
      </c>
      <c r="AN114" s="15">
        <f>AG113-AG114</f>
        <v>10977.795</v>
      </c>
      <c r="AO114" t="s" s="44">
        <f>AH114</f>
        <v>558</v>
      </c>
      <c r="AP114" t="s" s="44">
        <v>115</v>
      </c>
      <c r="AQ114" s="17"/>
      <c r="AR114" s="17"/>
      <c r="AS114" s="17"/>
      <c r="AT114" s="17"/>
    </row>
    <row r="115" ht="8.35" customHeight="1" hidden="1">
      <c r="AB115" s="36"/>
      <c r="AC115" t="s" s="45">
        <v>116</v>
      </c>
      <c r="AD115" s="15">
        <f>SUM(AC45:AF45)</f>
        <v>-19534.1481083024</v>
      </c>
      <c r="AE115" t="s" s="44">
        <f>AH114</f>
        <v>558</v>
      </c>
      <c r="AF115" t="s" s="44">
        <v>117</v>
      </c>
      <c r="AG115" t="s" s="44">
        <f>IF(AH115&gt;0,"+","")</f>
      </c>
      <c r="AH115" s="15">
        <f>AC43+AD43+AE43+AF43+AC47+AD47+AE47+AF47</f>
        <v>-1608.07499775</v>
      </c>
      <c r="AI115" t="s" s="44">
        <f>AO114</f>
        <v>558</v>
      </c>
      <c r="AJ115" t="s" s="44">
        <v>118</v>
      </c>
      <c r="AK115" t="s" s="44">
        <v>119</v>
      </c>
      <c r="AL115" s="15">
        <f>AF62</f>
        <v>14623.7148342559</v>
      </c>
      <c r="AM115" t="s" s="44">
        <f>AH114</f>
        <v>558</v>
      </c>
      <c r="AN115" t="s" s="44">
        <v>120</v>
      </c>
      <c r="AO115" s="17"/>
      <c r="AP115" s="17"/>
      <c r="AQ115" s="17"/>
      <c r="AR115" s="17"/>
      <c r="AS115" s="17"/>
      <c r="AT115" s="17"/>
    </row>
    <row r="116" ht="8.35" customHeight="1" hidden="1">
      <c r="AB116" s="36"/>
      <c r="AC116" t="s" s="45">
        <v>17</v>
      </c>
      <c r="AD116" t="s" s="44">
        <f>AD120</f>
        <v>374</v>
      </c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B117" s="36"/>
      <c r="AC117" t="s" s="45">
        <f>AC89</f>
        <v>70</v>
      </c>
      <c r="AD117" t="s" s="44">
        <v>379</v>
      </c>
      <c r="AE117" t="s" s="44">
        <f>AK92</f>
        <v>558</v>
      </c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8.35" customHeight="1" hidden="1">
      <c r="AB118" s="36"/>
      <c r="AC118" s="14">
        <f>-L22</f>
        <v>0</v>
      </c>
      <c r="AD118" s="15">
        <f>-L23</f>
        <v>55.344175</v>
      </c>
      <c r="AE118" s="15">
        <f>-L24</f>
        <v>0</v>
      </c>
      <c r="AF118" s="15">
        <f>-L25</f>
        <v>73.3</v>
      </c>
      <c r="AG118" s="15">
        <f>-L26</f>
        <v>78.52500000000001</v>
      </c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8.35" customHeight="1" hidden="1">
      <c r="AB119" s="36"/>
      <c r="AC119" s="14">
        <f>-M22</f>
        <v>0</v>
      </c>
      <c r="AD119" s="15">
        <f>-M23</f>
        <v>1337.895825</v>
      </c>
      <c r="AE119" s="15">
        <f>-M24</f>
        <v>-858.1873000000001</v>
      </c>
      <c r="AF119" s="15">
        <f>-M25</f>
        <v>3427.508</v>
      </c>
      <c r="AG119" s="15">
        <f>-M26</f>
        <v>1.5705</v>
      </c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8.35" customHeight="1" hidden="1">
      <c r="AB120" s="36"/>
      <c r="AC120" t="s" s="45">
        <f>AC81</f>
        <v>644</v>
      </c>
      <c r="AD120" t="s" s="44">
        <f>IF(AE120&gt;0,"paid","(raised)")</f>
        <v>374</v>
      </c>
      <c r="AE120" s="15">
        <f>SUM(AG118:AG119)</f>
        <v>80.0955</v>
      </c>
      <c r="AF120" t="s" s="44">
        <f>AK92</f>
        <v>558</v>
      </c>
      <c r="AG120" t="s" s="44">
        <f>AF92</f>
        <v>73</v>
      </c>
      <c r="AH120" t="s" s="44">
        <f>AG92</f>
        <v>74</v>
      </c>
      <c r="AI120" t="s" s="44">
        <f>AH92</f>
        <v>75</v>
      </c>
      <c r="AJ120" s="15">
        <f>AG118</f>
        <v>78.52500000000001</v>
      </c>
      <c r="AK120" t="s" s="44">
        <f>AK92</f>
        <v>558</v>
      </c>
      <c r="AL120" t="s" s="44">
        <v>123</v>
      </c>
      <c r="AM120" s="15">
        <f>AG119</f>
        <v>1.5705</v>
      </c>
      <c r="AN120" t="s" s="44">
        <f>AK92</f>
        <v>558</v>
      </c>
      <c r="AO120" t="s" s="44">
        <v>389</v>
      </c>
      <c r="AP120" t="s" s="44">
        <v>475</v>
      </c>
      <c r="AQ120" t="s" s="44">
        <f>IF(AR120&gt;0,"pay","raise")</f>
        <v>364</v>
      </c>
      <c r="AR120" s="15">
        <f>-SUM(AC63:AF63)</f>
        <v>21142.2231060524</v>
      </c>
      <c r="AS120" t="s" s="44">
        <f>AK92</f>
        <v>558</v>
      </c>
      <c r="AT120" t="s" s="44">
        <v>126</v>
      </c>
    </row>
    <row r="121" ht="8.35" customHeight="1" hidden="1">
      <c r="AB121" s="36"/>
      <c r="AC121" t="s" s="45">
        <v>375</v>
      </c>
      <c r="AD121" s="15">
        <f>AF67</f>
        <v>39886.176</v>
      </c>
      <c r="AE121" t="s" s="44">
        <f>AK92</f>
        <v>558</v>
      </c>
      <c r="AF121" t="s" s="44">
        <v>128</v>
      </c>
      <c r="AG121" t="s" s="44">
        <v>129</v>
      </c>
      <c r="AH121" s="26">
        <f>AF69</f>
        <v>1.00391436016577</v>
      </c>
      <c r="AI121" t="s" s="44">
        <v>130</v>
      </c>
      <c r="AJ121" t="s" s="44">
        <v>131</v>
      </c>
      <c r="AK121" t="s" s="44">
        <v>132</v>
      </c>
      <c r="AL121" s="15">
        <f>AF72</f>
        <v>2.53731892183182</v>
      </c>
      <c r="AM121" t="s" s="44">
        <v>133</v>
      </c>
      <c r="AN121" s="16">
        <f>-AD115/AD121</f>
        <v>0.489747327703272</v>
      </c>
      <c r="AO121" t="s" s="44">
        <v>134</v>
      </c>
      <c r="AP121" s="17"/>
      <c r="AQ121" s="17"/>
      <c r="AR121" s="17"/>
      <c r="AS121" s="17"/>
      <c r="AT121" s="17"/>
    </row>
    <row r="122" ht="8.35" customHeight="1" hidden="1">
      <c r="AB122" s="36"/>
      <c r="AC122" t="s" s="45">
        <v>135</v>
      </c>
      <c r="AD122" s="15">
        <f>AF71</f>
        <v>23180.0679425582</v>
      </c>
      <c r="AE122" t="s" s="44">
        <f>AE121</f>
        <v>558</v>
      </c>
      <c r="AF122" t="s" s="44">
        <v>136</v>
      </c>
      <c r="AG122" s="15">
        <f>AD121/AD122</f>
        <v>1.72071005567545</v>
      </c>
      <c r="AH122" t="s" s="44">
        <v>130</v>
      </c>
      <c r="AI122" t="s" s="44">
        <v>137</v>
      </c>
      <c r="AJ122" t="s" s="44">
        <v>138</v>
      </c>
      <c r="AK122" s="15">
        <f>AF73</f>
        <v>4</v>
      </c>
      <c r="AL122" t="s" s="44">
        <v>139</v>
      </c>
      <c r="AM122" t="s" s="44">
        <v>140</v>
      </c>
      <c r="AN122" t="s" s="44">
        <v>141</v>
      </c>
      <c r="AO122" s="16">
        <f>AI81</f>
        <v>1.32462173787311</v>
      </c>
      <c r="AP122" t="s" s="44">
        <f>IF(AO122&gt;0,"higher","lower")</f>
        <v>363</v>
      </c>
      <c r="AQ122" t="s" s="44">
        <v>142</v>
      </c>
      <c r="AR122" s="15">
        <f>AG81</f>
        <v>82059.1473469208</v>
      </c>
      <c r="AS122" t="s" s="44">
        <v>143</v>
      </c>
      <c r="AT122" s="17"/>
    </row>
    <row r="123" ht="8.35" customHeight="1" hidden="1">
      <c r="AB123" s="36"/>
      <c r="AC123" s="34"/>
      <c r="AD123" s="17"/>
      <c r="AE123" s="17"/>
      <c r="AF123" s="17"/>
      <c r="AG123" s="15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ht="8.35" customHeight="1" hidden="1">
      <c r="AB124" s="36"/>
      <c r="AC124" s="38">
        <f>AC91</f>
        <v>9270.216</v>
      </c>
      <c r="AD124" s="23">
        <f>AD91</f>
        <v>19992.1375</v>
      </c>
      <c r="AE124" s="23">
        <f>AE91</f>
        <v>9167.847299999999</v>
      </c>
      <c r="AF124" s="23">
        <f>AF91</f>
        <v>11458.256</v>
      </c>
      <c r="AG124" s="23">
        <f>AG91</f>
        <v>18759.6225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8.35" customHeight="1" hidden="1">
      <c r="AB125" s="36"/>
      <c r="AC125" s="14">
        <f>SUM(AC104:AC105)</f>
        <v>1699.3008</v>
      </c>
      <c r="AD125" s="15">
        <f>SUM(AD104:AD105)</f>
        <v>3974.16</v>
      </c>
      <c r="AE125" s="15">
        <f>SUM(AE104:AE105)</f>
        <v>2452.7824</v>
      </c>
      <c r="AF125" s="15">
        <f>SUM(AF104:AF105)</f>
        <v>1899.936</v>
      </c>
      <c r="AG125" s="15">
        <f>SUM(AG104:AG105)</f>
        <v>7086.096</v>
      </c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8.35" customHeight="1" hidden="1">
      <c r="AB126" s="36"/>
      <c r="AC126" s="14">
        <f>SUM(AC118:AC119)</f>
        <v>0</v>
      </c>
      <c r="AD126" s="15">
        <f>SUM(AD118:AD119)</f>
        <v>1393.24</v>
      </c>
      <c r="AE126" s="15">
        <f>SUM(AE118:AE119)</f>
        <v>-858.1873000000001</v>
      </c>
      <c r="AF126" s="15">
        <f>SUM(AF118:AF119)</f>
        <v>3500.808</v>
      </c>
      <c r="AG126" s="15">
        <f>SUM(AG118:AG119)</f>
        <v>80.0955</v>
      </c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8.35" customHeight="1" hidden="1">
      <c r="AB127" s="36"/>
      <c r="AC127" s="14">
        <f>(AC111-AC112)</f>
        <v>544.4640000000001</v>
      </c>
      <c r="AD127" s="15">
        <f>(AD111-AD112)</f>
        <v>3226.15</v>
      </c>
      <c r="AE127" s="15">
        <f>(AE111-AE112)</f>
        <v>2492.898</v>
      </c>
      <c r="AF127" s="15">
        <f>(AF111-AF112)</f>
        <v>4632.56</v>
      </c>
      <c r="AG127" s="15">
        <f>(AG111-AG112)</f>
        <v>10977.795</v>
      </c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8.35" customHeight="1" hidden="1">
      <c r="AB128" s="36"/>
      <c r="AC128" s="34"/>
      <c r="AD128" s="17"/>
      <c r="AE128" s="17"/>
      <c r="AF128" s="17"/>
      <c r="AG128" s="15">
        <f>AR122</f>
        <v>82059.1473469208</v>
      </c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8.35" customHeight="1" hidden="1">
      <c r="AB129" s="36"/>
      <c r="AC129" s="34"/>
      <c r="AD129" s="17"/>
      <c r="AE129" s="17"/>
      <c r="AF129" s="17"/>
      <c r="AG129" s="15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8.35" customHeight="1" hidden="1">
      <c r="AB130" s="36"/>
      <c r="AC130" s="34"/>
      <c r="AD130" s="17"/>
      <c r="AE130" s="17"/>
      <c r="AF130" s="17"/>
      <c r="AG130" s="15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8.35" customHeight="1" hidden="1">
      <c r="AB131" s="36"/>
      <c r="AC131" s="34"/>
      <c r="AD131" s="17"/>
      <c r="AE131" s="17"/>
      <c r="AF131" s="17"/>
      <c r="AG131" s="15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8.35" customHeight="1" hidden="1">
      <c r="AB132" s="36"/>
      <c r="AC132" s="34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8.35" customHeight="1" hidden="1">
      <c r="AB133" s="36"/>
      <c r="AC133" s="34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8.35" customHeight="1" hidden="1">
      <c r="AB134" s="36"/>
      <c r="AC134" s="34"/>
      <c r="AD134" s="17"/>
      <c r="AE134" s="17"/>
      <c r="AF134" s="17"/>
      <c r="AG134" s="15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8.35" customHeight="1" hidden="1">
      <c r="AB135" s="36"/>
      <c r="AC135" s="34"/>
      <c r="AD135" s="17"/>
      <c r="AE135" s="17"/>
      <c r="AF135" s="17"/>
      <c r="AG135" s="15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</sheetData>
  <mergeCells count="2">
    <mergeCell ref="B2:AA2"/>
    <mergeCell ref="AB33:AT33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76" customWidth="1"/>
    <col min="2" max="28" width="10.4844" style="76" customWidth="1"/>
    <col min="29" max="29" width="18.9766" style="77" customWidth="1"/>
    <col min="30" max="48" width="9" style="77" customWidth="1"/>
    <col min="49" max="16384" width="16.3516" style="77" customWidth="1"/>
  </cols>
  <sheetData>
    <row r="1" ht="11.65" customHeight="1"/>
    <row r="2" ht="27.65" customHeight="1">
      <c r="B2" t="s" s="2">
        <v>385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256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490</v>
      </c>
      <c r="D8" s="15">
        <v>64.65000000000001</v>
      </c>
      <c r="E8" s="15">
        <v>31</v>
      </c>
      <c r="F8" s="15">
        <v>296</v>
      </c>
      <c r="G8" s="15">
        <v>3094</v>
      </c>
      <c r="H8" s="15">
        <v>6483</v>
      </c>
      <c r="I8" s="15">
        <v>551</v>
      </c>
      <c r="J8" s="15">
        <v>39.2</v>
      </c>
      <c r="K8" s="15">
        <v>-33.6</v>
      </c>
      <c r="L8" s="15">
        <v>-53.9</v>
      </c>
      <c r="M8" s="15">
        <v>0</v>
      </c>
      <c r="N8" s="15">
        <f>SUM(C5:C8)/4</f>
        <v>122.5</v>
      </c>
      <c r="O8" s="15"/>
      <c r="P8" s="16"/>
      <c r="Q8" s="16"/>
      <c r="R8" s="16"/>
      <c r="S8" s="17"/>
      <c r="T8" s="15">
        <f>SUM(J5:K8)/4</f>
        <v>1.4</v>
      </c>
      <c r="U8" s="25"/>
      <c r="V8" s="15">
        <f>-(L8+M8)+V7</f>
        <v>53.9</v>
      </c>
      <c r="W8" s="17"/>
      <c r="X8" s="15">
        <f>F8-G8</f>
        <v>-2798</v>
      </c>
      <c r="Y8" s="24"/>
      <c r="Z8" s="15">
        <v>780</v>
      </c>
      <c r="AA8" s="22"/>
      <c r="AB8" s="20">
        <v>13.761</v>
      </c>
    </row>
    <row r="9" ht="20.05" customHeight="1">
      <c r="B9" s="13"/>
      <c r="C9" s="14">
        <v>461</v>
      </c>
      <c r="D9" s="15">
        <v>64.65000000000001</v>
      </c>
      <c r="E9" s="15">
        <v>18</v>
      </c>
      <c r="F9" s="15">
        <v>323</v>
      </c>
      <c r="G9" s="15">
        <v>3152</v>
      </c>
      <c r="H9" s="15">
        <v>6559</v>
      </c>
      <c r="I9" s="15">
        <v>529</v>
      </c>
      <c r="J9" s="15">
        <v>77</v>
      </c>
      <c r="K9" s="15">
        <v>-24.3</v>
      </c>
      <c r="L9" s="15">
        <v>-25.3</v>
      </c>
      <c r="M9" s="15">
        <v>0</v>
      </c>
      <c r="N9" s="15">
        <f>SUM(C6:C9)/4</f>
        <v>237.75</v>
      </c>
      <c r="O9" s="15"/>
      <c r="P9" s="16"/>
      <c r="Q9" s="16">
        <f>(E9+D9)/C9</f>
        <v>0.179284164859002</v>
      </c>
      <c r="R9" s="16"/>
      <c r="S9" s="17"/>
      <c r="T9" s="15">
        <f>SUM(J6:K9)/4</f>
        <v>14.575</v>
      </c>
      <c r="U9" s="25"/>
      <c r="V9" s="15">
        <f>-(L9+M9)+V8</f>
        <v>79.2</v>
      </c>
      <c r="W9" s="17"/>
      <c r="X9" s="15">
        <f>F13-G9</f>
        <v>-2868.4</v>
      </c>
      <c r="Y9" s="24"/>
      <c r="Z9" s="15">
        <v>590</v>
      </c>
      <c r="AA9" s="22"/>
      <c r="AB9" s="20">
        <v>14</v>
      </c>
    </row>
    <row r="10" ht="20.05" customHeight="1">
      <c r="B10" s="13"/>
      <c r="C10" s="14">
        <v>513</v>
      </c>
      <c r="D10" s="15">
        <v>64.65000000000001</v>
      </c>
      <c r="E10" s="15">
        <v>35.5</v>
      </c>
      <c r="F10" s="15">
        <v>307.1</v>
      </c>
      <c r="G10" s="15">
        <v>3418</v>
      </c>
      <c r="H10" s="15">
        <v>6860.8</v>
      </c>
      <c r="I10" s="15">
        <v>406.5</v>
      </c>
      <c r="J10" s="15">
        <v>-76.59999999999999</v>
      </c>
      <c r="K10" s="15">
        <v>-60.2</v>
      </c>
      <c r="L10" s="15">
        <v>120.4</v>
      </c>
      <c r="M10" s="15">
        <v>0</v>
      </c>
      <c r="N10" s="15">
        <f>SUM(C7:C10)/4</f>
        <v>366</v>
      </c>
      <c r="O10" s="15"/>
      <c r="P10" s="16">
        <f>C10/C9-1</f>
        <v>0.112798264642082</v>
      </c>
      <c r="Q10" s="16">
        <f>(E10+D10)/C10</f>
        <v>0.195224171539961</v>
      </c>
      <c r="R10" s="16"/>
      <c r="S10" s="17"/>
      <c r="T10" s="15">
        <f>SUM(J7:K10)/4</f>
        <v>-19.625</v>
      </c>
      <c r="U10" s="25"/>
      <c r="V10" s="15">
        <f>-(L10+M10)+V9</f>
        <v>-41.2</v>
      </c>
      <c r="W10" s="17"/>
      <c r="X10" s="15">
        <f>F10-G10</f>
        <v>-3110.9</v>
      </c>
      <c r="Y10" s="24"/>
      <c r="Z10" s="15">
        <v>620</v>
      </c>
      <c r="AA10" s="22"/>
      <c r="AB10" s="20">
        <v>14.902</v>
      </c>
    </row>
    <row r="11" ht="20.05" customHeight="1">
      <c r="B11" s="13"/>
      <c r="C11" s="14">
        <v>609</v>
      </c>
      <c r="D11" s="15">
        <v>64.65000000000001</v>
      </c>
      <c r="E11" s="15">
        <v>29.9</v>
      </c>
      <c r="F11" s="15">
        <v>284.5</v>
      </c>
      <c r="G11" s="15">
        <v>3500</v>
      </c>
      <c r="H11" s="15">
        <v>6647.8</v>
      </c>
      <c r="I11" s="15">
        <v>726.5</v>
      </c>
      <c r="J11" s="15">
        <v>229.6</v>
      </c>
      <c r="K11" s="15">
        <v>-512.2</v>
      </c>
      <c r="L11" s="15">
        <v>259.8</v>
      </c>
      <c r="M11" s="15">
        <v>0</v>
      </c>
      <c r="N11" s="15">
        <f>SUM(C8:C11)/4</f>
        <v>518.25</v>
      </c>
      <c r="O11" s="15"/>
      <c r="P11" s="16">
        <f>C11/C10-1</f>
        <v>0.187134502923977</v>
      </c>
      <c r="Q11" s="16">
        <f>(E11+D11)/C11</f>
        <v>0.155254515599343</v>
      </c>
      <c r="R11" s="16"/>
      <c r="S11" s="17"/>
      <c r="T11" s="15">
        <f>SUM(J8:K11)/4</f>
        <v>-90.27500000000001</v>
      </c>
      <c r="U11" s="25"/>
      <c r="V11" s="15">
        <f>-(L11+M11)+V10</f>
        <v>-301</v>
      </c>
      <c r="W11" s="17"/>
      <c r="X11" s="15">
        <f>F11-G11</f>
        <v>-3215.5</v>
      </c>
      <c r="Y11" s="24"/>
      <c r="Z11" s="15">
        <v>680</v>
      </c>
      <c r="AA11" s="22"/>
      <c r="AB11" s="20">
        <v>14.38</v>
      </c>
    </row>
    <row r="12" ht="20.05" customHeight="1">
      <c r="B12" s="21">
        <v>2019</v>
      </c>
      <c r="C12" s="14">
        <v>522.3</v>
      </c>
      <c r="D12" s="15">
        <v>69.75</v>
      </c>
      <c r="E12" s="15">
        <v>31</v>
      </c>
      <c r="F12" s="15">
        <v>317</v>
      </c>
      <c r="G12" s="15">
        <v>3694.9</v>
      </c>
      <c r="H12" s="15">
        <v>6873.7</v>
      </c>
      <c r="I12" s="15">
        <v>508.5</v>
      </c>
      <c r="J12" s="15">
        <v>73.59999999999999</v>
      </c>
      <c r="K12" s="15">
        <v>-206.2</v>
      </c>
      <c r="L12" s="15">
        <v>165.1</v>
      </c>
      <c r="M12" s="15">
        <v>0</v>
      </c>
      <c r="N12" s="15">
        <f>SUM(C9:C12)/4</f>
        <v>526.325</v>
      </c>
      <c r="O12" s="23"/>
      <c r="P12" s="16">
        <f>C12/C11-1</f>
        <v>-0.142364532019704</v>
      </c>
      <c r="Q12" s="16">
        <f>(E12+D12)/C12</f>
        <v>0.192896802603868</v>
      </c>
      <c r="R12" s="16">
        <f>AVERAGE(Q9:Q12)</f>
        <v>0.180664913650544</v>
      </c>
      <c r="S12" s="17"/>
      <c r="T12" s="15">
        <f>SUM(J9:K12)/4</f>
        <v>-124.825</v>
      </c>
      <c r="U12" s="25"/>
      <c r="V12" s="15">
        <f>-(L12+M12)+V11</f>
        <v>-466.1</v>
      </c>
      <c r="W12" s="17"/>
      <c r="X12" s="15">
        <f>F12-G12</f>
        <v>-3377.9</v>
      </c>
      <c r="Y12" s="24"/>
      <c r="Z12" s="15">
        <v>540</v>
      </c>
      <c r="AA12" s="22"/>
      <c r="AB12" s="20">
        <v>14.24</v>
      </c>
    </row>
    <row r="13" ht="20.05" customHeight="1">
      <c r="B13" s="13"/>
      <c r="C13" s="14">
        <v>530.2</v>
      </c>
      <c r="D13" s="15">
        <v>69.75</v>
      </c>
      <c r="E13" s="15">
        <v>14.7</v>
      </c>
      <c r="F13" s="15">
        <v>283.6</v>
      </c>
      <c r="G13" s="15">
        <v>3678</v>
      </c>
      <c r="H13" s="15">
        <v>6861</v>
      </c>
      <c r="I13" s="15">
        <v>660.9</v>
      </c>
      <c r="J13" s="15">
        <v>1.5</v>
      </c>
      <c r="K13" s="15">
        <v>-98.09999999999999</v>
      </c>
      <c r="L13" s="15">
        <v>63.3</v>
      </c>
      <c r="M13" s="15">
        <v>0</v>
      </c>
      <c r="N13" s="15">
        <f>SUM(C10:C13)/4</f>
        <v>543.625</v>
      </c>
      <c r="O13" s="23"/>
      <c r="P13" s="16">
        <f>C13/C12-1</f>
        <v>0.0151254068542983</v>
      </c>
      <c r="Q13" s="16">
        <f>(E13+D13)/C13</f>
        <v>0.159279517163335</v>
      </c>
      <c r="R13" s="16">
        <f>AVERAGE(Q10:Q13)</f>
        <v>0.175663751726627</v>
      </c>
      <c r="S13" s="17"/>
      <c r="T13" s="15">
        <f>SUM(J10:K13)/4</f>
        <v>-162.15</v>
      </c>
      <c r="U13" s="25"/>
      <c r="V13" s="15">
        <f>-(L13+M13)+V12</f>
        <v>-529.4</v>
      </c>
      <c r="W13" s="17"/>
      <c r="X13" s="15">
        <f>F13-G13</f>
        <v>-3394.4</v>
      </c>
      <c r="Y13" s="24"/>
      <c r="Z13" s="15">
        <v>580</v>
      </c>
      <c r="AA13" s="24"/>
      <c r="AB13" s="15">
        <v>14.127</v>
      </c>
    </row>
    <row r="14" ht="20.05" customHeight="1">
      <c r="B14" s="13"/>
      <c r="C14" s="14">
        <v>565.2</v>
      </c>
      <c r="D14" s="15">
        <v>69.75</v>
      </c>
      <c r="E14" s="15">
        <v>30.3</v>
      </c>
      <c r="F14" s="15">
        <v>282.8</v>
      </c>
      <c r="G14" s="15">
        <v>3710</v>
      </c>
      <c r="H14" s="15">
        <v>6923.8</v>
      </c>
      <c r="I14" s="15">
        <v>542.6</v>
      </c>
      <c r="J14" s="15">
        <v>94.8</v>
      </c>
      <c r="K14" s="15">
        <v>-28.7</v>
      </c>
      <c r="L14" s="15">
        <v>-56.9</v>
      </c>
      <c r="M14" s="15">
        <v>-10</v>
      </c>
      <c r="N14" s="15">
        <f>SUM(C11:C14)/4</f>
        <v>556.675</v>
      </c>
      <c r="O14" s="23"/>
      <c r="P14" s="16">
        <f>C14/C13-1</f>
        <v>0.0660128253489249</v>
      </c>
      <c r="Q14" s="16">
        <f>(E14+D14)/C14</f>
        <v>0.177016985138004</v>
      </c>
      <c r="R14" s="16">
        <f>AVERAGE(Q11:Q14)</f>
        <v>0.171111955126138</v>
      </c>
      <c r="S14" s="17"/>
      <c r="T14" s="15">
        <f>SUM(J11:K14)/4</f>
        <v>-111.425</v>
      </c>
      <c r="U14" s="25"/>
      <c r="V14" s="15">
        <f>-(L14+M14)+V13</f>
        <v>-462.5</v>
      </c>
      <c r="W14" s="17"/>
      <c r="X14" s="15">
        <f>F14-G14</f>
        <v>-3427.2</v>
      </c>
      <c r="Y14" s="24"/>
      <c r="Z14" s="15">
        <v>620</v>
      </c>
      <c r="AA14" s="24"/>
      <c r="AB14" s="15">
        <v>14.195</v>
      </c>
    </row>
    <row r="15" ht="20.05" customHeight="1">
      <c r="B15" s="13"/>
      <c r="C15" s="14">
        <v>585.9</v>
      </c>
      <c r="D15" s="15">
        <v>69.75</v>
      </c>
      <c r="E15" s="15">
        <v>27.4</v>
      </c>
      <c r="F15" s="15">
        <v>279.5</v>
      </c>
      <c r="G15" s="15">
        <v>3721.4</v>
      </c>
      <c r="H15" s="15">
        <v>7021</v>
      </c>
      <c r="I15" s="15">
        <v>676</v>
      </c>
      <c r="J15" s="15">
        <v>185.9</v>
      </c>
      <c r="K15" s="15">
        <v>-104.4</v>
      </c>
      <c r="L15" s="15">
        <v>-84.8</v>
      </c>
      <c r="M15" s="15">
        <v>-0.1</v>
      </c>
      <c r="N15" s="15">
        <f>SUM(C12:C15)/4</f>
        <v>550.9</v>
      </c>
      <c r="O15" s="15"/>
      <c r="P15" s="16">
        <f>C15/C14-1</f>
        <v>0.0366242038216561</v>
      </c>
      <c r="Q15" s="16">
        <f>(E15+D15)/C15</f>
        <v>0.165813278716505</v>
      </c>
      <c r="R15" s="16">
        <f>AVERAGE(Q12:Q15)</f>
        <v>0.173751645905428</v>
      </c>
      <c r="S15" s="17"/>
      <c r="T15" s="15">
        <f>SUM(J12:K15)/4</f>
        <v>-20.4</v>
      </c>
      <c r="U15" s="25"/>
      <c r="V15" s="15">
        <f>-(L15+M15)+V14</f>
        <v>-377.6</v>
      </c>
      <c r="W15" s="17"/>
      <c r="X15" s="15">
        <f>F15-G15</f>
        <v>-3441.9</v>
      </c>
      <c r="Y15" s="24"/>
      <c r="Z15" s="15">
        <v>645</v>
      </c>
      <c r="AA15" s="24"/>
      <c r="AB15" s="15">
        <v>13.882</v>
      </c>
    </row>
    <row r="16" ht="20.05" customHeight="1">
      <c r="B16" s="21">
        <v>2020</v>
      </c>
      <c r="C16" s="14">
        <v>544.4</v>
      </c>
      <c r="D16" s="15">
        <v>67.75</v>
      </c>
      <c r="E16" s="15">
        <v>20.3</v>
      </c>
      <c r="F16" s="15">
        <v>429.7</v>
      </c>
      <c r="G16" s="15">
        <v>3869.2</v>
      </c>
      <c r="H16" s="15">
        <v>7189</v>
      </c>
      <c r="I16" s="15">
        <v>5785</v>
      </c>
      <c r="J16" s="15">
        <v>24.6</v>
      </c>
      <c r="K16" s="15">
        <v>-66.8</v>
      </c>
      <c r="L16" s="15">
        <v>192.2</v>
      </c>
      <c r="M16" s="15">
        <v>0</v>
      </c>
      <c r="N16" s="15">
        <f>SUM(C13:C16)/4</f>
        <v>556.425</v>
      </c>
      <c r="O16" s="17"/>
      <c r="P16" s="16">
        <f>C16/C15-1</f>
        <v>-0.0708311998634579</v>
      </c>
      <c r="Q16" s="16">
        <f>(E16+D16)/C16</f>
        <v>0.161737692872888</v>
      </c>
      <c r="R16" s="16">
        <f>AVERAGE(Q13:Q16)</f>
        <v>0.165961868472683</v>
      </c>
      <c r="S16" s="17"/>
      <c r="T16" s="15">
        <f>SUM(J13:K16)/4</f>
        <v>2.2</v>
      </c>
      <c r="U16" s="25"/>
      <c r="V16" s="15">
        <f>-(L16+M16)+V15</f>
        <v>-569.8</v>
      </c>
      <c r="W16" s="17"/>
      <c r="X16" s="15">
        <f>F16-G16</f>
        <v>-3439.5</v>
      </c>
      <c r="Y16" s="24"/>
      <c r="Z16" s="15">
        <v>402</v>
      </c>
      <c r="AA16" s="24"/>
      <c r="AB16" s="15">
        <v>16.31</v>
      </c>
    </row>
    <row r="17" ht="20.05" customHeight="1">
      <c r="B17" s="13"/>
      <c r="C17" s="14">
        <v>485.6</v>
      </c>
      <c r="D17" s="15">
        <v>67.75</v>
      </c>
      <c r="E17" s="15">
        <v>-2.2</v>
      </c>
      <c r="F17" s="15">
        <v>402.1</v>
      </c>
      <c r="G17" s="15">
        <v>3813</v>
      </c>
      <c r="H17" s="15">
        <v>7121.3</v>
      </c>
      <c r="I17" s="15">
        <v>-4651</v>
      </c>
      <c r="J17" s="15">
        <v>17.7</v>
      </c>
      <c r="K17" s="15">
        <v>-27</v>
      </c>
      <c r="L17" s="15">
        <v>-8.699999999999999</v>
      </c>
      <c r="M17" s="15">
        <v>-9.4</v>
      </c>
      <c r="N17" s="15">
        <f>SUM(C14:C17)/4</f>
        <v>545.275</v>
      </c>
      <c r="O17" s="17"/>
      <c r="P17" s="16">
        <f>C17/C16-1</f>
        <v>-0.108008817046289</v>
      </c>
      <c r="Q17" s="16">
        <f>(E17+D17)/C17</f>
        <v>0.134987644151565</v>
      </c>
      <c r="R17" s="16">
        <f>AVERAGE(Q14:Q17)</f>
        <v>0.159888900219741</v>
      </c>
      <c r="S17" s="17"/>
      <c r="T17" s="25">
        <f>SUM(J14:K17)/4</f>
        <v>24.025</v>
      </c>
      <c r="U17" s="25"/>
      <c r="V17" s="15">
        <f>-(L17+M17)+V16</f>
        <v>-551.7</v>
      </c>
      <c r="W17" s="17"/>
      <c r="X17" s="15">
        <f>F17-G17</f>
        <v>-3410.9</v>
      </c>
      <c r="Y17" s="24"/>
      <c r="Z17" s="15">
        <v>530</v>
      </c>
      <c r="AA17" s="24"/>
      <c r="AB17" s="15">
        <v>14.255</v>
      </c>
    </row>
    <row r="18" ht="20.05" customHeight="1">
      <c r="B18" s="13"/>
      <c r="C18" s="14">
        <v>546.8</v>
      </c>
      <c r="D18" s="15">
        <v>67.75</v>
      </c>
      <c r="E18" s="15">
        <v>14.1</v>
      </c>
      <c r="F18" s="15">
        <v>394.1</v>
      </c>
      <c r="G18" s="15">
        <v>3795.8</v>
      </c>
      <c r="H18" s="15">
        <v>7118.1</v>
      </c>
      <c r="I18" s="15">
        <v>598.6</v>
      </c>
      <c r="J18" s="15">
        <v>142.4</v>
      </c>
      <c r="K18" s="15">
        <v>-129.4</v>
      </c>
      <c r="L18" s="15">
        <v>-21</v>
      </c>
      <c r="M18" s="15">
        <v>0</v>
      </c>
      <c r="N18" s="15">
        <f>SUM(C15:C18)/4</f>
        <v>540.675</v>
      </c>
      <c r="O18" s="17"/>
      <c r="P18" s="16">
        <f>C18/C17-1</f>
        <v>0.126029654036244</v>
      </c>
      <c r="Q18" s="16">
        <f>(E18+D18)/C18</f>
        <v>0.149689100219459</v>
      </c>
      <c r="R18" s="16">
        <f>AVERAGE(Q15:Q18)</f>
        <v>0.153056928990104</v>
      </c>
      <c r="S18" s="17"/>
      <c r="T18" s="25">
        <f>SUM(J15:K18)/4</f>
        <v>10.75</v>
      </c>
      <c r="U18" s="25"/>
      <c r="V18" s="15">
        <f>-(L18+M18)+V17</f>
        <v>-530.7</v>
      </c>
      <c r="W18" s="17"/>
      <c r="X18" s="15">
        <f>F18-G18</f>
        <v>-3401.7</v>
      </c>
      <c r="Y18" s="24"/>
      <c r="Z18" s="15">
        <v>510</v>
      </c>
      <c r="AA18" s="24"/>
      <c r="AB18" s="15">
        <v>14.79</v>
      </c>
    </row>
    <row r="19" ht="20.05" customHeight="1">
      <c r="B19" s="13"/>
      <c r="C19" s="14">
        <v>611.4</v>
      </c>
      <c r="D19" s="15">
        <v>67.75</v>
      </c>
      <c r="E19" s="15">
        <v>67.7</v>
      </c>
      <c r="F19" s="15">
        <v>405.2</v>
      </c>
      <c r="G19" s="15">
        <v>3739.3</v>
      </c>
      <c r="H19" s="15">
        <v>7121.5</v>
      </c>
      <c r="I19" s="15">
        <v>622.2</v>
      </c>
      <c r="J19" s="15">
        <v>123</v>
      </c>
      <c r="K19" s="15">
        <v>-54.9</v>
      </c>
      <c r="L19" s="15">
        <v>-57</v>
      </c>
      <c r="M19" s="15">
        <v>0</v>
      </c>
      <c r="N19" s="15">
        <f>SUM(C16:C19)/4</f>
        <v>547.05</v>
      </c>
      <c r="O19" s="17"/>
      <c r="P19" s="16">
        <f>C19/C18-1</f>
        <v>0.118141916605706</v>
      </c>
      <c r="Q19" s="16">
        <f>(E19+D19)/C19</f>
        <v>0.221540726202159</v>
      </c>
      <c r="R19" s="16">
        <f>AVERAGE(Q16:Q19)</f>
        <v>0.166988790861518</v>
      </c>
      <c r="S19" s="17"/>
      <c r="T19" s="25">
        <f>SUM(J16:K19)/4</f>
        <v>7.4</v>
      </c>
      <c r="U19" s="25"/>
      <c r="V19" s="15">
        <f>-(L19+M19)+V18</f>
        <v>-473.7</v>
      </c>
      <c r="W19" s="17"/>
      <c r="X19" s="15">
        <f>F19-G19</f>
        <v>-3334.1</v>
      </c>
      <c r="Y19" s="24"/>
      <c r="Z19" s="15">
        <v>865</v>
      </c>
      <c r="AA19" s="24"/>
      <c r="AB19" s="15">
        <v>14.1</v>
      </c>
    </row>
    <row r="20" ht="20.05" customHeight="1">
      <c r="B20" s="21">
        <v>2021</v>
      </c>
      <c r="C20" s="14">
        <v>642.7</v>
      </c>
      <c r="D20" s="15">
        <v>82</v>
      </c>
      <c r="E20" s="15">
        <v>51.5</v>
      </c>
      <c r="F20" s="15">
        <v>395.3</v>
      </c>
      <c r="G20" s="15">
        <v>4268</v>
      </c>
      <c r="H20" s="15">
        <v>7702</v>
      </c>
      <c r="I20" s="15">
        <v>646.6</v>
      </c>
      <c r="J20" s="15">
        <v>148.6</v>
      </c>
      <c r="K20" s="15">
        <v>-585.5</v>
      </c>
      <c r="L20" s="15">
        <v>426.6</v>
      </c>
      <c r="M20" s="15">
        <v>0</v>
      </c>
      <c r="N20" s="15">
        <f>SUM(C17:C20)/4</f>
        <v>571.625</v>
      </c>
      <c r="O20" s="15"/>
      <c r="P20" s="16">
        <f>C20/C19-1</f>
        <v>0.0511939810271508</v>
      </c>
      <c r="Q20" s="16">
        <f>(E20+D20)/C20</f>
        <v>0.207717442041388</v>
      </c>
      <c r="R20" s="16">
        <f>AVERAGE(Q17:Q20)</f>
        <v>0.178483728153643</v>
      </c>
      <c r="S20" s="17"/>
      <c r="T20" s="25">
        <f>SUM(J17:K20)/4</f>
        <v>-91.27500000000001</v>
      </c>
      <c r="U20" s="25"/>
      <c r="V20" s="15">
        <f>-(L20+M20)+V19</f>
        <v>-900.3</v>
      </c>
      <c r="W20" s="17"/>
      <c r="X20" s="15">
        <f>F20-G20</f>
        <v>-3872.7</v>
      </c>
      <c r="Y20" s="15"/>
      <c r="Z20" s="15">
        <v>1070</v>
      </c>
      <c r="AA20" s="15"/>
      <c r="AB20" s="15">
        <v>14.606</v>
      </c>
    </row>
    <row r="21" ht="20.05" customHeight="1">
      <c r="B21" s="13"/>
      <c r="C21" s="14">
        <v>653.1</v>
      </c>
      <c r="D21" s="15">
        <v>91</v>
      </c>
      <c r="E21" s="15">
        <v>47.4</v>
      </c>
      <c r="F21" s="15">
        <v>401.2</v>
      </c>
      <c r="G21" s="15">
        <v>4237.4</v>
      </c>
      <c r="H21" s="15">
        <v>7718.4</v>
      </c>
      <c r="I21" s="15">
        <v>684</v>
      </c>
      <c r="J21" s="15">
        <v>111.9</v>
      </c>
      <c r="K21" s="15">
        <v>-64.40000000000001</v>
      </c>
      <c r="L21" s="15">
        <v>-40.3</v>
      </c>
      <c r="M21" s="15">
        <v>-0.8</v>
      </c>
      <c r="N21" s="15">
        <f>SUM(C18:C21)/4</f>
        <v>613.5</v>
      </c>
      <c r="O21" s="15"/>
      <c r="P21" s="16">
        <f>C21/C20-1</f>
        <v>0.0161817333125875</v>
      </c>
      <c r="Q21" s="16">
        <f>(E21+D21)/C21</f>
        <v>0.211912417700199</v>
      </c>
      <c r="R21" s="16">
        <f>AVERAGE(Q18:Q21)</f>
        <v>0.197714921540801</v>
      </c>
      <c r="S21" s="17"/>
      <c r="T21" s="25">
        <f>SUM(J18:K21)/4</f>
        <v>-77.075</v>
      </c>
      <c r="U21" s="25"/>
      <c r="V21" s="15">
        <f>-(L21+M21)+V20</f>
        <v>-859.2</v>
      </c>
      <c r="W21" s="17"/>
      <c r="X21" s="15">
        <f>F21-G21</f>
        <v>-3836.2</v>
      </c>
      <c r="Y21" s="15"/>
      <c r="Z21" s="15">
        <v>1335</v>
      </c>
      <c r="AA21" s="15"/>
      <c r="AB21" s="15">
        <v>14.45</v>
      </c>
    </row>
    <row r="22" ht="20.05" customHeight="1">
      <c r="B22" s="13"/>
      <c r="C22" s="14">
        <v>778.8</v>
      </c>
      <c r="D22" s="15">
        <v>90.5</v>
      </c>
      <c r="E22" s="15">
        <v>80</v>
      </c>
      <c r="F22" s="15">
        <v>711</v>
      </c>
      <c r="G22" s="15">
        <v>4499</v>
      </c>
      <c r="H22" s="15">
        <v>8050</v>
      </c>
      <c r="I22" s="15">
        <v>801.4</v>
      </c>
      <c r="J22" s="15">
        <v>90.3</v>
      </c>
      <c r="K22" s="15">
        <v>-70.5</v>
      </c>
      <c r="L22" s="15">
        <v>306.2</v>
      </c>
      <c r="M22" s="15">
        <v>-16</v>
      </c>
      <c r="N22" s="15">
        <f>SUM(C19:C22)/4</f>
        <v>671.5</v>
      </c>
      <c r="O22" s="15"/>
      <c r="P22" s="16">
        <f>C22/C21-1</f>
        <v>0.192466697289848</v>
      </c>
      <c r="Q22" s="16">
        <f>(E22+D22)/C22</f>
        <v>0.218926553672316</v>
      </c>
      <c r="R22" s="16">
        <f>AVERAGE(Q19:Q22)</f>
        <v>0.215024284904016</v>
      </c>
      <c r="S22" s="17"/>
      <c r="T22" s="25">
        <f>SUM(J19:K22)/4</f>
        <v>-75.375</v>
      </c>
      <c r="U22" s="25"/>
      <c r="V22" s="15">
        <f>-(L22+M22)+V21</f>
        <v>-1149.4</v>
      </c>
      <c r="W22" s="17"/>
      <c r="X22" s="15">
        <f>F22-G22</f>
        <v>-3788</v>
      </c>
      <c r="Y22" s="15"/>
      <c r="Z22" s="15">
        <v>1600</v>
      </c>
      <c r="AA22" s="15"/>
      <c r="AB22" s="15">
        <v>14.328</v>
      </c>
    </row>
    <row r="23" ht="20.05" customHeight="1">
      <c r="B23" s="13"/>
      <c r="C23" s="14">
        <v>664.2</v>
      </c>
      <c r="D23" s="15">
        <v>89.09999999999999</v>
      </c>
      <c r="E23" s="15">
        <v>32.6</v>
      </c>
      <c r="F23" s="15">
        <v>809</v>
      </c>
      <c r="G23" s="15">
        <v>4582</v>
      </c>
      <c r="H23" s="15">
        <v>8165</v>
      </c>
      <c r="I23" s="15">
        <v>795.6</v>
      </c>
      <c r="J23" s="15">
        <v>188.8</v>
      </c>
      <c r="K23" s="15">
        <v>-52</v>
      </c>
      <c r="L23" s="15">
        <v>-88</v>
      </c>
      <c r="M23" s="15">
        <v>0.9</v>
      </c>
      <c r="N23" s="15">
        <f>SUM(C20:C23)/4</f>
        <v>684.7</v>
      </c>
      <c r="O23" s="15">
        <v>736.677</v>
      </c>
      <c r="P23" s="16">
        <f>C23/C22-1</f>
        <v>-0.147149460708783</v>
      </c>
      <c r="Q23" s="16">
        <f>(E23+D23)/C23</f>
        <v>0.183227943390545</v>
      </c>
      <c r="R23" s="16">
        <f>AVERAGE(Q20:Q23)</f>
        <v>0.205446089201112</v>
      </c>
      <c r="S23" s="17"/>
      <c r="T23" s="25">
        <f>SUM(J20:K23)/4</f>
        <v>-58.2</v>
      </c>
      <c r="U23" s="25"/>
      <c r="V23" s="15">
        <f>-(L23+M23)+V22</f>
        <v>-1062.3</v>
      </c>
      <c r="W23" s="17"/>
      <c r="X23" s="15">
        <f>F23-G23</f>
        <v>-3773</v>
      </c>
      <c r="Y23" s="15"/>
      <c r="Z23" s="15">
        <v>1515</v>
      </c>
      <c r="AA23" s="15">
        <v>1459.656132597190</v>
      </c>
      <c r="AB23" s="15">
        <v>14.275</v>
      </c>
    </row>
    <row r="24" ht="20.05" customHeight="1">
      <c r="B24" s="21">
        <v>2022</v>
      </c>
      <c r="C24" s="14">
        <v>682.6</v>
      </c>
      <c r="D24" s="15">
        <v>93.09999999999999</v>
      </c>
      <c r="E24" s="15">
        <v>45.8</v>
      </c>
      <c r="F24" s="15">
        <v>516</v>
      </c>
      <c r="G24" s="15">
        <v>4322</v>
      </c>
      <c r="H24" s="15">
        <v>7951</v>
      </c>
      <c r="I24" s="15">
        <v>668.5</v>
      </c>
      <c r="J24" s="15">
        <v>43.9</v>
      </c>
      <c r="K24" s="15">
        <v>-83.40000000000001</v>
      </c>
      <c r="L24" s="15">
        <v>-253.1</v>
      </c>
      <c r="M24" s="15">
        <v>-0.5</v>
      </c>
      <c r="N24" s="15">
        <f>SUM(C21:C24)/4</f>
        <v>694.675</v>
      </c>
      <c r="O24" s="15">
        <v>768.89</v>
      </c>
      <c r="P24" s="16">
        <f>C24/C23-1</f>
        <v>0.0277024992472147</v>
      </c>
      <c r="Q24" s="16">
        <f>(E24+D24)/C24</f>
        <v>0.203486668619982</v>
      </c>
      <c r="R24" s="16">
        <f>AVERAGE(Q21:Q24)</f>
        <v>0.204388395845761</v>
      </c>
      <c r="S24" s="35"/>
      <c r="T24" s="25">
        <f>SUM(J21:K24)/4</f>
        <v>41.15</v>
      </c>
      <c r="U24" s="15">
        <v>95.559698502610</v>
      </c>
      <c r="V24" s="15">
        <f>-(L24+M24)+V23</f>
        <v>-808.7</v>
      </c>
      <c r="W24" s="15"/>
      <c r="X24" s="15">
        <f>F24-G24</f>
        <v>-3806</v>
      </c>
      <c r="Y24" s="15">
        <v>-3416.8525841791</v>
      </c>
      <c r="Z24" s="15">
        <v>1605</v>
      </c>
      <c r="AA24" s="15">
        <v>2466.315534388350</v>
      </c>
      <c r="AB24" s="15">
        <v>14.327</v>
      </c>
    </row>
    <row r="25" ht="20.05" customHeight="1">
      <c r="B25" s="13"/>
      <c r="C25" s="14">
        <v>583.8</v>
      </c>
      <c r="D25" s="15">
        <v>96</v>
      </c>
      <c r="E25" s="15">
        <v>8</v>
      </c>
      <c r="F25" s="15">
        <v>661</v>
      </c>
      <c r="G25" s="15">
        <v>4483</v>
      </c>
      <c r="H25" s="15">
        <v>8095</v>
      </c>
      <c r="I25" s="15">
        <v>592.8</v>
      </c>
      <c r="J25" s="15">
        <v>75.59999999999999</v>
      </c>
      <c r="K25" s="15">
        <v>-70.8</v>
      </c>
      <c r="L25" s="15">
        <v>-252.8</v>
      </c>
      <c r="M25" s="15">
        <v>-1</v>
      </c>
      <c r="N25" s="15">
        <f>SUM(C22:C25)/4</f>
        <v>677.35</v>
      </c>
      <c r="O25" s="15">
        <v>754.1435</v>
      </c>
      <c r="P25" s="16">
        <f>C25/C24-1</f>
        <v>-0.144740697333724</v>
      </c>
      <c r="Q25" s="16">
        <f>(E25+D25)/C25</f>
        <v>0.178143199725934</v>
      </c>
      <c r="R25" s="16">
        <f>AVERAGE(Q22:Q25)</f>
        <v>0.195946091352194</v>
      </c>
      <c r="S25" s="35"/>
      <c r="T25" s="25">
        <f>SUM(J22:K25)/4</f>
        <v>30.475</v>
      </c>
      <c r="U25" s="15">
        <v>75.573354486623</v>
      </c>
      <c r="V25" s="15">
        <f>-(L25+M25)+V24</f>
        <v>-554.9</v>
      </c>
      <c r="W25" s="15"/>
      <c r="X25" s="15">
        <f>F25-G25</f>
        <v>-3822</v>
      </c>
      <c r="Y25" s="15">
        <v>-3454.639651870960</v>
      </c>
      <c r="Z25" s="15">
        <v>2150</v>
      </c>
      <c r="AA25" s="15">
        <v>1988.152318537540</v>
      </c>
      <c r="AB25" s="15">
        <v>14.66</v>
      </c>
    </row>
    <row r="26" ht="20.05" customHeight="1">
      <c r="B26" s="13"/>
      <c r="C26" s="14">
        <v>636</v>
      </c>
      <c r="D26" s="15">
        <v>93.5</v>
      </c>
      <c r="E26" s="15">
        <v>22</v>
      </c>
      <c r="F26" s="15">
        <v>627</v>
      </c>
      <c r="G26" s="15">
        <v>4409</v>
      </c>
      <c r="H26" s="15">
        <v>8010</v>
      </c>
      <c r="I26" s="15">
        <v>765.6</v>
      </c>
      <c r="J26" s="15">
        <v>166.4</v>
      </c>
      <c r="K26" s="15">
        <v>-67.40000000000001</v>
      </c>
      <c r="L26" s="15">
        <v>-220.8</v>
      </c>
      <c r="M26" s="15">
        <v>-31</v>
      </c>
      <c r="N26" s="15">
        <f>SUM(C23:C26)/4</f>
        <v>641.65</v>
      </c>
      <c r="O26" s="15">
        <v>745.922</v>
      </c>
      <c r="P26" s="16">
        <f>C26/C25-1</f>
        <v>0.0894141829393628</v>
      </c>
      <c r="Q26" s="16">
        <f>(E26+D26)/C26</f>
        <v>0.181603773584906</v>
      </c>
      <c r="R26" s="16">
        <f>AVERAGE(Q23:Q26)</f>
        <v>0.186615396330342</v>
      </c>
      <c r="S26" s="35">
        <f>S27</f>
        <v>0.186615396330342</v>
      </c>
      <c r="T26" s="25">
        <f>SUM(J23:K26)/4</f>
        <v>50.275</v>
      </c>
      <c r="U26" s="15">
        <v>39.848631944338</v>
      </c>
      <c r="V26" s="15">
        <f>-(L26+M26)+V25</f>
        <v>-303.1</v>
      </c>
      <c r="W26" s="15">
        <f>W27</f>
        <v>-102.193823428283</v>
      </c>
      <c r="X26" s="15">
        <f>F26-G26</f>
        <v>-3782</v>
      </c>
      <c r="Y26" s="15">
        <v>-3596.605472222650</v>
      </c>
      <c r="Z26" s="15">
        <v>2350</v>
      </c>
      <c r="AA26" s="15">
        <v>1309.233998718090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664.96769961</v>
      </c>
      <c r="P27" s="17"/>
      <c r="Q27" s="17"/>
      <c r="R27" s="17"/>
      <c r="S27" s="35">
        <f>AE53</f>
        <v>0.186615396330342</v>
      </c>
      <c r="T27" s="25"/>
      <c r="U27" s="15">
        <f>SUM(AE55:AH55)/4</f>
        <v>50.2265441429293</v>
      </c>
      <c r="V27" s="17"/>
      <c r="W27" s="15">
        <f>-SUM(AE76:AH76)+V26</f>
        <v>-102.193823428283</v>
      </c>
      <c r="X27" s="26"/>
      <c r="Y27" s="15">
        <f>AH75</f>
        <v>-3581.093823428280</v>
      </c>
      <c r="Z27" s="15">
        <v>1940</v>
      </c>
      <c r="AA27" s="15">
        <v>1988.152318537540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2698.375</v>
      </c>
      <c r="O28" s="15">
        <f>SUM(O23:O26)</f>
        <v>3005.6325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1320.161742503820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256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-0.0436933689639824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-0.147149460708783</v>
      </c>
      <c r="AF50" s="35">
        <f>P24</f>
        <v>0.0277024992472147</v>
      </c>
      <c r="AG50" s="35">
        <f>P25</f>
        <v>-0.144740697333724</v>
      </c>
      <c r="AH50" s="35">
        <f>P26</f>
        <v>0.0894141829393628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0.03</v>
      </c>
      <c r="AG51" s="35">
        <v>-0.01</v>
      </c>
      <c r="AH51" s="35">
        <v>0.07000000000000001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636</v>
      </c>
      <c r="AE52" s="23">
        <f>C26*(1+AE51)</f>
        <v>642.36</v>
      </c>
      <c r="AF52" s="23">
        <f>AE52*(1+AF51)</f>
        <v>661.6308</v>
      </c>
      <c r="AG52" s="23">
        <f>AF52*(1+AG51)</f>
        <v>655.014492</v>
      </c>
      <c r="AH52" s="23">
        <f>AG52*(1+AH51)</f>
        <v>700.86550644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0.186615396330342</v>
      </c>
      <c r="AF53" s="35">
        <f>AE53</f>
        <v>0.186615396330342</v>
      </c>
      <c r="AG53" s="35">
        <f>AF53</f>
        <v>0.186615396330342</v>
      </c>
      <c r="AH53" s="35">
        <f>AG53</f>
        <v>0.186615396330342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AVERAGE(K24:K26)</f>
        <v>-73.8666666666667</v>
      </c>
      <c r="AF54" s="15">
        <f>AE54</f>
        <v>-73.8666666666667</v>
      </c>
      <c r="AG54" s="15">
        <f>AF54</f>
        <v>-73.8666666666667</v>
      </c>
      <c r="AH54" s="15">
        <f>AG54</f>
        <v>-73.8666666666667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46.0075993200918</v>
      </c>
      <c r="AF55" s="15">
        <f>(AF52*AF53)+AF54</f>
        <v>49.6038272996945</v>
      </c>
      <c r="AG55" s="15">
        <f>(AG52*AG53)+AG54</f>
        <v>48.3691223600309</v>
      </c>
      <c r="AH55" s="15">
        <f>(AH52*AH53)+AH54</f>
        <v>56.9256275918998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-220.45</v>
      </c>
      <c r="AF56" s="15">
        <f>-AE71/20</f>
        <v>-209.4275</v>
      </c>
      <c r="AG56" s="15">
        <f>-AF71/20</f>
        <v>-198.956125</v>
      </c>
      <c r="AH56" s="15">
        <f>-AG71/20</f>
        <v>-189.00831875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-174.442400679908</v>
      </c>
      <c r="AF59" s="15">
        <f>AF55+AF56+AF58</f>
        <v>-159.823672700306</v>
      </c>
      <c r="AG59" s="15">
        <f>AG55+AG56+AG58</f>
        <v>-150.587002639969</v>
      </c>
      <c r="AH59" s="15">
        <f>AH55+AH56+AH58</f>
        <v>-132.0826911581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174.442400679908</v>
      </c>
      <c r="AF60" s="15">
        <f>-MIN(AE72,AF59)</f>
        <v>159.823672700306</v>
      </c>
      <c r="AG60" s="15">
        <f>-MIN(AF72,AG59)</f>
        <v>150.587002639969</v>
      </c>
      <c r="AH60" s="15">
        <f>-MIN(AG72,AH59)</f>
        <v>132.0826911581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627</v>
      </c>
      <c r="AF61" s="15">
        <f>AE63</f>
        <v>627</v>
      </c>
      <c r="AG61" s="15">
        <f>AF63</f>
        <v>627.000000000001</v>
      </c>
      <c r="AH61" s="15">
        <f>AG63</f>
        <v>627.000000000001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-2e-13</v>
      </c>
      <c r="AF62" s="15">
        <f>AF55+AF56+AF58+AF60</f>
        <v>5e-13</v>
      </c>
      <c r="AG62" s="15">
        <f>AG55+AG56+AG58+AG60</f>
        <v>-1e-13</v>
      </c>
      <c r="AH62" s="15">
        <f>AH55+AH56+AH58+AH60</f>
        <v>-2e-13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627</v>
      </c>
      <c r="AF63" s="15">
        <f>AF61+AF62</f>
        <v>627.000000000001</v>
      </c>
      <c r="AG63" s="15">
        <f>AG61+AG62</f>
        <v>627.000000000001</v>
      </c>
      <c r="AH63" s="15">
        <f>AH61+AH62</f>
        <v>627.000000000001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-94.2</v>
      </c>
      <c r="AF65" s="15">
        <f>AE65</f>
        <v>-94.2</v>
      </c>
      <c r="AG65" s="15">
        <f>AF65</f>
        <v>-94.2</v>
      </c>
      <c r="AH65" s="15">
        <f>AG65</f>
        <v>-94.2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25.6742659867585</v>
      </c>
      <c r="AF66" s="15">
        <f>(AF52*AF53)+AF65</f>
        <v>29.2704939663612</v>
      </c>
      <c r="AG66" s="15">
        <f>(AG52*AG53)+AG65</f>
        <v>28.0357890266976</v>
      </c>
      <c r="AH66" s="15">
        <f>(AH52*AH53)+AH65</f>
        <v>36.5922942585665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7456.866666666670</v>
      </c>
      <c r="AF68" s="15">
        <f>AE68-AF54</f>
        <v>7530.733333333340</v>
      </c>
      <c r="AG68" s="15">
        <f>AF68-AG54</f>
        <v>7604.600000000010</v>
      </c>
      <c r="AH68" s="15">
        <f>AG68-AH54</f>
        <v>7678.466666666680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94.2</v>
      </c>
      <c r="AF69" s="15">
        <f>AE69-AF65</f>
        <v>188.4</v>
      </c>
      <c r="AG69" s="15">
        <f>AF69-AG65</f>
        <v>282.6</v>
      </c>
      <c r="AH69" s="15">
        <f>AG69-AH65</f>
        <v>376.8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7362.666666666670</v>
      </c>
      <c r="AF70" s="15">
        <f>AF68-AF69</f>
        <v>7342.333333333340</v>
      </c>
      <c r="AG70" s="15">
        <f>AG68-AG69</f>
        <v>7322.000000000010</v>
      </c>
      <c r="AH70" s="15">
        <f>AH68-AH69</f>
        <v>7301.666666666680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4188.55</v>
      </c>
      <c r="AF71" s="15">
        <f>AE71+AF56</f>
        <v>3979.1225</v>
      </c>
      <c r="AG71" s="15">
        <f>AF71+AG56</f>
        <v>3780.166375</v>
      </c>
      <c r="AH71" s="15">
        <f>AG71+AH56</f>
        <v>3591.15805625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174.442400679908</v>
      </c>
      <c r="AF72" s="15">
        <f>AE72+AF60</f>
        <v>334.266073380214</v>
      </c>
      <c r="AG72" s="15">
        <f>AF72+AG60</f>
        <v>484.853076020183</v>
      </c>
      <c r="AH72" s="15">
        <f>AG72+AH60</f>
        <v>616.935767178283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3626.674265986760</v>
      </c>
      <c r="AF73" s="15">
        <f>AE73+AF66+AF58</f>
        <v>3655.944759953120</v>
      </c>
      <c r="AG73" s="15">
        <f>AF73+AG66+AG58</f>
        <v>3683.980548979820</v>
      </c>
      <c r="AH73" s="15">
        <f>AG73+AH66+AH58</f>
        <v>3720.572843238390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-2e-12</v>
      </c>
      <c r="AF74" s="15">
        <f>AF71+AF72+AF73-AF63-AF70</f>
        <v>-7e-12</v>
      </c>
      <c r="AG74" s="15">
        <f>AG71+AG72+AG73-AG63-AG70</f>
        <v>-8e-12</v>
      </c>
      <c r="AH74" s="15">
        <f>AH71+AH72+AH73-AH63-AH70</f>
        <v>-8e-12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-3735.992400679910</v>
      </c>
      <c r="AF75" s="15">
        <f>AF63-AF71-AF72</f>
        <v>-3686.388573380210</v>
      </c>
      <c r="AG75" s="15">
        <f>AG63-AG71-AG72</f>
        <v>-3638.019451020180</v>
      </c>
      <c r="AH75" s="15">
        <f>AH63-AH71-AH72</f>
        <v>-3581.093823428280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-46.007599320092</v>
      </c>
      <c r="AF76" s="15">
        <f>AF56+AF58+AF60</f>
        <v>-49.603827299694</v>
      </c>
      <c r="AG76" s="15">
        <f>AG56+AG58+AG60</f>
        <v>-48.369122360031</v>
      </c>
      <c r="AH76" s="15">
        <f>AH56+AH58+AH60</f>
        <v>-56.9256275919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386</v>
      </c>
      <c r="AD78" s="14"/>
      <c r="AE78" s="15"/>
      <c r="AF78" s="15"/>
      <c r="AG78" s="15"/>
      <c r="AH78" s="15">
        <v>1940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386</v>
      </c>
      <c r="AD79" s="14"/>
      <c r="AE79" s="15"/>
      <c r="AF79" s="15"/>
      <c r="AG79" s="15"/>
      <c r="AH79" s="15">
        <v>5904700462080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5904.70046208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3.043660032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0.744728049535019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200.906176571717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36.343664447072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29.3903381311535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4018.123531434340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1320.161742503820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-0.31950425644133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-0.183359013867488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0.113867605503312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386</v>
      </c>
      <c r="AF94" t="s" s="44">
        <v>60</v>
      </c>
      <c r="AG94" s="15">
        <f>AH78</f>
        <v>1940</v>
      </c>
      <c r="AH94" t="s" s="44">
        <v>61</v>
      </c>
      <c r="AI94" s="15">
        <f>AH88</f>
        <v>1320.161742503820</v>
      </c>
      <c r="AJ94" t="s" s="44">
        <f>IF(AK94&gt;0,"+","")</f>
      </c>
      <c r="AK94" s="16">
        <f>AI94/AG94-1</f>
        <v>-0.31950425644133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-0.183359013867488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0.0340576124549356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0.143326491400358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-0.640506664866069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0.0894141829393628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0.192466697289848</v>
      </c>
      <c r="AF103" s="16">
        <f>P23</f>
        <v>-0.147149460708783</v>
      </c>
      <c r="AG103" s="16">
        <f>P24</f>
        <v>0.0277024992472147</v>
      </c>
      <c r="AH103" s="16">
        <f>P25</f>
        <v>-0.144740697333724</v>
      </c>
      <c r="AI103" s="16">
        <f>P26</f>
        <v>0.0894141829393628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778.8</v>
      </c>
      <c r="AF104" t="s" s="44">
        <v>72</v>
      </c>
      <c r="AG104" s="15">
        <f>C23</f>
        <v>664.2</v>
      </c>
      <c r="AH104" t="s" s="44">
        <v>72</v>
      </c>
      <c r="AI104" s="15">
        <f>C24</f>
        <v>682.6</v>
      </c>
      <c r="AJ104" t="s" s="44">
        <v>72</v>
      </c>
      <c r="AK104" s="15">
        <f>C25</f>
        <v>583.8</v>
      </c>
      <c r="AL104" t="s" s="44">
        <v>72</v>
      </c>
      <c r="AM104" s="15">
        <f>C26</f>
        <v>636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0.0894141829393628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636</v>
      </c>
      <c r="AM105" t="s" s="44">
        <v>372</v>
      </c>
      <c r="AN105" t="s" s="44">
        <v>373</v>
      </c>
      <c r="AO105" s="16">
        <f>AH91</f>
        <v>0.113867605503312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-0.0436933689639824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700.86550644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0.218926553672316</v>
      </c>
      <c r="AF110" s="16">
        <f>(D23+E23)/C23</f>
        <v>0.183227943390545</v>
      </c>
      <c r="AG110" s="16">
        <f>((E24+D24)/C24)</f>
        <v>0.203486668619982</v>
      </c>
      <c r="AH110" s="16">
        <f>(D25+E25)/C25</f>
        <v>0.178143199725934</v>
      </c>
      <c r="AI110" s="16">
        <f>(D26+E26)/C26</f>
        <v>0.181603773584906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80</v>
      </c>
      <c r="AF111" t="s" s="44">
        <v>72</v>
      </c>
      <c r="AG111" s="15">
        <f>E23</f>
        <v>32.6</v>
      </c>
      <c r="AH111" t="s" s="44">
        <v>72</v>
      </c>
      <c r="AI111" s="15">
        <f>E24</f>
        <v>45.8</v>
      </c>
      <c r="AJ111" t="s" s="44">
        <v>72</v>
      </c>
      <c r="AK111" s="15">
        <f>E25</f>
        <v>8</v>
      </c>
      <c r="AL111" t="s" s="44">
        <v>72</v>
      </c>
      <c r="AM111" s="15">
        <f>E26</f>
        <v>22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0.178143199725934</v>
      </c>
      <c r="AG112" t="s" s="44">
        <v>76</v>
      </c>
      <c r="AH112" s="16">
        <f>AI110</f>
        <v>0.181603773584906</v>
      </c>
      <c r="AI112" t="s" s="44">
        <v>90</v>
      </c>
      <c r="AJ112" s="15">
        <f>AK111</f>
        <v>8</v>
      </c>
      <c r="AK112" t="s" s="44">
        <v>76</v>
      </c>
      <c r="AL112" s="15">
        <f>AM111</f>
        <v>22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0.186615396330342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0.186615396330342</v>
      </c>
      <c r="AG114" t="s" s="44">
        <v>94</v>
      </c>
      <c r="AH114" s="15">
        <f>AH66</f>
        <v>36.5922942585665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90.3</v>
      </c>
      <c r="AF117" t="s" s="44">
        <v>72</v>
      </c>
      <c r="AG117" s="15">
        <f>J23</f>
        <v>188.8</v>
      </c>
      <c r="AH117" t="s" s="44">
        <v>72</v>
      </c>
      <c r="AI117" s="15">
        <f>J24</f>
        <v>43.9</v>
      </c>
      <c r="AJ117" t="s" s="44">
        <v>72</v>
      </c>
      <c r="AK117" s="15">
        <f>J25</f>
        <v>75.59999999999999</v>
      </c>
      <c r="AL117" t="s" s="44">
        <v>72</v>
      </c>
      <c r="AM117" s="15">
        <f>J26</f>
        <v>166.4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-70.5</v>
      </c>
      <c r="AF118" t="s" s="44">
        <v>72</v>
      </c>
      <c r="AG118" s="15">
        <f>K23</f>
        <v>-52</v>
      </c>
      <c r="AH118" t="s" s="44">
        <v>72</v>
      </c>
      <c r="AI118" s="15">
        <f>K24</f>
        <v>-83.40000000000001</v>
      </c>
      <c r="AJ118" t="s" s="44">
        <v>72</v>
      </c>
      <c r="AK118" s="15">
        <f>K25</f>
        <v>-70.8</v>
      </c>
      <c r="AL118" t="s" s="44">
        <v>72</v>
      </c>
      <c r="AM118" s="15">
        <f>K26</f>
        <v>-67.40000000000001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4.8</v>
      </c>
      <c r="AG119" t="s" s="44">
        <v>76</v>
      </c>
      <c r="AH119" s="15">
        <f>AM117+AM118</f>
        <v>99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-67.40000000000001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50.275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-73.8666666666667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50.2265441429293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711</v>
      </c>
      <c r="AF124" t="s" s="44">
        <v>72</v>
      </c>
      <c r="AG124" s="15">
        <f>F23</f>
        <v>809</v>
      </c>
      <c r="AH124" t="s" s="44">
        <v>72</v>
      </c>
      <c r="AI124" s="15">
        <f>F24</f>
        <v>516</v>
      </c>
      <c r="AJ124" t="s" s="44">
        <v>72</v>
      </c>
      <c r="AK124" s="15">
        <f>F25</f>
        <v>661</v>
      </c>
      <c r="AL124" t="s" s="44">
        <v>72</v>
      </c>
      <c r="AM124" s="15">
        <f>F26</f>
        <v>627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4499</v>
      </c>
      <c r="AF125" t="s" s="44">
        <v>72</v>
      </c>
      <c r="AG125" s="15">
        <f>G23</f>
        <v>4582</v>
      </c>
      <c r="AH125" t="s" s="44">
        <v>72</v>
      </c>
      <c r="AI125" s="15">
        <f>G24</f>
        <v>4322</v>
      </c>
      <c r="AJ125" t="s" s="44">
        <v>72</v>
      </c>
      <c r="AK125" s="15">
        <f>G25</f>
        <v>4483</v>
      </c>
      <c r="AL125" t="s" s="44">
        <v>72</v>
      </c>
      <c r="AM125" s="15">
        <f>G26</f>
        <v>4409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661</v>
      </c>
      <c r="AH126" t="s" s="44">
        <v>76</v>
      </c>
      <c r="AI126" s="15">
        <f>AM124</f>
        <v>627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4483</v>
      </c>
      <c r="AH127" t="s" s="44">
        <v>76</v>
      </c>
      <c r="AI127" s="15">
        <f>AM125</f>
        <v>4409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-3822</v>
      </c>
      <c r="AO127" t="s" s="44">
        <v>76</v>
      </c>
      <c r="AP127" s="15">
        <f>AI126-AI127</f>
        <v>-3782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-200.906176571717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-3581.093823428280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-306.2</v>
      </c>
      <c r="AF131" t="s" s="44">
        <v>72</v>
      </c>
      <c r="AG131" s="15">
        <f>-L23</f>
        <v>88</v>
      </c>
      <c r="AH131" t="s" s="44">
        <v>72</v>
      </c>
      <c r="AI131" s="15">
        <f>-L24</f>
        <v>253.1</v>
      </c>
      <c r="AJ131" t="s" s="44">
        <v>72</v>
      </c>
      <c r="AK131" s="15">
        <f>-L25</f>
        <v>252.8</v>
      </c>
      <c r="AL131" t="s" s="44">
        <v>72</v>
      </c>
      <c r="AM131" s="15">
        <f>-L26</f>
        <v>220.8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16</v>
      </c>
      <c r="AF132" t="s" s="44">
        <v>72</v>
      </c>
      <c r="AG132" s="15">
        <f>-M23</f>
        <v>-0.9</v>
      </c>
      <c r="AH132" t="s" s="44">
        <v>72</v>
      </c>
      <c r="AI132" s="15">
        <f>-M24</f>
        <v>0.5</v>
      </c>
      <c r="AJ132" t="s" s="44">
        <v>72</v>
      </c>
      <c r="AK132" s="15">
        <f>-M25</f>
        <v>1</v>
      </c>
      <c r="AL132" t="s" s="44">
        <v>72</v>
      </c>
      <c r="AM132" s="15">
        <f>-M26</f>
        <v>31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386</v>
      </c>
      <c r="AF133" t="s" s="44">
        <f>IF(AG133&gt;0,"paid","(raised)")</f>
        <v>374</v>
      </c>
      <c r="AG133" s="15">
        <f>SUM(AM131:AM132)</f>
        <v>251.8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220.8</v>
      </c>
      <c r="AM133" t="s" s="44">
        <f>AM105</f>
        <v>372</v>
      </c>
      <c r="AN133" t="s" s="44">
        <v>123</v>
      </c>
      <c r="AO133" s="15">
        <f>AM132</f>
        <v>31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200.906176571717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5904.70046208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0.744728049535019</v>
      </c>
      <c r="AK134" t="s" s="44">
        <v>130</v>
      </c>
      <c r="AL134" t="s" s="44">
        <v>131</v>
      </c>
      <c r="AM134" t="s" s="44">
        <v>132</v>
      </c>
      <c r="AN134" s="15">
        <f>AH85</f>
        <v>36.343664447072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200.906176571717</v>
      </c>
      <c r="AG135" t="s" s="44">
        <f>AG134</f>
        <v>372</v>
      </c>
      <c r="AH135" t="s" s="44">
        <v>136</v>
      </c>
      <c r="AI135" s="15">
        <f>AF134/AF135</f>
        <v>29.3903381311535</v>
      </c>
      <c r="AJ135" t="s" s="44">
        <v>130</v>
      </c>
      <c r="AK135" t="s" s="44">
        <v>137</v>
      </c>
      <c r="AL135" t="s" s="44">
        <v>138</v>
      </c>
      <c r="AM135" s="15">
        <f>AH86</f>
        <v>20</v>
      </c>
      <c r="AN135" t="s" s="44">
        <v>139</v>
      </c>
      <c r="AO135" t="s" s="44">
        <v>140</v>
      </c>
      <c r="AP135" t="s" s="44">
        <v>141</v>
      </c>
      <c r="AQ135" s="16">
        <f>AK94</f>
        <v>-0.31950425644133</v>
      </c>
      <c r="AR135" t="s" s="44">
        <f>IF(AQ135&gt;0,"higher","lower")</f>
        <v>104</v>
      </c>
      <c r="AS135" t="s" s="44">
        <v>142</v>
      </c>
      <c r="AT135" s="15">
        <f>AI94</f>
        <v>1320.161742503820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778.8</v>
      </c>
      <c r="AE137" s="15">
        <f>AG104</f>
        <v>664.2</v>
      </c>
      <c r="AF137" s="15">
        <f>AI104</f>
        <v>682.6</v>
      </c>
      <c r="AG137" s="15">
        <f>AK104</f>
        <v>583.8</v>
      </c>
      <c r="AH137" s="15">
        <f>AM104</f>
        <v>636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19.8</v>
      </c>
      <c r="AE138" s="15">
        <f>SUM(AG117:AG118)</f>
        <v>136.8</v>
      </c>
      <c r="AF138" s="15">
        <f>SUM(AI117:AI118)</f>
        <v>-39.5</v>
      </c>
      <c r="AG138" s="15">
        <f>SUM(AK117:AK118)</f>
        <v>4.8</v>
      </c>
      <c r="AH138" s="15">
        <f>SUM(AM117:AM118)</f>
        <v>99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-290.2</v>
      </c>
      <c r="AE139" s="15">
        <f>SUM(AG131:AG132)</f>
        <v>87.09999999999999</v>
      </c>
      <c r="AF139" s="15">
        <f>SUM(AI131:AI132)</f>
        <v>253.6</v>
      </c>
      <c r="AG139" s="15">
        <f>SUM(AK131:AK132)</f>
        <v>253.8</v>
      </c>
      <c r="AH139" s="15">
        <f>SUM(AM131:AM132)</f>
        <v>251.8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-3788</v>
      </c>
      <c r="AE140" s="15">
        <f>(AG124-AG125)</f>
        <v>-3773</v>
      </c>
      <c r="AF140" s="15">
        <f>(AI124-AI125)</f>
        <v>-3806</v>
      </c>
      <c r="AG140" s="15">
        <f>(AK124-AK125)</f>
        <v>-3822</v>
      </c>
      <c r="AH140" s="15">
        <f>(AM124-AM125)</f>
        <v>-3782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1320.161742503820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86" customWidth="1"/>
    <col min="2" max="27" width="10.4844" style="286" customWidth="1"/>
    <col min="28" max="28" width="18.9766" style="288" customWidth="1"/>
    <col min="29" max="47" width="9" style="288" customWidth="1"/>
    <col min="48" max="16384" width="16.3516" style="288" customWidth="1"/>
  </cols>
  <sheetData>
    <row r="1" ht="11.65" customHeight="1"/>
    <row r="2" ht="27.65" customHeight="1">
      <c r="B2" t="s" s="2">
        <v>645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351</v>
      </c>
      <c r="AA3" t="s" s="3">
        <v>19</v>
      </c>
    </row>
    <row r="4" ht="20.25" customHeight="1">
      <c r="B4" s="6">
        <v>2017</v>
      </c>
      <c r="C4" s="7">
        <v>163.5</v>
      </c>
      <c r="D4" s="8">
        <v>25.8</v>
      </c>
      <c r="E4" s="8">
        <v>-25.8</v>
      </c>
      <c r="F4" s="8"/>
      <c r="G4" s="8"/>
      <c r="H4" s="8"/>
      <c r="I4" s="8">
        <v>137</v>
      </c>
      <c r="J4" s="8">
        <v>7.8</v>
      </c>
      <c r="K4" s="8">
        <v>9.4</v>
      </c>
      <c r="L4" s="8">
        <v>60.5</v>
      </c>
      <c r="M4" s="8">
        <v>0</v>
      </c>
      <c r="N4" s="59"/>
      <c r="O4" s="9"/>
      <c r="P4" s="9"/>
      <c r="Q4" s="9"/>
      <c r="R4" s="9"/>
      <c r="S4" s="9"/>
      <c r="T4" s="9"/>
      <c r="U4" s="9"/>
      <c r="V4" s="8">
        <f>-(L4+M4)</f>
        <v>-60.5</v>
      </c>
      <c r="W4" s="9"/>
      <c r="X4" s="9"/>
      <c r="Y4" s="9"/>
      <c r="Z4" s="287">
        <v>138</v>
      </c>
      <c r="AA4" s="9"/>
    </row>
    <row r="5" ht="20.05" customHeight="1">
      <c r="B5" s="13"/>
      <c r="C5" s="14">
        <v>122.4</v>
      </c>
      <c r="D5" s="15">
        <v>22.5</v>
      </c>
      <c r="E5" s="15">
        <v>-47.5</v>
      </c>
      <c r="F5" s="15"/>
      <c r="G5" s="15"/>
      <c r="H5" s="15"/>
      <c r="I5" s="15">
        <v>142.3</v>
      </c>
      <c r="J5" s="15">
        <v>53.6</v>
      </c>
      <c r="K5" s="15">
        <v>-14.6</v>
      </c>
      <c r="L5" s="15">
        <v>60.5</v>
      </c>
      <c r="M5" s="15">
        <v>0</v>
      </c>
      <c r="N5" s="26"/>
      <c r="O5" s="17"/>
      <c r="P5" s="17"/>
      <c r="Q5" s="17"/>
      <c r="R5" s="17"/>
      <c r="S5" s="17"/>
      <c r="T5" s="17"/>
      <c r="U5" s="17"/>
      <c r="V5" s="15">
        <f>-(L5+M5)+V4</f>
        <v>-121</v>
      </c>
      <c r="W5" s="17"/>
      <c r="X5" s="17"/>
      <c r="Y5" s="17"/>
      <c r="Z5" s="25">
        <v>147</v>
      </c>
      <c r="AA5" s="17"/>
    </row>
    <row r="6" ht="20.05" customHeight="1">
      <c r="B6" s="13"/>
      <c r="C6" s="14">
        <v>132.3</v>
      </c>
      <c r="D6" s="15">
        <v>23.4</v>
      </c>
      <c r="E6" s="15">
        <v>-31.3</v>
      </c>
      <c r="F6" s="15"/>
      <c r="G6" s="15"/>
      <c r="H6" s="15"/>
      <c r="I6" s="15">
        <v>139.2</v>
      </c>
      <c r="J6" s="15">
        <v>-35.2</v>
      </c>
      <c r="K6" s="15">
        <v>-1.2</v>
      </c>
      <c r="L6" s="15">
        <v>60.5</v>
      </c>
      <c r="M6" s="15">
        <v>0</v>
      </c>
      <c r="N6" s="26"/>
      <c r="O6" s="17"/>
      <c r="P6" s="17"/>
      <c r="Q6" s="17"/>
      <c r="R6" s="17"/>
      <c r="S6" s="17"/>
      <c r="T6" s="17"/>
      <c r="U6" s="17"/>
      <c r="V6" s="15">
        <f>-(L6+M6)+V5</f>
        <v>-181.5</v>
      </c>
      <c r="W6" s="17"/>
      <c r="X6" s="17"/>
      <c r="Y6" s="17"/>
      <c r="Z6" s="25">
        <v>244</v>
      </c>
      <c r="AA6" s="17"/>
    </row>
    <row r="7" ht="20.05" customHeight="1">
      <c r="B7" s="13"/>
      <c r="C7" s="14">
        <v>136.9</v>
      </c>
      <c r="D7" s="15">
        <v>33.1</v>
      </c>
      <c r="E7" s="15">
        <v>-103.9</v>
      </c>
      <c r="F7" s="15"/>
      <c r="G7" s="15"/>
      <c r="H7" s="15"/>
      <c r="I7" s="15">
        <v>142.5</v>
      </c>
      <c r="J7" s="15">
        <v>-182.4</v>
      </c>
      <c r="K7" s="15">
        <v>-78.59999999999999</v>
      </c>
      <c r="L7" s="15">
        <v>60.5</v>
      </c>
      <c r="M7" s="15">
        <v>0</v>
      </c>
      <c r="N7" s="26"/>
      <c r="O7" s="17"/>
      <c r="P7" s="17"/>
      <c r="Q7" s="17"/>
      <c r="R7" s="17"/>
      <c r="S7" s="17"/>
      <c r="T7" s="17"/>
      <c r="U7" s="17"/>
      <c r="V7" s="15">
        <f>-(L7+M7)+V6</f>
        <v>-242</v>
      </c>
      <c r="W7" s="17"/>
      <c r="X7" s="17"/>
      <c r="Y7" s="17"/>
      <c r="Z7" s="25">
        <v>202</v>
      </c>
      <c r="AA7" s="17"/>
    </row>
    <row r="8" ht="20.05" customHeight="1">
      <c r="B8" s="21">
        <v>2018</v>
      </c>
      <c r="C8" s="14">
        <v>154.8</v>
      </c>
      <c r="D8" s="15">
        <v>24.3</v>
      </c>
      <c r="E8" s="15">
        <v>-52.9</v>
      </c>
      <c r="F8" s="15">
        <v>9</v>
      </c>
      <c r="G8" s="15">
        <v>2590</v>
      </c>
      <c r="H8" s="15">
        <v>3366</v>
      </c>
      <c r="I8" s="15">
        <v>154.7</v>
      </c>
      <c r="J8" s="15">
        <v>-102.9</v>
      </c>
      <c r="K8" s="15">
        <v>-8.6</v>
      </c>
      <c r="L8" s="15">
        <v>97.25</v>
      </c>
      <c r="M8" s="15">
        <v>0</v>
      </c>
      <c r="N8" s="15">
        <f>SUM(C5:C8)/4</f>
        <v>136.6</v>
      </c>
      <c r="O8" s="17"/>
      <c r="P8" s="16"/>
      <c r="Q8" s="16">
        <f>((D8+E8)/C8)</f>
        <v>-0.184754521963824</v>
      </c>
      <c r="R8" s="16"/>
      <c r="S8" s="17"/>
      <c r="T8" s="15">
        <f>SUM(J5:K8)/4</f>
        <v>-92.47499999999999</v>
      </c>
      <c r="U8" s="17"/>
      <c r="V8" s="15">
        <f>-(L8+M8)+V7</f>
        <v>-339.25</v>
      </c>
      <c r="W8" s="17"/>
      <c r="X8" s="15">
        <f>F8-G8</f>
        <v>-2581</v>
      </c>
      <c r="Y8" s="24"/>
      <c r="Z8" s="25">
        <v>200</v>
      </c>
      <c r="AA8" s="24"/>
    </row>
    <row r="9" ht="20.05" customHeight="1">
      <c r="B9" s="13"/>
      <c r="C9" s="14">
        <v>199.3</v>
      </c>
      <c r="D9" s="15">
        <v>24.3</v>
      </c>
      <c r="E9" s="15">
        <v>-36.1</v>
      </c>
      <c r="F9" s="15">
        <v>15</v>
      </c>
      <c r="G9" s="15">
        <v>2752</v>
      </c>
      <c r="H9" s="15">
        <v>3489</v>
      </c>
      <c r="I9" s="15">
        <v>225.8</v>
      </c>
      <c r="J9" s="15">
        <v>6.4</v>
      </c>
      <c r="K9" s="15">
        <v>-24.1</v>
      </c>
      <c r="L9" s="15">
        <v>97.25</v>
      </c>
      <c r="M9" s="15">
        <v>0</v>
      </c>
      <c r="N9" s="15">
        <f>SUM(C6:C9)/4</f>
        <v>155.825</v>
      </c>
      <c r="O9" s="17"/>
      <c r="P9" s="16"/>
      <c r="Q9" s="16">
        <f>((D9+E9)/C9)</f>
        <v>-0.0592072252885098</v>
      </c>
      <c r="R9" s="16"/>
      <c r="S9" s="17"/>
      <c r="T9" s="15">
        <f>SUM(J6:K9)/4</f>
        <v>-106.65</v>
      </c>
      <c r="U9" s="17"/>
      <c r="V9" s="15">
        <f>-(L9+M9)+V8</f>
        <v>-436.5</v>
      </c>
      <c r="W9" s="17"/>
      <c r="X9" s="15">
        <f>F9-G9</f>
        <v>-2737</v>
      </c>
      <c r="Y9" s="24"/>
      <c r="Z9" s="25">
        <v>191</v>
      </c>
      <c r="AA9" s="24"/>
    </row>
    <row r="10" ht="20.05" customHeight="1">
      <c r="B10" s="13"/>
      <c r="C10" s="14">
        <v>229</v>
      </c>
      <c r="D10" s="15">
        <v>0</v>
      </c>
      <c r="E10" s="15">
        <v>-66.09999999999999</v>
      </c>
      <c r="F10" s="15">
        <v>55</v>
      </c>
      <c r="G10" s="15">
        <v>2905</v>
      </c>
      <c r="H10" s="15">
        <v>3576</v>
      </c>
      <c r="I10" s="15">
        <v>202.6</v>
      </c>
      <c r="J10" s="15">
        <v>-129.1</v>
      </c>
      <c r="K10" s="15">
        <v>-65.40000000000001</v>
      </c>
      <c r="L10" s="15">
        <v>97.25</v>
      </c>
      <c r="M10" s="15">
        <v>0</v>
      </c>
      <c r="N10" s="15">
        <f>SUM(C7:C10)/4</f>
        <v>180</v>
      </c>
      <c r="O10" s="17"/>
      <c r="P10" s="16"/>
      <c r="Q10" s="16">
        <f>((D10+E10)/C10)</f>
        <v>-0.288646288209607</v>
      </c>
      <c r="R10" s="16"/>
      <c r="S10" s="17"/>
      <c r="T10" s="15">
        <f>SUM(J7:K10)/4</f>
        <v>-146.175</v>
      </c>
      <c r="U10" s="17"/>
      <c r="V10" s="15">
        <f>-(L10+M10)+V9</f>
        <v>-533.75</v>
      </c>
      <c r="W10" s="17"/>
      <c r="X10" s="15">
        <f>F10-G10</f>
        <v>-2850</v>
      </c>
      <c r="Y10" s="24"/>
      <c r="Z10" s="25">
        <v>166</v>
      </c>
      <c r="AA10" s="24"/>
    </row>
    <row r="11" ht="20.05" customHeight="1">
      <c r="B11" s="13"/>
      <c r="C11" s="14">
        <v>162.4</v>
      </c>
      <c r="D11" s="15">
        <v>57.9</v>
      </c>
      <c r="E11" s="15">
        <v>-145</v>
      </c>
      <c r="F11" s="15">
        <v>13</v>
      </c>
      <c r="G11" s="15">
        <v>2768</v>
      </c>
      <c r="H11" s="15">
        <v>3442</v>
      </c>
      <c r="I11" s="15">
        <v>158.3</v>
      </c>
      <c r="J11" s="15">
        <v>-84.09999999999999</v>
      </c>
      <c r="K11" s="15">
        <v>24.5</v>
      </c>
      <c r="L11" s="15">
        <v>97.25</v>
      </c>
      <c r="M11" s="15">
        <v>0</v>
      </c>
      <c r="N11" s="15">
        <f>SUM(C8:C11)/4</f>
        <v>186.375</v>
      </c>
      <c r="O11" s="17"/>
      <c r="P11" s="16"/>
      <c r="Q11" s="16">
        <f>((D11+E11)/C11)</f>
        <v>-0.536330049261084</v>
      </c>
      <c r="R11" s="16"/>
      <c r="S11" s="17"/>
      <c r="T11" s="15">
        <f>SUM(J8:K11)/4</f>
        <v>-95.825</v>
      </c>
      <c r="U11" s="17"/>
      <c r="V11" s="15">
        <f>-(L11+M11)+V10</f>
        <v>-631</v>
      </c>
      <c r="W11" s="17"/>
      <c r="X11" s="15">
        <f>F11-G11</f>
        <v>-2755</v>
      </c>
      <c r="Y11" s="24"/>
      <c r="Z11" s="25">
        <v>135</v>
      </c>
      <c r="AA11" s="24"/>
    </row>
    <row r="12" ht="20.05" customHeight="1">
      <c r="B12" s="21">
        <v>2019</v>
      </c>
      <c r="C12" s="14">
        <v>157.4</v>
      </c>
      <c r="D12" s="15">
        <v>27.5</v>
      </c>
      <c r="E12" s="15">
        <v>-78.3</v>
      </c>
      <c r="F12" s="15">
        <v>19</v>
      </c>
      <c r="G12" s="15">
        <v>2911</v>
      </c>
      <c r="H12" s="15">
        <v>3507</v>
      </c>
      <c r="I12" s="15">
        <v>166.4</v>
      </c>
      <c r="J12" s="15">
        <v>-51.1</v>
      </c>
      <c r="K12" s="15">
        <v>-19.7</v>
      </c>
      <c r="L12" s="15">
        <v>49.5</v>
      </c>
      <c r="M12" s="15">
        <v>0</v>
      </c>
      <c r="N12" s="15">
        <f>SUM(C9:C12)/4</f>
        <v>187.025</v>
      </c>
      <c r="O12" s="17"/>
      <c r="P12" s="16"/>
      <c r="Q12" s="16">
        <f>((D12+E12)/C12)</f>
        <v>-0.32274459974587</v>
      </c>
      <c r="R12" s="16">
        <f>AVERAGE(Q9:Q12)</f>
        <v>-0.301732040626268</v>
      </c>
      <c r="S12" s="17"/>
      <c r="T12" s="15">
        <f>SUM(J9:K12)/4</f>
        <v>-85.65000000000001</v>
      </c>
      <c r="U12" s="17"/>
      <c r="V12" s="15">
        <f>-(L12+M12)+V11</f>
        <v>-680.5</v>
      </c>
      <c r="W12" s="17"/>
      <c r="X12" s="15">
        <f>F12-G12</f>
        <v>-2892</v>
      </c>
      <c r="Y12" s="24"/>
      <c r="Z12" s="25">
        <v>136</v>
      </c>
      <c r="AA12" s="24"/>
    </row>
    <row r="13" ht="20.05" customHeight="1">
      <c r="B13" s="13"/>
      <c r="C13" s="14">
        <v>196.1</v>
      </c>
      <c r="D13" s="15">
        <v>27.7</v>
      </c>
      <c r="E13" s="15">
        <v>-67.09999999999999</v>
      </c>
      <c r="F13" s="15">
        <v>20</v>
      </c>
      <c r="G13" s="15">
        <v>2997</v>
      </c>
      <c r="H13" s="15">
        <v>3526</v>
      </c>
      <c r="I13" s="15">
        <v>203.8</v>
      </c>
      <c r="J13" s="15">
        <v>-42.6</v>
      </c>
      <c r="K13" s="15">
        <v>-47.1</v>
      </c>
      <c r="L13" s="15">
        <v>49.5</v>
      </c>
      <c r="M13" s="15">
        <v>0</v>
      </c>
      <c r="N13" s="15">
        <f>SUM(C10:C13)/4</f>
        <v>186.225</v>
      </c>
      <c r="O13" s="17"/>
      <c r="P13" s="16"/>
      <c r="Q13" s="16">
        <f>((D13+E13)/C13)</f>
        <v>-0.200917899031107</v>
      </c>
      <c r="R13" s="16">
        <f>AVERAGE(Q10:Q13)</f>
        <v>-0.337159709061917</v>
      </c>
      <c r="S13" s="17"/>
      <c r="T13" s="15">
        <f>SUM(J10:K13)/4</f>
        <v>-103.65</v>
      </c>
      <c r="U13" s="17"/>
      <c r="V13" s="15">
        <f>-(L13+M13)+V12</f>
        <v>-730</v>
      </c>
      <c r="W13" s="17"/>
      <c r="X13" s="15">
        <f>F13-G13</f>
        <v>-2977</v>
      </c>
      <c r="Y13" s="24"/>
      <c r="Z13" s="25">
        <v>123</v>
      </c>
      <c r="AA13" s="24"/>
    </row>
    <row r="14" ht="20.05" customHeight="1">
      <c r="B14" s="13"/>
      <c r="C14" s="14">
        <v>202.4</v>
      </c>
      <c r="D14" s="15">
        <v>27.9</v>
      </c>
      <c r="E14" s="15">
        <v>-70.2</v>
      </c>
      <c r="F14" s="15">
        <v>15</v>
      </c>
      <c r="G14" s="15">
        <v>3059</v>
      </c>
      <c r="H14" s="15">
        <v>3517</v>
      </c>
      <c r="I14" s="15">
        <v>203.7</v>
      </c>
      <c r="J14" s="15">
        <v>-34</v>
      </c>
      <c r="K14" s="15">
        <v>-24.5</v>
      </c>
      <c r="L14" s="15">
        <v>49.5</v>
      </c>
      <c r="M14" s="15">
        <v>0</v>
      </c>
      <c r="N14" s="15">
        <f>SUM(C11:C14)/4</f>
        <v>179.575</v>
      </c>
      <c r="O14" s="17"/>
      <c r="P14" s="16"/>
      <c r="Q14" s="16">
        <f>((D14+E14)/C14)</f>
        <v>-0.20899209486166</v>
      </c>
      <c r="R14" s="16">
        <f>AVERAGE(Q11:Q14)</f>
        <v>-0.31724616072493</v>
      </c>
      <c r="S14" s="17"/>
      <c r="T14" s="15">
        <f>SUM(J11:K14)/4</f>
        <v>-69.65000000000001</v>
      </c>
      <c r="U14" s="17"/>
      <c r="V14" s="15">
        <f>-(L14+M14)+V13</f>
        <v>-779.5</v>
      </c>
      <c r="W14" s="17"/>
      <c r="X14" s="15">
        <f>F14-G14</f>
        <v>-3044</v>
      </c>
      <c r="Y14" s="24"/>
      <c r="Z14" s="25">
        <v>108</v>
      </c>
      <c r="AA14" s="24"/>
    </row>
    <row r="15" ht="20.05" customHeight="1">
      <c r="B15" s="13"/>
      <c r="C15" s="14">
        <v>167.4</v>
      </c>
      <c r="D15" s="15">
        <v>28.3</v>
      </c>
      <c r="E15" s="15">
        <v>-67.09999999999999</v>
      </c>
      <c r="F15" s="15">
        <v>6</v>
      </c>
      <c r="G15" s="15">
        <v>3100</v>
      </c>
      <c r="H15" s="15">
        <v>3490</v>
      </c>
      <c r="I15" s="15">
        <v>204</v>
      </c>
      <c r="J15" s="15">
        <v>9.9</v>
      </c>
      <c r="K15" s="15">
        <v>-26.9</v>
      </c>
      <c r="L15" s="15">
        <v>49.5</v>
      </c>
      <c r="M15" s="15">
        <v>0</v>
      </c>
      <c r="N15" s="15">
        <f>SUM(C12:C15)/4</f>
        <v>180.825</v>
      </c>
      <c r="O15" s="17"/>
      <c r="P15" s="16"/>
      <c r="Q15" s="16">
        <f>((D15+E15)/C15)</f>
        <v>-0.231780167264038</v>
      </c>
      <c r="R15" s="16">
        <f>AVERAGE(Q12:Q15)</f>
        <v>-0.241108690225669</v>
      </c>
      <c r="S15" s="17"/>
      <c r="T15" s="15">
        <f>SUM(J12:K15)/4</f>
        <v>-59</v>
      </c>
      <c r="U15" s="17"/>
      <c r="V15" s="15">
        <f>-(L15+M15)+V14</f>
        <v>-829</v>
      </c>
      <c r="W15" s="17"/>
      <c r="X15" s="15">
        <f>F15-G15</f>
        <v>-3094</v>
      </c>
      <c r="Y15" s="24"/>
      <c r="Z15" s="25">
        <v>92</v>
      </c>
      <c r="AA15" s="24"/>
    </row>
    <row r="16" ht="20.05" customHeight="1">
      <c r="B16" s="21">
        <v>2020</v>
      </c>
      <c r="C16" s="14">
        <v>193.5</v>
      </c>
      <c r="D16" s="15">
        <v>28.2</v>
      </c>
      <c r="E16" s="15">
        <v>-48.3</v>
      </c>
      <c r="F16" s="15">
        <v>2</v>
      </c>
      <c r="G16" s="15">
        <v>3166</v>
      </c>
      <c r="H16" s="15">
        <v>3508</v>
      </c>
      <c r="I16" s="15">
        <v>165.2</v>
      </c>
      <c r="J16" s="15">
        <v>-29.7</v>
      </c>
      <c r="K16" s="15">
        <v>-23.4</v>
      </c>
      <c r="L16" s="15">
        <v>81.25</v>
      </c>
      <c r="M16" s="15">
        <v>0</v>
      </c>
      <c r="N16" s="15">
        <f>SUM(C13:C16)/4</f>
        <v>189.85</v>
      </c>
      <c r="O16" s="15"/>
      <c r="P16" s="16"/>
      <c r="Q16" s="16">
        <f>((D16+E16)/C16)</f>
        <v>-0.103875968992248</v>
      </c>
      <c r="R16" s="16">
        <f>AVERAGE(Q13:Q16)</f>
        <v>-0.186391532537263</v>
      </c>
      <c r="S16" s="17"/>
      <c r="T16" s="15">
        <f>SUM(J13:K16)/4</f>
        <v>-54.575</v>
      </c>
      <c r="U16" s="17"/>
      <c r="V16" s="15">
        <f>-(L16+M16)+V15</f>
        <v>-910.25</v>
      </c>
      <c r="W16" s="17"/>
      <c r="X16" s="15">
        <f>F16-G16</f>
        <v>-3164</v>
      </c>
      <c r="Y16" s="24"/>
      <c r="Z16" s="25">
        <v>87</v>
      </c>
      <c r="AA16" s="24"/>
    </row>
    <row r="17" ht="20.05" customHeight="1">
      <c r="B17" s="13"/>
      <c r="C17" s="14">
        <v>63.4</v>
      </c>
      <c r="D17" s="15">
        <v>27.1</v>
      </c>
      <c r="E17" s="15">
        <v>-95</v>
      </c>
      <c r="F17" s="15">
        <v>1</v>
      </c>
      <c r="G17" s="15">
        <v>3268</v>
      </c>
      <c r="H17" s="15">
        <v>3514</v>
      </c>
      <c r="I17" s="15">
        <v>71.59999999999999</v>
      </c>
      <c r="J17" s="15">
        <v>-64.8</v>
      </c>
      <c r="K17" s="15">
        <v>-17.7</v>
      </c>
      <c r="L17" s="15">
        <v>81.25</v>
      </c>
      <c r="M17" s="15">
        <v>0</v>
      </c>
      <c r="N17" s="15">
        <f>SUM(C14:C17)/4</f>
        <v>156.675</v>
      </c>
      <c r="O17" s="15"/>
      <c r="P17" s="16"/>
      <c r="Q17" s="16">
        <f>((D17+E17)/C17)</f>
        <v>-1.07097791798107</v>
      </c>
      <c r="R17" s="16">
        <f>AVERAGE(Q14:Q17)</f>
        <v>-0.403906537274754</v>
      </c>
      <c r="S17" s="17"/>
      <c r="T17" s="15">
        <f>SUM(J14:K17)/4</f>
        <v>-52.775</v>
      </c>
      <c r="U17" s="17"/>
      <c r="V17" s="15">
        <f>-(L17+M17)+V16</f>
        <v>-991.5</v>
      </c>
      <c r="W17" s="17"/>
      <c r="X17" s="15">
        <f>F17-G17</f>
        <v>-3267</v>
      </c>
      <c r="Y17" s="24"/>
      <c r="Z17" s="25">
        <v>68</v>
      </c>
      <c r="AA17" s="24"/>
    </row>
    <row r="18" ht="20.05" customHeight="1">
      <c r="B18" s="13"/>
      <c r="C18" s="14">
        <v>85.59999999999999</v>
      </c>
      <c r="D18" s="15">
        <v>28.3</v>
      </c>
      <c r="E18" s="15">
        <v>-82.59999999999999</v>
      </c>
      <c r="F18" s="15">
        <v>4</v>
      </c>
      <c r="G18" s="15">
        <v>3346</v>
      </c>
      <c r="H18" s="15">
        <v>3510</v>
      </c>
      <c r="I18" s="15">
        <v>80.3</v>
      </c>
      <c r="J18" s="15">
        <v>-70.3</v>
      </c>
      <c r="K18" s="15">
        <v>-18.3</v>
      </c>
      <c r="L18" s="15">
        <v>81.25</v>
      </c>
      <c r="M18" s="15">
        <v>0</v>
      </c>
      <c r="N18" s="15">
        <f>SUM(C15:C18)/4</f>
        <v>127.475</v>
      </c>
      <c r="O18" s="15"/>
      <c r="P18" s="16"/>
      <c r="Q18" s="16">
        <f>((D18+E18)/C18)</f>
        <v>-0.634345794392523</v>
      </c>
      <c r="R18" s="16">
        <f>AVERAGE(Q15:Q18)</f>
        <v>-0.51024496215747</v>
      </c>
      <c r="S18" s="17"/>
      <c r="T18" s="15">
        <f>SUM(J15:K18)/4</f>
        <v>-60.3</v>
      </c>
      <c r="U18" s="17"/>
      <c r="V18" s="15">
        <f>-(L18+M18)+V17</f>
        <v>-1072.75</v>
      </c>
      <c r="W18" s="17"/>
      <c r="X18" s="15">
        <f>F18-G18</f>
        <v>-3342</v>
      </c>
      <c r="Y18" s="24"/>
      <c r="Z18" s="25">
        <v>52</v>
      </c>
      <c r="AA18" s="24"/>
    </row>
    <row r="19" ht="20.05" customHeight="1">
      <c r="B19" s="13"/>
      <c r="C19" s="14">
        <v>118.8</v>
      </c>
      <c r="D19" s="15">
        <v>28.2</v>
      </c>
      <c r="E19" s="15">
        <v>-81.7</v>
      </c>
      <c r="F19" s="15">
        <v>8</v>
      </c>
      <c r="G19" s="15">
        <v>3250</v>
      </c>
      <c r="H19" s="15">
        <v>3494</v>
      </c>
      <c r="I19" s="15">
        <v>104.2</v>
      </c>
      <c r="J19" s="15">
        <v>-82.90000000000001</v>
      </c>
      <c r="K19" s="15">
        <v>-11.6</v>
      </c>
      <c r="L19" s="15">
        <v>81.25</v>
      </c>
      <c r="M19" s="15">
        <v>0</v>
      </c>
      <c r="N19" s="15">
        <f>SUM(C16:C19)/4</f>
        <v>115.325</v>
      </c>
      <c r="O19" s="15"/>
      <c r="P19" s="16"/>
      <c r="Q19" s="16">
        <f>((D19+E19)/C19)</f>
        <v>-0.4503367003367</v>
      </c>
      <c r="R19" s="16">
        <f>AVERAGE(Q16:Q19)</f>
        <v>-0.564884095425635</v>
      </c>
      <c r="S19" s="17"/>
      <c r="T19" s="15">
        <f>SUM(J16:K19)/4</f>
        <v>-79.675</v>
      </c>
      <c r="U19" s="17"/>
      <c r="V19" s="15">
        <f>-(L19+M19)+V18</f>
        <v>-1154</v>
      </c>
      <c r="W19" s="17"/>
      <c r="X19" s="15">
        <f>F19-G19</f>
        <v>-3242</v>
      </c>
      <c r="Y19" s="24"/>
      <c r="Z19" s="25">
        <v>98</v>
      </c>
      <c r="AA19" s="24"/>
    </row>
    <row r="20" ht="20.05" customHeight="1">
      <c r="B20" s="21">
        <v>2021</v>
      </c>
      <c r="C20" s="14">
        <v>135.8</v>
      </c>
      <c r="D20" s="15">
        <v>29.2</v>
      </c>
      <c r="E20" s="15">
        <v>-44.7</v>
      </c>
      <c r="F20" s="15">
        <v>3</v>
      </c>
      <c r="G20" s="15">
        <v>3306</v>
      </c>
      <c r="H20" s="15">
        <v>3548</v>
      </c>
      <c r="I20" s="15">
        <v>146.6</v>
      </c>
      <c r="J20" s="15">
        <v>-56.6</v>
      </c>
      <c r="K20" s="15">
        <v>-18.7</v>
      </c>
      <c r="L20" s="15">
        <v>56.25</v>
      </c>
      <c r="M20" s="15">
        <v>0</v>
      </c>
      <c r="N20" s="15">
        <f>SUM(C17:C20)/4</f>
        <v>100.9</v>
      </c>
      <c r="O20" s="15"/>
      <c r="P20" s="16"/>
      <c r="Q20" s="16">
        <f>((D20+E20)/C20)</f>
        <v>-0.114138438880707</v>
      </c>
      <c r="R20" s="16">
        <f>AVERAGE(Q17:Q20)</f>
        <v>-0.56744971289775</v>
      </c>
      <c r="S20" s="17"/>
      <c r="T20" s="15">
        <f>SUM(J17:K20)/4</f>
        <v>-85.22499999999999</v>
      </c>
      <c r="U20" s="17"/>
      <c r="V20" s="15">
        <f>-(L20+M20)+V19</f>
        <v>-1210.25</v>
      </c>
      <c r="W20" s="17"/>
      <c r="X20" s="15">
        <f>F20-G20</f>
        <v>-3303</v>
      </c>
      <c r="Y20" s="15"/>
      <c r="Z20" s="25">
        <v>89</v>
      </c>
      <c r="AA20" s="17"/>
    </row>
    <row r="21" ht="20.05" customHeight="1">
      <c r="B21" s="13"/>
      <c r="C21" s="14">
        <v>250.1</v>
      </c>
      <c r="D21" s="15">
        <v>30.1</v>
      </c>
      <c r="E21" s="15">
        <v>-4.9</v>
      </c>
      <c r="F21" s="15">
        <v>20</v>
      </c>
      <c r="G21" s="15">
        <v>3333</v>
      </c>
      <c r="H21" s="15">
        <v>3598</v>
      </c>
      <c r="I21" s="15">
        <v>228.7</v>
      </c>
      <c r="J21" s="15">
        <v>-4.1</v>
      </c>
      <c r="K21" s="15">
        <v>-19.3</v>
      </c>
      <c r="L21" s="15">
        <v>56.25</v>
      </c>
      <c r="M21" s="15">
        <v>0</v>
      </c>
      <c r="N21" s="15">
        <f>SUM(C18:C21)/4</f>
        <v>147.575</v>
      </c>
      <c r="O21" s="15"/>
      <c r="P21" s="16">
        <f>C21/C20-1</f>
        <v>0.841678939617084</v>
      </c>
      <c r="Q21" s="16">
        <f>((D21+E21)/C21)</f>
        <v>0.100759696121551</v>
      </c>
      <c r="R21" s="16">
        <f>AVERAGE(Q18:Q21)</f>
        <v>-0.274515309372095</v>
      </c>
      <c r="S21" s="17"/>
      <c r="T21" s="15">
        <f>SUM(J18:K21)/4</f>
        <v>-70.45</v>
      </c>
      <c r="U21" s="17"/>
      <c r="V21" s="15">
        <f>-(L21+M21)+V20</f>
        <v>-1266.5</v>
      </c>
      <c r="W21" s="17"/>
      <c r="X21" s="15">
        <f>F21-G21</f>
        <v>-3313</v>
      </c>
      <c r="Y21" s="15"/>
      <c r="Z21" s="25">
        <v>116</v>
      </c>
      <c r="AA21" s="17"/>
    </row>
    <row r="22" ht="20.05" customHeight="1">
      <c r="B22" s="13"/>
      <c r="C22" s="14">
        <v>169.5</v>
      </c>
      <c r="D22" s="15">
        <v>29.8</v>
      </c>
      <c r="E22" s="15">
        <v>-62.6</v>
      </c>
      <c r="F22" s="15">
        <v>9</v>
      </c>
      <c r="G22" s="15">
        <v>3341</v>
      </c>
      <c r="H22" s="15">
        <v>3595</v>
      </c>
      <c r="I22" s="15">
        <v>183.9</v>
      </c>
      <c r="J22" s="15">
        <v>-48.4</v>
      </c>
      <c r="K22" s="15">
        <v>-24.6</v>
      </c>
      <c r="L22" s="15">
        <v>56.25</v>
      </c>
      <c r="M22" s="15">
        <v>0</v>
      </c>
      <c r="N22" s="15">
        <f>SUM(C19:C22)/4</f>
        <v>168.55</v>
      </c>
      <c r="O22" s="23"/>
      <c r="P22" s="16">
        <f>C22/C21-1</f>
        <v>-0.322271091563375</v>
      </c>
      <c r="Q22" s="16">
        <f>((D22+E22)/C22)</f>
        <v>-0.193510324483776</v>
      </c>
      <c r="R22" s="16">
        <f>AVERAGE(Q19:Q22)</f>
        <v>-0.164306441894908</v>
      </c>
      <c r="S22" s="17"/>
      <c r="T22" s="15">
        <f>SUM(J19:K22)/4</f>
        <v>-66.55</v>
      </c>
      <c r="U22" s="17"/>
      <c r="V22" s="15">
        <f>-(L22+M22)+V21</f>
        <v>-1322.75</v>
      </c>
      <c r="W22" s="17"/>
      <c r="X22" s="15">
        <f>F22-G22</f>
        <v>-3332</v>
      </c>
      <c r="Y22" s="15"/>
      <c r="Z22" s="25">
        <v>132</v>
      </c>
      <c r="AA22" s="17"/>
    </row>
    <row r="23" ht="20.05" customHeight="1">
      <c r="B23" s="13"/>
      <c r="C23" s="14">
        <v>287.8</v>
      </c>
      <c r="D23" s="15">
        <v>30.8</v>
      </c>
      <c r="E23" s="15">
        <v>-66.09999999999999</v>
      </c>
      <c r="F23" s="15">
        <v>13</v>
      </c>
      <c r="G23" s="15">
        <v>3343</v>
      </c>
      <c r="H23" s="15">
        <v>3566</v>
      </c>
      <c r="I23" s="15">
        <v>280.1</v>
      </c>
      <c r="J23" s="15">
        <v>-19.1</v>
      </c>
      <c r="K23" s="15">
        <v>-30</v>
      </c>
      <c r="L23" s="15">
        <v>56.25</v>
      </c>
      <c r="M23" s="15">
        <v>0</v>
      </c>
      <c r="N23" s="15">
        <f>SUM(C20:C23)/4</f>
        <v>210.8</v>
      </c>
      <c r="O23" s="23">
        <v>233.0025</v>
      </c>
      <c r="P23" s="16">
        <f>C23/C22-1</f>
        <v>0.697935103244838</v>
      </c>
      <c r="Q23" s="16">
        <f>((D23+E23)/C23)</f>
        <v>-0.122654621264767</v>
      </c>
      <c r="R23" s="16">
        <f>AVERAGE(Q20:Q23)</f>
        <v>-0.0823859221269248</v>
      </c>
      <c r="S23" s="17"/>
      <c r="T23" s="15">
        <f>SUM(J20:K23)/4</f>
        <v>-55.2</v>
      </c>
      <c r="U23" s="17"/>
      <c r="V23" s="15">
        <f>-(L23+M23)+V22</f>
        <v>-1379</v>
      </c>
      <c r="W23" s="17"/>
      <c r="X23" s="15">
        <f>F23-G23</f>
        <v>-3330</v>
      </c>
      <c r="Y23" s="15"/>
      <c r="Z23" s="25">
        <v>270</v>
      </c>
      <c r="AA23" s="17"/>
    </row>
    <row r="24" ht="20.05" customHeight="1">
      <c r="B24" s="21">
        <v>2022</v>
      </c>
      <c r="C24" s="14">
        <v>257.6</v>
      </c>
      <c r="D24" s="15">
        <v>29.2</v>
      </c>
      <c r="E24" s="15">
        <v>-52.3</v>
      </c>
      <c r="F24" s="15">
        <v>4</v>
      </c>
      <c r="G24" s="15">
        <v>3430</v>
      </c>
      <c r="H24" s="15">
        <v>3636</v>
      </c>
      <c r="I24" s="15">
        <v>283.9</v>
      </c>
      <c r="J24" s="15">
        <v>-27.3</v>
      </c>
      <c r="K24" s="15">
        <v>-29.1</v>
      </c>
      <c r="L24" s="15">
        <v>47</v>
      </c>
      <c r="M24" s="15">
        <v>0</v>
      </c>
      <c r="N24" s="15">
        <f>SUM(C21:C24)/4</f>
        <v>241.25</v>
      </c>
      <c r="O24" s="23">
        <v>223.135</v>
      </c>
      <c r="P24" s="16">
        <f>C24/C23-1</f>
        <v>-0.104933981931897</v>
      </c>
      <c r="Q24" s="16">
        <f>((D24+E24)/C24)</f>
        <v>-0.0896739130434783</v>
      </c>
      <c r="R24" s="16">
        <f>AVERAGE(Q21:Q24)</f>
        <v>-0.0762697906676176</v>
      </c>
      <c r="S24" s="35"/>
      <c r="T24" s="15">
        <f>SUM(J21:K24)/4</f>
        <v>-50.475</v>
      </c>
      <c r="U24" s="15">
        <v>10.035133333333</v>
      </c>
      <c r="V24" s="15">
        <f>-(L24+M24)+V23</f>
        <v>-1426</v>
      </c>
      <c r="W24" s="15"/>
      <c r="X24" s="15">
        <f>F24-G24</f>
        <v>-3426</v>
      </c>
      <c r="Y24" s="15">
        <v>-3379.524866666670</v>
      </c>
      <c r="Z24" s="25">
        <v>186</v>
      </c>
      <c r="AA24" s="26">
        <v>127.639298422709</v>
      </c>
    </row>
    <row r="25" ht="20.05" customHeight="1">
      <c r="B25" s="13"/>
      <c r="C25" s="14">
        <v>279</v>
      </c>
      <c r="D25" s="15">
        <v>28.8</v>
      </c>
      <c r="E25" s="15">
        <v>-37.4</v>
      </c>
      <c r="F25" s="15">
        <v>11</v>
      </c>
      <c r="G25" s="15">
        <v>3437</v>
      </c>
      <c r="H25" s="15">
        <v>3664</v>
      </c>
      <c r="I25" s="15">
        <v>228.9</v>
      </c>
      <c r="J25" s="15">
        <v>-66.5</v>
      </c>
      <c r="K25" s="15">
        <v>-20.9</v>
      </c>
      <c r="L25" s="15">
        <v>95.09999999999999</v>
      </c>
      <c r="M25" s="15">
        <v>0</v>
      </c>
      <c r="N25" s="15">
        <f>SUM(C22:C25)/4</f>
        <v>248.475</v>
      </c>
      <c r="O25" s="23">
        <v>238.19125</v>
      </c>
      <c r="P25" s="16">
        <f>C25/C24-1</f>
        <v>0.0830745341614907</v>
      </c>
      <c r="Q25" s="16">
        <f>((D25+E25)/C25)</f>
        <v>-0.0308243727598566</v>
      </c>
      <c r="R25" s="16">
        <f>AVERAGE(Q22:Q25)</f>
        <v>-0.109165807887969</v>
      </c>
      <c r="S25" s="35"/>
      <c r="T25" s="15">
        <f>SUM(J22:K25)/4</f>
        <v>-66.47499999999999</v>
      </c>
      <c r="U25" s="15">
        <v>11.6795728</v>
      </c>
      <c r="V25" s="15">
        <f>-(L25+M25)+V24</f>
        <v>-1521.1</v>
      </c>
      <c r="W25" s="15"/>
      <c r="X25" s="15">
        <f>F25-G25</f>
        <v>-3426</v>
      </c>
      <c r="Y25" s="15">
        <v>-3449.7505072</v>
      </c>
      <c r="Z25" s="15">
        <v>136</v>
      </c>
      <c r="AA25" s="26">
        <v>110.164870662457</v>
      </c>
    </row>
    <row r="26" ht="20.05" customHeight="1">
      <c r="B26" s="13"/>
      <c r="C26" s="14">
        <v>210.9</v>
      </c>
      <c r="D26" s="15">
        <v>28.7</v>
      </c>
      <c r="E26" s="15">
        <v>-88.5</v>
      </c>
      <c r="F26" s="15">
        <v>1</v>
      </c>
      <c r="G26" s="15">
        <v>3507</v>
      </c>
      <c r="H26" s="15">
        <v>3666</v>
      </c>
      <c r="I26" s="15">
        <v>213.7</v>
      </c>
      <c r="J26" s="15">
        <v>-29.3</v>
      </c>
      <c r="K26" s="15">
        <v>-27</v>
      </c>
      <c r="L26" s="15">
        <v>46.5</v>
      </c>
      <c r="M26" s="15">
        <v>0</v>
      </c>
      <c r="N26" s="15">
        <f>AVERAGE(C26)</f>
        <v>210.9</v>
      </c>
      <c r="O26" s="23">
        <v>247.1725</v>
      </c>
      <c r="P26" s="16">
        <f>C26/C25-1</f>
        <v>-0.244086021505376</v>
      </c>
      <c r="Q26" s="16">
        <f>((D26+E26)/C26)</f>
        <v>-0.283546704599336</v>
      </c>
      <c r="R26" s="16">
        <f>AVERAGE(Q23:Q26)</f>
        <v>-0.131674902916859</v>
      </c>
      <c r="S26" s="35">
        <f>S27</f>
        <v>-0.0896739130434783</v>
      </c>
      <c r="T26" s="15">
        <f>SUM(J23:K26)/4</f>
        <v>-62.3</v>
      </c>
      <c r="U26" s="15">
        <v>-10.725862089501</v>
      </c>
      <c r="V26" s="15">
        <f>-(L26+M26)+V25</f>
        <v>-1567.6</v>
      </c>
      <c r="W26" s="15">
        <f>W27</f>
        <v>-1700.528253673130</v>
      </c>
      <c r="X26" s="15">
        <f>F26-G26</f>
        <v>-3506</v>
      </c>
      <c r="Y26" s="15">
        <v>-3468.903448358</v>
      </c>
      <c r="Z26" s="15">
        <v>142</v>
      </c>
      <c r="AA26" s="26">
        <v>140.817682467925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AVERAGE(AD50:AG50)</f>
        <v>241.2302829675</v>
      </c>
      <c r="P27" s="17"/>
      <c r="Q27" s="17"/>
      <c r="R27" s="17"/>
      <c r="S27" s="35">
        <f>AD51</f>
        <v>-0.0896739130434783</v>
      </c>
      <c r="T27" s="17"/>
      <c r="U27" s="15">
        <f>SUM(AD53:AG53)/4</f>
        <v>-33.2320634182813</v>
      </c>
      <c r="V27" s="17"/>
      <c r="W27" s="15">
        <f>-SUM(AD74:AG74)+V26</f>
        <v>-1700.528253673130</v>
      </c>
      <c r="X27" s="17"/>
      <c r="Y27" s="15">
        <f>AG73</f>
        <v>-3638.928253673130</v>
      </c>
      <c r="Z27" s="15">
        <v>125</v>
      </c>
      <c r="AA27" s="26">
        <v>110.164870662457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SUM(N23:N26)</f>
        <v>911.425</v>
      </c>
      <c r="O28" s="15">
        <f>SUM(O23:O26)</f>
        <v>941.50125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26">
        <f>AG87</f>
        <v>102.251694268912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26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26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26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26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26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26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26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26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26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26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26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26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26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4" ht="27.65" customHeight="1">
      <c r="AB44" t="s" s="2">
        <v>351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</row>
    <row r="45" ht="20.25" customHeight="1">
      <c r="AB45" t="s" s="28">
        <v>366</v>
      </c>
      <c r="AC45" t="s" s="29">
        <v>23</v>
      </c>
      <c r="AD45" t="s" s="29">
        <v>24</v>
      </c>
      <c r="AE45" t="s" s="29">
        <v>25</v>
      </c>
      <c r="AF45" t="s" s="29">
        <v>26</v>
      </c>
      <c r="AG45" t="s" s="29">
        <v>23</v>
      </c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</row>
    <row r="46" ht="20.25" customHeight="1">
      <c r="AB46" t="s" s="31">
        <v>15</v>
      </c>
      <c r="AC46" s="32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</row>
    <row r="47" ht="20.05" customHeight="1">
      <c r="AB47" t="s" s="33">
        <v>27</v>
      </c>
      <c r="AC47" s="34"/>
      <c r="AD47" s="16">
        <f>AVERAGE(P23:P26)</f>
        <v>0.107997408492264</v>
      </c>
      <c r="AE47" s="35"/>
      <c r="AF47" s="35"/>
      <c r="AG47" s="35">
        <f>AVERAGE(AD49:AG49)</f>
        <v>0.0425</v>
      </c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</row>
    <row r="48" ht="20.05" customHeight="1">
      <c r="AB48" s="36"/>
      <c r="AC48" s="37"/>
      <c r="AD48" s="35">
        <f>P23</f>
        <v>0.697935103244838</v>
      </c>
      <c r="AE48" s="35">
        <f>P24</f>
        <v>-0.104933981931897</v>
      </c>
      <c r="AF48" s="35">
        <f>P25</f>
        <v>0.0830745341614907</v>
      </c>
      <c r="AG48" s="35">
        <f>P26</f>
        <v>-0.244086021505376</v>
      </c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</row>
    <row r="49" ht="20.05" customHeight="1">
      <c r="AB49" t="s" s="33">
        <v>13</v>
      </c>
      <c r="AC49" s="37"/>
      <c r="AD49" s="35">
        <v>0.15</v>
      </c>
      <c r="AE49" s="35">
        <v>-0.03</v>
      </c>
      <c r="AF49" s="35">
        <v>0.02</v>
      </c>
      <c r="AG49" s="35">
        <v>0.03</v>
      </c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</row>
    <row r="50" ht="20.05" customHeight="1">
      <c r="AB50" t="s" s="33">
        <v>28</v>
      </c>
      <c r="AC50" s="38"/>
      <c r="AD50" s="23">
        <f>C26*(1+AD49)</f>
        <v>242.535</v>
      </c>
      <c r="AE50" s="23">
        <f>AD50*(1+AE49)</f>
        <v>235.25895</v>
      </c>
      <c r="AF50" s="23">
        <f>AE50*(1+AF49)</f>
        <v>239.964129</v>
      </c>
      <c r="AG50" s="23">
        <f>AF50*(1+AG49)</f>
        <v>247.16305287</v>
      </c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</row>
    <row r="51" ht="20.05" customHeight="1">
      <c r="AB51" t="s" s="33">
        <v>14</v>
      </c>
      <c r="AC51" s="37"/>
      <c r="AD51" s="35">
        <f>AVERAGE(Q24)</f>
        <v>-0.0896739130434783</v>
      </c>
      <c r="AE51" s="35">
        <f>AD51</f>
        <v>-0.0896739130434783</v>
      </c>
      <c r="AF51" s="35">
        <f>AE51</f>
        <v>-0.0896739130434783</v>
      </c>
      <c r="AG51" s="35">
        <f>AF51</f>
        <v>-0.0896739130434783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29</v>
      </c>
      <c r="AC52" s="14"/>
      <c r="AD52" s="15">
        <f>AVERAGE(K19)</f>
        <v>-11.6</v>
      </c>
      <c r="AE52" s="15">
        <f>AD52</f>
        <v>-11.6</v>
      </c>
      <c r="AF52" s="15">
        <f>AE52</f>
        <v>-11.6</v>
      </c>
      <c r="AG52" s="15">
        <f>AF52</f>
        <v>-11.6</v>
      </c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</row>
    <row r="53" ht="20.05" customHeight="1">
      <c r="AB53" t="s" s="33">
        <v>30</v>
      </c>
      <c r="AC53" s="14"/>
      <c r="AD53" s="15">
        <f>(AD50*AD51)+AD52</f>
        <v>-33.3490625</v>
      </c>
      <c r="AE53" s="15">
        <f>(AE50*AE51)+AE52</f>
        <v>-32.696590625</v>
      </c>
      <c r="AF53" s="15">
        <f>(AF50*AF51)+AF52</f>
        <v>-33.1185224375</v>
      </c>
      <c r="AG53" s="15">
        <f>(AG50*AG51)+AG52</f>
        <v>-33.764078110625</v>
      </c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</row>
    <row r="54" ht="20.05" customHeight="1">
      <c r="AB54" t="s" s="33">
        <v>31</v>
      </c>
      <c r="AC54" s="14"/>
      <c r="AD54" s="15">
        <f>-G26/20</f>
        <v>-175.35</v>
      </c>
      <c r="AE54" s="15">
        <f>-AD69/20</f>
        <v>-166.5825</v>
      </c>
      <c r="AF54" s="15">
        <f>-AE69/20</f>
        <v>-158.253375</v>
      </c>
      <c r="AG54" s="15">
        <f>-AF69/20</f>
        <v>-150.34070625</v>
      </c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</row>
    <row r="55" ht="20.05" customHeight="1">
      <c r="AB55" t="s" s="33">
        <v>32</v>
      </c>
      <c r="AC55" s="39"/>
      <c r="AD55" s="40">
        <v>0</v>
      </c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33</v>
      </c>
      <c r="AC56" s="14"/>
      <c r="AD56" s="15">
        <f>IF(AD64&gt;0,AD64*$AD$55,0)</f>
        <v>0</v>
      </c>
      <c r="AE56" s="15">
        <f>IF(AE64&gt;0,AE64*$AD$55,0)</f>
        <v>0</v>
      </c>
      <c r="AF56" s="15">
        <f>IF(AF64&gt;0,AF64*$AD$55,0)</f>
        <v>0</v>
      </c>
      <c r="AG56" s="15">
        <f>IF(AG64&gt;0,AG64*$AD$55,0)</f>
        <v>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34</v>
      </c>
      <c r="AC57" s="14"/>
      <c r="AD57" s="15">
        <f>AD53+AD54+AD56</f>
        <v>-208.6990625</v>
      </c>
      <c r="AE57" s="15">
        <f>AE53+AE54+AE56</f>
        <v>-199.279090625</v>
      </c>
      <c r="AF57" s="15">
        <f>AF53+AF54+AF56</f>
        <v>-191.3718974375</v>
      </c>
      <c r="AG57" s="15">
        <f>AG53+AG54+AG56</f>
        <v>-184.104784360625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35</v>
      </c>
      <c r="AC58" s="14"/>
      <c r="AD58" s="15">
        <f>-MIN(0,AD57)</f>
        <v>208.6990625</v>
      </c>
      <c r="AE58" s="15">
        <f>-MIN(AD70,AE57)</f>
        <v>199.279090625</v>
      </c>
      <c r="AF58" s="15">
        <f>-MIN(AE70,AF57)</f>
        <v>191.3718974375</v>
      </c>
      <c r="AG58" s="15">
        <f>-MIN(AF70,AG57)</f>
        <v>184.104784360625</v>
      </c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36</v>
      </c>
      <c r="AC59" s="14"/>
      <c r="AD59" s="15">
        <f>F26</f>
        <v>1</v>
      </c>
      <c r="AE59" s="15">
        <f>AD61</f>
        <v>1</v>
      </c>
      <c r="AF59" s="15">
        <f>AE61</f>
        <v>1</v>
      </c>
      <c r="AG59" s="15">
        <f>AF61</f>
        <v>1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37</v>
      </c>
      <c r="AC60" s="14"/>
      <c r="AD60" s="15">
        <f>AD53+AD54+AD56+AD58</f>
        <v>0</v>
      </c>
      <c r="AE60" s="15">
        <f>AE53+AE54+AE56+AE58</f>
        <v>0</v>
      </c>
      <c r="AF60" s="15">
        <f>AF53+AF54+AF56+AF58</f>
        <v>0</v>
      </c>
      <c r="AG60" s="15">
        <f>AG53+AG54+AG56+AG58</f>
        <v>0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38</v>
      </c>
      <c r="AC61" s="14"/>
      <c r="AD61" s="15">
        <f>AD59+AD60</f>
        <v>1</v>
      </c>
      <c r="AE61" s="15">
        <f>AE59+AE60</f>
        <v>1</v>
      </c>
      <c r="AF61" s="15">
        <f>AF59+AF60</f>
        <v>1</v>
      </c>
      <c r="AG61" s="15">
        <f>AG59+AG60</f>
        <v>1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41">
        <v>4</v>
      </c>
      <c r="AC62" s="14"/>
      <c r="AD62" s="15"/>
      <c r="AE62" s="15"/>
      <c r="AF62" s="15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ht="20.05" customHeight="1">
      <c r="AB63" t="s" s="33">
        <v>3</v>
      </c>
      <c r="AC63" s="14"/>
      <c r="AD63" s="15">
        <f>-AVERAGE(D24:D26)</f>
        <v>-28.9</v>
      </c>
      <c r="AE63" s="15">
        <f>AD63</f>
        <v>-28.9</v>
      </c>
      <c r="AF63" s="15">
        <f>AE63</f>
        <v>-28.9</v>
      </c>
      <c r="AG63" s="15">
        <f>AF63</f>
        <v>-28.9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4</v>
      </c>
      <c r="AC64" s="14"/>
      <c r="AD64" s="15">
        <f>(AD50*AD51)+AD63</f>
        <v>-50.6490625</v>
      </c>
      <c r="AE64" s="15">
        <f>(AE50*AE51)+AE63</f>
        <v>-49.996590625</v>
      </c>
      <c r="AF64" s="15">
        <f>(AF50*AF51)+AF63</f>
        <v>-50.4185224375</v>
      </c>
      <c r="AG64" s="15">
        <f>(AG50*AG51)+AG63</f>
        <v>-51.064078110625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39</v>
      </c>
      <c r="AC65" s="14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</row>
    <row r="66" ht="20.05" customHeight="1">
      <c r="AB66" t="s" s="33">
        <v>40</v>
      </c>
      <c r="AC66" s="14"/>
      <c r="AD66" s="15">
        <f>H26-F26-AD52</f>
        <v>3676.6</v>
      </c>
      <c r="AE66" s="15">
        <f>AD66-AE52</f>
        <v>3688.2</v>
      </c>
      <c r="AF66" s="15">
        <f>AE66-AF52</f>
        <v>3699.8</v>
      </c>
      <c r="AG66" s="15">
        <f>AF66-AG52</f>
        <v>3711.4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41</v>
      </c>
      <c r="AC67" s="14"/>
      <c r="AD67" s="15">
        <f>0-AD63</f>
        <v>28.9</v>
      </c>
      <c r="AE67" s="15">
        <f>AD67-AE63</f>
        <v>57.8</v>
      </c>
      <c r="AF67" s="15">
        <f>AE67-AF63</f>
        <v>86.7</v>
      </c>
      <c r="AG67" s="15">
        <f>AF67-AG63</f>
        <v>115.6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33">
        <v>42</v>
      </c>
      <c r="AC68" s="14"/>
      <c r="AD68" s="15">
        <f>AD66-AD67</f>
        <v>3647.7</v>
      </c>
      <c r="AE68" s="15">
        <f>AE66-AE67</f>
        <v>3630.4</v>
      </c>
      <c r="AF68" s="15">
        <f>AF66-AF67</f>
        <v>3613.1</v>
      </c>
      <c r="AG68" s="15">
        <f>AG66-AG67</f>
        <v>3595.8</v>
      </c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6</v>
      </c>
      <c r="AC69" s="14"/>
      <c r="AD69" s="15">
        <f>G26+AD54</f>
        <v>3331.65</v>
      </c>
      <c r="AE69" s="15">
        <f>AD69+AE54</f>
        <v>3165.0675</v>
      </c>
      <c r="AF69" s="15">
        <f>AE69+AF54</f>
        <v>3006.814125</v>
      </c>
      <c r="AG69" s="15">
        <f>AF69+AG54</f>
        <v>2856.47341875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35</v>
      </c>
      <c r="AC70" s="14"/>
      <c r="AD70" s="15">
        <f>AD58</f>
        <v>208.6990625</v>
      </c>
      <c r="AE70" s="15">
        <f>AD70+AE58</f>
        <v>407.978153125</v>
      </c>
      <c r="AF70" s="15">
        <f>AE70+AF58</f>
        <v>599.3500505625</v>
      </c>
      <c r="AG70" s="15">
        <f>AF70+AG58</f>
        <v>783.454834923125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11</v>
      </c>
      <c r="AC71" s="14"/>
      <c r="AD71" s="15">
        <f>(H26-G26)+AD64+AD56</f>
        <v>108.3509375</v>
      </c>
      <c r="AE71" s="15">
        <f>AD71+AE64+AE56</f>
        <v>58.354346875</v>
      </c>
      <c r="AF71" s="15">
        <f>AE71+AF64+AF56</f>
        <v>7.9358244375</v>
      </c>
      <c r="AG71" s="15">
        <f>AF71+AG64+AG56</f>
        <v>-43.128253673125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43</v>
      </c>
      <c r="AC72" s="14"/>
      <c r="AD72" s="15">
        <f>AD69+AD70+AD71-AD61-AD68</f>
        <v>0</v>
      </c>
      <c r="AE72" s="15">
        <f>AE69+AE70+AE71-AE61-AE68</f>
        <v>0</v>
      </c>
      <c r="AF72" s="15">
        <f>AF69+AF70+AF71-AF61-AF68</f>
        <v>0</v>
      </c>
      <c r="AG72" s="15">
        <f>AG69+AG70+AG71-AG61-AG68</f>
        <v>0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18</v>
      </c>
      <c r="AC73" s="14"/>
      <c r="AD73" s="15">
        <f>AD61-AD69-AD70</f>
        <v>-3539.3490625</v>
      </c>
      <c r="AE73" s="15">
        <f>AE61-AE69-AE70</f>
        <v>-3572.045653125</v>
      </c>
      <c r="AF73" s="15">
        <f>AF61-AF69-AF70</f>
        <v>-3605.1641755625</v>
      </c>
      <c r="AG73" s="15">
        <f>AG61-AG69-AG70</f>
        <v>-3638.928253673130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44</v>
      </c>
      <c r="AC74" s="14"/>
      <c r="AD74" s="15">
        <f>AD54+AD56+AD58</f>
        <v>33.3490625</v>
      </c>
      <c r="AE74" s="15">
        <f>AE54+AE56+AE58</f>
        <v>32.696590625</v>
      </c>
      <c r="AF74" s="15">
        <f>AF54+AF56+AF58</f>
        <v>33.1185224375</v>
      </c>
      <c r="AG74" s="15">
        <f>AG54+AG56+AG58</f>
        <v>33.764078110625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45</v>
      </c>
      <c r="AC75" s="14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351</v>
      </c>
      <c r="AC76" s="14"/>
      <c r="AD76" s="15"/>
      <c r="AE76" s="15"/>
      <c r="AF76" s="15"/>
      <c r="AG76" s="15">
        <v>125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f>$AB76</f>
        <v>646</v>
      </c>
      <c r="AC77" s="14"/>
      <c r="AD77" s="15"/>
      <c r="AE77" s="15"/>
      <c r="AF77" s="15"/>
      <c r="AG77" s="15">
        <v>471836256000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46</v>
      </c>
      <c r="AC78" s="14"/>
      <c r="AD78" s="15"/>
      <c r="AE78" s="15"/>
      <c r="AF78" s="15"/>
      <c r="AG78" s="15">
        <f>AG77/1000000000</f>
        <v>471.836256</v>
      </c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47</v>
      </c>
      <c r="AC79" s="14"/>
      <c r="AD79" s="15"/>
      <c r="AE79" s="15"/>
      <c r="AF79" s="15"/>
      <c r="AG79" s="15">
        <f>AG78/AG76</f>
        <v>3.774690048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v>48</v>
      </c>
      <c r="AC80" s="14"/>
      <c r="AD80" s="15"/>
      <c r="AE80" s="15"/>
      <c r="AF80" s="15"/>
      <c r="AG80" s="43">
        <f>AG78/(AG61+AG68)</f>
        <v>0.131182233096085</v>
      </c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</row>
    <row r="81" ht="20.05" customHeight="1">
      <c r="AB81" t="s" s="33">
        <v>49</v>
      </c>
      <c r="AC81" s="14"/>
      <c r="AD81" s="15"/>
      <c r="AE81" s="15"/>
      <c r="AF81" s="15"/>
      <c r="AG81" s="16">
        <f>-(AD56+AE56+AF56+AG56)/AG78</f>
        <v>0</v>
      </c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</row>
    <row r="82" ht="20.05" customHeight="1">
      <c r="AB82" t="s" s="33">
        <v>50</v>
      </c>
      <c r="AC82" s="14"/>
      <c r="AD82" s="15"/>
      <c r="AE82" s="15"/>
      <c r="AF82" s="15"/>
      <c r="AG82" s="15">
        <f>SUM(AD53:AG53)</f>
        <v>-132.928253673125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51</v>
      </c>
      <c r="AC83" s="14"/>
      <c r="AD83" s="15"/>
      <c r="AE83" s="15"/>
      <c r="AF83" s="15"/>
      <c r="AG83" s="15">
        <f>(H26+F26)/AG82</f>
        <v>-27.5863098977985</v>
      </c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</row>
    <row r="84" ht="20.05" customHeight="1">
      <c r="AB84" t="s" s="33">
        <v>28</v>
      </c>
      <c r="AC84" s="14"/>
      <c r="AD84" s="15"/>
      <c r="AE84" s="15"/>
      <c r="AF84" s="15"/>
      <c r="AG84" s="15">
        <f>SUM(AD50:AG50)</f>
        <v>964.92113187</v>
      </c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</row>
    <row r="85" ht="20.05" customHeight="1">
      <c r="AB85" t="s" s="33">
        <v>52</v>
      </c>
      <c r="AC85" s="14"/>
      <c r="AD85" s="15"/>
      <c r="AE85" s="15"/>
      <c r="AF85" s="40">
        <f>AG78/AG84</f>
        <v>0.488989452521979</v>
      </c>
      <c r="AG85" s="40">
        <v>0.4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53</v>
      </c>
      <c r="AC86" s="14"/>
      <c r="AD86" s="15"/>
      <c r="AE86" s="15"/>
      <c r="AF86" s="15"/>
      <c r="AG86" s="15">
        <f>AG84*AG85</f>
        <v>385.968452748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54</v>
      </c>
      <c r="AC87" s="14"/>
      <c r="AD87" s="15"/>
      <c r="AE87" s="15"/>
      <c r="AF87" s="15"/>
      <c r="AG87" s="15">
        <f>(AG86/AG79)</f>
        <v>102.251694268912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55</v>
      </c>
      <c r="AC88" s="38"/>
      <c r="AD88" s="23"/>
      <c r="AE88" s="23"/>
      <c r="AF88" s="23"/>
      <c r="AG88" s="16">
        <f>AG87/AG76-1</f>
        <v>-0.181986445848704</v>
      </c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</row>
    <row r="89" ht="20.05" customHeight="1">
      <c r="AB89" t="s" s="33">
        <v>56</v>
      </c>
      <c r="AC89" s="38"/>
      <c r="AD89" s="23"/>
      <c r="AE89" s="23"/>
      <c r="AF89" s="23"/>
      <c r="AG89" s="16">
        <f>C26/C22-1</f>
        <v>0.244247787610619</v>
      </c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</row>
    <row r="90" ht="20.05" customHeight="1">
      <c r="AB90" t="s" s="33">
        <v>57</v>
      </c>
      <c r="AC90" s="38"/>
      <c r="AD90" s="23"/>
      <c r="AE90" s="23"/>
      <c r="AF90" s="23"/>
      <c r="AG90" s="16">
        <f>O28/N28-1</f>
        <v>0.0329991496831884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s="36"/>
      <c r="AC91" s="38"/>
      <c r="AD91" s="23"/>
      <c r="AE91" s="23"/>
      <c r="AF91" s="23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s="36"/>
      <c r="AC92" s="38"/>
      <c r="AD92" s="23"/>
      <c r="AE92" s="23"/>
      <c r="AF92" s="23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45"/>
      <c r="AD93" t="s" s="44">
        <f>$AB76</f>
        <v>646</v>
      </c>
      <c r="AE93" t="s" s="44">
        <v>60</v>
      </c>
      <c r="AF93" s="15">
        <f>AG76</f>
        <v>125</v>
      </c>
      <c r="AG93" t="s" s="44">
        <v>61</v>
      </c>
      <c r="AH93" s="15">
        <f>AG87</f>
        <v>102.251694268912</v>
      </c>
      <c r="AI93" t="s" s="44">
        <f>IF(AJ93&gt;0,"+","")</f>
      </c>
      <c r="AJ93" s="16">
        <f>AH93/AF93-1</f>
        <v>-0.181986445848704</v>
      </c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ht="20.05" customHeight="1">
      <c r="AB94" s="36"/>
      <c r="AC94" s="46"/>
      <c r="AD94" s="47">
        <f>TODAY()</f>
        <v>44942</v>
      </c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ht="32.05" customHeight="1">
      <c r="AB95" s="36"/>
      <c r="AC95" s="34"/>
      <c r="AD95" t="s" s="44">
        <v>62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32.05" customHeight="1">
      <c r="AB96" s="36"/>
      <c r="AC96" s="34"/>
      <c r="AD96" t="s" s="44">
        <v>63</v>
      </c>
      <c r="AE96" t="s" s="44">
        <v>64</v>
      </c>
      <c r="AF96" t="s" s="44">
        <f>IF(AG96&gt;0,"+","")</f>
        <v>361</v>
      </c>
      <c r="AG96" s="16">
        <f>AH103/AD103-1</f>
        <v>0.244247787610619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63</v>
      </c>
      <c r="AE97" t="s" s="44">
        <v>65</v>
      </c>
      <c r="AF97" t="s" s="44">
        <f>IF(AG97&gt;0,"+","")</f>
      </c>
      <c r="AG97" s="16">
        <f>SUM(AE116:AH117)/AE133</f>
        <v>-0.528149324752187</v>
      </c>
      <c r="AH97" t="s" s="44">
        <v>66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17</v>
      </c>
      <c r="AF98" t="s" s="44">
        <f>IF(AG98&gt;0,"+","")</f>
      </c>
      <c r="AG98" s="16">
        <f>SUM(AE130:AH131)/AE133</f>
        <v>-0.518930024741465</v>
      </c>
      <c r="AH98" t="s" s="44">
        <f>AH97</f>
        <v>66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68</v>
      </c>
      <c r="AE99" t="s" s="44">
        <v>369</v>
      </c>
      <c r="AF99" s="16">
        <f>AO126/AE133</f>
        <v>-7.43054387071094</v>
      </c>
      <c r="AG99" t="s" s="44">
        <f>AH98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20.05" customHeight="1">
      <c r="AB100" s="36"/>
      <c r="AC100" s="34"/>
      <c r="AD100" t="s" s="44">
        <v>28</v>
      </c>
      <c r="AE100" t="s" s="44">
        <f>AE104</f>
        <v>370</v>
      </c>
      <c r="AF100" s="16">
        <f>AF104</f>
        <v>-0.244086021505376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32.05" customHeight="1">
      <c r="AB101" s="36"/>
      <c r="AC101" s="34"/>
      <c r="AD101" t="s" s="44">
        <v>70</v>
      </c>
      <c r="AE101" t="s" s="44">
        <v>371</v>
      </c>
      <c r="AF101" t="s" s="44">
        <f>AL104</f>
        <v>372</v>
      </c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71"/>
      <c r="AD102" s="16">
        <f>P22</f>
        <v>-0.322271091563375</v>
      </c>
      <c r="AE102" s="16">
        <f>P23</f>
        <v>0.697935103244838</v>
      </c>
      <c r="AF102" s="16">
        <f>P24</f>
        <v>-0.104933981931897</v>
      </c>
      <c r="AG102" s="16">
        <f>P25</f>
        <v>0.0830745341614907</v>
      </c>
      <c r="AH102" s="16">
        <f>P26</f>
        <v>-0.244086021505376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20.05" customHeight="1">
      <c r="AB103" s="36"/>
      <c r="AC103" s="34"/>
      <c r="AD103" s="15">
        <f>C22</f>
        <v>169.5</v>
      </c>
      <c r="AE103" s="15">
        <f>C23</f>
        <v>287.8</v>
      </c>
      <c r="AF103" s="15">
        <f>C24</f>
        <v>257.6</v>
      </c>
      <c r="AG103" s="15">
        <f>C25</f>
        <v>279</v>
      </c>
      <c r="AH103" s="15">
        <f>C26</f>
        <v>210.9</v>
      </c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44.05" customHeight="1">
      <c r="AB104" s="36"/>
      <c r="AC104" s="34"/>
      <c r="AD104" t="s" s="44">
        <v>2</v>
      </c>
      <c r="AE104" t="s" s="44">
        <f>IF(AF104&lt;0,"declined","grew")</f>
        <v>370</v>
      </c>
      <c r="AF104" s="16">
        <f>AH103/AG103-1</f>
        <v>-0.244086021505376</v>
      </c>
      <c r="AG104" t="s" s="44">
        <v>73</v>
      </c>
      <c r="AH104" t="s" s="44">
        <v>74</v>
      </c>
      <c r="AI104" t="s" s="44">
        <v>75</v>
      </c>
      <c r="AJ104" t="s" s="44">
        <v>76</v>
      </c>
      <c r="AK104" s="15">
        <f>AH103</f>
        <v>210.9</v>
      </c>
      <c r="AL104" t="s" s="44">
        <v>372</v>
      </c>
      <c r="AM104" t="s" s="44">
        <v>378</v>
      </c>
      <c r="AN104" s="16">
        <v>0.0297063450445726</v>
      </c>
      <c r="AO104" t="s" s="44">
        <v>78</v>
      </c>
      <c r="AP104" s="17"/>
      <c r="AQ104" s="17"/>
      <c r="AR104" s="17"/>
      <c r="AS104" s="17"/>
      <c r="AT104" s="17"/>
      <c r="AU104" s="17"/>
    </row>
    <row r="105" ht="56.05" customHeight="1">
      <c r="AB105" s="36"/>
      <c r="AC105" s="34"/>
      <c r="AD105" t="s" s="44">
        <v>79</v>
      </c>
      <c r="AE105" s="16">
        <f>AVERAGE(AE102:AH102)</f>
        <v>0.107997408492264</v>
      </c>
      <c r="AF105" t="s" s="44">
        <v>80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56.05" customHeight="1">
      <c r="AB106" s="36"/>
      <c r="AC106" s="34"/>
      <c r="AD106" t="s" s="44">
        <v>81</v>
      </c>
      <c r="AE106" s="35">
        <f>AG47</f>
        <v>0.0425</v>
      </c>
      <c r="AF106" t="s" s="44">
        <v>82</v>
      </c>
      <c r="AG106" t="s" s="44">
        <v>83</v>
      </c>
      <c r="AH106" s="23">
        <f>AG50</f>
        <v>247.16305287</v>
      </c>
      <c r="AI106" t="s" s="44">
        <f>AL104</f>
        <v>372</v>
      </c>
      <c r="AJ106" t="s" s="44">
        <v>84</v>
      </c>
      <c r="AK106" t="s" s="44">
        <f>AH104</f>
        <v>74</v>
      </c>
      <c r="AL106" t="s" s="44">
        <f>AI104</f>
        <v>75</v>
      </c>
      <c r="AM106" t="s" s="44">
        <v>85</v>
      </c>
      <c r="AN106" s="17"/>
      <c r="AO106" s="17"/>
      <c r="AP106" s="17"/>
      <c r="AQ106" s="17"/>
      <c r="AR106" s="17"/>
      <c r="AS106" s="17"/>
      <c r="AT106" s="17"/>
      <c r="AU106" s="17"/>
    </row>
    <row r="107" ht="20.05" customHeight="1">
      <c r="AB107" s="36"/>
      <c r="AC107" s="34"/>
      <c r="AD107" t="s" s="44">
        <v>14</v>
      </c>
      <c r="AE107" t="s" s="44">
        <f>IF(AG111&lt;AE111,"down","up")</f>
        <v>87</v>
      </c>
      <c r="AF107" t="s" s="44">
        <v>86</v>
      </c>
      <c r="AG107" t="s" s="44">
        <f>IF(AK111&gt;AI111,"up","down")</f>
        <v>87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44.05" customHeight="1">
      <c r="AB108" s="36"/>
      <c r="AC108" s="34"/>
      <c r="AD108" t="s" s="44">
        <f>AD101</f>
        <v>70</v>
      </c>
      <c r="AE108" t="s" s="44">
        <v>88</v>
      </c>
      <c r="AF108" t="s" s="44">
        <f>AL104</f>
        <v>372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71"/>
      <c r="AD109" s="16">
        <f>(D22+E22)/C22</f>
        <v>-0.193510324483776</v>
      </c>
      <c r="AE109" s="16">
        <f>(D23+E23)/C23</f>
        <v>-0.122654621264767</v>
      </c>
      <c r="AF109" s="16">
        <f>((E24+D24)/C24)</f>
        <v>-0.0896739130434783</v>
      </c>
      <c r="AG109" s="16">
        <f>(D25+E25)/C25</f>
        <v>-0.0308243727598566</v>
      </c>
      <c r="AH109" s="16">
        <f>(D26+E26)/C26</f>
        <v>-0.283546704599336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20.05" customHeight="1">
      <c r="AB110" s="36"/>
      <c r="AC110" s="34"/>
      <c r="AD110" s="15">
        <f>E22</f>
        <v>-62.6</v>
      </c>
      <c r="AE110" s="15">
        <f>E23</f>
        <v>-66.09999999999999</v>
      </c>
      <c r="AF110" s="15">
        <f>E24</f>
        <v>-52.3</v>
      </c>
      <c r="AG110" s="15">
        <f>E25</f>
        <v>-37.4</v>
      </c>
      <c r="AH110" s="15">
        <f>E26</f>
        <v>-88.5</v>
      </c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44.05" customHeight="1">
      <c r="AB111" s="36"/>
      <c r="AC111" s="34"/>
      <c r="AD111" t="s" s="44">
        <v>89</v>
      </c>
      <c r="AE111" s="16">
        <f>AG109</f>
        <v>-0.0308243727598566</v>
      </c>
      <c r="AF111" t="s" s="44">
        <v>76</v>
      </c>
      <c r="AG111" s="16">
        <f>AH109</f>
        <v>-0.283546704599336</v>
      </c>
      <c r="AH111" t="s" s="44">
        <v>90</v>
      </c>
      <c r="AI111" s="15">
        <f>AG110</f>
        <v>-37.4</v>
      </c>
      <c r="AJ111" t="s" s="44">
        <v>76</v>
      </c>
      <c r="AK111" s="15">
        <f>AH110</f>
        <v>-88.5</v>
      </c>
      <c r="AL111" t="s" s="44">
        <f>AI106</f>
        <v>372</v>
      </c>
      <c r="AM111" t="s" s="44">
        <v>73</v>
      </c>
      <c r="AN111" t="s" s="44">
        <f>AK106</f>
        <v>74</v>
      </c>
      <c r="AO111" t="s" s="44">
        <v>91</v>
      </c>
      <c r="AP111" s="17"/>
      <c r="AQ111" s="17"/>
      <c r="AR111" s="17"/>
      <c r="AS111" s="17"/>
      <c r="AT111" s="17"/>
      <c r="AU111" s="17"/>
    </row>
    <row r="112" ht="68.05" customHeight="1">
      <c r="AB112" s="36"/>
      <c r="AC112" s="34"/>
      <c r="AD112" t="s" s="44">
        <v>92</v>
      </c>
      <c r="AE112" s="16">
        <f>AVERAGE(AE109:AH109)</f>
        <v>-0.131674902916859</v>
      </c>
      <c r="AF112" t="s" s="44">
        <v>78</v>
      </c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44.05" customHeight="1">
      <c r="AB113" s="36"/>
      <c r="AC113" s="34"/>
      <c r="AD113" t="s" s="44">
        <v>93</v>
      </c>
      <c r="AE113" s="35">
        <f>AD51</f>
        <v>-0.0896739130434783</v>
      </c>
      <c r="AF113" t="s" s="44">
        <v>94</v>
      </c>
      <c r="AG113" s="15">
        <f>AG64</f>
        <v>-51.064078110625</v>
      </c>
      <c r="AH113" t="s" s="44">
        <f>AL111</f>
        <v>372</v>
      </c>
      <c r="AI113" t="s" s="44">
        <v>95</v>
      </c>
      <c r="AJ113" t="s" s="44">
        <f>AN111</f>
        <v>74</v>
      </c>
      <c r="AK113" t="s" s="44">
        <f>AI104</f>
        <v>75</v>
      </c>
      <c r="AL113" t="s" s="44">
        <f>AM106</f>
        <v>85</v>
      </c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ht="20.05" customHeight="1">
      <c r="AB114" s="36"/>
      <c r="AC114" s="34"/>
      <c r="AD114" t="s" s="44">
        <v>15</v>
      </c>
      <c r="AE114" t="s" s="44">
        <f>IF(AG118&lt;AE118,"lower","higher")</f>
        <v>363</v>
      </c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56.05" customHeight="1">
      <c r="AB115" s="36"/>
      <c r="AC115" s="34"/>
      <c r="AD115" t="s" s="44">
        <f>AD108</f>
        <v>70</v>
      </c>
      <c r="AE115" t="s" s="44">
        <v>96</v>
      </c>
      <c r="AF115" t="s" s="44">
        <f>AL104</f>
        <v>372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s="15">
        <f>J22</f>
        <v>-48.4</v>
      </c>
      <c r="AE116" s="15">
        <f>J23</f>
        <v>-19.1</v>
      </c>
      <c r="AF116" s="15">
        <f>J24</f>
        <v>-27.3</v>
      </c>
      <c r="AG116" s="15">
        <f>J25</f>
        <v>-66.5</v>
      </c>
      <c r="AH116" s="15">
        <f>J26</f>
        <v>-29.3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20.05" customHeight="1">
      <c r="AB117" s="36"/>
      <c r="AC117" s="34"/>
      <c r="AD117" s="15">
        <f>K22</f>
        <v>-24.6</v>
      </c>
      <c r="AE117" s="15">
        <f>K23</f>
        <v>-30</v>
      </c>
      <c r="AF117" s="15">
        <f>K24</f>
        <v>-29.1</v>
      </c>
      <c r="AG117" s="15">
        <f>K25</f>
        <v>-20.9</v>
      </c>
      <c r="AH117" s="15">
        <f>K26</f>
        <v>-27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44.05" customHeight="1">
      <c r="AB118" s="36"/>
      <c r="AC118" s="34"/>
      <c r="AD118" t="s" s="44">
        <v>97</v>
      </c>
      <c r="AE118" s="15">
        <f>AG116+AG117</f>
        <v>-87.40000000000001</v>
      </c>
      <c r="AF118" t="s" s="44">
        <v>76</v>
      </c>
      <c r="AG118" s="15">
        <f>AH116+AH117</f>
        <v>-56.3</v>
      </c>
      <c r="AH118" t="s" s="44">
        <f>AH113</f>
        <v>372</v>
      </c>
      <c r="AI118" t="s" s="44">
        <v>84</v>
      </c>
      <c r="AJ118" t="s" s="44">
        <f>AJ113</f>
        <v>74</v>
      </c>
      <c r="AK118" t="s" s="44">
        <v>98</v>
      </c>
      <c r="AL118" s="15">
        <f>AH117</f>
        <v>-27</v>
      </c>
      <c r="AM118" t="s" s="44">
        <f>AL104</f>
        <v>372</v>
      </c>
      <c r="AN118" t="s" s="44">
        <v>99</v>
      </c>
      <c r="AO118" s="17"/>
      <c r="AP118" s="17"/>
      <c r="AQ118" s="17"/>
      <c r="AR118" s="17"/>
      <c r="AS118" s="17"/>
      <c r="AT118" s="17"/>
      <c r="AU118" s="17"/>
    </row>
    <row r="119" ht="56.05" customHeight="1">
      <c r="AB119" s="36"/>
      <c r="AC119" s="34"/>
      <c r="AD119" t="s" s="44">
        <v>100</v>
      </c>
      <c r="AE119" s="15">
        <f>SUM(AE116:AH117)/4</f>
        <v>-62.3</v>
      </c>
      <c r="AF119" t="s" s="44">
        <f>AL104</f>
        <v>372</v>
      </c>
      <c r="AG119" t="s" s="44">
        <v>78</v>
      </c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44.05" customHeight="1">
      <c r="AB120" s="36"/>
      <c r="AC120" s="34"/>
      <c r="AD120" t="s" s="44">
        <v>101</v>
      </c>
      <c r="AE120" s="15">
        <f>AD52</f>
        <v>-11.6</v>
      </c>
      <c r="AF120" t="s" s="44">
        <f>AF119</f>
        <v>372</v>
      </c>
      <c r="AG120" t="s" s="44">
        <v>102</v>
      </c>
      <c r="AH120" t="s" s="44">
        <v>103</v>
      </c>
      <c r="AI120" t="s" s="44">
        <f>IF(AH106&gt;AK104,"higher","lower")</f>
        <v>363</v>
      </c>
      <c r="AJ120" t="s" s="44">
        <v>105</v>
      </c>
      <c r="AK120" s="15">
        <f>SUM(AD53:AG53)/4</f>
        <v>-33.2320634182813</v>
      </c>
      <c r="AL120" t="s" s="44">
        <f>AF120</f>
        <v>372</v>
      </c>
      <c r="AM120" t="s" s="44">
        <v>106</v>
      </c>
      <c r="AN120" t="s" s="44">
        <v>107</v>
      </c>
      <c r="AO120" s="17"/>
      <c r="AP120" s="17"/>
      <c r="AQ120" s="17"/>
      <c r="AR120" s="17"/>
      <c r="AS120" s="17"/>
      <c r="AT120" s="17"/>
      <c r="AU120" s="17"/>
    </row>
    <row r="121" ht="20.05" customHeight="1">
      <c r="AB121" s="36"/>
      <c r="AC121" s="34"/>
      <c r="AD121" t="s" s="44">
        <v>18</v>
      </c>
      <c r="AE121" t="s" s="44">
        <f>AL126</f>
        <v>87</v>
      </c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32.05" customHeight="1">
      <c r="AB122" s="36"/>
      <c r="AC122" s="34"/>
      <c r="AD122" t="s" s="44">
        <f>AD101</f>
        <v>70</v>
      </c>
      <c r="AE122" t="s" s="44">
        <v>109</v>
      </c>
      <c r="AF122" t="s" s="44">
        <f>AL104</f>
        <v>372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s="15">
        <f>F22</f>
        <v>9</v>
      </c>
      <c r="AE123" s="15">
        <f>F23</f>
        <v>13</v>
      </c>
      <c r="AF123" s="15">
        <f>F24</f>
        <v>4</v>
      </c>
      <c r="AG123" s="15">
        <f>F25</f>
        <v>11</v>
      </c>
      <c r="AH123" s="15">
        <f>F26</f>
        <v>1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20.05" customHeight="1">
      <c r="AB124" s="36"/>
      <c r="AC124" s="34"/>
      <c r="AD124" s="15">
        <f>G22</f>
        <v>3341</v>
      </c>
      <c r="AE124" s="15">
        <f>G23</f>
        <v>3343</v>
      </c>
      <c r="AF124" s="15">
        <f>G24</f>
        <v>3430</v>
      </c>
      <c r="AG124" s="15">
        <f>G25</f>
        <v>3437</v>
      </c>
      <c r="AH124" s="15">
        <f>G26</f>
        <v>3507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32.05" customHeight="1">
      <c r="AB125" s="36"/>
      <c r="AC125" s="34"/>
      <c r="AD125" t="s" s="44">
        <v>110</v>
      </c>
      <c r="AE125" t="s" s="44">
        <f>IF(AH125&lt;AF125,"declined","increased")</f>
        <v>370</v>
      </c>
      <c r="AF125" s="15">
        <f>AG123</f>
        <v>11</v>
      </c>
      <c r="AG125" t="s" s="44">
        <v>76</v>
      </c>
      <c r="AH125" s="15">
        <f>AH123</f>
        <v>1</v>
      </c>
      <c r="AI125" t="s" s="44">
        <f>AL120</f>
        <v>372</v>
      </c>
      <c r="AJ125" t="s" s="44">
        <v>84</v>
      </c>
      <c r="AK125" t="s" s="44">
        <f>AH104</f>
        <v>74</v>
      </c>
      <c r="AL125" t="s" s="44">
        <f>AO111</f>
        <v>91</v>
      </c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32.05" customHeight="1">
      <c r="AB126" s="36"/>
      <c r="AC126" s="34"/>
      <c r="AD126" t="s" s="44">
        <v>112</v>
      </c>
      <c r="AE126" t="s" s="44">
        <f>IF(AH126&lt;AF126,"declined","increased")</f>
        <v>111</v>
      </c>
      <c r="AF126" s="15">
        <f>AG124</f>
        <v>3437</v>
      </c>
      <c r="AG126" t="s" s="44">
        <v>76</v>
      </c>
      <c r="AH126" s="15">
        <f>AH124</f>
        <v>3507</v>
      </c>
      <c r="AI126" t="s" s="44">
        <f>AI125</f>
        <v>372</v>
      </c>
      <c r="AJ126" t="s" s="44">
        <v>113</v>
      </c>
      <c r="AK126" t="s" s="44">
        <v>114</v>
      </c>
      <c r="AL126" t="s" s="44">
        <f>IF(AO126&lt;AM126,"down","up")</f>
        <v>87</v>
      </c>
      <c r="AM126" s="15">
        <f>AF125-AF126</f>
        <v>-3426</v>
      </c>
      <c r="AN126" t="s" s="44">
        <v>76</v>
      </c>
      <c r="AO126" s="15">
        <f>AH125-AH126</f>
        <v>-3506</v>
      </c>
      <c r="AP126" t="s" s="44">
        <f>AI126</f>
        <v>372</v>
      </c>
      <c r="AQ126" t="s" s="44">
        <v>115</v>
      </c>
      <c r="AR126" s="17"/>
      <c r="AS126" s="17"/>
      <c r="AT126" s="17"/>
      <c r="AU126" s="17"/>
    </row>
    <row r="127" ht="56.05" customHeight="1">
      <c r="AB127" s="36"/>
      <c r="AC127" s="34"/>
      <c r="AD127" t="s" s="44">
        <v>116</v>
      </c>
      <c r="AE127" s="15">
        <f>SUM(AD56:AG56)</f>
        <v>0</v>
      </c>
      <c r="AF127" t="s" s="44">
        <f>AI126</f>
        <v>372</v>
      </c>
      <c r="AG127" t="s" s="44">
        <v>117</v>
      </c>
      <c r="AH127" t="s" s="44">
        <f>IF(AI127&gt;0,"+","")</f>
        <v>361</v>
      </c>
      <c r="AI127" s="15">
        <f>AD54+AE54+AF54+AG54+AD58+AE58+AF58+AG58</f>
        <v>132.928253673125</v>
      </c>
      <c r="AJ127" t="s" s="44">
        <f>AP126</f>
        <v>372</v>
      </c>
      <c r="AK127" t="s" s="44">
        <v>118</v>
      </c>
      <c r="AL127" t="s" s="44">
        <v>119</v>
      </c>
      <c r="AM127" s="15">
        <f>AG73</f>
        <v>-3638.928253673130</v>
      </c>
      <c r="AN127" t="s" s="44">
        <f>AI126</f>
        <v>372</v>
      </c>
      <c r="AO127" t="s" s="44">
        <v>120</v>
      </c>
      <c r="AP127" s="17"/>
      <c r="AQ127" s="17"/>
      <c r="AR127" s="17"/>
      <c r="AS127" s="17"/>
      <c r="AT127" s="17"/>
      <c r="AU127" s="17"/>
    </row>
    <row r="128" ht="20.05" customHeight="1">
      <c r="AB128" s="36"/>
      <c r="AC128" s="34"/>
      <c r="AD128" t="s" s="44">
        <v>17</v>
      </c>
      <c r="AE128" t="s" s="44">
        <f>AE132</f>
        <v>121</v>
      </c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ht="56.05" customHeight="1">
      <c r="AB129" s="36"/>
      <c r="AC129" s="34"/>
      <c r="AD129" t="s" s="44">
        <f>AD101</f>
        <v>70</v>
      </c>
      <c r="AE129" t="s" s="44">
        <v>379</v>
      </c>
      <c r="AF129" t="s" s="44">
        <f>AL104</f>
        <v>372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s="15">
        <f>-L22</f>
        <v>-56.25</v>
      </c>
      <c r="AE130" s="15">
        <f>-L23</f>
        <v>-56.25</v>
      </c>
      <c r="AF130" s="15">
        <f>-L24</f>
        <v>-47</v>
      </c>
      <c r="AG130" s="15">
        <f>-L25</f>
        <v>-95.09999999999999</v>
      </c>
      <c r="AH130" s="15">
        <f>-L26</f>
        <v>-46.5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20.05" customHeight="1">
      <c r="AB131" s="36"/>
      <c r="AC131" s="34"/>
      <c r="AD131" s="15">
        <f>-M22</f>
        <v>0</v>
      </c>
      <c r="AE131" s="15">
        <f>-M23</f>
        <v>0</v>
      </c>
      <c r="AF131" s="15">
        <f>-M24</f>
        <v>0</v>
      </c>
      <c r="AG131" s="15">
        <f>-M25</f>
        <v>0</v>
      </c>
      <c r="AH131" s="15">
        <f>-M26</f>
        <v>0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44.05" customHeight="1">
      <c r="AB132" s="36"/>
      <c r="AC132" s="34"/>
      <c r="AD132" t="s" s="44">
        <f>AD93</f>
        <v>646</v>
      </c>
      <c r="AE132" t="s" s="44">
        <f>IF(AF132&gt;0,"paid","(raised)")</f>
        <v>121</v>
      </c>
      <c r="AF132" s="15">
        <f>SUM(AH130:AH131)</f>
        <v>-46.5</v>
      </c>
      <c r="AG132" t="s" s="44">
        <f>AL104</f>
        <v>372</v>
      </c>
      <c r="AH132" t="s" s="44">
        <f>AG104</f>
        <v>73</v>
      </c>
      <c r="AI132" t="s" s="44">
        <f>AH104</f>
        <v>74</v>
      </c>
      <c r="AJ132" t="s" s="44">
        <f>AI104</f>
        <v>75</v>
      </c>
      <c r="AK132" s="15">
        <f>AH130</f>
        <v>-46.5</v>
      </c>
      <c r="AL132" t="s" s="44">
        <f>AL104</f>
        <v>372</v>
      </c>
      <c r="AM132" t="s" s="44">
        <v>123</v>
      </c>
      <c r="AN132" s="15">
        <f>AH131</f>
        <v>0</v>
      </c>
      <c r="AO132" t="s" s="44">
        <f>AL104</f>
        <v>372</v>
      </c>
      <c r="AP132" t="s" s="44">
        <v>389</v>
      </c>
      <c r="AQ132" t="s" s="44">
        <v>475</v>
      </c>
      <c r="AR132" t="s" s="44">
        <f>IF(AS132&gt;0,"pay","raise")</f>
        <v>383</v>
      </c>
      <c r="AS132" s="15">
        <f>-SUM(AD74:AG74)</f>
        <v>-132.928253673125</v>
      </c>
      <c r="AT132" t="s" s="44">
        <f>AL104</f>
        <v>372</v>
      </c>
      <c r="AU132" t="s" s="44">
        <v>126</v>
      </c>
    </row>
    <row r="133" ht="56.05" customHeight="1">
      <c r="AB133" s="36"/>
      <c r="AC133" s="34"/>
      <c r="AD133" t="s" s="44">
        <v>375</v>
      </c>
      <c r="AE133" s="15">
        <f>AG78</f>
        <v>471.836256</v>
      </c>
      <c r="AF133" t="s" s="44">
        <f>AL104</f>
        <v>372</v>
      </c>
      <c r="AG133" t="s" s="44">
        <v>128</v>
      </c>
      <c r="AH133" t="s" s="44">
        <v>129</v>
      </c>
      <c r="AI133" s="43">
        <f>AG80</f>
        <v>0.131182233096085</v>
      </c>
      <c r="AJ133" t="s" s="44">
        <v>130</v>
      </c>
      <c r="AK133" t="s" s="44">
        <v>131</v>
      </c>
      <c r="AL133" t="s" s="44">
        <v>132</v>
      </c>
      <c r="AM133" s="15">
        <f>AG83</f>
        <v>-27.5863098977985</v>
      </c>
      <c r="AN133" t="s" s="44">
        <v>133</v>
      </c>
      <c r="AO133" s="16">
        <f>-AE127/AE133</f>
        <v>0</v>
      </c>
      <c r="AP133" t="s" s="44">
        <v>134</v>
      </c>
      <c r="AQ133" s="17"/>
      <c r="AR133" s="17"/>
      <c r="AS133" s="17"/>
      <c r="AT133" s="17"/>
      <c r="AU133" s="17"/>
    </row>
    <row r="134" ht="56.05" customHeight="1">
      <c r="AB134" s="36"/>
      <c r="AC134" s="34"/>
      <c r="AD134" t="s" s="44">
        <v>135</v>
      </c>
      <c r="AE134" s="15">
        <f>AG84</f>
        <v>964.92113187</v>
      </c>
      <c r="AF134" t="s" s="44">
        <f>AF133</f>
        <v>372</v>
      </c>
      <c r="AG134" t="s" s="44">
        <v>136</v>
      </c>
      <c r="AH134" s="40">
        <f>AE133/AE134</f>
        <v>0.488989452521979</v>
      </c>
      <c r="AI134" t="s" s="44">
        <v>130</v>
      </c>
      <c r="AJ134" t="s" s="44">
        <v>137</v>
      </c>
      <c r="AK134" t="s" s="44">
        <v>138</v>
      </c>
      <c r="AL134" s="40">
        <f>AG85</f>
        <v>0.4</v>
      </c>
      <c r="AM134" t="s" s="44">
        <v>139</v>
      </c>
      <c r="AN134" t="s" s="44">
        <v>140</v>
      </c>
      <c r="AO134" t="s" s="44">
        <v>141</v>
      </c>
      <c r="AP134" s="16">
        <f>AJ93</f>
        <v>-0.181986445848704</v>
      </c>
      <c r="AQ134" t="s" s="44">
        <f>IF(AP134&gt;0,"higher","lower")</f>
        <v>104</v>
      </c>
      <c r="AR134" t="s" s="44">
        <v>142</v>
      </c>
      <c r="AS134" s="15">
        <f>AH93</f>
        <v>102.251694268912</v>
      </c>
      <c r="AT134" t="s" s="44">
        <v>143</v>
      </c>
      <c r="AU134" s="17"/>
    </row>
    <row r="135" ht="20.05" customHeight="1">
      <c r="AB135" s="36"/>
      <c r="AC135" s="34"/>
      <c r="AD135" s="17"/>
      <c r="AE135" s="17"/>
      <c r="AF135" s="17"/>
      <c r="AG135" s="17"/>
      <c r="AH135" s="15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ht="20.05" customHeight="1">
      <c r="AB136" t="s" s="33">
        <v>28</v>
      </c>
      <c r="AC136" s="14">
        <f>AD103</f>
        <v>169.5</v>
      </c>
      <c r="AD136" s="15">
        <f>AE103</f>
        <v>287.8</v>
      </c>
      <c r="AE136" s="15">
        <f>AF103</f>
        <v>257.6</v>
      </c>
      <c r="AF136" s="15">
        <f>AG103</f>
        <v>279</v>
      </c>
      <c r="AG136" s="15">
        <f>AH103</f>
        <v>210.9</v>
      </c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ht="20.05" customHeight="1">
      <c r="AB137" t="s" s="33">
        <v>144</v>
      </c>
      <c r="AC137" s="14">
        <f>SUM(AD116:AD117)</f>
        <v>-73</v>
      </c>
      <c r="AD137" s="15">
        <f>SUM(AE116:AE117)</f>
        <v>-49.1</v>
      </c>
      <c r="AE137" s="15">
        <f>SUM(AF116:AF117)</f>
        <v>-56.4</v>
      </c>
      <c r="AF137" s="15">
        <f>SUM(AG116:AG117)</f>
        <v>-87.40000000000001</v>
      </c>
      <c r="AG137" s="15">
        <f>SUM(AH116:AH117)</f>
        <v>-56.3</v>
      </c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145</v>
      </c>
      <c r="AC138" s="14">
        <f>SUM(AD130:AD131)</f>
        <v>-56.25</v>
      </c>
      <c r="AD138" s="15">
        <f>SUM(AE130:AE131)</f>
        <v>-56.25</v>
      </c>
      <c r="AE138" s="15">
        <f>SUM(AF130:AF131)</f>
        <v>-47</v>
      </c>
      <c r="AF138" s="15">
        <f>SUM(AG130:AG131)</f>
        <v>-95.09999999999999</v>
      </c>
      <c r="AG138" s="15">
        <f>SUM(AH130:AH131)</f>
        <v>-46.5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146</v>
      </c>
      <c r="AC139" s="14">
        <f>(AD123-AD124)</f>
        <v>-3332</v>
      </c>
      <c r="AD139" s="15">
        <f>(AE123-AE124)</f>
        <v>-3330</v>
      </c>
      <c r="AE139" s="15">
        <f>(AF123-AF124)</f>
        <v>-3426</v>
      </c>
      <c r="AF139" s="15">
        <f>(AG123-AG124)</f>
        <v>-3426</v>
      </c>
      <c r="AG139" s="15">
        <f>(AH123-AH124)</f>
        <v>-3506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s="36"/>
      <c r="AC140" s="34"/>
      <c r="AD140" s="17"/>
      <c r="AE140" s="17"/>
      <c r="AF140" s="17"/>
      <c r="AG140" s="15">
        <f>AS134</f>
        <v>102.251694268912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s="36"/>
      <c r="AC141" s="34"/>
      <c r="AD141" s="17"/>
      <c r="AE141" s="17"/>
      <c r="AF141" s="17"/>
      <c r="AG141" s="17"/>
      <c r="AH141" s="15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7"/>
      <c r="AH142" s="15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</sheetData>
  <mergeCells count="2">
    <mergeCell ref="B2:AA2"/>
    <mergeCell ref="AB44:AU44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W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89" customWidth="1"/>
    <col min="2" max="29" width="10.4844" style="289" customWidth="1"/>
    <col min="30" max="30" width="18.9766" style="290" customWidth="1"/>
    <col min="31" max="49" width="9" style="290" customWidth="1"/>
    <col min="50" max="16384" width="16.3516" style="290" customWidth="1"/>
  </cols>
  <sheetData>
    <row r="1" ht="11.65" customHeight="1"/>
    <row r="2" ht="27.65" customHeight="1">
      <c r="B2" t="s" s="2">
        <v>647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16</v>
      </c>
      <c r="W3" t="s" s="3">
        <v>17</v>
      </c>
      <c r="X3" t="s" s="3">
        <v>289</v>
      </c>
      <c r="Y3" t="s" s="3">
        <v>18</v>
      </c>
      <c r="Z3" t="s" s="3">
        <v>12</v>
      </c>
      <c r="AA3" t="s" s="3">
        <v>289</v>
      </c>
      <c r="AB3" t="s" s="3">
        <v>19</v>
      </c>
      <c r="AC3" t="s" s="3">
        <v>20</v>
      </c>
    </row>
    <row r="4" ht="20.25" customHeight="1">
      <c r="B4" s="6">
        <v>2017</v>
      </c>
      <c r="C4" s="7">
        <v>549</v>
      </c>
      <c r="D4" s="8">
        <v>16</v>
      </c>
      <c r="E4" s="8">
        <v>256.6</v>
      </c>
      <c r="F4" s="8">
        <v>302</v>
      </c>
      <c r="G4" s="8">
        <v>3429</v>
      </c>
      <c r="H4" s="8">
        <v>8592</v>
      </c>
      <c r="I4" s="8">
        <v>556.7</v>
      </c>
      <c r="J4" s="8">
        <v>12.1</v>
      </c>
      <c r="K4" s="8">
        <v>-23.3</v>
      </c>
      <c r="L4" s="8">
        <v>4.5</v>
      </c>
      <c r="M4" s="8">
        <v>-11</v>
      </c>
      <c r="N4" s="8"/>
      <c r="O4" s="8"/>
      <c r="P4" s="9"/>
      <c r="Q4" s="9"/>
      <c r="R4" s="9"/>
      <c r="S4" s="9"/>
      <c r="T4" s="9"/>
      <c r="U4" s="9"/>
      <c r="V4" s="8">
        <f>J4+K4</f>
        <v>-11.2</v>
      </c>
      <c r="W4" s="8">
        <f>-(L4+M4)</f>
        <v>6.5</v>
      </c>
      <c r="X4" s="8">
        <v>6453.8496</v>
      </c>
      <c r="Y4" s="8">
        <f>F4-G4</f>
        <v>-3127</v>
      </c>
      <c r="Z4" s="9"/>
      <c r="AA4" s="10">
        <v>950</v>
      </c>
      <c r="AB4" s="11"/>
      <c r="AC4" s="12">
        <v>13.3</v>
      </c>
    </row>
    <row r="5" ht="20.05" customHeight="1">
      <c r="B5" s="13"/>
      <c r="C5" s="14">
        <v>563.2</v>
      </c>
      <c r="D5" s="15">
        <v>16.1</v>
      </c>
      <c r="E5" s="15">
        <v>255.1</v>
      </c>
      <c r="F5" s="15">
        <v>420</v>
      </c>
      <c r="G5" s="15">
        <v>3494</v>
      </c>
      <c r="H5" s="15">
        <v>8912</v>
      </c>
      <c r="I5" s="15">
        <v>594.5</v>
      </c>
      <c r="J5" s="15">
        <v>106.5</v>
      </c>
      <c r="K5" s="15">
        <v>-14.3</v>
      </c>
      <c r="L5" s="15">
        <v>4.5</v>
      </c>
      <c r="M5" s="15">
        <v>-11</v>
      </c>
      <c r="N5" s="15"/>
      <c r="O5" s="15"/>
      <c r="P5" s="16"/>
      <c r="Q5" s="17"/>
      <c r="R5" s="17"/>
      <c r="S5" s="17"/>
      <c r="T5" s="17"/>
      <c r="U5" s="17"/>
      <c r="V5" s="15">
        <f>J5+K5+V4</f>
        <v>81</v>
      </c>
      <c r="W5" s="15">
        <f>-(L5+M5)+W4</f>
        <v>13</v>
      </c>
      <c r="X5" s="15">
        <f>X4</f>
        <v>6453.8496</v>
      </c>
      <c r="Y5" s="15">
        <f>F5-G5</f>
        <v>-3074</v>
      </c>
      <c r="Z5" s="17"/>
      <c r="AA5" s="18">
        <v>820</v>
      </c>
      <c r="AB5" s="19"/>
      <c r="AC5" s="20">
        <v>13.327</v>
      </c>
    </row>
    <row r="6" ht="20.05" customHeight="1">
      <c r="B6" s="13"/>
      <c r="C6" s="14">
        <v>501.2</v>
      </c>
      <c r="D6" s="15">
        <v>16.1</v>
      </c>
      <c r="E6" s="15">
        <v>212</v>
      </c>
      <c r="F6" s="15">
        <v>429</v>
      </c>
      <c r="G6" s="15">
        <v>3577</v>
      </c>
      <c r="H6" s="15">
        <v>9123</v>
      </c>
      <c r="I6" s="15">
        <v>610.3</v>
      </c>
      <c r="J6" s="15">
        <v>138.5</v>
      </c>
      <c r="K6" s="15">
        <v>-13.6</v>
      </c>
      <c r="L6" s="15">
        <v>4.5</v>
      </c>
      <c r="M6" s="15">
        <v>-11</v>
      </c>
      <c r="N6" s="15"/>
      <c r="O6" s="15"/>
      <c r="P6" s="16"/>
      <c r="Q6" s="17"/>
      <c r="R6" s="17"/>
      <c r="S6" s="17"/>
      <c r="T6" s="17"/>
      <c r="U6" s="17"/>
      <c r="V6" s="15">
        <f>J6+K6+V5</f>
        <v>205.9</v>
      </c>
      <c r="W6" s="15">
        <f>-(L6+M6)+W5</f>
        <v>19.5</v>
      </c>
      <c r="X6" s="15">
        <f>X5</f>
        <v>6453.8496</v>
      </c>
      <c r="Y6" s="15">
        <f>F6-G6</f>
        <v>-3148</v>
      </c>
      <c r="Z6" s="17"/>
      <c r="AA6" s="18">
        <v>895</v>
      </c>
      <c r="AB6" s="19"/>
      <c r="AC6" s="20">
        <v>13.305</v>
      </c>
    </row>
    <row r="7" ht="20.05" customHeight="1">
      <c r="B7" s="13"/>
      <c r="C7" s="14">
        <v>791.8</v>
      </c>
      <c r="D7" s="15">
        <v>16.5</v>
      </c>
      <c r="E7" s="15">
        <v>393.4</v>
      </c>
      <c r="F7" s="15">
        <v>724</v>
      </c>
      <c r="G7" s="15">
        <v>3496</v>
      </c>
      <c r="H7" s="15">
        <v>9473</v>
      </c>
      <c r="I7" s="15">
        <v>888.7</v>
      </c>
      <c r="J7" s="15">
        <v>330.5</v>
      </c>
      <c r="K7" s="15">
        <v>-129.5</v>
      </c>
      <c r="L7" s="15">
        <v>4.5</v>
      </c>
      <c r="M7" s="15">
        <v>-11</v>
      </c>
      <c r="N7" s="15"/>
      <c r="O7" s="15"/>
      <c r="P7" s="16"/>
      <c r="Q7" s="17"/>
      <c r="R7" s="17"/>
      <c r="S7" s="17"/>
      <c r="T7" s="17"/>
      <c r="U7" s="17"/>
      <c r="V7" s="15">
        <f>J7+K7+V6</f>
        <v>406.9</v>
      </c>
      <c r="W7" s="15">
        <f>-(L7+M7)+W6</f>
        <v>26</v>
      </c>
      <c r="X7" s="15">
        <f>X6</f>
        <v>6453.8496</v>
      </c>
      <c r="Y7" s="15">
        <f>F7-G7</f>
        <v>-2772</v>
      </c>
      <c r="Z7" s="17"/>
      <c r="AA7" s="18">
        <v>900</v>
      </c>
      <c r="AB7" s="19"/>
      <c r="AC7" s="20">
        <v>13.557</v>
      </c>
    </row>
    <row r="8" ht="20.05" customHeight="1">
      <c r="B8" s="21">
        <v>2018</v>
      </c>
      <c r="C8" s="14">
        <v>554.3</v>
      </c>
      <c r="D8" s="15">
        <v>16.3</v>
      </c>
      <c r="E8" s="15">
        <v>242.2</v>
      </c>
      <c r="F8" s="15">
        <v>1052</v>
      </c>
      <c r="G8" s="15">
        <v>3798</v>
      </c>
      <c r="H8" s="15">
        <v>10018</v>
      </c>
      <c r="I8" s="15">
        <v>1020.6</v>
      </c>
      <c r="J8" s="15">
        <v>477</v>
      </c>
      <c r="K8" s="15">
        <v>-21</v>
      </c>
      <c r="L8" s="15">
        <v>-27.5</v>
      </c>
      <c r="M8" s="15">
        <v>-84.5</v>
      </c>
      <c r="N8" s="15">
        <f>SUM(C5:C8)/4</f>
        <v>602.625</v>
      </c>
      <c r="O8" s="15"/>
      <c r="P8" s="16">
        <f>C8/C7-1</f>
        <v>-0.299949482192473</v>
      </c>
      <c r="Q8" s="16">
        <f>(E8+D8)/C8</f>
        <v>0.466353959949486</v>
      </c>
      <c r="R8" s="16"/>
      <c r="S8" s="17"/>
      <c r="T8" s="15">
        <f>SUM(J5:K8)/4</f>
        <v>218.525</v>
      </c>
      <c r="U8" s="25"/>
      <c r="V8" s="15">
        <f>J8+K8+V7</f>
        <v>862.9</v>
      </c>
      <c r="W8" s="15">
        <f>-(L8+M8)+W7</f>
        <v>138</v>
      </c>
      <c r="X8" s="15">
        <f>X7</f>
        <v>6453.8496</v>
      </c>
      <c r="Y8" s="15">
        <f>F8-G8</f>
        <v>-2746</v>
      </c>
      <c r="Z8" s="24"/>
      <c r="AA8" s="18">
        <v>835</v>
      </c>
      <c r="AB8" s="22"/>
      <c r="AC8" s="20">
        <v>13.761</v>
      </c>
    </row>
    <row r="9" ht="20.05" customHeight="1">
      <c r="B9" s="13"/>
      <c r="C9" s="14">
        <v>525.4</v>
      </c>
      <c r="D9" s="15">
        <v>16.6</v>
      </c>
      <c r="E9" s="15">
        <v>207.8</v>
      </c>
      <c r="F9" s="15">
        <v>1260</v>
      </c>
      <c r="G9" s="15">
        <v>4267</v>
      </c>
      <c r="H9" s="15">
        <v>10338</v>
      </c>
      <c r="I9" s="15">
        <v>678.3</v>
      </c>
      <c r="J9" s="15">
        <v>233.5</v>
      </c>
      <c r="K9" s="15">
        <v>-62.8</v>
      </c>
      <c r="L9" s="15">
        <v>-27.5</v>
      </c>
      <c r="M9" s="15">
        <v>-84.5</v>
      </c>
      <c r="N9" s="15">
        <f>SUM(C6:C9)/4</f>
        <v>593.175</v>
      </c>
      <c r="O9" s="15"/>
      <c r="P9" s="16">
        <f>C9/C8-1</f>
        <v>-0.0521378314991882</v>
      </c>
      <c r="Q9" s="16">
        <f>(E9+D9)/C9</f>
        <v>0.427103159497526</v>
      </c>
      <c r="R9" s="16">
        <f>AVERAGE(Q6:Q9)</f>
        <v>0.446728559723506</v>
      </c>
      <c r="S9" s="17"/>
      <c r="T9" s="15">
        <f>SUM(J6:K9)/4</f>
        <v>238.15</v>
      </c>
      <c r="U9" s="25"/>
      <c r="V9" s="15">
        <f>J9+K9+V8</f>
        <v>1033.6</v>
      </c>
      <c r="W9" s="15">
        <f>-(L9+M9)+W8</f>
        <v>250</v>
      </c>
      <c r="X9" s="15">
        <f>X8</f>
        <v>6453.8496</v>
      </c>
      <c r="Y9" s="15">
        <f>F13-G9</f>
        <v>-3149</v>
      </c>
      <c r="Z9" s="24"/>
      <c r="AA9" s="18">
        <v>685</v>
      </c>
      <c r="AB9" s="22"/>
      <c r="AC9" s="20">
        <v>14</v>
      </c>
    </row>
    <row r="10" ht="20.05" customHeight="1">
      <c r="B10" s="13"/>
      <c r="C10" s="14">
        <v>579.2</v>
      </c>
      <c r="D10" s="15">
        <v>16.6</v>
      </c>
      <c r="E10" s="15">
        <v>249.8</v>
      </c>
      <c r="F10" s="15">
        <v>989</v>
      </c>
      <c r="G10" s="15">
        <v>4073</v>
      </c>
      <c r="H10" s="15">
        <v>10393</v>
      </c>
      <c r="I10" s="15">
        <v>754.1</v>
      </c>
      <c r="J10" s="15">
        <v>229.4</v>
      </c>
      <c r="K10" s="15">
        <v>-146.6</v>
      </c>
      <c r="L10" s="15">
        <v>-27.5</v>
      </c>
      <c r="M10" s="15">
        <v>-84.5</v>
      </c>
      <c r="N10" s="15">
        <f>SUM(C7:C10)/4</f>
        <v>612.675</v>
      </c>
      <c r="O10" s="15"/>
      <c r="P10" s="16">
        <f>C10/C9-1</f>
        <v>0.102398172820708</v>
      </c>
      <c r="Q10" s="16">
        <f>(E10+D10)/C10</f>
        <v>0.459944751381215</v>
      </c>
      <c r="R10" s="16">
        <f>AVERAGE(Q7:Q10)</f>
        <v>0.451133956942742</v>
      </c>
      <c r="S10" s="17"/>
      <c r="T10" s="15">
        <f>SUM(J7:K10)/4</f>
        <v>227.625</v>
      </c>
      <c r="U10" s="25"/>
      <c r="V10" s="15">
        <f>J10+K10+V9</f>
        <v>1116.4</v>
      </c>
      <c r="W10" s="15">
        <f>-(L10+M10)+W9</f>
        <v>362</v>
      </c>
      <c r="X10" s="15">
        <f>X9</f>
        <v>6453.8496</v>
      </c>
      <c r="Y10" s="15">
        <f>F10-G10</f>
        <v>-3084</v>
      </c>
      <c r="Z10" s="24"/>
      <c r="AA10" s="18">
        <v>550</v>
      </c>
      <c r="AB10" s="22"/>
      <c r="AC10" s="20">
        <v>14.902</v>
      </c>
    </row>
    <row r="11" ht="20.05" customHeight="1">
      <c r="B11" s="13"/>
      <c r="C11" s="14">
        <v>671.7</v>
      </c>
      <c r="D11" s="15">
        <v>16.7</v>
      </c>
      <c r="E11" s="15">
        <v>349.9</v>
      </c>
      <c r="F11" s="15">
        <v>966</v>
      </c>
      <c r="G11" s="15">
        <v>3848</v>
      </c>
      <c r="H11" s="15">
        <v>10541</v>
      </c>
      <c r="I11" s="15">
        <v>606.6</v>
      </c>
      <c r="J11" s="15">
        <v>82</v>
      </c>
      <c r="K11" s="15">
        <v>-102.2</v>
      </c>
      <c r="L11" s="15">
        <v>-27.5</v>
      </c>
      <c r="M11" s="15">
        <v>-84.5</v>
      </c>
      <c r="N11" s="15">
        <f>SUM(C8:C11)/4</f>
        <v>582.65</v>
      </c>
      <c r="O11" s="15"/>
      <c r="P11" s="16">
        <f>C11/C10-1</f>
        <v>0.159703038674033</v>
      </c>
      <c r="Q11" s="16">
        <f>(E11+D11)/C11</f>
        <v>0.545779365788298</v>
      </c>
      <c r="R11" s="16">
        <f>AVERAGE(Q8:Q11)</f>
        <v>0.474795309154131</v>
      </c>
      <c r="S11" s="17"/>
      <c r="T11" s="15">
        <f>SUM(J8:K11)/4</f>
        <v>172.325</v>
      </c>
      <c r="U11" s="25"/>
      <c r="V11" s="15">
        <f>J11+K11+V10</f>
        <v>1096.2</v>
      </c>
      <c r="W11" s="15">
        <f>-(L11+M11)+W10</f>
        <v>474</v>
      </c>
      <c r="X11" s="15">
        <f>X10</f>
        <v>6453.8496</v>
      </c>
      <c r="Y11" s="15">
        <f>F11-G11</f>
        <v>-2882</v>
      </c>
      <c r="Z11" s="24"/>
      <c r="AA11" s="18">
        <v>740</v>
      </c>
      <c r="AB11" s="22"/>
      <c r="AC11" s="20">
        <v>14.38</v>
      </c>
    </row>
    <row r="12" ht="20.05" customHeight="1">
      <c r="B12" s="21">
        <v>2019</v>
      </c>
      <c r="C12" s="14">
        <v>519.5</v>
      </c>
      <c r="D12" s="15">
        <v>16.7</v>
      </c>
      <c r="E12" s="15">
        <v>228.5</v>
      </c>
      <c r="F12" s="15">
        <v>1071</v>
      </c>
      <c r="G12" s="15">
        <v>3869</v>
      </c>
      <c r="H12" s="15">
        <v>10791</v>
      </c>
      <c r="I12" s="15">
        <v>571.2</v>
      </c>
      <c r="J12" s="15">
        <v>126.6</v>
      </c>
      <c r="K12" s="15">
        <v>-22.4</v>
      </c>
      <c r="L12" s="15">
        <v>-1.125</v>
      </c>
      <c r="M12" s="15">
        <v>-81.5</v>
      </c>
      <c r="N12" s="15">
        <f>SUM(C9:C12)/4</f>
        <v>573.95</v>
      </c>
      <c r="O12" s="23"/>
      <c r="P12" s="16">
        <f>C12/C11-1</f>
        <v>-0.226589251153789</v>
      </c>
      <c r="Q12" s="16">
        <f>(E12+D12)/C12</f>
        <v>0.471992300288739</v>
      </c>
      <c r="R12" s="16">
        <f>AVERAGE(Q9:Q12)</f>
        <v>0.476204894238945</v>
      </c>
      <c r="S12" s="17"/>
      <c r="T12" s="15">
        <f>SUM(J9:K12)/4</f>
        <v>84.375</v>
      </c>
      <c r="U12" s="25"/>
      <c r="V12" s="15">
        <f>J12+K12+V11</f>
        <v>1200.4</v>
      </c>
      <c r="W12" s="15">
        <f>-(L12+M12)+W11</f>
        <v>556.625</v>
      </c>
      <c r="X12" s="15">
        <f>X11</f>
        <v>6453.8496</v>
      </c>
      <c r="Y12" s="15">
        <f>F12-G12</f>
        <v>-2798</v>
      </c>
      <c r="Z12" s="24"/>
      <c r="AA12" s="18">
        <v>595</v>
      </c>
      <c r="AB12" s="22"/>
      <c r="AC12" s="20">
        <v>14.24</v>
      </c>
    </row>
    <row r="13" ht="20.05" customHeight="1">
      <c r="B13" s="13"/>
      <c r="C13" s="14">
        <v>566.5</v>
      </c>
      <c r="D13" s="15">
        <v>17.2</v>
      </c>
      <c r="E13" s="15">
        <v>251.9</v>
      </c>
      <c r="F13" s="15">
        <v>1118</v>
      </c>
      <c r="G13" s="15">
        <v>4184</v>
      </c>
      <c r="H13" s="15">
        <v>11026</v>
      </c>
      <c r="I13" s="15">
        <v>589</v>
      </c>
      <c r="J13" s="15">
        <v>45.2</v>
      </c>
      <c r="K13" s="15">
        <v>1.2</v>
      </c>
      <c r="L13" s="15">
        <v>-1.125</v>
      </c>
      <c r="M13" s="15">
        <v>-81.5</v>
      </c>
      <c r="N13" s="15">
        <f>SUM(C10:C13)/4</f>
        <v>584.225</v>
      </c>
      <c r="O13" s="23"/>
      <c r="P13" s="16">
        <f>C13/C12-1</f>
        <v>0.0904716073147257</v>
      </c>
      <c r="Q13" s="16">
        <f>(E13+D13)/C13</f>
        <v>0.475022065313327</v>
      </c>
      <c r="R13" s="16">
        <f>AVERAGE(Q10:Q13)</f>
        <v>0.488184620692895</v>
      </c>
      <c r="S13" s="17"/>
      <c r="T13" s="15">
        <f>SUM(J10:K13)/4</f>
        <v>53.3</v>
      </c>
      <c r="U13" s="25"/>
      <c r="V13" s="15">
        <f>J13+K13+V12</f>
        <v>1246.8</v>
      </c>
      <c r="W13" s="15">
        <f>-(L13+M13)+W12</f>
        <v>639.25</v>
      </c>
      <c r="X13" s="15">
        <f>X12</f>
        <v>6453.8496</v>
      </c>
      <c r="Y13" s="15">
        <f>F13-G13</f>
        <v>-3066</v>
      </c>
      <c r="Z13" s="24"/>
      <c r="AA13" s="18">
        <v>530</v>
      </c>
      <c r="AB13" s="24"/>
      <c r="AC13" s="15">
        <v>14.127</v>
      </c>
    </row>
    <row r="14" ht="20.05" customHeight="1">
      <c r="B14" s="13"/>
      <c r="C14" s="14">
        <v>668</v>
      </c>
      <c r="D14" s="15">
        <v>17.1</v>
      </c>
      <c r="E14" s="15">
        <v>274.6</v>
      </c>
      <c r="F14" s="15">
        <v>937</v>
      </c>
      <c r="G14" s="15">
        <v>3902</v>
      </c>
      <c r="H14" s="15">
        <v>11019</v>
      </c>
      <c r="I14" s="15">
        <v>696.2</v>
      </c>
      <c r="J14" s="15">
        <v>190.3</v>
      </c>
      <c r="K14" s="15">
        <v>-40.9</v>
      </c>
      <c r="L14" s="15">
        <v>-1.125</v>
      </c>
      <c r="M14" s="15">
        <v>-81.5</v>
      </c>
      <c r="N14" s="15">
        <f>SUM(C11:C14)/4</f>
        <v>606.425</v>
      </c>
      <c r="O14" s="23"/>
      <c r="P14" s="16">
        <f>C14/C13-1</f>
        <v>0.179170344218888</v>
      </c>
      <c r="Q14" s="16">
        <f>(E14+D14)/C14</f>
        <v>0.436676646706587</v>
      </c>
      <c r="R14" s="16">
        <f>AVERAGE(Q11:Q14)</f>
        <v>0.482367594524238</v>
      </c>
      <c r="S14" s="17"/>
      <c r="T14" s="15">
        <f>SUM(J11:K14)/4</f>
        <v>69.95</v>
      </c>
      <c r="U14" s="25"/>
      <c r="V14" s="15">
        <f>J14+K14+V13</f>
        <v>1396.2</v>
      </c>
      <c r="W14" s="15">
        <f>-(L14+M14)+W13</f>
        <v>721.875</v>
      </c>
      <c r="X14" s="15">
        <f>X13</f>
        <v>6453.8496</v>
      </c>
      <c r="Y14" s="15">
        <f>F14-G14</f>
        <v>-2965</v>
      </c>
      <c r="Z14" s="24"/>
      <c r="AA14" s="18">
        <v>675</v>
      </c>
      <c r="AB14" s="24"/>
      <c r="AC14" s="15">
        <v>14.195</v>
      </c>
    </row>
    <row r="15" ht="20.05" customHeight="1">
      <c r="B15" s="13"/>
      <c r="C15" s="14">
        <v>669.3</v>
      </c>
      <c r="D15" s="15">
        <v>16.5</v>
      </c>
      <c r="E15" s="15">
        <v>282.2</v>
      </c>
      <c r="F15" s="15">
        <v>814</v>
      </c>
      <c r="G15" s="15">
        <v>3762</v>
      </c>
      <c r="H15" s="15">
        <v>11165</v>
      </c>
      <c r="I15" s="15">
        <v>579.7</v>
      </c>
      <c r="J15" s="15">
        <v>74.90000000000001</v>
      </c>
      <c r="K15" s="15">
        <v>-195.7</v>
      </c>
      <c r="L15" s="15">
        <v>-1.125</v>
      </c>
      <c r="M15" s="15">
        <v>-81.5</v>
      </c>
      <c r="N15" s="15">
        <f>SUM(C12:C15)/4</f>
        <v>605.825</v>
      </c>
      <c r="O15" s="15"/>
      <c r="P15" s="16">
        <f>C15/C14-1</f>
        <v>0.00194610778443114</v>
      </c>
      <c r="Q15" s="16">
        <f>(E15+D15)/C15</f>
        <v>0.446287165695503</v>
      </c>
      <c r="R15" s="16">
        <f>AVERAGE(Q12:Q15)</f>
        <v>0.457494544501039</v>
      </c>
      <c r="S15" s="17"/>
      <c r="T15" s="15">
        <f>SUM(J12:K15)/4</f>
        <v>44.8</v>
      </c>
      <c r="U15" s="25"/>
      <c r="V15" s="15">
        <f>J15+K15+V14</f>
        <v>1275.4</v>
      </c>
      <c r="W15" s="15">
        <f>-(L15+M15)+W14</f>
        <v>804.5</v>
      </c>
      <c r="X15" s="15">
        <f>X14</f>
        <v>6453.8496</v>
      </c>
      <c r="Y15" s="15">
        <f>F15-G15</f>
        <v>-2948</v>
      </c>
      <c r="Z15" s="24"/>
      <c r="AA15" s="18">
        <v>600</v>
      </c>
      <c r="AB15" s="24"/>
      <c r="AC15" s="15">
        <v>13.882</v>
      </c>
    </row>
    <row r="16" ht="20.05" customHeight="1">
      <c r="B16" s="21">
        <v>2020</v>
      </c>
      <c r="C16" s="14">
        <v>509</v>
      </c>
      <c r="D16" s="15">
        <v>17.4</v>
      </c>
      <c r="E16" s="15">
        <v>210.3</v>
      </c>
      <c r="F16" s="15">
        <v>928</v>
      </c>
      <c r="G16" s="15">
        <v>4046</v>
      </c>
      <c r="H16" s="15">
        <v>11537</v>
      </c>
      <c r="I16" s="15">
        <v>552.9</v>
      </c>
      <c r="J16" s="15">
        <v>122.7</v>
      </c>
      <c r="K16" s="15">
        <v>-63.5</v>
      </c>
      <c r="L16" s="15">
        <v>95.09999999999999</v>
      </c>
      <c r="M16" s="15">
        <v>-39.7</v>
      </c>
      <c r="N16" s="15">
        <f>SUM(C13:C16)/4</f>
        <v>603.2</v>
      </c>
      <c r="O16" s="15"/>
      <c r="P16" s="16">
        <f>C16/C15-1</f>
        <v>-0.239503959360526</v>
      </c>
      <c r="Q16" s="16">
        <f>(E16+D16)/C16</f>
        <v>0.447347740667976</v>
      </c>
      <c r="R16" s="16">
        <f>AVERAGE(Q13:Q16)</f>
        <v>0.451333404595848</v>
      </c>
      <c r="S16" s="17"/>
      <c r="T16" s="15">
        <f>SUM(J13:K16)/4</f>
        <v>33.55</v>
      </c>
      <c r="U16" s="25"/>
      <c r="V16" s="15">
        <f>J16+K16+V15</f>
        <v>1334.6</v>
      </c>
      <c r="W16" s="15">
        <f>-(L16+M16)+W15</f>
        <v>749.1</v>
      </c>
      <c r="X16" s="15">
        <f>X15</f>
        <v>6453.8496</v>
      </c>
      <c r="Y16" s="15">
        <f>F16-G16</f>
        <v>-3118</v>
      </c>
      <c r="Z16" s="24"/>
      <c r="AA16" s="18">
        <v>388</v>
      </c>
      <c r="AB16" s="24"/>
      <c r="AC16" s="15">
        <v>16.31</v>
      </c>
    </row>
    <row r="17" ht="20.05" customHeight="1">
      <c r="B17" s="13"/>
      <c r="C17" s="14">
        <v>518.7</v>
      </c>
      <c r="D17" s="15">
        <v>7.7</v>
      </c>
      <c r="E17" s="15">
        <v>198.8</v>
      </c>
      <c r="F17" s="15">
        <v>1067</v>
      </c>
      <c r="G17" s="15">
        <v>4314</v>
      </c>
      <c r="H17" s="15">
        <v>11665</v>
      </c>
      <c r="I17" s="15">
        <v>396.5</v>
      </c>
      <c r="J17" s="15">
        <v>195.5</v>
      </c>
      <c r="K17" s="15">
        <v>-52.9</v>
      </c>
      <c r="L17" s="15">
        <v>-0.9</v>
      </c>
      <c r="M17" s="15">
        <v>-2.9</v>
      </c>
      <c r="N17" s="15">
        <f>SUM(C14:C17)/4</f>
        <v>591.25</v>
      </c>
      <c r="O17" s="15"/>
      <c r="P17" s="16">
        <f>C17/C16-1</f>
        <v>0.019056974459725</v>
      </c>
      <c r="Q17" s="16">
        <f>(E17+D17)/C17</f>
        <v>0.398110661268556</v>
      </c>
      <c r="R17" s="16">
        <f>AVERAGE(Q14:Q17)</f>
        <v>0.432105553584656</v>
      </c>
      <c r="S17" s="17"/>
      <c r="T17" s="25">
        <f>SUM(J14:K17)/4</f>
        <v>57.6</v>
      </c>
      <c r="U17" s="25"/>
      <c r="V17" s="15">
        <f>J17+K17+V16</f>
        <v>1477.2</v>
      </c>
      <c r="W17" s="15">
        <f>-(L17+M17)+W16</f>
        <v>752.9</v>
      </c>
      <c r="X17" s="15">
        <f>X16</f>
        <v>6453.8496</v>
      </c>
      <c r="Y17" s="15">
        <f>F17-G17</f>
        <v>-3247</v>
      </c>
      <c r="Z17" s="24"/>
      <c r="AA17" s="18">
        <v>408</v>
      </c>
      <c r="AB17" s="24"/>
      <c r="AC17" s="15">
        <v>14.255</v>
      </c>
    </row>
    <row r="18" ht="20.05" customHeight="1">
      <c r="B18" s="13"/>
      <c r="C18" s="14">
        <v>754.6</v>
      </c>
      <c r="D18" s="15">
        <v>15.8</v>
      </c>
      <c r="E18" s="15">
        <v>307.6</v>
      </c>
      <c r="F18" s="15">
        <v>938</v>
      </c>
      <c r="G18" s="15">
        <v>3702</v>
      </c>
      <c r="H18" s="15">
        <v>11353</v>
      </c>
      <c r="I18" s="15">
        <v>487</v>
      </c>
      <c r="J18" s="15">
        <v>228</v>
      </c>
      <c r="K18" s="15">
        <v>-17.1</v>
      </c>
      <c r="L18" s="15">
        <v>-1</v>
      </c>
      <c r="M18" s="15">
        <v>-338</v>
      </c>
      <c r="N18" s="15">
        <f>SUM(C15:C18)/4</f>
        <v>612.9</v>
      </c>
      <c r="O18" s="15"/>
      <c r="P18" s="16">
        <f>C18/C17-1</f>
        <v>0.454790823211876</v>
      </c>
      <c r="Q18" s="16">
        <f>(E18+D18)/C18</f>
        <v>0.428571428571429</v>
      </c>
      <c r="R18" s="16">
        <f>AVERAGE(Q15:Q18)</f>
        <v>0.430079249050866</v>
      </c>
      <c r="S18" s="17"/>
      <c r="T18" s="25">
        <f>SUM(J15:K18)/4</f>
        <v>72.97499999999999</v>
      </c>
      <c r="U18" s="25"/>
      <c r="V18" s="15">
        <f>J18+K18+V17</f>
        <v>1688.1</v>
      </c>
      <c r="W18" s="15">
        <f>-(L18+M18)+W17</f>
        <v>1091.9</v>
      </c>
      <c r="X18" s="15">
        <f>X17</f>
        <v>6453.8496</v>
      </c>
      <c r="Y18" s="15">
        <f>F18-G18</f>
        <v>-2764</v>
      </c>
      <c r="Z18" s="24"/>
      <c r="AA18" s="18">
        <v>412</v>
      </c>
      <c r="AB18" s="24"/>
      <c r="AC18" s="15">
        <v>14.79</v>
      </c>
    </row>
    <row r="19" ht="20.05" customHeight="1">
      <c r="B19" s="13"/>
      <c r="C19" s="14">
        <v>402.6</v>
      </c>
      <c r="D19" s="15">
        <v>242.6</v>
      </c>
      <c r="E19" s="15">
        <v>296.7</v>
      </c>
      <c r="F19" s="15">
        <v>1009</v>
      </c>
      <c r="G19" s="15">
        <v>3606</v>
      </c>
      <c r="H19" s="15">
        <v>11481</v>
      </c>
      <c r="I19" s="15">
        <v>443.1</v>
      </c>
      <c r="J19" s="15">
        <v>82.40000000000001</v>
      </c>
      <c r="K19" s="15">
        <v>150.6</v>
      </c>
      <c r="L19" s="15">
        <v>-97</v>
      </c>
      <c r="M19" s="15">
        <v>-68.7</v>
      </c>
      <c r="N19" s="15">
        <f>SUM(C16:C19)/4</f>
        <v>546.225</v>
      </c>
      <c r="O19" s="15"/>
      <c r="P19" s="16">
        <f>C19/C18-1</f>
        <v>-0.466472303206997</v>
      </c>
      <c r="Q19" s="16">
        <f>(E19+D19)/C19</f>
        <v>1.33954297069051</v>
      </c>
      <c r="R19" s="16">
        <f>AVERAGE(Q16:Q19)</f>
        <v>0.653393200299618</v>
      </c>
      <c r="S19" s="17"/>
      <c r="T19" s="25">
        <f>SUM(J16:K19)/4</f>
        <v>161.425</v>
      </c>
      <c r="U19" s="25"/>
      <c r="V19" s="15">
        <f>J19+K19+V18</f>
        <v>1921.1</v>
      </c>
      <c r="W19" s="15">
        <f>-(L19+M19)+W18</f>
        <v>1257.6</v>
      </c>
      <c r="X19" s="15">
        <f>X18</f>
        <v>6453.8496</v>
      </c>
      <c r="Y19" s="15">
        <f>F19-G19</f>
        <v>-2597</v>
      </c>
      <c r="Z19" s="24"/>
      <c r="AA19" s="18">
        <v>600</v>
      </c>
      <c r="AB19" s="24"/>
      <c r="AC19" s="15">
        <v>14.1</v>
      </c>
    </row>
    <row r="20" ht="20.05" customHeight="1">
      <c r="B20" s="21">
        <v>2021</v>
      </c>
      <c r="C20" s="14">
        <v>486.7</v>
      </c>
      <c r="D20" s="15">
        <v>26.6</v>
      </c>
      <c r="E20" s="15">
        <v>193.1</v>
      </c>
      <c r="F20" s="15">
        <v>1136</v>
      </c>
      <c r="G20" s="15">
        <v>3691</v>
      </c>
      <c r="H20" s="15">
        <v>11680</v>
      </c>
      <c r="I20" s="15">
        <v>580.7</v>
      </c>
      <c r="J20" s="15">
        <v>241.3</v>
      </c>
      <c r="K20" s="15">
        <v>-35.7</v>
      </c>
      <c r="L20" s="15">
        <v>0.949</v>
      </c>
      <c r="M20" s="15">
        <v>-78.949</v>
      </c>
      <c r="N20" s="15">
        <f>SUM(C17:C20)/4</f>
        <v>540.65</v>
      </c>
      <c r="O20" s="15"/>
      <c r="P20" s="16">
        <f>C20/C19-1</f>
        <v>0.208892200695479</v>
      </c>
      <c r="Q20" s="16">
        <f>(E20+D20)/C20</f>
        <v>0.451407437846723</v>
      </c>
      <c r="R20" s="16">
        <f>AVERAGE(Q17:Q20)</f>
        <v>0.654408124594305</v>
      </c>
      <c r="S20" s="17"/>
      <c r="T20" s="25">
        <f>SUM(J17:K20)/4</f>
        <v>198.025</v>
      </c>
      <c r="U20" s="25"/>
      <c r="V20" s="15">
        <f>J20+K20+V19</f>
        <v>2126.7</v>
      </c>
      <c r="W20" s="15">
        <f>-(L20+M20)+W19</f>
        <v>1335.6</v>
      </c>
      <c r="X20" s="15">
        <f>X19</f>
        <v>6453.8496</v>
      </c>
      <c r="Y20" s="15">
        <f>F20-G20</f>
        <v>-2555</v>
      </c>
      <c r="Z20" s="15"/>
      <c r="AA20" s="18">
        <v>575</v>
      </c>
      <c r="AB20" s="15"/>
      <c r="AC20" s="15">
        <v>14.606</v>
      </c>
    </row>
    <row r="21" ht="20.05" customHeight="1">
      <c r="B21" s="13"/>
      <c r="C21" s="14">
        <v>509.4</v>
      </c>
      <c r="D21" s="15">
        <v>26</v>
      </c>
      <c r="E21" s="15">
        <v>185.2</v>
      </c>
      <c r="F21" s="15">
        <v>1292</v>
      </c>
      <c r="G21" s="15">
        <v>4105</v>
      </c>
      <c r="H21" s="15">
        <v>11970</v>
      </c>
      <c r="I21" s="15">
        <v>615.5</v>
      </c>
      <c r="J21" s="15">
        <v>275.2</v>
      </c>
      <c r="K21" s="15">
        <v>-111.1</v>
      </c>
      <c r="L21" s="15">
        <v>-0.37</v>
      </c>
      <c r="M21" s="15">
        <v>-7.83</v>
      </c>
      <c r="N21" s="15">
        <f>SUM(C18:C21)/4</f>
        <v>538.325</v>
      </c>
      <c r="O21" s="15">
        <v>511.035</v>
      </c>
      <c r="P21" s="16">
        <f>C21/C20-1</f>
        <v>0.0466406410519827</v>
      </c>
      <c r="Q21" s="16">
        <f>(E21+D21)/C21</f>
        <v>0.414605418138987</v>
      </c>
      <c r="R21" s="16">
        <f>AVERAGE(Q18:Q21)</f>
        <v>0.6585318138119119</v>
      </c>
      <c r="S21" s="17"/>
      <c r="T21" s="25">
        <f>SUM(J18:K21)/4</f>
        <v>203.4</v>
      </c>
      <c r="U21" s="25"/>
      <c r="V21" s="15">
        <f>J21+K21+V20</f>
        <v>2290.8</v>
      </c>
      <c r="W21" s="15">
        <f>-(L21+M21)+W20</f>
        <v>1343.8</v>
      </c>
      <c r="X21" s="15">
        <f>X20</f>
        <v>6453.8496</v>
      </c>
      <c r="Y21" s="15">
        <f>F21-G21</f>
        <v>-2813</v>
      </c>
      <c r="Z21" s="15"/>
      <c r="AA21" s="18">
        <v>496</v>
      </c>
      <c r="AB21" s="15"/>
      <c r="AC21" s="15">
        <v>14.45</v>
      </c>
    </row>
    <row r="22" ht="20.05" customHeight="1">
      <c r="B22" s="13"/>
      <c r="C22" s="14">
        <v>696</v>
      </c>
      <c r="D22" s="15">
        <v>21.9</v>
      </c>
      <c r="E22" s="15">
        <v>282.7</v>
      </c>
      <c r="F22" s="15">
        <v>1059</v>
      </c>
      <c r="G22" s="15">
        <v>3628</v>
      </c>
      <c r="H22" s="15">
        <v>11693</v>
      </c>
      <c r="I22" s="15">
        <v>508.3</v>
      </c>
      <c r="J22" s="15">
        <v>180.3</v>
      </c>
      <c r="K22" s="15">
        <v>-31.6</v>
      </c>
      <c r="L22" s="15">
        <v>2.966</v>
      </c>
      <c r="M22" s="15">
        <v>-384.766</v>
      </c>
      <c r="N22" s="15">
        <f>SUM(C19:C22)/4</f>
        <v>523.675</v>
      </c>
      <c r="O22" s="15">
        <v>527.47</v>
      </c>
      <c r="P22" s="16">
        <f>C22/C21-1</f>
        <v>0.366313309776207</v>
      </c>
      <c r="Q22" s="16">
        <f>(E22+D22)/C22</f>
        <v>0.43764367816092</v>
      </c>
      <c r="R22" s="16">
        <f>AVERAGE(Q19:Q22)</f>
        <v>0.660799876209285</v>
      </c>
      <c r="S22" s="17"/>
      <c r="T22" s="25">
        <f>SUM(J19:K22)/4</f>
        <v>187.85</v>
      </c>
      <c r="U22" s="25"/>
      <c r="V22" s="15">
        <f>J22+K22+V21</f>
        <v>2439.5</v>
      </c>
      <c r="W22" s="15">
        <f>-(L22+M22)+W21</f>
        <v>1725.6</v>
      </c>
      <c r="X22" s="15">
        <f>X21</f>
        <v>6453.8496</v>
      </c>
      <c r="Y22" s="15">
        <f>F22-G22</f>
        <v>-2569</v>
      </c>
      <c r="Z22" s="15"/>
      <c r="AA22" s="18">
        <v>464</v>
      </c>
      <c r="AB22" s="15"/>
      <c r="AC22" s="15">
        <v>14.328</v>
      </c>
    </row>
    <row r="23" ht="20.05" customHeight="1">
      <c r="B23" s="13"/>
      <c r="C23" s="14">
        <v>482.2</v>
      </c>
      <c r="D23" s="15">
        <v>-10.7</v>
      </c>
      <c r="E23" s="15">
        <v>125.7</v>
      </c>
      <c r="F23" s="15">
        <v>546</v>
      </c>
      <c r="G23" s="15">
        <v>3594</v>
      </c>
      <c r="H23" s="15">
        <v>11748</v>
      </c>
      <c r="I23" s="15">
        <v>560.5</v>
      </c>
      <c r="J23" s="15">
        <v>160.3</v>
      </c>
      <c r="K23" s="15">
        <v>-632.4</v>
      </c>
      <c r="L23" s="15">
        <v>-2.745</v>
      </c>
      <c r="M23" s="15">
        <v>-38.455</v>
      </c>
      <c r="N23" s="15">
        <f>SUM(C20:C23)/4</f>
        <v>543.575</v>
      </c>
      <c r="O23" s="15">
        <v>595.7025</v>
      </c>
      <c r="P23" s="16">
        <f>C23/C22-1</f>
        <v>-0.307183908045977</v>
      </c>
      <c r="Q23" s="16">
        <f>(E23+D23)/C23</f>
        <v>0.238490253007051</v>
      </c>
      <c r="R23" s="16">
        <f>AVERAGE(Q20:Q23)</f>
        <v>0.38553669678842</v>
      </c>
      <c r="S23" s="17"/>
      <c r="T23" s="25">
        <f>SUM(J20:K23)/4</f>
        <v>11.575</v>
      </c>
      <c r="U23" s="25"/>
      <c r="V23" s="15">
        <f>J23+K23+V22</f>
        <v>1967.4</v>
      </c>
      <c r="W23" s="15">
        <f>-(L23+M23)+W22</f>
        <v>1766.8</v>
      </c>
      <c r="X23" s="15">
        <f>X22</f>
        <v>6453.8496</v>
      </c>
      <c r="Y23" s="15">
        <f>F23-G23</f>
        <v>-3048</v>
      </c>
      <c r="Z23" s="15"/>
      <c r="AA23" s="18">
        <v>520</v>
      </c>
      <c r="AB23" s="15"/>
      <c r="AC23" s="15">
        <v>14.275</v>
      </c>
    </row>
    <row r="24" ht="20.05" customHeight="1">
      <c r="B24" s="21">
        <v>2022</v>
      </c>
      <c r="C24" s="14">
        <v>487</v>
      </c>
      <c r="D24" s="15">
        <v>8</v>
      </c>
      <c r="E24" s="15">
        <v>179</v>
      </c>
      <c r="F24" s="15">
        <v>774</v>
      </c>
      <c r="G24" s="15">
        <v>3735</v>
      </c>
      <c r="H24" s="15">
        <v>12025</v>
      </c>
      <c r="I24" s="15">
        <v>630</v>
      </c>
      <c r="J24" s="15">
        <v>356</v>
      </c>
      <c r="K24" s="15">
        <v>-85</v>
      </c>
      <c r="L24" s="15">
        <v>0</v>
      </c>
      <c r="M24" s="15">
        <v>-43</v>
      </c>
      <c r="N24" s="15">
        <f>SUM(C21:C24)/4</f>
        <v>543.65</v>
      </c>
      <c r="O24" s="15">
        <v>602.333</v>
      </c>
      <c r="P24" s="16">
        <f>C24/C23-1</f>
        <v>0.00995437577768561</v>
      </c>
      <c r="Q24" s="16">
        <f>(E24+D24)/C24</f>
        <v>0.383983572895277</v>
      </c>
      <c r="R24" s="16">
        <f>AVERAGE(Q21:Q24)</f>
        <v>0.368680730550559</v>
      </c>
      <c r="S24" s="35"/>
      <c r="T24" s="25">
        <f>SUM(J21:K24)/4</f>
        <v>27.925</v>
      </c>
      <c r="U24" s="15">
        <v>243.294320857732</v>
      </c>
      <c r="V24" s="15">
        <f>J24+K24+V23</f>
        <v>2238.4</v>
      </c>
      <c r="W24" s="15">
        <f>-(L24+M24)+W23</f>
        <v>1809.8</v>
      </c>
      <c r="X24" s="15">
        <f>X23</f>
        <v>6453.8496</v>
      </c>
      <c r="Y24" s="15">
        <f>F24-G24</f>
        <v>-2961</v>
      </c>
      <c r="Z24" s="15">
        <v>-2221.849724306770</v>
      </c>
      <c r="AA24" s="18">
        <v>492</v>
      </c>
      <c r="AB24" s="17"/>
      <c r="AC24" s="15">
        <v>14.327</v>
      </c>
    </row>
    <row r="25" ht="20.05" customHeight="1">
      <c r="B25" s="13"/>
      <c r="C25" s="14">
        <v>521.9</v>
      </c>
      <c r="D25" s="15">
        <v>4.7</v>
      </c>
      <c r="E25" s="15">
        <v>195.2</v>
      </c>
      <c r="F25" s="15">
        <v>958</v>
      </c>
      <c r="G25" s="15">
        <v>4013</v>
      </c>
      <c r="H25" s="15">
        <v>12222</v>
      </c>
      <c r="I25" s="15">
        <v>531.1</v>
      </c>
      <c r="J25" s="15">
        <v>241.7</v>
      </c>
      <c r="K25" s="15">
        <v>-38.6</v>
      </c>
      <c r="L25" s="15">
        <v>-1.1</v>
      </c>
      <c r="M25" s="15">
        <v>-17.9</v>
      </c>
      <c r="N25" s="15">
        <f>SUM(C22:C25)/4</f>
        <v>546.775</v>
      </c>
      <c r="O25" s="15">
        <v>599.97675</v>
      </c>
      <c r="P25" s="16">
        <f>C25/C24-1</f>
        <v>0.0716632443531828</v>
      </c>
      <c r="Q25" s="16">
        <f>(E25+D25)/C25</f>
        <v>0.383023567733282</v>
      </c>
      <c r="R25" s="16">
        <f>AVERAGE(Q22:Q25)</f>
        <v>0.360785267949133</v>
      </c>
      <c r="S25" s="35"/>
      <c r="T25" s="25">
        <f>SUM(J22:K25)/4</f>
        <v>37.675</v>
      </c>
      <c r="U25" s="15">
        <v>243.294320857732</v>
      </c>
      <c r="V25" s="15">
        <f>J25+K25+V24</f>
        <v>2441.5</v>
      </c>
      <c r="W25" s="15">
        <f>-(L25+M25)+W24</f>
        <v>1828.8</v>
      </c>
      <c r="X25" s="15">
        <f>X24</f>
        <v>6453.8496</v>
      </c>
      <c r="Y25" s="15">
        <f>F25-G25</f>
        <v>-3055</v>
      </c>
      <c r="Z25" s="15">
        <v>-2221.849724306770</v>
      </c>
      <c r="AA25" s="18">
        <v>480</v>
      </c>
      <c r="AB25" s="17"/>
      <c r="AC25" s="15">
        <v>14.66</v>
      </c>
    </row>
    <row r="26" ht="20.05" customHeight="1">
      <c r="B26" s="13"/>
      <c r="C26" s="14">
        <v>609.6</v>
      </c>
      <c r="D26" s="15">
        <v>13.7</v>
      </c>
      <c r="E26" s="15">
        <v>262.6</v>
      </c>
      <c r="F26" s="15">
        <v>532</v>
      </c>
      <c r="G26" s="15">
        <v>3699</v>
      </c>
      <c r="H26" s="15">
        <v>12131</v>
      </c>
      <c r="I26" s="15">
        <v>584.3</v>
      </c>
      <c r="J26" s="15">
        <v>203.7</v>
      </c>
      <c r="K26" s="15">
        <v>-341.2</v>
      </c>
      <c r="L26" s="15">
        <v>13.5</v>
      </c>
      <c r="M26" s="15">
        <v>-298</v>
      </c>
      <c r="N26" s="15">
        <f>SUM(C23:C26)/4</f>
        <v>525.175</v>
      </c>
      <c r="O26" s="15">
        <v>638.6425</v>
      </c>
      <c r="P26" s="16">
        <f>C26/C25-1</f>
        <v>0.168039854378233</v>
      </c>
      <c r="Q26" s="16">
        <f>(E26+D26)/C26</f>
        <v>0.453248031496063</v>
      </c>
      <c r="R26" s="16">
        <f>AVERAGE(Q23:Q26)</f>
        <v>0.364686356282918</v>
      </c>
      <c r="S26" s="35">
        <f>S27</f>
        <v>0.364686356282918</v>
      </c>
      <c r="T26" s="25">
        <f>SUM(J23:K26)/4</f>
        <v>-33.875</v>
      </c>
      <c r="U26" s="15">
        <v>215.390666218750</v>
      </c>
      <c r="V26" s="15">
        <f>J26+K26+V25</f>
        <v>2304</v>
      </c>
      <c r="W26" s="15">
        <f>-(L26+M26)+W25</f>
        <v>2113.3</v>
      </c>
      <c r="X26" s="15">
        <f>X25</f>
        <v>6453.8496</v>
      </c>
      <c r="Y26" s="15">
        <f>F26-G26</f>
        <v>-3167</v>
      </c>
      <c r="Z26" s="15">
        <v>-2383.4298681</v>
      </c>
      <c r="AA26" s="18">
        <v>462</v>
      </c>
      <c r="AB26" s="15">
        <v>912.368540718805</v>
      </c>
      <c r="AC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AVERAGE(AF52:AI52)</f>
        <v>634.150240968</v>
      </c>
      <c r="P27" s="17"/>
      <c r="Q27" s="17"/>
      <c r="R27" s="17"/>
      <c r="S27" s="35">
        <f>AF53</f>
        <v>0.364686356282918</v>
      </c>
      <c r="T27" s="25"/>
      <c r="U27" s="15">
        <f>SUM(AF55:AI55)/4</f>
        <v>76.33260738122139</v>
      </c>
      <c r="V27" s="17"/>
      <c r="W27" s="17"/>
      <c r="X27" s="17"/>
      <c r="Y27" s="26"/>
      <c r="Z27" s="15">
        <f>AI75</f>
        <v>-2861.669570475110</v>
      </c>
      <c r="AA27" s="15">
        <v>484</v>
      </c>
      <c r="AB27" s="15">
        <v>776.695591307434</v>
      </c>
      <c r="AC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SUM(N21:N26)</f>
        <v>3221.175</v>
      </c>
      <c r="O28" s="15">
        <f>SUM(O21:O26)</f>
        <v>3475.15975</v>
      </c>
      <c r="P28" s="17"/>
      <c r="Q28" s="17"/>
      <c r="R28" s="17"/>
      <c r="S28" s="17"/>
      <c r="T28" s="17"/>
      <c r="U28" s="17"/>
      <c r="V28" s="17"/>
      <c r="W28" s="17"/>
      <c r="X28" s="17"/>
      <c r="Y28" s="26"/>
      <c r="Z28" s="15"/>
      <c r="AA28" s="15"/>
      <c r="AB28" s="15">
        <f>AI88</f>
        <v>412.163106810050</v>
      </c>
      <c r="AC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26"/>
      <c r="Z29" s="15"/>
      <c r="AA29" s="15"/>
      <c r="AB29" s="15"/>
      <c r="AC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5"/>
      <c r="AA30" s="15"/>
      <c r="AB30" s="15"/>
      <c r="AC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5"/>
      <c r="AA31" s="15"/>
      <c r="AB31" s="15"/>
      <c r="AC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5"/>
      <c r="AA32" s="15"/>
      <c r="AB32" s="15"/>
      <c r="AC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5"/>
      <c r="AA33" s="15"/>
      <c r="AB33" s="15"/>
      <c r="AC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5"/>
      <c r="AA34" s="15"/>
      <c r="AB34" s="15"/>
      <c r="AC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5"/>
      <c r="AA35" s="15"/>
      <c r="AB35" s="15"/>
      <c r="AC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5"/>
      <c r="AA36" s="15"/>
      <c r="AB36" s="15"/>
      <c r="AC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5"/>
      <c r="AA37" s="15"/>
      <c r="AB37" s="15"/>
      <c r="AC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5"/>
      <c r="AA38" s="15"/>
      <c r="AB38" s="15"/>
      <c r="AC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5"/>
      <c r="AA39" s="15"/>
      <c r="AB39" s="15"/>
      <c r="AC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5"/>
      <c r="AA40" s="15"/>
      <c r="AB40" s="15"/>
      <c r="AC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5"/>
      <c r="AA41" s="15"/>
      <c r="AB41" s="15"/>
      <c r="AC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26"/>
      <c r="Z42" s="15"/>
      <c r="AA42" s="15"/>
      <c r="AB42" s="15"/>
      <c r="AC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5"/>
      <c r="AA43" s="15"/>
      <c r="AB43" s="15"/>
      <c r="AC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5"/>
      <c r="AA44" s="15"/>
      <c r="AB44" s="15"/>
      <c r="AC44" s="15"/>
    </row>
    <row r="46" ht="27.65" customHeight="1">
      <c r="AD46" t="s" s="2">
        <v>289</v>
      </c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</row>
    <row r="47" ht="20.25" customHeight="1">
      <c r="AD47" t="s" s="28">
        <v>366</v>
      </c>
      <c r="AE47" t="s" s="29">
        <v>23</v>
      </c>
      <c r="AF47" t="s" s="29">
        <v>24</v>
      </c>
      <c r="AG47" t="s" s="29">
        <v>25</v>
      </c>
      <c r="AH47" t="s" s="29">
        <v>26</v>
      </c>
      <c r="AI47" t="s" s="29">
        <v>23</v>
      </c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</row>
    <row r="48" ht="20.25" customHeight="1">
      <c r="AD48" t="s" s="31">
        <v>15</v>
      </c>
      <c r="AE48" s="32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</row>
    <row r="49" ht="20.05" customHeight="1">
      <c r="AD49" t="s" s="33">
        <v>27</v>
      </c>
      <c r="AE49" s="34"/>
      <c r="AF49" s="16">
        <f>AVERAGE(P23:P26)</f>
        <v>-0.0143816083842189</v>
      </c>
      <c r="AG49" s="35"/>
      <c r="AH49" s="35"/>
      <c r="AI49" s="35">
        <f>AVERAGE(AF51:AI51)</f>
        <v>0.0175</v>
      </c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ht="20.05" customHeight="1">
      <c r="AD50" s="36"/>
      <c r="AE50" s="37"/>
      <c r="AF50" s="35">
        <f>P23</f>
        <v>-0.307183908045977</v>
      </c>
      <c r="AG50" s="35">
        <f>P24</f>
        <v>0.00995437577768561</v>
      </c>
      <c r="AH50" s="35">
        <f>P25</f>
        <v>0.0716632443531828</v>
      </c>
      <c r="AI50" s="35">
        <f>P26</f>
        <v>0.168039854378233</v>
      </c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ht="20.05" customHeight="1">
      <c r="AD51" t="s" s="33">
        <v>13</v>
      </c>
      <c r="AE51" s="37"/>
      <c r="AF51" s="35">
        <v>0.03</v>
      </c>
      <c r="AG51" s="35">
        <v>-0.01</v>
      </c>
      <c r="AH51" s="35">
        <v>0.02</v>
      </c>
      <c r="AI51" s="35">
        <v>0.03</v>
      </c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ht="20.05" customHeight="1">
      <c r="AD52" t="s" s="33">
        <v>28</v>
      </c>
      <c r="AE52" s="38">
        <f>C26</f>
        <v>609.6</v>
      </c>
      <c r="AF52" s="23">
        <f>C26*(1+AF51)</f>
        <v>627.888</v>
      </c>
      <c r="AG52" s="23">
        <f>AF52*(1+AG51)</f>
        <v>621.60912</v>
      </c>
      <c r="AH52" s="23">
        <f>AG52*(1+AH51)</f>
        <v>634.0413023999999</v>
      </c>
      <c r="AI52" s="23">
        <f>AH52*(1+AI51)</f>
        <v>653.062541472</v>
      </c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</row>
    <row r="53" ht="20.05" customHeight="1">
      <c r="AD53" t="s" s="33">
        <v>14</v>
      </c>
      <c r="AE53" s="37"/>
      <c r="AF53" s="35">
        <f>AVERAGE(R26)</f>
        <v>0.364686356282918</v>
      </c>
      <c r="AG53" s="35">
        <f>AF53</f>
        <v>0.364686356282918</v>
      </c>
      <c r="AH53" s="35">
        <f>AG53</f>
        <v>0.364686356282918</v>
      </c>
      <c r="AI53" s="35">
        <f>AH53</f>
        <v>0.364686356282918</v>
      </c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ht="20.05" customHeight="1">
      <c r="AD54" t="s" s="33">
        <v>29</v>
      </c>
      <c r="AE54" s="14"/>
      <c r="AF54" s="15">
        <f>AVERAGE(K24:K26)</f>
        <v>-154.933333333333</v>
      </c>
      <c r="AG54" s="15">
        <f>AF54</f>
        <v>-154.933333333333</v>
      </c>
      <c r="AH54" s="15">
        <f>AG54</f>
        <v>-154.933333333333</v>
      </c>
      <c r="AI54" s="15">
        <f>AH54</f>
        <v>-154.933333333333</v>
      </c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</row>
    <row r="55" ht="20.05" customHeight="1">
      <c r="AD55" t="s" s="33">
        <v>30</v>
      </c>
      <c r="AE55" s="14"/>
      <c r="AF55" s="15">
        <f>(AF52*AF53)+AF54</f>
        <v>74.0488535404358</v>
      </c>
      <c r="AG55" s="15">
        <f>(AG52*AG53)+AG54</f>
        <v>71.7590316716981</v>
      </c>
      <c r="AH55" s="15">
        <f>(AH52*AH53)+AH54</f>
        <v>76.2928789717988</v>
      </c>
      <c r="AI55" s="15">
        <f>(AI52*AI53)+AI54</f>
        <v>83.22966534095271</v>
      </c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</row>
    <row r="56" ht="20.05" customHeight="1">
      <c r="AD56" t="s" s="33">
        <v>31</v>
      </c>
      <c r="AE56" s="14"/>
      <c r="AF56" s="15">
        <f>-G26/20</f>
        <v>-184.95</v>
      </c>
      <c r="AG56" s="15">
        <f>-AF71/20</f>
        <v>-175.7025</v>
      </c>
      <c r="AH56" s="15">
        <f>-AG71/20</f>
        <v>-166.917375</v>
      </c>
      <c r="AI56" s="15">
        <f>-AH71/20</f>
        <v>-158.57150625</v>
      </c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</row>
    <row r="57" ht="20.05" customHeight="1">
      <c r="AD57" t="s" s="33">
        <v>32</v>
      </c>
      <c r="AE57" s="39"/>
      <c r="AF57" s="40">
        <v>0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</row>
    <row r="58" ht="20.05" customHeight="1">
      <c r="AD58" t="s" s="33">
        <v>33</v>
      </c>
      <c r="AE58" s="14"/>
      <c r="AF58" s="15">
        <f>IF(AF66&gt;0,AF66*$AF$57,0)</f>
        <v>0</v>
      </c>
      <c r="AG58" s="15">
        <f>IF(AG66&gt;0,AG66*$AF$57,0)</f>
        <v>0</v>
      </c>
      <c r="AH58" s="15">
        <f>IF(AH66&gt;0,AH66*$AF$57,0)</f>
        <v>0</v>
      </c>
      <c r="AI58" s="15">
        <f>IF(AI66&gt;0,AI66*$AF$57,0)</f>
        <v>0</v>
      </c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</row>
    <row r="59" ht="20.05" customHeight="1">
      <c r="AD59" t="s" s="33">
        <v>34</v>
      </c>
      <c r="AE59" s="14"/>
      <c r="AF59" s="15">
        <f>AF55+AF56+AF58</f>
        <v>-110.901146459564</v>
      </c>
      <c r="AG59" s="15">
        <f>AG55+AG56+AG58</f>
        <v>-103.943468328302</v>
      </c>
      <c r="AH59" s="15">
        <f>AH55+AH56+AH58</f>
        <v>-90.62449602820119</v>
      </c>
      <c r="AI59" s="15">
        <f>AI55+AI56+AI58</f>
        <v>-75.34184090904731</v>
      </c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</row>
    <row r="60" ht="20.05" customHeight="1">
      <c r="AD60" t="s" s="33">
        <v>35</v>
      </c>
      <c r="AE60" s="14"/>
      <c r="AF60" s="15">
        <f>-MIN(0,AF59)</f>
        <v>110.901146459564</v>
      </c>
      <c r="AG60" s="15">
        <f>-MIN(AF72,AG59)</f>
        <v>103.943468328302</v>
      </c>
      <c r="AH60" s="15">
        <f>-MIN(AG72,AH59)</f>
        <v>90.62449602820119</v>
      </c>
      <c r="AI60" s="15">
        <f>-MIN(AH72,AI59)</f>
        <v>75.34184090904731</v>
      </c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</row>
    <row r="61" ht="20.05" customHeight="1">
      <c r="AD61" t="s" s="33">
        <v>36</v>
      </c>
      <c r="AE61" s="14"/>
      <c r="AF61" s="15">
        <f>F26</f>
        <v>532</v>
      </c>
      <c r="AG61" s="15">
        <f>AF63</f>
        <v>532</v>
      </c>
      <c r="AH61" s="15">
        <f>AG63</f>
        <v>532</v>
      </c>
      <c r="AI61" s="15">
        <f>AH63</f>
        <v>532</v>
      </c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</row>
    <row r="62" ht="20.05" customHeight="1">
      <c r="AD62" t="s" s="33">
        <v>37</v>
      </c>
      <c r="AE62" s="14"/>
      <c r="AF62" s="15">
        <f>AF55+AF56+AF58+AF60</f>
        <v>-2e-13</v>
      </c>
      <c r="AG62" s="15">
        <f>AG55+AG56+AG58+AG60</f>
        <v>1e-13</v>
      </c>
      <c r="AH62" s="15">
        <f>AH55+AH56+AH58+AH60</f>
        <v>0</v>
      </c>
      <c r="AI62" s="15">
        <f>AI55+AI56+AI58+AI60</f>
        <v>0</v>
      </c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</row>
    <row r="63" ht="20.05" customHeight="1">
      <c r="AD63" t="s" s="33">
        <v>38</v>
      </c>
      <c r="AE63" s="14"/>
      <c r="AF63" s="15">
        <f>AF61+AF62</f>
        <v>532</v>
      </c>
      <c r="AG63" s="15">
        <f>AG61+AG62</f>
        <v>532</v>
      </c>
      <c r="AH63" s="15">
        <f>AH61+AH62</f>
        <v>532</v>
      </c>
      <c r="AI63" s="15">
        <f>AI61+AI62</f>
        <v>532</v>
      </c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</row>
    <row r="64" ht="20.05" customHeight="1">
      <c r="AD64" t="s" s="41">
        <v>4</v>
      </c>
      <c r="AE64" s="14"/>
      <c r="AF64" s="15"/>
      <c r="AG64" s="15"/>
      <c r="AH64" s="15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</row>
    <row r="65" ht="20.05" customHeight="1">
      <c r="AD65" t="s" s="33">
        <v>3</v>
      </c>
      <c r="AE65" s="14"/>
      <c r="AF65" s="15">
        <f>-AVERAGE(D24:D26)</f>
        <v>-8.800000000000001</v>
      </c>
      <c r="AG65" s="15">
        <f>AF65</f>
        <v>-8.800000000000001</v>
      </c>
      <c r="AH65" s="15">
        <f>AG65</f>
        <v>-8.800000000000001</v>
      </c>
      <c r="AI65" s="15">
        <f>AH65</f>
        <v>-8.800000000000001</v>
      </c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</row>
    <row r="66" ht="20.05" customHeight="1">
      <c r="AD66" t="s" s="33">
        <v>4</v>
      </c>
      <c r="AE66" s="14"/>
      <c r="AF66" s="15">
        <f>(AF52*AF53)+AF65</f>
        <v>220.182186873769</v>
      </c>
      <c r="AG66" s="15">
        <f>(AG52*AG53)+AG65</f>
        <v>217.892365005031</v>
      </c>
      <c r="AH66" s="15">
        <f>(AH52*AH53)+AH65</f>
        <v>222.426212305132</v>
      </c>
      <c r="AI66" s="15">
        <f>(AI52*AI53)+AI65</f>
        <v>229.362998674286</v>
      </c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</row>
    <row r="67" ht="20.05" customHeight="1">
      <c r="AD67" t="s" s="41">
        <v>39</v>
      </c>
      <c r="AE67" s="14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</row>
    <row r="68" ht="20.05" customHeight="1">
      <c r="AD68" t="s" s="33">
        <v>40</v>
      </c>
      <c r="AE68" s="14"/>
      <c r="AF68" s="15">
        <f>H26-F26-AF54</f>
        <v>11753.9333333333</v>
      </c>
      <c r="AG68" s="15">
        <f>AF68-AG54</f>
        <v>11908.8666666666</v>
      </c>
      <c r="AH68" s="15">
        <f>AG68-AH54</f>
        <v>12063.7999999999</v>
      </c>
      <c r="AI68" s="15">
        <f>AH68-AI54</f>
        <v>12218.7333333332</v>
      </c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</row>
    <row r="69" ht="20.05" customHeight="1">
      <c r="AD69" t="s" s="33">
        <v>41</v>
      </c>
      <c r="AE69" s="14"/>
      <c r="AF69" s="15">
        <f>0-AF65</f>
        <v>8.800000000000001</v>
      </c>
      <c r="AG69" s="15">
        <f>AF69-AG65</f>
        <v>17.6</v>
      </c>
      <c r="AH69" s="15">
        <f>AG69-AH65</f>
        <v>26.4</v>
      </c>
      <c r="AI69" s="15">
        <f>AH69-AI65</f>
        <v>35.2</v>
      </c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</row>
    <row r="70" ht="20.05" customHeight="1">
      <c r="AD70" t="s" s="33">
        <v>42</v>
      </c>
      <c r="AE70" s="14"/>
      <c r="AF70" s="15">
        <f>AF68-AF69</f>
        <v>11745.1333333333</v>
      </c>
      <c r="AG70" s="15">
        <f>AG68-AG69</f>
        <v>11891.2666666666</v>
      </c>
      <c r="AH70" s="15">
        <f>AH68-AH69</f>
        <v>12037.3999999999</v>
      </c>
      <c r="AI70" s="15">
        <f>AI68-AI69</f>
        <v>12183.5333333332</v>
      </c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</row>
    <row r="71" ht="20.05" customHeight="1">
      <c r="AD71" t="s" s="33">
        <v>6</v>
      </c>
      <c r="AE71" s="14"/>
      <c r="AF71" s="15">
        <f>G26+AF56</f>
        <v>3514.05</v>
      </c>
      <c r="AG71" s="15">
        <f>AF71+AG56</f>
        <v>3338.3475</v>
      </c>
      <c r="AH71" s="15">
        <f>AG71+AH56</f>
        <v>3171.430125</v>
      </c>
      <c r="AI71" s="15">
        <f>AH71+AI56</f>
        <v>3012.85861875</v>
      </c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</row>
    <row r="72" ht="20.05" customHeight="1">
      <c r="AD72" t="s" s="33">
        <v>35</v>
      </c>
      <c r="AE72" s="14"/>
      <c r="AF72" s="15">
        <f>AF60</f>
        <v>110.901146459564</v>
      </c>
      <c r="AG72" s="15">
        <f>AF72+AG60</f>
        <v>214.844614787866</v>
      </c>
      <c r="AH72" s="15">
        <f>AG72+AH60</f>
        <v>305.469110816067</v>
      </c>
      <c r="AI72" s="15">
        <f>AH72+AI60</f>
        <v>380.810951725114</v>
      </c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</row>
    <row r="73" ht="20.05" customHeight="1">
      <c r="AD73" t="s" s="33">
        <v>11</v>
      </c>
      <c r="AE73" s="14"/>
      <c r="AF73" s="15">
        <f>(H26-G26)+AF66+AF58</f>
        <v>8652.182186873770</v>
      </c>
      <c r="AG73" s="15">
        <f>AF73+AG66+AG58</f>
        <v>8870.074551878801</v>
      </c>
      <c r="AH73" s="15">
        <f>AG73+AH66+AH58</f>
        <v>9092.500764183929</v>
      </c>
      <c r="AI73" s="15">
        <f>AH73+AI66+AI58</f>
        <v>9321.863762858220</v>
      </c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</row>
    <row r="74" ht="20.05" customHeight="1">
      <c r="AD74" t="s" s="33">
        <v>43</v>
      </c>
      <c r="AE74" s="14"/>
      <c r="AF74" s="15">
        <f>AF71+AF72+AF73-AF63-AF70</f>
        <v>3.4e-11</v>
      </c>
      <c r="AG74" s="15">
        <f>AG71+AG72+AG73-AG63-AG70</f>
        <v>6.6e-11</v>
      </c>
      <c r="AH74" s="15">
        <f>AH71+AH72+AH73-AH63-AH70</f>
        <v>9.7e-11</v>
      </c>
      <c r="AI74" s="15">
        <f>AI71+AI72+AI73-AI63-AI70</f>
        <v>1.34e-10</v>
      </c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</row>
    <row r="75" ht="20.05" customHeight="1">
      <c r="AD75" t="s" s="33">
        <v>18</v>
      </c>
      <c r="AE75" s="14"/>
      <c r="AF75" s="15">
        <f>AF63-AF71-AF72</f>
        <v>-3092.951146459560</v>
      </c>
      <c r="AG75" s="15">
        <f>AG63-AG71-AG72</f>
        <v>-3021.192114787870</v>
      </c>
      <c r="AH75" s="15">
        <f>AH63-AH71-AH72</f>
        <v>-2944.899235816070</v>
      </c>
      <c r="AI75" s="15">
        <f>AI63-AI71-AI72</f>
        <v>-2861.669570475110</v>
      </c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</row>
    <row r="76" ht="20.05" customHeight="1">
      <c r="AD76" t="s" s="33">
        <v>44</v>
      </c>
      <c r="AE76" s="14"/>
      <c r="AF76" s="15">
        <f>AF56+AF58+AF60</f>
        <v>-74.048853540436</v>
      </c>
      <c r="AG76" s="15">
        <f>AG56+AG58+AG60</f>
        <v>-71.759031671698</v>
      </c>
      <c r="AH76" s="15">
        <f>AH56+AH58+AH60</f>
        <v>-76.2928789717988</v>
      </c>
      <c r="AI76" s="15">
        <f>AI56+AI58+AI60</f>
        <v>-83.22966534095271</v>
      </c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</row>
    <row r="77" ht="20.05" customHeight="1">
      <c r="AD77" t="s" s="33">
        <v>45</v>
      </c>
      <c r="AE77" s="14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</row>
    <row r="78" ht="20.05" customHeight="1">
      <c r="AD78" t="s" s="33">
        <f>AA$3</f>
        <v>648</v>
      </c>
      <c r="AE78" s="14"/>
      <c r="AF78" s="15"/>
      <c r="AG78" s="15"/>
      <c r="AH78" s="15"/>
      <c r="AI78" s="15">
        <v>484</v>
      </c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</row>
    <row r="79" ht="20.05" customHeight="1">
      <c r="AD79" t="s" s="33">
        <f>$AD78</f>
        <v>648</v>
      </c>
      <c r="AE79" s="14"/>
      <c r="AF79" s="15"/>
      <c r="AG79" s="15"/>
      <c r="AH79" s="15"/>
      <c r="AI79" s="15">
        <v>6453849600000</v>
      </c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</row>
    <row r="80" ht="20.05" customHeight="1">
      <c r="AD80" t="s" s="33">
        <v>46</v>
      </c>
      <c r="AE80" s="14"/>
      <c r="AF80" s="15"/>
      <c r="AG80" s="15"/>
      <c r="AH80" s="15"/>
      <c r="AI80" s="15">
        <f>AI79/1000000000</f>
        <v>6453.8496</v>
      </c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</row>
    <row r="81" ht="20.05" customHeight="1">
      <c r="AD81" t="s" s="33">
        <v>47</v>
      </c>
      <c r="AE81" s="14"/>
      <c r="AF81" s="15"/>
      <c r="AG81" s="15"/>
      <c r="AH81" s="15"/>
      <c r="AI81" s="15">
        <f>AI80/AI78</f>
        <v>13.3344</v>
      </c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</row>
    <row r="82" ht="20.05" customHeight="1">
      <c r="AD82" t="s" s="33">
        <v>48</v>
      </c>
      <c r="AE82" s="14"/>
      <c r="AF82" s="15"/>
      <c r="AG82" s="15"/>
      <c r="AH82" s="15"/>
      <c r="AI82" s="43">
        <f>AI80/(AI63+AI70)</f>
        <v>0.507556343160339</v>
      </c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</row>
    <row r="83" ht="20.05" customHeight="1">
      <c r="AD83" t="s" s="33">
        <v>49</v>
      </c>
      <c r="AE83" s="14"/>
      <c r="AF83" s="15"/>
      <c r="AG83" s="15"/>
      <c r="AH83" s="15"/>
      <c r="AI83" s="16">
        <f>-(AF58+AG58+AH58+AI58)/AI80</f>
        <v>0</v>
      </c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</row>
    <row r="84" ht="20.05" customHeight="1">
      <c r="AD84" t="s" s="33">
        <v>50</v>
      </c>
      <c r="AE84" s="14"/>
      <c r="AF84" s="15"/>
      <c r="AG84" s="15"/>
      <c r="AH84" s="15"/>
      <c r="AI84" s="15">
        <f>SUM(AF55:AI55)</f>
        <v>305.330429524885</v>
      </c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</row>
    <row r="85" ht="20.05" customHeight="1">
      <c r="AD85" t="s" s="33">
        <v>51</v>
      </c>
      <c r="AE85" s="14"/>
      <c r="AF85" s="15"/>
      <c r="AG85" s="15"/>
      <c r="AH85" s="15"/>
      <c r="AI85" s="15">
        <f>AI70/AI84</f>
        <v>39.9027812337329</v>
      </c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</row>
    <row r="86" ht="20.05" customHeight="1">
      <c r="AD86" t="s" s="33">
        <v>52</v>
      </c>
      <c r="AE86" s="14"/>
      <c r="AF86" s="15"/>
      <c r="AG86" s="15"/>
      <c r="AH86" s="15">
        <f>AI80/AI84</f>
        <v>21.137263030228</v>
      </c>
      <c r="AI86" s="15">
        <v>18</v>
      </c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</row>
    <row r="87" ht="20.05" customHeight="1">
      <c r="AD87" t="s" s="33">
        <v>53</v>
      </c>
      <c r="AE87" s="14"/>
      <c r="AF87" s="15"/>
      <c r="AG87" s="15"/>
      <c r="AH87" s="15"/>
      <c r="AI87" s="15">
        <f>AI84*AI86</f>
        <v>5495.947731447930</v>
      </c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</row>
    <row r="88" ht="20.05" customHeight="1">
      <c r="AD88" t="s" s="33">
        <v>54</v>
      </c>
      <c r="AE88" s="14"/>
      <c r="AF88" s="15"/>
      <c r="AG88" s="15"/>
      <c r="AH88" s="15"/>
      <c r="AI88" s="15">
        <f>(AI87/AI81)</f>
        <v>412.163106810050</v>
      </c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</row>
    <row r="89" ht="20.05" customHeight="1">
      <c r="AD89" t="s" s="33">
        <v>55</v>
      </c>
      <c r="AE89" s="38"/>
      <c r="AF89" s="23"/>
      <c r="AG89" s="23"/>
      <c r="AH89" s="23"/>
      <c r="AI89" s="16">
        <f>AI88/AI78-1</f>
        <v>-0.148423333037087</v>
      </c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</row>
    <row r="90" ht="20.05" customHeight="1">
      <c r="AD90" t="s" s="33">
        <v>56</v>
      </c>
      <c r="AE90" s="38"/>
      <c r="AF90" s="23"/>
      <c r="AG90" s="23"/>
      <c r="AH90" s="23"/>
      <c r="AI90" s="16">
        <f>C26/C22-1</f>
        <v>-0.124137931034483</v>
      </c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</row>
    <row r="91" ht="20.05" customHeight="1">
      <c r="AD91" t="s" s="33">
        <v>57</v>
      </c>
      <c r="AE91" s="38"/>
      <c r="AF91" s="23"/>
      <c r="AG91" s="23"/>
      <c r="AH91" s="23"/>
      <c r="AI91" s="16">
        <f>O28/N28-1</f>
        <v>0.07884847920401721</v>
      </c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</row>
    <row r="92" ht="20.05" customHeight="1">
      <c r="AD92" s="36"/>
      <c r="AE92" s="38"/>
      <c r="AF92" s="23"/>
      <c r="AG92" s="23"/>
      <c r="AH92" s="23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</row>
    <row r="93" ht="20.05" customHeight="1">
      <c r="AD93" s="36"/>
      <c r="AE93" s="38"/>
      <c r="AF93" s="23"/>
      <c r="AG93" s="23"/>
      <c r="AH93" s="23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</row>
    <row r="94" ht="20.05" customHeight="1">
      <c r="AD94" s="36"/>
      <c r="AE94" s="45"/>
      <c r="AF94" t="s" s="44">
        <f>$AD78</f>
        <v>648</v>
      </c>
      <c r="AG94" t="s" s="44">
        <v>60</v>
      </c>
      <c r="AH94" s="15">
        <f>AI78</f>
        <v>484</v>
      </c>
      <c r="AI94" t="s" s="44">
        <v>61</v>
      </c>
      <c r="AJ94" s="15">
        <f>AI88</f>
        <v>412.163106810050</v>
      </c>
      <c r="AK94" t="s" s="44">
        <f>IF(AL94&gt;0,"+","")</f>
      </c>
      <c r="AL94" s="16">
        <f>AJ94/AH94-1</f>
        <v>-0.148423333037087</v>
      </c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</row>
    <row r="95" ht="20.05" customHeight="1">
      <c r="AD95" s="36"/>
      <c r="AE95" s="46"/>
      <c r="AF95" s="47">
        <f>TODAY()</f>
        <v>44942</v>
      </c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</row>
    <row r="96" ht="32.05" customHeight="1">
      <c r="AD96" s="36"/>
      <c r="AE96" s="34"/>
      <c r="AF96" t="s" s="44">
        <v>62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</row>
    <row r="97" ht="32.05" customHeight="1">
      <c r="AD97" s="36"/>
      <c r="AE97" s="34"/>
      <c r="AF97" t="s" s="44">
        <v>63</v>
      </c>
      <c r="AG97" t="s" s="44">
        <v>64</v>
      </c>
      <c r="AH97" t="s" s="44">
        <f>IF(AI97&gt;0,"+","")</f>
      </c>
      <c r="AI97" s="16">
        <f>AN104/AF104-1</f>
        <v>-0.124137931034483</v>
      </c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</row>
    <row r="98" ht="32.05" customHeight="1">
      <c r="AD98" s="36"/>
      <c r="AE98" s="34"/>
      <c r="AF98" t="s" s="44">
        <v>63</v>
      </c>
      <c r="AG98" t="s" s="44">
        <v>65</v>
      </c>
      <c r="AH98" t="s" s="44">
        <f>IF(AI98&gt;0,"+","")</f>
      </c>
      <c r="AI98" s="16">
        <f>(AH117+AH118+AJ117+AJ118+AL117+AL118+AN117+AN118)/AG134</f>
        <v>-0.0209952212087496</v>
      </c>
      <c r="AJ98" t="s" s="44">
        <v>66</v>
      </c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</row>
    <row r="99" ht="32.05" customHeight="1">
      <c r="AD99" s="36"/>
      <c r="AE99" s="34"/>
      <c r="AF99" t="s" s="44">
        <v>63</v>
      </c>
      <c r="AG99" t="s" s="44">
        <v>17</v>
      </c>
      <c r="AH99" t="s" s="44">
        <f>IF(AI99&gt;0,"+","")</f>
        <v>361</v>
      </c>
      <c r="AI99" s="16">
        <f>(AH131+AH132+AJ131+AJ132+AL131+AL132+AN131+AN132)/AG134</f>
        <v>0.060072673524961</v>
      </c>
      <c r="AJ99" t="s" s="44">
        <f>AJ98</f>
        <v>66</v>
      </c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</row>
    <row r="100" ht="32.05" customHeight="1">
      <c r="AD100" s="36"/>
      <c r="AE100" s="34"/>
      <c r="AF100" t="s" s="44">
        <v>68</v>
      </c>
      <c r="AG100" t="s" s="44">
        <v>369</v>
      </c>
      <c r="AH100" s="16">
        <f>AQ127/AG134</f>
        <v>-0.490714875041402</v>
      </c>
      <c r="AI100" t="s" s="44">
        <f>AJ99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</row>
    <row r="101" ht="20.05" customHeight="1">
      <c r="AD101" s="36"/>
      <c r="AE101" s="34"/>
      <c r="AF101" t="s" s="44">
        <v>28</v>
      </c>
      <c r="AG101" t="s" s="44">
        <f>AG105</f>
        <v>362</v>
      </c>
      <c r="AH101" s="16">
        <f>AH105</f>
        <v>0.168039854378233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</row>
    <row r="102" ht="32.05" customHeight="1">
      <c r="AD102" s="36"/>
      <c r="AE102" s="34"/>
      <c r="AF102" t="s" s="44">
        <v>70</v>
      </c>
      <c r="AG102" t="s" s="44">
        <v>371</v>
      </c>
      <c r="AH102" t="s" s="44">
        <f>AN105</f>
        <v>372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</row>
    <row r="103" ht="20.05" customHeight="1">
      <c r="AD103" s="36"/>
      <c r="AE103" s="34"/>
      <c r="AF103" s="16">
        <f>P22</f>
        <v>0.366313309776207</v>
      </c>
      <c r="AG103" s="16">
        <f>P23</f>
        <v>-0.307183908045977</v>
      </c>
      <c r="AH103" s="16">
        <f>P24</f>
        <v>0.00995437577768561</v>
      </c>
      <c r="AI103" s="16">
        <f>P25</f>
        <v>0.0716632443531828</v>
      </c>
      <c r="AJ103" s="16">
        <f>P26</f>
        <v>0.168039854378233</v>
      </c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</row>
    <row r="104" ht="20.05" customHeight="1">
      <c r="AD104" s="36"/>
      <c r="AE104" s="34"/>
      <c r="AF104" s="15">
        <f>C22</f>
        <v>696</v>
      </c>
      <c r="AG104" t="s" s="44">
        <v>72</v>
      </c>
      <c r="AH104" s="15">
        <f>C23</f>
        <v>482.2</v>
      </c>
      <c r="AI104" t="s" s="44">
        <v>72</v>
      </c>
      <c r="AJ104" s="15">
        <f>C24</f>
        <v>487</v>
      </c>
      <c r="AK104" t="s" s="44">
        <v>72</v>
      </c>
      <c r="AL104" s="15">
        <f>C25</f>
        <v>521.9</v>
      </c>
      <c r="AM104" t="s" s="44">
        <v>72</v>
      </c>
      <c r="AN104" s="15">
        <f>C26</f>
        <v>609.6</v>
      </c>
      <c r="AO104" s="17"/>
      <c r="AP104" s="17"/>
      <c r="AQ104" s="17"/>
      <c r="AR104" s="17"/>
      <c r="AS104" s="17"/>
      <c r="AT104" s="17"/>
      <c r="AU104" s="17"/>
      <c r="AV104" s="17"/>
      <c r="AW104" s="17"/>
    </row>
    <row r="105" ht="44.05" customHeight="1">
      <c r="AD105" s="36"/>
      <c r="AE105" s="34"/>
      <c r="AF105" t="s" s="44">
        <v>2</v>
      </c>
      <c r="AG105" t="s" s="44">
        <f>IF(AH105&lt;0,"declined","grew")</f>
        <v>362</v>
      </c>
      <c r="AH105" s="16">
        <f>AN104/AL104-1</f>
        <v>0.168039854378233</v>
      </c>
      <c r="AI105" t="s" s="44">
        <v>73</v>
      </c>
      <c r="AJ105" t="s" s="44">
        <v>74</v>
      </c>
      <c r="AK105" t="s" s="44">
        <v>75</v>
      </c>
      <c r="AL105" t="s" s="44">
        <v>76</v>
      </c>
      <c r="AM105" s="15">
        <f>AN104</f>
        <v>609.6</v>
      </c>
      <c r="AN105" t="s" s="44">
        <v>372</v>
      </c>
      <c r="AO105" t="s" s="44">
        <v>373</v>
      </c>
      <c r="AP105" s="16">
        <f>AI91</f>
        <v>0.07884847920401721</v>
      </c>
      <c r="AQ105" t="s" s="44">
        <v>78</v>
      </c>
      <c r="AR105" s="17"/>
      <c r="AS105" s="17"/>
      <c r="AT105" s="17"/>
      <c r="AU105" s="17"/>
      <c r="AV105" s="17"/>
      <c r="AW105" s="17"/>
    </row>
    <row r="106" ht="56.05" customHeight="1">
      <c r="AD106" s="36"/>
      <c r="AE106" s="34"/>
      <c r="AF106" t="s" s="44">
        <v>79</v>
      </c>
      <c r="AG106" s="16">
        <f>AVERAGE(AG103:AJ103)</f>
        <v>-0.0143816083842189</v>
      </c>
      <c r="AH106" t="s" s="44">
        <v>80</v>
      </c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</row>
    <row r="107" ht="56.05" customHeight="1">
      <c r="AD107" s="36"/>
      <c r="AE107" s="34"/>
      <c r="AF107" t="s" s="44">
        <v>81</v>
      </c>
      <c r="AG107" s="35">
        <f>AI49</f>
        <v>0.0175</v>
      </c>
      <c r="AH107" t="s" s="44">
        <v>82</v>
      </c>
      <c r="AI107" t="s" s="44">
        <v>83</v>
      </c>
      <c r="AJ107" s="23">
        <f>AI52</f>
        <v>653.062541472</v>
      </c>
      <c r="AK107" t="s" s="44">
        <f>AN105</f>
        <v>372</v>
      </c>
      <c r="AL107" t="s" s="44">
        <v>84</v>
      </c>
      <c r="AM107" t="s" s="44">
        <f>AJ105</f>
        <v>74</v>
      </c>
      <c r="AN107" t="s" s="44">
        <f>AK105</f>
        <v>75</v>
      </c>
      <c r="AO107" t="s" s="44">
        <v>85</v>
      </c>
      <c r="AP107" s="17"/>
      <c r="AQ107" s="17"/>
      <c r="AR107" s="17"/>
      <c r="AS107" s="17"/>
      <c r="AT107" s="17"/>
      <c r="AU107" s="17"/>
      <c r="AV107" s="17"/>
      <c r="AW107" s="17"/>
    </row>
    <row r="108" ht="20.05" customHeight="1">
      <c r="AD108" s="36"/>
      <c r="AE108" s="34"/>
      <c r="AF108" t="s" s="44">
        <v>14</v>
      </c>
      <c r="AG108" t="s" s="44">
        <f>IF(AI112&lt;AG112,"down","up")</f>
        <v>108</v>
      </c>
      <c r="AH108" t="s" s="44">
        <v>86</v>
      </c>
      <c r="AI108" t="s" s="44">
        <f>IF(AM112&gt;AK112,"up","down")</f>
        <v>108</v>
      </c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</row>
    <row r="109" ht="44.05" customHeight="1">
      <c r="AD109" s="36"/>
      <c r="AE109" s="34"/>
      <c r="AF109" t="s" s="44">
        <f>AF102</f>
        <v>70</v>
      </c>
      <c r="AG109" t="s" s="44">
        <v>88</v>
      </c>
      <c r="AH109" t="s" s="44">
        <f>AN105</f>
        <v>372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</row>
    <row r="110" ht="20.05" customHeight="1">
      <c r="AD110" s="36"/>
      <c r="AE110" s="34"/>
      <c r="AF110" s="16">
        <f>(D22+E22)/C22</f>
        <v>0.43764367816092</v>
      </c>
      <c r="AG110" s="16">
        <f>(D23+E23)/C23</f>
        <v>0.238490253007051</v>
      </c>
      <c r="AH110" s="16">
        <f>((E24+D24)/C24)</f>
        <v>0.383983572895277</v>
      </c>
      <c r="AI110" s="16">
        <f>(D25+E25)/C25</f>
        <v>0.383023567733282</v>
      </c>
      <c r="AJ110" s="16">
        <f>(D26+E26)/C26</f>
        <v>0.453248031496063</v>
      </c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</row>
    <row r="111" ht="20.05" customHeight="1">
      <c r="AD111" s="36"/>
      <c r="AE111" s="34"/>
      <c r="AF111" s="15">
        <f>E22</f>
        <v>282.7</v>
      </c>
      <c r="AG111" t="s" s="44">
        <v>72</v>
      </c>
      <c r="AH111" s="15">
        <f>E23</f>
        <v>125.7</v>
      </c>
      <c r="AI111" t="s" s="44">
        <v>72</v>
      </c>
      <c r="AJ111" s="15">
        <f>E24</f>
        <v>179</v>
      </c>
      <c r="AK111" t="s" s="44">
        <v>72</v>
      </c>
      <c r="AL111" s="15">
        <f>E25</f>
        <v>195.2</v>
      </c>
      <c r="AM111" t="s" s="44">
        <v>72</v>
      </c>
      <c r="AN111" s="15">
        <f>E26</f>
        <v>262.6</v>
      </c>
      <c r="AO111" s="17"/>
      <c r="AP111" s="17"/>
      <c r="AQ111" s="17"/>
      <c r="AR111" s="17"/>
      <c r="AS111" s="17"/>
      <c r="AT111" s="17"/>
      <c r="AU111" s="17"/>
      <c r="AV111" s="17"/>
      <c r="AW111" s="17"/>
    </row>
    <row r="112" ht="44.05" customHeight="1">
      <c r="AD112" s="36"/>
      <c r="AE112" s="34"/>
      <c r="AF112" t="s" s="44">
        <v>89</v>
      </c>
      <c r="AG112" s="16">
        <f>AI110</f>
        <v>0.383023567733282</v>
      </c>
      <c r="AH112" t="s" s="44">
        <v>76</v>
      </c>
      <c r="AI112" s="16">
        <f>AJ110</f>
        <v>0.453248031496063</v>
      </c>
      <c r="AJ112" t="s" s="44">
        <v>90</v>
      </c>
      <c r="AK112" s="15">
        <f>AL111</f>
        <v>195.2</v>
      </c>
      <c r="AL112" t="s" s="44">
        <v>76</v>
      </c>
      <c r="AM112" s="15">
        <f>AN111</f>
        <v>262.6</v>
      </c>
      <c r="AN112" t="s" s="44">
        <f>AK107</f>
        <v>372</v>
      </c>
      <c r="AO112" t="s" s="44">
        <v>73</v>
      </c>
      <c r="AP112" t="s" s="44">
        <f>AM107</f>
        <v>74</v>
      </c>
      <c r="AQ112" t="s" s="44">
        <v>91</v>
      </c>
      <c r="AR112" s="17"/>
      <c r="AS112" s="17"/>
      <c r="AT112" s="17"/>
      <c r="AU112" s="17"/>
      <c r="AV112" s="17"/>
      <c r="AW112" s="17"/>
    </row>
    <row r="113" ht="68.05" customHeight="1">
      <c r="AD113" s="36"/>
      <c r="AE113" s="34"/>
      <c r="AF113" t="s" s="44">
        <v>92</v>
      </c>
      <c r="AG113" s="16">
        <f>AVERAGE(AG110:AJ110)</f>
        <v>0.364686356282918</v>
      </c>
      <c r="AH113" t="s" s="44">
        <v>78</v>
      </c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</row>
    <row r="114" ht="44.05" customHeight="1">
      <c r="AD114" s="36"/>
      <c r="AE114" s="34"/>
      <c r="AF114" t="s" s="44">
        <v>93</v>
      </c>
      <c r="AG114" s="35">
        <f>AF53</f>
        <v>0.364686356282918</v>
      </c>
      <c r="AH114" t="s" s="44">
        <v>94</v>
      </c>
      <c r="AI114" s="15">
        <f>AI66</f>
        <v>229.362998674286</v>
      </c>
      <c r="AJ114" t="s" s="44">
        <f>AN112</f>
        <v>372</v>
      </c>
      <c r="AK114" t="s" s="44">
        <v>95</v>
      </c>
      <c r="AL114" t="s" s="44">
        <f>AP112</f>
        <v>74</v>
      </c>
      <c r="AM114" t="s" s="44">
        <f>AK105</f>
        <v>75</v>
      </c>
      <c r="AN114" t="s" s="44">
        <f>AO107</f>
        <v>85</v>
      </c>
      <c r="AO114" s="17"/>
      <c r="AP114" s="17"/>
      <c r="AQ114" s="17"/>
      <c r="AR114" s="17"/>
      <c r="AS114" s="17"/>
      <c r="AT114" s="17"/>
      <c r="AU114" s="17"/>
      <c r="AV114" s="17"/>
      <c r="AW114" s="17"/>
    </row>
    <row r="115" ht="20.05" customHeight="1">
      <c r="AD115" s="36"/>
      <c r="AE115" s="34"/>
      <c r="AF115" t="s" s="44">
        <v>15</v>
      </c>
      <c r="AG115" t="s" s="44">
        <f>IF(AI119&lt;AG119,"lower","higher")</f>
        <v>104</v>
      </c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</row>
    <row r="116" ht="56.05" customHeight="1">
      <c r="AD116" s="36"/>
      <c r="AE116" s="34"/>
      <c r="AF116" t="s" s="44">
        <f>AF109</f>
        <v>70</v>
      </c>
      <c r="AG116" t="s" s="44">
        <v>96</v>
      </c>
      <c r="AH116" t="s" s="44">
        <f>AN105</f>
        <v>372</v>
      </c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</row>
    <row r="117" ht="20.05" customHeight="1">
      <c r="AD117" s="36"/>
      <c r="AE117" s="34"/>
      <c r="AF117" s="15">
        <f>J22</f>
        <v>180.3</v>
      </c>
      <c r="AG117" t="s" s="44">
        <v>72</v>
      </c>
      <c r="AH117" s="15">
        <f>J23</f>
        <v>160.3</v>
      </c>
      <c r="AI117" t="s" s="44">
        <v>72</v>
      </c>
      <c r="AJ117" s="15">
        <f>J24</f>
        <v>356</v>
      </c>
      <c r="AK117" t="s" s="44">
        <v>72</v>
      </c>
      <c r="AL117" s="15">
        <f>J25</f>
        <v>241.7</v>
      </c>
      <c r="AM117" t="s" s="44">
        <v>72</v>
      </c>
      <c r="AN117" s="15">
        <f>J26</f>
        <v>203.7</v>
      </c>
      <c r="AO117" s="17"/>
      <c r="AP117" s="17"/>
      <c r="AQ117" s="17"/>
      <c r="AR117" s="17"/>
      <c r="AS117" s="17"/>
      <c r="AT117" s="17"/>
      <c r="AU117" s="17"/>
      <c r="AV117" s="17"/>
      <c r="AW117" s="17"/>
    </row>
    <row r="118" ht="20.05" customHeight="1">
      <c r="AD118" s="36"/>
      <c r="AE118" s="34"/>
      <c r="AF118" s="15">
        <f>K22</f>
        <v>-31.6</v>
      </c>
      <c r="AG118" t="s" s="44">
        <v>72</v>
      </c>
      <c r="AH118" s="15">
        <f>K23</f>
        <v>-632.4</v>
      </c>
      <c r="AI118" t="s" s="44">
        <v>72</v>
      </c>
      <c r="AJ118" s="15">
        <f>K24</f>
        <v>-85</v>
      </c>
      <c r="AK118" t="s" s="44">
        <v>72</v>
      </c>
      <c r="AL118" s="15">
        <f>K25</f>
        <v>-38.6</v>
      </c>
      <c r="AM118" t="s" s="44">
        <v>72</v>
      </c>
      <c r="AN118" s="15">
        <f>K26</f>
        <v>-341.2</v>
      </c>
      <c r="AO118" s="17"/>
      <c r="AP118" s="17"/>
      <c r="AQ118" s="17"/>
      <c r="AR118" s="17"/>
      <c r="AS118" s="17"/>
      <c r="AT118" s="17"/>
      <c r="AU118" s="17"/>
      <c r="AV118" s="17"/>
      <c r="AW118" s="17"/>
    </row>
    <row r="119" ht="44.05" customHeight="1">
      <c r="AD119" s="36"/>
      <c r="AE119" s="34"/>
      <c r="AF119" t="s" s="44">
        <v>97</v>
      </c>
      <c r="AG119" s="15">
        <f>AL117+AL118</f>
        <v>203.1</v>
      </c>
      <c r="AH119" t="s" s="44">
        <v>76</v>
      </c>
      <c r="AI119" s="15">
        <f>AN117+AN118</f>
        <v>-137.5</v>
      </c>
      <c r="AJ119" t="s" s="44">
        <f>AJ114</f>
        <v>372</v>
      </c>
      <c r="AK119" t="s" s="44">
        <v>84</v>
      </c>
      <c r="AL119" t="s" s="44">
        <f>AL114</f>
        <v>74</v>
      </c>
      <c r="AM119" t="s" s="44">
        <v>98</v>
      </c>
      <c r="AN119" s="15">
        <f>AN118</f>
        <v>-341.2</v>
      </c>
      <c r="AO119" t="s" s="44">
        <f>AN105</f>
        <v>372</v>
      </c>
      <c r="AP119" t="s" s="44">
        <v>99</v>
      </c>
      <c r="AQ119" s="17"/>
      <c r="AR119" s="17"/>
      <c r="AS119" s="17"/>
      <c r="AT119" s="17"/>
      <c r="AU119" s="17"/>
      <c r="AV119" s="17"/>
      <c r="AW119" s="17"/>
    </row>
    <row r="120" ht="56.05" customHeight="1">
      <c r="AD120" s="36"/>
      <c r="AE120" s="34"/>
      <c r="AF120" t="s" s="44">
        <v>100</v>
      </c>
      <c r="AG120" s="15">
        <f>(AH117+AH118+AJ117+AJ118+AL117+AL118+AN117+AN118)/4</f>
        <v>-33.875</v>
      </c>
      <c r="AH120" t="s" s="44">
        <f>AN105</f>
        <v>372</v>
      </c>
      <c r="AI120" t="s" s="44">
        <v>78</v>
      </c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</row>
    <row r="121" ht="44.05" customHeight="1">
      <c r="AD121" s="36"/>
      <c r="AE121" s="34"/>
      <c r="AF121" t="s" s="44">
        <v>101</v>
      </c>
      <c r="AG121" s="15">
        <f>AF54</f>
        <v>-154.933333333333</v>
      </c>
      <c r="AH121" t="s" s="44">
        <f>AH120</f>
        <v>372</v>
      </c>
      <c r="AI121" t="s" s="44">
        <v>102</v>
      </c>
      <c r="AJ121" t="s" s="44">
        <v>103</v>
      </c>
      <c r="AK121" t="s" s="44">
        <f>IF(AJ107&gt;AM105,"higher","lower")</f>
        <v>363</v>
      </c>
      <c r="AL121" t="s" s="44">
        <v>105</v>
      </c>
      <c r="AM121" s="15">
        <f>SUM(AF55:AI55)/4</f>
        <v>76.33260738122139</v>
      </c>
      <c r="AN121" t="s" s="44">
        <f>AH121</f>
        <v>372</v>
      </c>
      <c r="AO121" t="s" s="44">
        <v>106</v>
      </c>
      <c r="AP121" t="s" s="44">
        <v>107</v>
      </c>
      <c r="AQ121" s="17"/>
      <c r="AR121" s="17"/>
      <c r="AS121" s="17"/>
      <c r="AT121" s="17"/>
      <c r="AU121" s="17"/>
      <c r="AV121" s="17"/>
      <c r="AW121" s="17"/>
    </row>
    <row r="122" ht="20.05" customHeight="1">
      <c r="AD122" s="36"/>
      <c r="AE122" s="34"/>
      <c r="AF122" t="s" s="44">
        <v>18</v>
      </c>
      <c r="AG122" t="s" s="44">
        <f>AN127</f>
        <v>87</v>
      </c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</row>
    <row r="123" ht="32.05" customHeight="1">
      <c r="AD123" s="36"/>
      <c r="AE123" s="34"/>
      <c r="AF123" t="s" s="44">
        <f>AF102</f>
        <v>70</v>
      </c>
      <c r="AG123" t="s" s="44">
        <v>109</v>
      </c>
      <c r="AH123" t="s" s="44">
        <f>AN105</f>
        <v>372</v>
      </c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</row>
    <row r="124" ht="20.05" customHeight="1">
      <c r="AD124" s="36"/>
      <c r="AE124" s="34"/>
      <c r="AF124" s="15">
        <f>F22</f>
        <v>1059</v>
      </c>
      <c r="AG124" t="s" s="44">
        <v>72</v>
      </c>
      <c r="AH124" s="15">
        <f>F23</f>
        <v>546</v>
      </c>
      <c r="AI124" t="s" s="44">
        <v>72</v>
      </c>
      <c r="AJ124" s="15">
        <f>F24</f>
        <v>774</v>
      </c>
      <c r="AK124" t="s" s="44">
        <v>72</v>
      </c>
      <c r="AL124" s="15">
        <f>F25</f>
        <v>958</v>
      </c>
      <c r="AM124" t="s" s="44">
        <v>72</v>
      </c>
      <c r="AN124" s="15">
        <f>F26</f>
        <v>532</v>
      </c>
      <c r="AO124" s="17"/>
      <c r="AP124" s="17"/>
      <c r="AQ124" s="17"/>
      <c r="AR124" s="17"/>
      <c r="AS124" s="17"/>
      <c r="AT124" s="17"/>
      <c r="AU124" s="17"/>
      <c r="AV124" s="17"/>
      <c r="AW124" s="17"/>
    </row>
    <row r="125" ht="20.05" customHeight="1">
      <c r="AD125" s="36"/>
      <c r="AE125" s="34"/>
      <c r="AF125" s="15">
        <f>G22</f>
        <v>3628</v>
      </c>
      <c r="AG125" t="s" s="44">
        <v>72</v>
      </c>
      <c r="AH125" s="15">
        <f>G23</f>
        <v>3594</v>
      </c>
      <c r="AI125" t="s" s="44">
        <v>72</v>
      </c>
      <c r="AJ125" s="15">
        <f>G24</f>
        <v>3735</v>
      </c>
      <c r="AK125" t="s" s="44">
        <v>72</v>
      </c>
      <c r="AL125" s="15">
        <f>G25</f>
        <v>4013</v>
      </c>
      <c r="AM125" t="s" s="44">
        <v>72</v>
      </c>
      <c r="AN125" s="15">
        <f>G26</f>
        <v>3699</v>
      </c>
      <c r="AO125" s="17"/>
      <c r="AP125" s="17"/>
      <c r="AQ125" s="17"/>
      <c r="AR125" s="17"/>
      <c r="AS125" s="17"/>
      <c r="AT125" s="17"/>
      <c r="AU125" s="17"/>
      <c r="AV125" s="17"/>
      <c r="AW125" s="17"/>
    </row>
    <row r="126" ht="32.05" customHeight="1">
      <c r="AD126" s="36"/>
      <c r="AE126" s="34"/>
      <c r="AF126" t="s" s="44">
        <v>110</v>
      </c>
      <c r="AG126" t="s" s="44">
        <f>IF(AJ126&lt;AH126,"declined","increased")</f>
        <v>370</v>
      </c>
      <c r="AH126" s="15">
        <f>AL124</f>
        <v>958</v>
      </c>
      <c r="AI126" t="s" s="44">
        <v>76</v>
      </c>
      <c r="AJ126" s="15">
        <f>AN124</f>
        <v>532</v>
      </c>
      <c r="AK126" t="s" s="44">
        <f>AN121</f>
        <v>372</v>
      </c>
      <c r="AL126" t="s" s="44">
        <v>84</v>
      </c>
      <c r="AM126" t="s" s="44">
        <f>AJ105</f>
        <v>74</v>
      </c>
      <c r="AN126" t="s" s="44">
        <f>AQ112</f>
        <v>91</v>
      </c>
      <c r="AO126" s="17"/>
      <c r="AP126" s="17"/>
      <c r="AQ126" s="17"/>
      <c r="AR126" s="17"/>
      <c r="AS126" s="17"/>
      <c r="AT126" s="17"/>
      <c r="AU126" s="17"/>
      <c r="AV126" s="17"/>
      <c r="AW126" s="17"/>
    </row>
    <row r="127" ht="32.05" customHeight="1">
      <c r="AD127" s="36"/>
      <c r="AE127" s="34"/>
      <c r="AF127" t="s" s="44">
        <v>112</v>
      </c>
      <c r="AG127" t="s" s="44">
        <f>IF(AJ127&lt;AH127,"declined","increased")</f>
        <v>370</v>
      </c>
      <c r="AH127" s="15">
        <f>AL125</f>
        <v>4013</v>
      </c>
      <c r="AI127" t="s" s="44">
        <v>76</v>
      </c>
      <c r="AJ127" s="15">
        <f>AN125</f>
        <v>3699</v>
      </c>
      <c r="AK127" t="s" s="44">
        <f>AK126</f>
        <v>372</v>
      </c>
      <c r="AL127" t="s" s="44">
        <v>113</v>
      </c>
      <c r="AM127" t="s" s="44">
        <v>114</v>
      </c>
      <c r="AN127" t="s" s="44">
        <f>IF(AQ127&lt;AO127,"down","up")</f>
        <v>87</v>
      </c>
      <c r="AO127" s="15">
        <f>AH126-AH127</f>
        <v>-3055</v>
      </c>
      <c r="AP127" t="s" s="44">
        <v>76</v>
      </c>
      <c r="AQ127" s="15">
        <f>AJ126-AJ127</f>
        <v>-3167</v>
      </c>
      <c r="AR127" t="s" s="44">
        <f>AK127</f>
        <v>372</v>
      </c>
      <c r="AS127" t="s" s="44">
        <v>115</v>
      </c>
      <c r="AT127" s="17"/>
      <c r="AU127" s="17"/>
      <c r="AV127" s="17"/>
      <c r="AW127" s="17"/>
    </row>
    <row r="128" ht="56.05" customHeight="1">
      <c r="AD128" s="36"/>
      <c r="AE128" s="34"/>
      <c r="AF128" t="s" s="44">
        <v>116</v>
      </c>
      <c r="AG128" s="15">
        <f>SUM(AF58:AI58)</f>
        <v>0</v>
      </c>
      <c r="AH128" t="s" s="44">
        <f>AK127</f>
        <v>372</v>
      </c>
      <c r="AI128" t="s" s="44">
        <v>117</v>
      </c>
      <c r="AJ128" t="s" s="44">
        <f>IF(AK128&gt;0,"+","")</f>
      </c>
      <c r="AK128" s="15">
        <f>AF56+AG56+AH56+AI56+AF60+AG60+AH60+AI60</f>
        <v>-305.330429524886</v>
      </c>
      <c r="AL128" t="s" s="44">
        <f>AR127</f>
        <v>372</v>
      </c>
      <c r="AM128" t="s" s="44">
        <v>118</v>
      </c>
      <c r="AN128" t="s" s="44">
        <v>119</v>
      </c>
      <c r="AO128" s="15">
        <f>AI75</f>
        <v>-2861.669570475110</v>
      </c>
      <c r="AP128" t="s" s="44">
        <f>AK127</f>
        <v>372</v>
      </c>
      <c r="AQ128" t="s" s="44">
        <v>120</v>
      </c>
      <c r="AR128" s="17"/>
      <c r="AS128" s="17"/>
      <c r="AT128" s="17"/>
      <c r="AU128" s="17"/>
      <c r="AV128" s="17"/>
      <c r="AW128" s="17"/>
    </row>
    <row r="129" ht="20.05" customHeight="1">
      <c r="AD129" s="36"/>
      <c r="AE129" s="34"/>
      <c r="AF129" t="s" s="44">
        <v>17</v>
      </c>
      <c r="AG129" t="s" s="44">
        <f>AG133</f>
        <v>374</v>
      </c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</row>
    <row r="130" ht="68.05" customHeight="1">
      <c r="AD130" s="36"/>
      <c r="AE130" s="34"/>
      <c r="AF130" t="s" s="44">
        <f>AF102</f>
        <v>70</v>
      </c>
      <c r="AG130" t="s" s="44">
        <v>122</v>
      </c>
      <c r="AH130" t="s" s="44">
        <f>AN105</f>
        <v>372</v>
      </c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</row>
    <row r="131" ht="20.05" customHeight="1">
      <c r="AD131" s="36"/>
      <c r="AE131" s="34"/>
      <c r="AF131" s="15">
        <f>-L22</f>
        <v>-2.966</v>
      </c>
      <c r="AG131" t="s" s="44">
        <v>72</v>
      </c>
      <c r="AH131" s="15">
        <f>-L23</f>
        <v>2.745</v>
      </c>
      <c r="AI131" t="s" s="44">
        <v>72</v>
      </c>
      <c r="AJ131" s="15">
        <f>-L24</f>
        <v>0</v>
      </c>
      <c r="AK131" t="s" s="44">
        <v>72</v>
      </c>
      <c r="AL131" s="15">
        <f>-L25</f>
        <v>1.1</v>
      </c>
      <c r="AM131" t="s" s="44">
        <v>72</v>
      </c>
      <c r="AN131" s="15">
        <f>-L26</f>
        <v>-13.5</v>
      </c>
      <c r="AO131" s="17"/>
      <c r="AP131" s="17"/>
      <c r="AQ131" s="17"/>
      <c r="AR131" s="17"/>
      <c r="AS131" s="17"/>
      <c r="AT131" s="17"/>
      <c r="AU131" s="17"/>
      <c r="AV131" s="17"/>
      <c r="AW131" s="17"/>
    </row>
    <row r="132" ht="20.05" customHeight="1">
      <c r="AD132" s="36"/>
      <c r="AE132" s="34"/>
      <c r="AF132" s="15">
        <f>-M22</f>
        <v>384.766</v>
      </c>
      <c r="AG132" t="s" s="44">
        <v>72</v>
      </c>
      <c r="AH132" s="15">
        <f>-M23</f>
        <v>38.455</v>
      </c>
      <c r="AI132" t="s" s="44">
        <v>72</v>
      </c>
      <c r="AJ132" s="15">
        <f>-M24</f>
        <v>43</v>
      </c>
      <c r="AK132" t="s" s="44">
        <v>72</v>
      </c>
      <c r="AL132" s="15">
        <f>-M25</f>
        <v>17.9</v>
      </c>
      <c r="AM132" t="s" s="44">
        <v>72</v>
      </c>
      <c r="AN132" s="15">
        <f>-M26</f>
        <v>298</v>
      </c>
      <c r="AO132" s="17"/>
      <c r="AP132" s="17"/>
      <c r="AQ132" s="17"/>
      <c r="AR132" s="17"/>
      <c r="AS132" s="17"/>
      <c r="AT132" s="17"/>
      <c r="AU132" s="17"/>
      <c r="AV132" s="17"/>
      <c r="AW132" s="17"/>
    </row>
    <row r="133" ht="44.05" customHeight="1">
      <c r="AD133" s="36"/>
      <c r="AE133" s="34"/>
      <c r="AF133" t="s" s="44">
        <f>AF94</f>
        <v>648</v>
      </c>
      <c r="AG133" t="s" s="44">
        <f>IF(AH133&gt;0,"paid","(raised)")</f>
        <v>374</v>
      </c>
      <c r="AH133" s="15">
        <f>SUM(AN131:AN132)</f>
        <v>284.5</v>
      </c>
      <c r="AI133" t="s" s="44">
        <f>AN105</f>
        <v>372</v>
      </c>
      <c r="AJ133" t="s" s="44">
        <f>AI105</f>
        <v>73</v>
      </c>
      <c r="AK133" t="s" s="44">
        <f>AJ105</f>
        <v>74</v>
      </c>
      <c r="AL133" t="s" s="44">
        <f>AK105</f>
        <v>75</v>
      </c>
      <c r="AM133" s="15">
        <f>AN131</f>
        <v>-13.5</v>
      </c>
      <c r="AN133" t="s" s="44">
        <f>AN105</f>
        <v>372</v>
      </c>
      <c r="AO133" t="s" s="44">
        <v>123</v>
      </c>
      <c r="AP133" s="15">
        <f>AN132</f>
        <v>298</v>
      </c>
      <c r="AQ133" t="s" s="44">
        <f>AN105</f>
        <v>372</v>
      </c>
      <c r="AR133" t="s" s="44">
        <v>124</v>
      </c>
      <c r="AS133" t="s" s="44">
        <v>125</v>
      </c>
      <c r="AT133" t="s" s="44">
        <f>IF(AU133&gt;0,"pay","raise")</f>
        <v>364</v>
      </c>
      <c r="AU133" s="15">
        <f>-SUM(AF76:AI76)</f>
        <v>305.330429524886</v>
      </c>
      <c r="AV133" t="s" s="44">
        <f>AN105</f>
        <v>372</v>
      </c>
      <c r="AW133" t="s" s="44">
        <v>126</v>
      </c>
    </row>
    <row r="134" ht="56.05" customHeight="1">
      <c r="AD134" s="36"/>
      <c r="AE134" s="34"/>
      <c r="AF134" t="s" s="44">
        <v>375</v>
      </c>
      <c r="AG134" s="15">
        <f>AI80</f>
        <v>6453.8496</v>
      </c>
      <c r="AH134" t="s" s="44">
        <f>AN105</f>
        <v>372</v>
      </c>
      <c r="AI134" t="s" s="44">
        <v>128</v>
      </c>
      <c r="AJ134" t="s" s="44">
        <v>129</v>
      </c>
      <c r="AK134" s="43">
        <f>AI82</f>
        <v>0.507556343160339</v>
      </c>
      <c r="AL134" t="s" s="44">
        <v>130</v>
      </c>
      <c r="AM134" t="s" s="44">
        <v>131</v>
      </c>
      <c r="AN134" t="s" s="44">
        <v>132</v>
      </c>
      <c r="AO134" s="15">
        <f>AI85</f>
        <v>39.9027812337329</v>
      </c>
      <c r="AP134" t="s" s="44">
        <v>133</v>
      </c>
      <c r="AQ134" s="16">
        <f>-AG128/AG134</f>
        <v>0</v>
      </c>
      <c r="AR134" t="s" s="44">
        <v>134</v>
      </c>
      <c r="AS134" s="17"/>
      <c r="AT134" s="17"/>
      <c r="AU134" s="17"/>
      <c r="AV134" s="17"/>
      <c r="AW134" s="17"/>
    </row>
    <row r="135" ht="56.05" customHeight="1">
      <c r="AD135" s="36"/>
      <c r="AE135" s="34"/>
      <c r="AF135" t="s" s="44">
        <v>135</v>
      </c>
      <c r="AG135" s="15">
        <f>AI84</f>
        <v>305.330429524885</v>
      </c>
      <c r="AH135" t="s" s="44">
        <f>AH134</f>
        <v>372</v>
      </c>
      <c r="AI135" t="s" s="44">
        <v>136</v>
      </c>
      <c r="AJ135" s="15">
        <f>AG134/AG135</f>
        <v>21.137263030228</v>
      </c>
      <c r="AK135" t="s" s="44">
        <v>130</v>
      </c>
      <c r="AL135" t="s" s="44">
        <v>137</v>
      </c>
      <c r="AM135" t="s" s="44">
        <v>138</v>
      </c>
      <c r="AN135" s="15">
        <f>AI86</f>
        <v>18</v>
      </c>
      <c r="AO135" t="s" s="44">
        <v>139</v>
      </c>
      <c r="AP135" t="s" s="44">
        <v>140</v>
      </c>
      <c r="AQ135" t="s" s="44">
        <v>141</v>
      </c>
      <c r="AR135" s="16">
        <f>AL94</f>
        <v>-0.148423333037087</v>
      </c>
      <c r="AS135" t="s" s="44">
        <f>IF(AR135&gt;0,"higher","lower")</f>
        <v>104</v>
      </c>
      <c r="AT135" t="s" s="44">
        <v>142</v>
      </c>
      <c r="AU135" s="15">
        <f>AJ94</f>
        <v>412.163106810050</v>
      </c>
      <c r="AV135" t="s" s="44">
        <v>143</v>
      </c>
      <c r="AW135" s="17"/>
    </row>
    <row r="136" ht="20.05" customHeight="1">
      <c r="AD136" s="36"/>
      <c r="AE136" s="34"/>
      <c r="AF136" s="17"/>
      <c r="AG136" s="17"/>
      <c r="AH136" s="17"/>
      <c r="AI136" s="17"/>
      <c r="AJ136" s="15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</row>
    <row r="137" ht="20.05" customHeight="1">
      <c r="AD137" t="s" s="33">
        <v>28</v>
      </c>
      <c r="AE137" s="14">
        <f>AF104</f>
        <v>696</v>
      </c>
      <c r="AF137" s="15">
        <f>AH104</f>
        <v>482.2</v>
      </c>
      <c r="AG137" s="15">
        <f>AJ104</f>
        <v>487</v>
      </c>
      <c r="AH137" s="15">
        <f>AL104</f>
        <v>521.9</v>
      </c>
      <c r="AI137" s="15">
        <f>AN104</f>
        <v>609.6</v>
      </c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</row>
    <row r="138" ht="20.05" customHeight="1">
      <c r="AD138" t="s" s="33">
        <v>144</v>
      </c>
      <c r="AE138" s="14">
        <f>SUM(AF117:AF118)</f>
        <v>148.7</v>
      </c>
      <c r="AF138" s="15">
        <f>SUM(AH117:AH118)</f>
        <v>-472.1</v>
      </c>
      <c r="AG138" s="15">
        <f>SUM(AJ117:AJ118)</f>
        <v>271</v>
      </c>
      <c r="AH138" s="15">
        <f>SUM(AL117:AL118)</f>
        <v>203.1</v>
      </c>
      <c r="AI138" s="15">
        <f>SUM(AN117:AN118)</f>
        <v>-137.5</v>
      </c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</row>
    <row r="139" ht="20.05" customHeight="1">
      <c r="AD139" t="s" s="33">
        <v>145</v>
      </c>
      <c r="AE139" s="14">
        <f>SUM(AF131:AF132)</f>
        <v>381.8</v>
      </c>
      <c r="AF139" s="15">
        <f>SUM(AH131:AH132)</f>
        <v>41.2</v>
      </c>
      <c r="AG139" s="15">
        <f>SUM(AJ131:AJ132)</f>
        <v>43</v>
      </c>
      <c r="AH139" s="15">
        <f>SUM(AL131:AL132)</f>
        <v>19</v>
      </c>
      <c r="AI139" s="15">
        <f>SUM(AN131:AN132)</f>
        <v>284.5</v>
      </c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</row>
    <row r="140" ht="20.05" customHeight="1">
      <c r="AD140" t="s" s="33">
        <v>146</v>
      </c>
      <c r="AE140" s="14">
        <f>(AF124-AF125)</f>
        <v>-2569</v>
      </c>
      <c r="AF140" s="15">
        <f>(AH124-AH125)</f>
        <v>-3048</v>
      </c>
      <c r="AG140" s="15">
        <f>(AJ124-AJ125)</f>
        <v>-2961</v>
      </c>
      <c r="AH140" s="15">
        <f>(AL124-AL125)</f>
        <v>-3055</v>
      </c>
      <c r="AI140" s="15">
        <f>(AN124-AN125)</f>
        <v>-3167</v>
      </c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</row>
    <row r="141" ht="20.05" customHeight="1">
      <c r="AD141" s="36"/>
      <c r="AE141" s="34"/>
      <c r="AF141" s="17"/>
      <c r="AG141" s="17"/>
      <c r="AH141" s="17"/>
      <c r="AI141" s="15">
        <f>AU135</f>
        <v>412.163106810050</v>
      </c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</row>
    <row r="142" ht="20.05" customHeight="1">
      <c r="AD142" s="36"/>
      <c r="AE142" s="34"/>
      <c r="AF142" s="17"/>
      <c r="AG142" s="17"/>
      <c r="AH142" s="17"/>
      <c r="AI142" s="17"/>
      <c r="AJ142" s="15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</row>
    <row r="143" ht="20.05" customHeight="1">
      <c r="AD143" s="36"/>
      <c r="AE143" s="34"/>
      <c r="AF143" s="17"/>
      <c r="AG143" s="17"/>
      <c r="AH143" s="17"/>
      <c r="AI143" s="17"/>
      <c r="AJ143" s="15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</row>
    <row r="144" ht="20.05" customHeight="1">
      <c r="AD144" s="36"/>
      <c r="AE144" s="34"/>
      <c r="AF144" s="17"/>
      <c r="AG144" s="17"/>
      <c r="AH144" s="17"/>
      <c r="AI144" s="17"/>
      <c r="AJ144" s="15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</row>
    <row r="145" ht="20.05" customHeight="1">
      <c r="AD145" s="36"/>
      <c r="AE145" s="34"/>
      <c r="AF145" s="17"/>
      <c r="AG145" s="17"/>
      <c r="AH145" s="17"/>
      <c r="AI145" s="17"/>
      <c r="AJ145" s="15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</row>
    <row r="146" ht="20.05" customHeight="1">
      <c r="AD146" s="36"/>
      <c r="AE146" s="34"/>
      <c r="AF146" s="17"/>
      <c r="AG146" s="17"/>
      <c r="AH146" s="17"/>
      <c r="AI146" s="17"/>
      <c r="AJ146" s="15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</row>
    <row r="147" ht="20.05" customHeight="1">
      <c r="AD147" s="36"/>
      <c r="AE147" s="34"/>
      <c r="AF147" s="17"/>
      <c r="AG147" s="17"/>
      <c r="AH147" s="17"/>
      <c r="AI147" s="17"/>
      <c r="AJ147" s="15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</row>
    <row r="148" ht="20.05" customHeight="1">
      <c r="AD148" s="36"/>
      <c r="AE148" s="34"/>
      <c r="AF148" s="17"/>
      <c r="AG148" s="17"/>
      <c r="AH148" s="17"/>
      <c r="AI148" s="17"/>
      <c r="AJ148" s="15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</row>
  </sheetData>
  <mergeCells count="2">
    <mergeCell ref="B2:AC2"/>
    <mergeCell ref="AD46:AW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50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91" customWidth="1"/>
    <col min="2" max="26" width="10.4844" style="291" customWidth="1"/>
    <col min="27" max="27" width="18.9766" style="292" customWidth="1"/>
    <col min="28" max="46" width="9" style="292" customWidth="1"/>
    <col min="47" max="16384" width="16.3516" style="292" customWidth="1"/>
  </cols>
  <sheetData>
    <row r="1" ht="11.65" customHeight="1"/>
    <row r="2" ht="27.65" customHeight="1">
      <c r="B2" t="s" s="2">
        <v>649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650</v>
      </c>
      <c r="W3" t="s" s="3">
        <v>18</v>
      </c>
      <c r="X3" t="s" s="3">
        <v>209</v>
      </c>
      <c r="Y3" t="s" s="3">
        <v>19</v>
      </c>
      <c r="Z3" t="s" s="3">
        <v>20</v>
      </c>
    </row>
    <row r="4" ht="20.25" customHeight="1">
      <c r="B4" s="6">
        <v>2017</v>
      </c>
      <c r="C4" s="7">
        <v>603.5</v>
      </c>
      <c r="D4" s="8">
        <v>7.5</v>
      </c>
      <c r="E4" s="8">
        <v>17.9</v>
      </c>
      <c r="F4" s="8"/>
      <c r="G4" s="8"/>
      <c r="H4" s="8"/>
      <c r="I4" s="8">
        <v>534.5</v>
      </c>
      <c r="J4" s="8">
        <v>66.90000000000001</v>
      </c>
      <c r="K4" s="8">
        <v>-14.6</v>
      </c>
      <c r="L4" s="8">
        <v>42.75</v>
      </c>
      <c r="M4" s="8">
        <v>0</v>
      </c>
      <c r="N4" s="8"/>
      <c r="O4" s="8"/>
      <c r="P4" s="9"/>
      <c r="Q4" s="9"/>
      <c r="R4" s="9"/>
      <c r="S4" s="9"/>
      <c r="T4" s="8">
        <f>J4+K4</f>
        <v>52.3</v>
      </c>
      <c r="U4" s="8">
        <f>-(L4+M4)</f>
        <v>-42.75</v>
      </c>
      <c r="V4" s="8">
        <v>433.35</v>
      </c>
      <c r="W4" s="8">
        <f>F4-G4</f>
        <v>0</v>
      </c>
      <c r="X4" s="8">
        <v>420</v>
      </c>
      <c r="Y4" s="11"/>
      <c r="Z4" s="12">
        <v>13.3</v>
      </c>
    </row>
    <row r="5" ht="20.05" customHeight="1">
      <c r="B5" s="13"/>
      <c r="C5" s="14">
        <v>580.6</v>
      </c>
      <c r="D5" s="15">
        <v>8</v>
      </c>
      <c r="E5" s="15">
        <v>15.1</v>
      </c>
      <c r="F5" s="15"/>
      <c r="G5" s="15"/>
      <c r="H5" s="15"/>
      <c r="I5" s="15">
        <v>516.4</v>
      </c>
      <c r="J5" s="15">
        <v>-116.7</v>
      </c>
      <c r="K5" s="15">
        <v>-31.7</v>
      </c>
      <c r="L5" s="15">
        <v>42.75</v>
      </c>
      <c r="M5" s="15">
        <v>0</v>
      </c>
      <c r="N5" s="15"/>
      <c r="O5" s="15"/>
      <c r="P5" s="16"/>
      <c r="Q5" s="17"/>
      <c r="R5" s="17"/>
      <c r="S5" s="17"/>
      <c r="T5" s="15">
        <f>J5+K5+T4</f>
        <v>-96.09999999999999</v>
      </c>
      <c r="U5" s="15">
        <f>-(L5+M5)+U4</f>
        <v>-85.5</v>
      </c>
      <c r="V5" s="15">
        <f>V4</f>
        <v>433.35</v>
      </c>
      <c r="W5" s="15">
        <f>F5-G5</f>
        <v>0</v>
      </c>
      <c r="X5" s="15">
        <v>520</v>
      </c>
      <c r="Y5" s="19"/>
      <c r="Z5" s="20">
        <v>13.327</v>
      </c>
    </row>
    <row r="6" ht="20.05" customHeight="1">
      <c r="B6" s="13"/>
      <c r="C6" s="14">
        <v>455.9</v>
      </c>
      <c r="D6" s="15">
        <v>8.5</v>
      </c>
      <c r="E6" s="15">
        <v>7</v>
      </c>
      <c r="F6" s="15"/>
      <c r="G6" s="15"/>
      <c r="H6" s="15"/>
      <c r="I6" s="15">
        <v>557.8</v>
      </c>
      <c r="J6" s="15">
        <v>7.2</v>
      </c>
      <c r="K6" s="15">
        <v>-21.2</v>
      </c>
      <c r="L6" s="15">
        <v>42.75</v>
      </c>
      <c r="M6" s="15">
        <v>0</v>
      </c>
      <c r="N6" s="15"/>
      <c r="O6" s="15"/>
      <c r="P6" s="16"/>
      <c r="Q6" s="17"/>
      <c r="R6" s="17"/>
      <c r="S6" s="17"/>
      <c r="T6" s="15">
        <f>J6+K6+T5</f>
        <v>-110.1</v>
      </c>
      <c r="U6" s="15">
        <f>-(L6+M6)+U5</f>
        <v>-128.25</v>
      </c>
      <c r="V6" s="15">
        <f>V5</f>
        <v>433.35</v>
      </c>
      <c r="W6" s="15">
        <f>F6-G6</f>
        <v>0</v>
      </c>
      <c r="X6" s="15">
        <v>456</v>
      </c>
      <c r="Y6" s="19"/>
      <c r="Z6" s="20">
        <v>13.305</v>
      </c>
    </row>
    <row r="7" ht="20.05" customHeight="1">
      <c r="B7" s="13"/>
      <c r="C7" s="14">
        <v>605.5</v>
      </c>
      <c r="D7" s="15">
        <v>8.699999999999999</v>
      </c>
      <c r="E7" s="15">
        <v>28.965</v>
      </c>
      <c r="F7" s="15">
        <v>91</v>
      </c>
      <c r="G7" s="15">
        <v>843</v>
      </c>
      <c r="H7" s="15">
        <v>1328</v>
      </c>
      <c r="I7" s="15">
        <v>590.1</v>
      </c>
      <c r="J7" s="15">
        <v>-18.7</v>
      </c>
      <c r="K7" s="15">
        <v>-15.9</v>
      </c>
      <c r="L7" s="15">
        <v>42.75</v>
      </c>
      <c r="M7" s="15">
        <v>0</v>
      </c>
      <c r="N7" s="15"/>
      <c r="O7" s="15"/>
      <c r="P7" s="16"/>
      <c r="Q7" s="17"/>
      <c r="R7" s="17"/>
      <c r="S7" s="17"/>
      <c r="T7" s="15">
        <f>J7+K7+T6</f>
        <v>-144.7</v>
      </c>
      <c r="U7" s="15">
        <f>-(L7+M7)+U6</f>
        <v>-171</v>
      </c>
      <c r="V7" s="15">
        <f>V6</f>
        <v>433.35</v>
      </c>
      <c r="W7" s="15">
        <f>F7-G7</f>
        <v>-752</v>
      </c>
      <c r="X7" s="15">
        <v>550</v>
      </c>
      <c r="Y7" s="19"/>
      <c r="Z7" s="20">
        <v>13.557</v>
      </c>
    </row>
    <row r="8" ht="20.05" customHeight="1">
      <c r="B8" s="21">
        <v>2018</v>
      </c>
      <c r="C8" s="14">
        <v>603.5</v>
      </c>
      <c r="D8" s="15">
        <v>8.9</v>
      </c>
      <c r="E8" s="15">
        <v>17.9</v>
      </c>
      <c r="F8" s="15">
        <v>16</v>
      </c>
      <c r="G8" s="15">
        <v>828</v>
      </c>
      <c r="H8" s="15">
        <v>1330</v>
      </c>
      <c r="I8" s="15">
        <v>579.1</v>
      </c>
      <c r="J8" s="15">
        <v>92.15000000000001</v>
      </c>
      <c r="K8" s="15">
        <v>-16.8</v>
      </c>
      <c r="L8" s="15">
        <v>-4.75</v>
      </c>
      <c r="M8" s="15">
        <v>0</v>
      </c>
      <c r="N8" s="15">
        <f>SUM(C5:C8)/4</f>
        <v>561.375</v>
      </c>
      <c r="O8" s="15"/>
      <c r="P8" s="16"/>
      <c r="Q8" s="16"/>
      <c r="R8" s="16"/>
      <c r="S8" s="15">
        <f>SUM(J5:K8)/4</f>
        <v>-30.4125</v>
      </c>
      <c r="T8" s="15">
        <f>J8+K8+T7</f>
        <v>-69.34999999999999</v>
      </c>
      <c r="U8" s="15">
        <f>-(L8+M8)+U7</f>
        <v>-166.25</v>
      </c>
      <c r="V8" s="15">
        <f>V7</f>
        <v>433.35</v>
      </c>
      <c r="W8" s="15">
        <f>F8-G8</f>
        <v>-812</v>
      </c>
      <c r="X8" s="15">
        <v>770</v>
      </c>
      <c r="Y8" s="22"/>
      <c r="Z8" s="20">
        <v>13.761</v>
      </c>
    </row>
    <row r="9" ht="20.05" customHeight="1">
      <c r="B9" s="13"/>
      <c r="C9" s="14">
        <v>580.6</v>
      </c>
      <c r="D9" s="15">
        <v>9</v>
      </c>
      <c r="E9" s="15">
        <v>15.1</v>
      </c>
      <c r="F9" s="15">
        <v>23</v>
      </c>
      <c r="G9" s="15">
        <v>722</v>
      </c>
      <c r="H9" s="15">
        <v>1241</v>
      </c>
      <c r="I9" s="15">
        <v>726.15</v>
      </c>
      <c r="J9" s="15">
        <v>-44.55</v>
      </c>
      <c r="K9" s="15">
        <v>-33.3</v>
      </c>
      <c r="L9" s="15">
        <v>-4.75</v>
      </c>
      <c r="M9" s="15">
        <v>0</v>
      </c>
      <c r="N9" s="15">
        <f>SUM(C6:C9)/4</f>
        <v>561.375</v>
      </c>
      <c r="O9" s="15"/>
      <c r="P9" s="16"/>
      <c r="Q9" s="16"/>
      <c r="R9" s="16"/>
      <c r="S9" s="15">
        <f>SUM(J6:K9)/4</f>
        <v>-12.775</v>
      </c>
      <c r="T9" s="15">
        <f>J9+K9+T8</f>
        <v>-147.2</v>
      </c>
      <c r="U9" s="15">
        <f>-(L9+M9)+U8</f>
        <v>-161.5</v>
      </c>
      <c r="V9" s="15">
        <f>V8</f>
        <v>433.35</v>
      </c>
      <c r="W9" s="15">
        <f>F13-G9</f>
        <v>-675</v>
      </c>
      <c r="X9" s="15">
        <v>1030</v>
      </c>
      <c r="Y9" s="22"/>
      <c r="Z9" s="20">
        <v>14</v>
      </c>
    </row>
    <row r="10" ht="20.05" customHeight="1">
      <c r="B10" s="13"/>
      <c r="C10" s="14">
        <v>596.2</v>
      </c>
      <c r="D10" s="15">
        <v>9.199999999999999</v>
      </c>
      <c r="E10" s="15">
        <v>20.3</v>
      </c>
      <c r="F10" s="15">
        <v>25</v>
      </c>
      <c r="G10" s="15">
        <v>788</v>
      </c>
      <c r="H10" s="15">
        <v>1327</v>
      </c>
      <c r="I10" s="15">
        <v>638.45</v>
      </c>
      <c r="J10" s="15">
        <v>108.8</v>
      </c>
      <c r="K10" s="15">
        <v>-22.7</v>
      </c>
      <c r="L10" s="15">
        <v>-4.75</v>
      </c>
      <c r="M10" s="15">
        <v>0</v>
      </c>
      <c r="N10" s="15">
        <f>SUM(C7:C10)/4</f>
        <v>596.45</v>
      </c>
      <c r="O10" s="15"/>
      <c r="P10" s="16"/>
      <c r="Q10" s="16"/>
      <c r="R10" s="16"/>
      <c r="S10" s="15">
        <f>SUM(J7:K10)/4</f>
        <v>12.25</v>
      </c>
      <c r="T10" s="15">
        <f>J10+K10+T9</f>
        <v>-61.1</v>
      </c>
      <c r="U10" s="15">
        <f>-(L10+M10)+U9</f>
        <v>-156.75</v>
      </c>
      <c r="V10" s="15">
        <f>V9</f>
        <v>433.35</v>
      </c>
      <c r="W10" s="15">
        <f>F10-G10</f>
        <v>-763</v>
      </c>
      <c r="X10" s="15">
        <v>975</v>
      </c>
      <c r="Y10" s="22"/>
      <c r="Z10" s="20">
        <v>14.902</v>
      </c>
    </row>
    <row r="11" ht="20.05" customHeight="1">
      <c r="B11" s="13"/>
      <c r="C11" s="14">
        <v>547.65</v>
      </c>
      <c r="D11" s="15">
        <v>10.3</v>
      </c>
      <c r="E11" s="15">
        <v>23.5</v>
      </c>
      <c r="F11" s="15">
        <v>50</v>
      </c>
      <c r="G11" s="15">
        <v>836</v>
      </c>
      <c r="H11" s="15">
        <v>1391</v>
      </c>
      <c r="I11" s="15">
        <v>434.7</v>
      </c>
      <c r="J11" s="15">
        <v>-67.8</v>
      </c>
      <c r="K11" s="15">
        <v>-43.6</v>
      </c>
      <c r="L11" s="15">
        <v>-4.75</v>
      </c>
      <c r="M11" s="15">
        <v>0</v>
      </c>
      <c r="N11" s="15">
        <f>SUM(C8:C11)/4</f>
        <v>581.9875</v>
      </c>
      <c r="O11" s="15"/>
      <c r="P11" s="16"/>
      <c r="Q11" s="16"/>
      <c r="R11" s="16"/>
      <c r="S11" s="15">
        <f>SUM(J8:K11)/4</f>
        <v>-6.95</v>
      </c>
      <c r="T11" s="15">
        <f>J11+K11+T10</f>
        <v>-172.5</v>
      </c>
      <c r="U11" s="15">
        <f>-(L11+M11)+U10</f>
        <v>-152</v>
      </c>
      <c r="V11" s="15">
        <f>V10</f>
        <v>433.35</v>
      </c>
      <c r="W11" s="15">
        <f>F11-G11</f>
        <v>-786</v>
      </c>
      <c r="X11" s="15">
        <v>1000</v>
      </c>
      <c r="Y11" s="22"/>
      <c r="Z11" s="20">
        <v>14.38</v>
      </c>
    </row>
    <row r="12" ht="20.05" customHeight="1">
      <c r="B12" s="21">
        <v>2019</v>
      </c>
      <c r="C12" s="14">
        <v>575</v>
      </c>
      <c r="D12" s="15">
        <v>11</v>
      </c>
      <c r="E12" s="15">
        <v>21.2</v>
      </c>
      <c r="F12" s="15">
        <v>43</v>
      </c>
      <c r="G12" s="15">
        <v>858</v>
      </c>
      <c r="H12" s="15">
        <v>1433</v>
      </c>
      <c r="I12" s="15">
        <v>534.975</v>
      </c>
      <c r="J12" s="15">
        <v>23.8</v>
      </c>
      <c r="K12" s="15">
        <v>-13.9</v>
      </c>
      <c r="L12" s="15">
        <v>-38.5</v>
      </c>
      <c r="M12" s="15">
        <v>0</v>
      </c>
      <c r="N12" s="15">
        <f>SUM(C9:C12)/4</f>
        <v>574.8625</v>
      </c>
      <c r="O12" s="23"/>
      <c r="P12" s="16"/>
      <c r="Q12" s="16">
        <f>(E12+D12)/C12</f>
        <v>0.056</v>
      </c>
      <c r="R12" s="16">
        <f>AVERAGE(Q9:Q12)</f>
        <v>0.056</v>
      </c>
      <c r="S12" s="15">
        <f>SUM(J9:K12)/4</f>
        <v>-23.3125</v>
      </c>
      <c r="T12" s="15">
        <f>J12+K12+T11</f>
        <v>-162.6</v>
      </c>
      <c r="U12" s="15">
        <f>-(L12+M12)+U11</f>
        <v>-113.5</v>
      </c>
      <c r="V12" s="15">
        <f>V11</f>
        <v>433.35</v>
      </c>
      <c r="W12" s="15">
        <f>F12-G12</f>
        <v>-815</v>
      </c>
      <c r="X12" s="15">
        <v>950</v>
      </c>
      <c r="Y12" s="22"/>
      <c r="Z12" s="20">
        <v>14.24</v>
      </c>
    </row>
    <row r="13" ht="20.05" customHeight="1">
      <c r="B13" s="13"/>
      <c r="C13" s="14">
        <v>557.9</v>
      </c>
      <c r="D13" s="15">
        <v>11.2</v>
      </c>
      <c r="E13" s="15">
        <v>22.7</v>
      </c>
      <c r="F13" s="15">
        <v>47</v>
      </c>
      <c r="G13" s="15">
        <v>818</v>
      </c>
      <c r="H13" s="15">
        <v>1415</v>
      </c>
      <c r="I13" s="15">
        <v>568.125</v>
      </c>
      <c r="J13" s="15">
        <v>87.3</v>
      </c>
      <c r="K13" s="15">
        <v>-17.45</v>
      </c>
      <c r="L13" s="15">
        <v>-38.5</v>
      </c>
      <c r="M13" s="15">
        <v>0</v>
      </c>
      <c r="N13" s="15">
        <f>SUM(C10:C13)/4</f>
        <v>569.1875</v>
      </c>
      <c r="O13" s="23"/>
      <c r="P13" s="16">
        <f>C13/C12-1</f>
        <v>-0.0297391304347826</v>
      </c>
      <c r="Q13" s="16">
        <f>(E13+D13)/C13</f>
        <v>0.0607635777020972</v>
      </c>
      <c r="R13" s="16">
        <f>AVERAGE(Q10:Q13)</f>
        <v>0.0583817888510486</v>
      </c>
      <c r="S13" s="15">
        <f>SUM(J10:K13)/4</f>
        <v>13.6125</v>
      </c>
      <c r="T13" s="15">
        <f>J13+K13+T12</f>
        <v>-92.75</v>
      </c>
      <c r="U13" s="15">
        <f>-(L13+M13)+U12</f>
        <v>-75</v>
      </c>
      <c r="V13" s="15">
        <f>V12</f>
        <v>433.35</v>
      </c>
      <c r="W13" s="15">
        <f>F13-G13</f>
        <v>-771</v>
      </c>
      <c r="X13" s="15">
        <v>1090</v>
      </c>
      <c r="Y13" s="24"/>
      <c r="Z13" s="15">
        <v>14.127</v>
      </c>
    </row>
    <row r="14" ht="20.05" customHeight="1">
      <c r="B14" s="13"/>
      <c r="C14" s="14">
        <v>573.3</v>
      </c>
      <c r="D14" s="15">
        <v>11.4</v>
      </c>
      <c r="E14" s="15">
        <v>9.6</v>
      </c>
      <c r="F14" s="15">
        <v>76</v>
      </c>
      <c r="G14" s="15">
        <v>777</v>
      </c>
      <c r="H14" s="15">
        <v>1382</v>
      </c>
      <c r="I14" s="15">
        <v>594.5</v>
      </c>
      <c r="J14" s="15">
        <v>38.6</v>
      </c>
      <c r="K14" s="15">
        <v>-5.45</v>
      </c>
      <c r="L14" s="15">
        <v>-38.5</v>
      </c>
      <c r="M14" s="15">
        <v>0</v>
      </c>
      <c r="N14" s="15">
        <f>SUM(C11:C14)/4</f>
        <v>563.4625</v>
      </c>
      <c r="O14" s="23"/>
      <c r="P14" s="16">
        <f>C14/C13-1</f>
        <v>0.027603513174404</v>
      </c>
      <c r="Q14" s="16">
        <f>(E14+D14)/C14</f>
        <v>0.0366300366300366</v>
      </c>
      <c r="R14" s="16">
        <f>AVERAGE(Q11:Q14)</f>
        <v>0.0511312047773779</v>
      </c>
      <c r="S14" s="15">
        <f>SUM(J11:K14)/4</f>
        <v>0.375</v>
      </c>
      <c r="T14" s="15">
        <f>J14+K14+T13</f>
        <v>-59.6</v>
      </c>
      <c r="U14" s="15">
        <f>-(L14+M14)+U13</f>
        <v>-36.5</v>
      </c>
      <c r="V14" s="15">
        <f>V13</f>
        <v>433.35</v>
      </c>
      <c r="W14" s="15">
        <f>F14-G14</f>
        <v>-701</v>
      </c>
      <c r="X14" s="15">
        <v>1300</v>
      </c>
      <c r="Y14" s="24"/>
      <c r="Z14" s="15">
        <v>14.195</v>
      </c>
    </row>
    <row r="15" ht="20.05" customHeight="1">
      <c r="B15" s="13"/>
      <c r="C15" s="14">
        <v>528.7</v>
      </c>
      <c r="D15" s="15">
        <v>12.1</v>
      </c>
      <c r="E15" s="15">
        <v>10.6</v>
      </c>
      <c r="F15" s="15">
        <v>46</v>
      </c>
      <c r="G15" s="15">
        <v>646</v>
      </c>
      <c r="H15" s="15">
        <v>1254</v>
      </c>
      <c r="I15" s="15">
        <v>553.3</v>
      </c>
      <c r="J15" s="15">
        <v>108.3</v>
      </c>
      <c r="K15" s="15">
        <v>-61.8</v>
      </c>
      <c r="L15" s="15">
        <v>-38.5</v>
      </c>
      <c r="M15" s="15">
        <v>0</v>
      </c>
      <c r="N15" s="15">
        <f>SUM(C12:C15)/4</f>
        <v>558.725</v>
      </c>
      <c r="O15" s="15"/>
      <c r="P15" s="16">
        <f>C15/C14-1</f>
        <v>-0.07779522065236349</v>
      </c>
      <c r="Q15" s="16">
        <f>(E15+D15)/C15</f>
        <v>0.0429355021751466</v>
      </c>
      <c r="R15" s="16">
        <f>AVERAGE(Q12:Q15)</f>
        <v>0.0490822791268201</v>
      </c>
      <c r="S15" s="15">
        <f>SUM(J12:K15)/4</f>
        <v>39.85</v>
      </c>
      <c r="T15" s="15">
        <f>J15+K15+T14</f>
        <v>-13.1</v>
      </c>
      <c r="U15" s="15">
        <f>-(L15+M15)+U14</f>
        <v>2</v>
      </c>
      <c r="V15" s="15">
        <f>V14</f>
        <v>433.35</v>
      </c>
      <c r="W15" s="15">
        <f>F15-G15</f>
        <v>-600</v>
      </c>
      <c r="X15" s="15">
        <v>1170</v>
      </c>
      <c r="Y15" s="24"/>
      <c r="Z15" s="15">
        <v>13.882</v>
      </c>
    </row>
    <row r="16" ht="20.05" customHeight="1">
      <c r="B16" s="21">
        <v>2020</v>
      </c>
      <c r="C16" s="14">
        <v>510.7</v>
      </c>
      <c r="D16" s="15">
        <v>12.5</v>
      </c>
      <c r="E16" s="15">
        <v>17.3</v>
      </c>
      <c r="F16" s="15">
        <v>32</v>
      </c>
      <c r="G16" s="15">
        <v>648</v>
      </c>
      <c r="H16" s="15">
        <v>1271</v>
      </c>
      <c r="I16" s="15">
        <v>507.1</v>
      </c>
      <c r="J16" s="15">
        <v>84.59999999999999</v>
      </c>
      <c r="K16" s="15">
        <v>-0.8</v>
      </c>
      <c r="L16" s="15">
        <v>-17.5</v>
      </c>
      <c r="M16" s="15">
        <v>0</v>
      </c>
      <c r="N16" s="15">
        <f>SUM(C13:C16)/4</f>
        <v>542.65</v>
      </c>
      <c r="O16" s="15"/>
      <c r="P16" s="16">
        <f>C16/C15-1</f>
        <v>-0.034045772649896</v>
      </c>
      <c r="Q16" s="16">
        <f>(E16+D16)/C16</f>
        <v>0.0583512825533581</v>
      </c>
      <c r="R16" s="16">
        <f>AVERAGE(Q13:Q16)</f>
        <v>0.0496700997651596</v>
      </c>
      <c r="S16" s="15">
        <f>SUM(J13:K16)/4</f>
        <v>58.325</v>
      </c>
      <c r="T16" s="15">
        <f>J16+K16+T15</f>
        <v>70.7</v>
      </c>
      <c r="U16" s="15">
        <f>-(L16+M16)+U15</f>
        <v>19.5</v>
      </c>
      <c r="V16" s="15">
        <f>V15</f>
        <v>433.35</v>
      </c>
      <c r="W16" s="15">
        <f>F16-G16</f>
        <v>-616</v>
      </c>
      <c r="X16" s="15">
        <v>685</v>
      </c>
      <c r="Y16" s="24"/>
      <c r="Z16" s="15">
        <v>16.31</v>
      </c>
    </row>
    <row r="17" ht="20.05" customHeight="1">
      <c r="B17" s="13"/>
      <c r="C17" s="14">
        <v>428.7</v>
      </c>
      <c r="D17" s="15">
        <v>12.5</v>
      </c>
      <c r="E17" s="15">
        <v>11</v>
      </c>
      <c r="F17" s="15">
        <v>27</v>
      </c>
      <c r="G17" s="15">
        <v>650</v>
      </c>
      <c r="H17" s="15">
        <v>1279</v>
      </c>
      <c r="I17" s="15">
        <v>464.1</v>
      </c>
      <c r="J17" s="15">
        <v>-79.59999999999999</v>
      </c>
      <c r="K17" s="15">
        <v>-4.6</v>
      </c>
      <c r="L17" s="15">
        <v>-17.5</v>
      </c>
      <c r="M17" s="15">
        <v>0</v>
      </c>
      <c r="N17" s="15">
        <f>SUM(C14:C17)/4</f>
        <v>510.35</v>
      </c>
      <c r="O17" s="15"/>
      <c r="P17" s="16">
        <f>C17/C16-1</f>
        <v>-0.160563931858234</v>
      </c>
      <c r="Q17" s="16">
        <f>(E17+D17)/C17</f>
        <v>0.0548168882668533</v>
      </c>
      <c r="R17" s="16">
        <f>AVERAGE(Q14:Q17)</f>
        <v>0.0481834274063487</v>
      </c>
      <c r="S17" s="25">
        <f>SUM(J14:K17)/4</f>
        <v>19.8125</v>
      </c>
      <c r="T17" s="15">
        <f>J17+K17+T16</f>
        <v>-13.5</v>
      </c>
      <c r="U17" s="15">
        <f>-(L17+M17)+U16</f>
        <v>37</v>
      </c>
      <c r="V17" s="15">
        <f>V16</f>
        <v>433.35</v>
      </c>
      <c r="W17" s="15">
        <f>F17-G17</f>
        <v>-623</v>
      </c>
      <c r="X17" s="15">
        <v>740</v>
      </c>
      <c r="Y17" s="24"/>
      <c r="Z17" s="15">
        <v>14.255</v>
      </c>
    </row>
    <row r="18" ht="20.05" customHeight="1">
      <c r="B18" s="13"/>
      <c r="C18" s="14">
        <v>464.8</v>
      </c>
      <c r="D18" s="15">
        <v>12.6</v>
      </c>
      <c r="E18" s="15">
        <v>17.2</v>
      </c>
      <c r="F18" s="15">
        <v>28</v>
      </c>
      <c r="G18" s="15">
        <v>579</v>
      </c>
      <c r="H18" s="15">
        <v>1221</v>
      </c>
      <c r="I18" s="15">
        <v>473.7</v>
      </c>
      <c r="J18" s="15">
        <v>37.6</v>
      </c>
      <c r="K18" s="15">
        <v>-8.4</v>
      </c>
      <c r="L18" s="15">
        <v>-17.5</v>
      </c>
      <c r="M18" s="15">
        <v>0</v>
      </c>
      <c r="N18" s="15">
        <f>SUM(C15:C18)/4</f>
        <v>483.225</v>
      </c>
      <c r="O18" s="15"/>
      <c r="P18" s="16">
        <f>C18/C17-1</f>
        <v>0.0842080709120597</v>
      </c>
      <c r="Q18" s="16">
        <f>(E18+D18)/C18</f>
        <v>0.0641135972461274</v>
      </c>
      <c r="R18" s="16">
        <f>AVERAGE(Q15:Q18)</f>
        <v>0.0550543175603714</v>
      </c>
      <c r="S18" s="25">
        <f>SUM(J15:K18)/4</f>
        <v>18.825</v>
      </c>
      <c r="T18" s="15">
        <f>J18+K18+T17</f>
        <v>15.7</v>
      </c>
      <c r="U18" s="15">
        <f>-(L18+M18)+U17</f>
        <v>54.5</v>
      </c>
      <c r="V18" s="15">
        <f>V17</f>
        <v>433.35</v>
      </c>
      <c r="W18" s="15">
        <f>F18-G18</f>
        <v>-551</v>
      </c>
      <c r="X18" s="15">
        <v>695</v>
      </c>
      <c r="Y18" s="24"/>
      <c r="Z18" s="15">
        <v>14.79</v>
      </c>
    </row>
    <row r="19" ht="20.05" customHeight="1">
      <c r="B19" s="13"/>
      <c r="C19" s="14">
        <v>518.9</v>
      </c>
      <c r="D19" s="15">
        <v>12.7</v>
      </c>
      <c r="E19" s="15">
        <v>14.7</v>
      </c>
      <c r="F19" s="15">
        <v>51</v>
      </c>
      <c r="G19" s="15">
        <v>582</v>
      </c>
      <c r="H19" s="15">
        <v>1246</v>
      </c>
      <c r="I19" s="15">
        <v>513.2</v>
      </c>
      <c r="J19" s="15">
        <v>49.9</v>
      </c>
      <c r="K19" s="15">
        <v>-1.2</v>
      </c>
      <c r="L19" s="15">
        <v>-17.5</v>
      </c>
      <c r="M19" s="15">
        <v>0</v>
      </c>
      <c r="N19" s="15">
        <f>SUM(C16:C19)/4</f>
        <v>480.775</v>
      </c>
      <c r="O19" s="15"/>
      <c r="P19" s="16">
        <f>C19/C18-1</f>
        <v>0.116394148020654</v>
      </c>
      <c r="Q19" s="16">
        <f>(E19+D19)/C19</f>
        <v>0.0528040084794758</v>
      </c>
      <c r="R19" s="16">
        <f>AVERAGE(Q16:Q19)</f>
        <v>0.0575214441364537</v>
      </c>
      <c r="S19" s="25">
        <f>SUM(J16:K19)/4</f>
        <v>19.375</v>
      </c>
      <c r="T19" s="15">
        <f>J19+K19+T18</f>
        <v>64.40000000000001</v>
      </c>
      <c r="U19" s="15">
        <f>-(L19+M19)+U18</f>
        <v>72</v>
      </c>
      <c r="V19" s="15">
        <f>V18</f>
        <v>433.35</v>
      </c>
      <c r="W19" s="15">
        <f>F19-G19</f>
        <v>-531</v>
      </c>
      <c r="X19" s="15">
        <v>825</v>
      </c>
      <c r="Y19" s="24"/>
      <c r="Z19" s="15">
        <v>14.1</v>
      </c>
    </row>
    <row r="20" ht="20.05" customHeight="1">
      <c r="B20" s="21">
        <v>2021</v>
      </c>
      <c r="C20" s="14">
        <v>481.5</v>
      </c>
      <c r="D20" s="15">
        <v>12.6</v>
      </c>
      <c r="E20" s="15">
        <v>20.9</v>
      </c>
      <c r="F20" s="15">
        <v>80</v>
      </c>
      <c r="G20" s="15">
        <v>700</v>
      </c>
      <c r="H20" s="15">
        <v>1384</v>
      </c>
      <c r="I20" s="15">
        <v>527.8</v>
      </c>
      <c r="J20" s="15">
        <v>37.7</v>
      </c>
      <c r="K20" s="15">
        <v>-2.8</v>
      </c>
      <c r="L20" s="15">
        <v>26.5</v>
      </c>
      <c r="M20" s="15">
        <v>0</v>
      </c>
      <c r="N20" s="15">
        <f>SUM(C17:C20)/4</f>
        <v>473.475</v>
      </c>
      <c r="O20" s="15"/>
      <c r="P20" s="16">
        <f>C20/C19-1</f>
        <v>-0.0720755444208903</v>
      </c>
      <c r="Q20" s="16">
        <f>(E20+D20)/C20</f>
        <v>0.0695742471443406</v>
      </c>
      <c r="R20" s="16">
        <f>AVERAGE(Q17:Q20)</f>
        <v>0.0603271852841993</v>
      </c>
      <c r="S20" s="25">
        <f>SUM(J17:K20)/4</f>
        <v>7.15</v>
      </c>
      <c r="T20" s="15">
        <f>J20+K20+T19</f>
        <v>99.3</v>
      </c>
      <c r="U20" s="15">
        <f>-(L20+M20)+U19</f>
        <v>45.5</v>
      </c>
      <c r="V20" s="15">
        <f>V19</f>
        <v>433.35</v>
      </c>
      <c r="W20" s="15">
        <f>F20-G20</f>
        <v>-620</v>
      </c>
      <c r="X20" s="15">
        <v>775</v>
      </c>
      <c r="Y20" s="15"/>
      <c r="Z20" s="15">
        <v>14.606</v>
      </c>
    </row>
    <row r="21" ht="20.05" customHeight="1">
      <c r="B21" s="13"/>
      <c r="C21" s="14">
        <v>555.7</v>
      </c>
      <c r="D21" s="15">
        <v>12.5</v>
      </c>
      <c r="E21" s="15">
        <v>26</v>
      </c>
      <c r="F21" s="15">
        <v>56</v>
      </c>
      <c r="G21" s="15">
        <v>734</v>
      </c>
      <c r="H21" s="15">
        <v>1444</v>
      </c>
      <c r="I21" s="15">
        <v>518.55</v>
      </c>
      <c r="J21" s="15">
        <v>-127.45</v>
      </c>
      <c r="K21" s="15">
        <v>-2.5</v>
      </c>
      <c r="L21" s="15">
        <v>26.5</v>
      </c>
      <c r="M21" s="15">
        <v>0</v>
      </c>
      <c r="N21" s="15">
        <f>SUM(C18:C21)/4</f>
        <v>505.225</v>
      </c>
      <c r="O21" s="15"/>
      <c r="P21" s="16">
        <f>C21/C20-1</f>
        <v>0.154101765316719</v>
      </c>
      <c r="Q21" s="16">
        <f>(E21+D21)/C21</f>
        <v>0.0692819866834623</v>
      </c>
      <c r="R21" s="16">
        <f>AVERAGE(Q18:Q21)</f>
        <v>0.0639434598883515</v>
      </c>
      <c r="S21" s="25">
        <f>SUM(J18:K21)/4</f>
        <v>-4.2875</v>
      </c>
      <c r="T21" s="15">
        <f>J21+K21+T20</f>
        <v>-30.65</v>
      </c>
      <c r="U21" s="15">
        <f>-(L21+M21)+U20</f>
        <v>19</v>
      </c>
      <c r="V21" s="15">
        <f>V20</f>
        <v>433.35</v>
      </c>
      <c r="W21" s="15">
        <f>F21-G21</f>
        <v>-678</v>
      </c>
      <c r="X21" s="15">
        <v>850</v>
      </c>
      <c r="Y21" s="15"/>
      <c r="Z21" s="15">
        <v>14.45</v>
      </c>
    </row>
    <row r="22" ht="20.05" customHeight="1">
      <c r="B22" s="13"/>
      <c r="C22" s="14">
        <v>546.6</v>
      </c>
      <c r="D22" s="15">
        <v>12.5</v>
      </c>
      <c r="E22" s="15">
        <v>15.4</v>
      </c>
      <c r="F22" s="15">
        <v>45</v>
      </c>
      <c r="G22" s="15">
        <v>640</v>
      </c>
      <c r="H22" s="15">
        <v>1364</v>
      </c>
      <c r="I22" s="15">
        <v>554.95</v>
      </c>
      <c r="J22" s="15">
        <v>-39.45</v>
      </c>
      <c r="K22" s="15">
        <v>-4.9</v>
      </c>
      <c r="L22" s="15">
        <v>26.5</v>
      </c>
      <c r="M22" s="15">
        <v>0</v>
      </c>
      <c r="N22" s="15">
        <f>SUM(C19:C22)/4</f>
        <v>525.675</v>
      </c>
      <c r="O22" s="15"/>
      <c r="P22" s="16">
        <f>C22/C21-1</f>
        <v>-0.0163757423070002</v>
      </c>
      <c r="Q22" s="16">
        <f>(E22+D22)/C22</f>
        <v>0.0510428100987925</v>
      </c>
      <c r="R22" s="16">
        <f>AVERAGE(Q19:Q22)</f>
        <v>0.0606757631015178</v>
      </c>
      <c r="S22" s="25">
        <f>SUM(J19:K22)/4</f>
        <v>-22.675</v>
      </c>
      <c r="T22" s="15">
        <f>J22+K22+T21</f>
        <v>-75</v>
      </c>
      <c r="U22" s="15">
        <f>-(L22+M22)+U21</f>
        <v>-7.5</v>
      </c>
      <c r="V22" s="15">
        <f>V21</f>
        <v>433.35</v>
      </c>
      <c r="W22" s="15">
        <f>F22-G22</f>
        <v>-595</v>
      </c>
      <c r="X22" s="15">
        <v>850</v>
      </c>
      <c r="Y22" s="15"/>
      <c r="Z22" s="15">
        <v>14.328</v>
      </c>
    </row>
    <row r="23" ht="20.05" customHeight="1">
      <c r="B23" s="13"/>
      <c r="C23" s="14">
        <v>657.3</v>
      </c>
      <c r="D23" s="15">
        <v>12.6</v>
      </c>
      <c r="E23" s="15">
        <v>10.3</v>
      </c>
      <c r="F23" s="15">
        <v>81</v>
      </c>
      <c r="G23" s="15">
        <v>629</v>
      </c>
      <c r="H23" s="15">
        <v>1349</v>
      </c>
      <c r="I23" s="15">
        <v>603.1</v>
      </c>
      <c r="J23" s="15">
        <v>66.3</v>
      </c>
      <c r="K23" s="15">
        <v>-2.7</v>
      </c>
      <c r="L23" s="15">
        <v>26.5</v>
      </c>
      <c r="M23" s="15">
        <v>0</v>
      </c>
      <c r="N23" s="15">
        <f>SUM(C20:C23)/4</f>
        <v>560.275</v>
      </c>
      <c r="O23" s="15"/>
      <c r="P23" s="16">
        <f>C23/C22-1</f>
        <v>0.202524698133919</v>
      </c>
      <c r="Q23" s="16">
        <f>(E23+D23)/C23</f>
        <v>0.0348394949033927</v>
      </c>
      <c r="R23" s="16">
        <f>AVERAGE(Q20:Q23)</f>
        <v>0.056184634707497</v>
      </c>
      <c r="S23" s="25">
        <f>SUM(J20:K23)/4</f>
        <v>-18.95</v>
      </c>
      <c r="T23" s="15">
        <f>J23+K23+T22</f>
        <v>-11.4</v>
      </c>
      <c r="U23" s="15">
        <f>-(L23+M23)+U22</f>
        <v>-34</v>
      </c>
      <c r="V23" s="15">
        <f>V22</f>
        <v>433.35</v>
      </c>
      <c r="W23" s="15">
        <f>F23-G23</f>
        <v>-548</v>
      </c>
      <c r="X23" s="15">
        <v>1095</v>
      </c>
      <c r="Y23" s="15"/>
      <c r="Z23" s="15">
        <v>14.275</v>
      </c>
    </row>
    <row r="24" ht="20.05" customHeight="1">
      <c r="B24" s="21">
        <v>2022</v>
      </c>
      <c r="C24" s="14">
        <v>611.6</v>
      </c>
      <c r="D24" s="15">
        <v>12.7</v>
      </c>
      <c r="E24" s="15">
        <v>16.4</v>
      </c>
      <c r="F24" s="15">
        <v>42</v>
      </c>
      <c r="G24" s="15">
        <v>712</v>
      </c>
      <c r="H24" s="15">
        <v>1447</v>
      </c>
      <c r="I24" s="15">
        <v>586.8</v>
      </c>
      <c r="J24" s="15">
        <v>1.1</v>
      </c>
      <c r="K24" s="15">
        <v>-4.2</v>
      </c>
      <c r="L24" s="15">
        <v>-35.6</v>
      </c>
      <c r="M24" s="15">
        <v>0</v>
      </c>
      <c r="N24" s="15">
        <f>SUM(C21:C24)/4</f>
        <v>592.8</v>
      </c>
      <c r="O24" s="15">
        <v>628.59</v>
      </c>
      <c r="P24" s="16">
        <f>C24/C23-1</f>
        <v>-0.0695268522744561</v>
      </c>
      <c r="Q24" s="16">
        <f>(E24+D24)/C24</f>
        <v>0.0475801177240026</v>
      </c>
      <c r="R24" s="16">
        <f>AVERAGE(Q21:Q24)</f>
        <v>0.0506861023524125</v>
      </c>
      <c r="S24" s="25">
        <f>SUM(J21:K24)/4</f>
        <v>-28.45</v>
      </c>
      <c r="T24" s="15">
        <f>J24+K24+T23</f>
        <v>-14.5</v>
      </c>
      <c r="U24" s="15">
        <f>-(L24+M24)+U23</f>
        <v>1.6</v>
      </c>
      <c r="V24" s="15">
        <f>V23</f>
        <v>433.35</v>
      </c>
      <c r="W24" s="15">
        <f>F24-G24</f>
        <v>-670</v>
      </c>
      <c r="X24" s="15">
        <v>1000</v>
      </c>
      <c r="Y24" s="17"/>
      <c r="Z24" s="15">
        <v>14.327</v>
      </c>
    </row>
    <row r="25" ht="20.05" customHeight="1">
      <c r="B25" s="13"/>
      <c r="C25" s="14">
        <v>555.3</v>
      </c>
      <c r="D25" s="15">
        <v>12.8</v>
      </c>
      <c r="E25" s="15">
        <v>16.8</v>
      </c>
      <c r="F25" s="15">
        <v>58</v>
      </c>
      <c r="G25" s="15">
        <v>801</v>
      </c>
      <c r="H25" s="15">
        <v>1510</v>
      </c>
      <c r="I25" s="15">
        <v>609.3</v>
      </c>
      <c r="J25" s="15">
        <v>-104.4</v>
      </c>
      <c r="K25" s="15">
        <v>-6.5</v>
      </c>
      <c r="L25" s="15">
        <v>127</v>
      </c>
      <c r="M25" s="15">
        <v>0</v>
      </c>
      <c r="N25" s="15">
        <f>SUM(C22:C25)/4</f>
        <v>592.7</v>
      </c>
      <c r="O25" s="15">
        <v>633.12</v>
      </c>
      <c r="P25" s="16">
        <f>C25/C24-1</f>
        <v>-0.092053629823414</v>
      </c>
      <c r="Q25" s="16">
        <f>(E25+D25)/C25</f>
        <v>0.0533045200792364</v>
      </c>
      <c r="R25" s="16">
        <f>AVERAGE(Q22:Q25)</f>
        <v>0.0466917357013561</v>
      </c>
      <c r="S25" s="25">
        <f>SUM(J22:K25)/4</f>
        <v>-23.6875</v>
      </c>
      <c r="T25" s="15">
        <f>J25+K25+T24</f>
        <v>-125.4</v>
      </c>
      <c r="U25" s="15">
        <f>-(L25+M25)+U24</f>
        <v>-125.4</v>
      </c>
      <c r="V25" s="15">
        <f>V24</f>
        <v>433.35</v>
      </c>
      <c r="W25" s="15">
        <f>F25-G25</f>
        <v>-743</v>
      </c>
      <c r="X25" s="15">
        <v>1110</v>
      </c>
      <c r="Y25" s="15">
        <v>1488.744274637950</v>
      </c>
      <c r="Z25" s="15">
        <v>14.66</v>
      </c>
    </row>
    <row r="26" ht="20.05" customHeight="1">
      <c r="B26" s="13"/>
      <c r="C26" s="14">
        <v>594.7</v>
      </c>
      <c r="D26" s="15">
        <v>12.7</v>
      </c>
      <c r="E26" s="15">
        <v>26.2</v>
      </c>
      <c r="F26" s="15">
        <v>102</v>
      </c>
      <c r="G26" s="15">
        <v>674</v>
      </c>
      <c r="H26" s="15">
        <v>1407</v>
      </c>
      <c r="I26" s="15">
        <v>628</v>
      </c>
      <c r="J26" s="15">
        <v>120.7</v>
      </c>
      <c r="K26" s="15">
        <v>-6.2</v>
      </c>
      <c r="L26" s="15">
        <v>-32.4</v>
      </c>
      <c r="M26" s="15">
        <v>-40.5</v>
      </c>
      <c r="N26" s="15">
        <f>SUM(C23:C26)/4</f>
        <v>604.725</v>
      </c>
      <c r="O26" s="15">
        <v>635.385</v>
      </c>
      <c r="P26" s="16">
        <f>C26/C25-1</f>
        <v>0.0709526382135782</v>
      </c>
      <c r="Q26" s="16">
        <f>(E26+D26)/C26</f>
        <v>0.0654111316630234</v>
      </c>
      <c r="R26" s="16">
        <f>AVERAGE(Q23:Q26)</f>
        <v>0.0502838160924138</v>
      </c>
      <c r="S26" s="25">
        <f>SUM(J23:K26)/4</f>
        <v>16.025</v>
      </c>
      <c r="T26" s="15">
        <f>J26+K26+T25</f>
        <v>-10.9</v>
      </c>
      <c r="U26" s="15">
        <f>-(L26+M26)+U25</f>
        <v>-52.5</v>
      </c>
      <c r="V26" s="15">
        <f>V25</f>
        <v>433.35</v>
      </c>
      <c r="W26" s="15">
        <f>F26-G26</f>
        <v>-572</v>
      </c>
      <c r="X26" s="15">
        <v>990</v>
      </c>
      <c r="Y26" s="15">
        <v>1488.744274637950</v>
      </c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AVERAGE(AC52:AF52)</f>
        <v>653.239554681250</v>
      </c>
      <c r="P27" s="17"/>
      <c r="Q27" s="17"/>
      <c r="R27" s="17"/>
      <c r="S27" s="25"/>
      <c r="T27" s="17"/>
      <c r="U27" s="17"/>
      <c r="V27" s="17"/>
      <c r="W27" s="26"/>
      <c r="X27" s="15">
        <v>1070</v>
      </c>
      <c r="Y27" s="15">
        <v>1488.744291031520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SUM(N24:N26)</f>
        <v>1790.225</v>
      </c>
      <c r="O28" s="15">
        <f>SUM(O24:O26)</f>
        <v>1897.095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AF88</f>
        <v>1315.919883055910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5"/>
      <c r="Y35" s="15"/>
      <c r="Z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5"/>
      <c r="Y36" s="15"/>
      <c r="Z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5"/>
      <c r="Y37" s="15"/>
      <c r="Z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5"/>
      <c r="Y38" s="15"/>
      <c r="Z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5"/>
      <c r="Y39" s="15"/>
      <c r="Z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5"/>
      <c r="Y40" s="15"/>
      <c r="Z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5"/>
      <c r="Y41" s="15"/>
      <c r="Z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26"/>
      <c r="X42" s="15"/>
      <c r="Y42" s="15"/>
      <c r="Z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5"/>
      <c r="Y43" s="15"/>
      <c r="Z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5"/>
      <c r="Y44" s="15"/>
      <c r="Z44" s="15"/>
    </row>
    <row r="46" ht="27.65" customHeight="1">
      <c r="AA46" t="s" s="2">
        <v>209</v>
      </c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ht="20.25" customHeight="1">
      <c r="AA47" t="s" s="28">
        <f>B$3</f>
        <v>22</v>
      </c>
      <c r="AB47" t="s" s="29">
        <v>23</v>
      </c>
      <c r="AC47" t="s" s="29">
        <v>24</v>
      </c>
      <c r="AD47" t="s" s="29">
        <v>25</v>
      </c>
      <c r="AE47" t="s" s="29">
        <v>26</v>
      </c>
      <c r="AF47" t="s" s="29">
        <v>23</v>
      </c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</row>
    <row r="48" ht="20.25" customHeight="1">
      <c r="AA48" t="s" s="31">
        <v>15</v>
      </c>
      <c r="AB48" s="32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</row>
    <row r="49" ht="20.05" customHeight="1">
      <c r="AA49" t="s" s="33">
        <v>27</v>
      </c>
      <c r="AB49" s="34"/>
      <c r="AC49" s="16">
        <f>AVERAGE(P23:P26)</f>
        <v>0.0279742135624068</v>
      </c>
      <c r="AD49" s="35"/>
      <c r="AE49" s="35"/>
      <c r="AF49" s="35">
        <f>AVERAGE(AC51:AF51)</f>
        <v>0.025</v>
      </c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</row>
    <row r="50" ht="20.05" customHeight="1">
      <c r="AA50" s="36"/>
      <c r="AB50" s="37"/>
      <c r="AC50" s="35">
        <f>P23</f>
        <v>0.202524698133919</v>
      </c>
      <c r="AD50" s="35">
        <f>P24</f>
        <v>-0.0695268522744561</v>
      </c>
      <c r="AE50" s="35">
        <f>P25</f>
        <v>-0.092053629823414</v>
      </c>
      <c r="AF50" s="35">
        <f>P26</f>
        <v>0.0709526382135782</v>
      </c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</row>
    <row r="51" ht="20.05" customHeight="1">
      <c r="AA51" t="s" s="33">
        <v>13</v>
      </c>
      <c r="AB51" s="37"/>
      <c r="AC51" s="35">
        <v>0.15</v>
      </c>
      <c r="AD51" s="35">
        <v>-0.05</v>
      </c>
      <c r="AE51" s="35">
        <v>-0.03</v>
      </c>
      <c r="AF51" s="35">
        <v>0.03</v>
      </c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</row>
    <row r="52" ht="20.05" customHeight="1">
      <c r="AA52" t="s" s="33">
        <v>28</v>
      </c>
      <c r="AB52" s="38">
        <f>C26</f>
        <v>594.7</v>
      </c>
      <c r="AC52" s="23">
        <f>C26*(1+AC51)</f>
        <v>683.905</v>
      </c>
      <c r="AD52" s="23">
        <f>AC52*(1+AD51)</f>
        <v>649.70975</v>
      </c>
      <c r="AE52" s="23">
        <f>AD52*(1+AE51)</f>
        <v>630.2184575</v>
      </c>
      <c r="AF52" s="23">
        <f>AE52*(1+AF51)</f>
        <v>649.125011225</v>
      </c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</row>
    <row r="53" ht="20.05" customHeight="1">
      <c r="AA53" t="s" s="33">
        <v>14</v>
      </c>
      <c r="AB53" s="37"/>
      <c r="AC53" s="35">
        <f>AVERAGE(R26)</f>
        <v>0.0502838160924138</v>
      </c>
      <c r="AD53" s="35">
        <f>AC53</f>
        <v>0.0502838160924138</v>
      </c>
      <c r="AE53" s="35">
        <f>AD53</f>
        <v>0.0502838160924138</v>
      </c>
      <c r="AF53" s="35">
        <f>AE53</f>
        <v>0.0502838160924138</v>
      </c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</row>
    <row r="54" ht="20.05" customHeight="1">
      <c r="AA54" t="s" s="33">
        <v>29</v>
      </c>
      <c r="AB54" s="14"/>
      <c r="AC54" s="15">
        <f>AVERAGE(K26)</f>
        <v>-6.2</v>
      </c>
      <c r="AD54" s="15">
        <f>AC54</f>
        <v>-6.2</v>
      </c>
      <c r="AE54" s="15">
        <f>AD54</f>
        <v>-6.2</v>
      </c>
      <c r="AF54" s="15">
        <f>AE54</f>
        <v>-6.2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30</v>
      </c>
      <c r="AB55" s="14"/>
      <c r="AC55" s="15">
        <f>(AC52*AC53)+AC54</f>
        <v>28.1893532446823</v>
      </c>
      <c r="AD55" s="15">
        <f>(AD52*AD53)+AD54</f>
        <v>26.4698855824481</v>
      </c>
      <c r="AE55" s="15">
        <f>(AE52*AE53)+AE54</f>
        <v>25.4897890149747</v>
      </c>
      <c r="AF55" s="15">
        <f>(AF52*AF53)+AF54</f>
        <v>26.4404826854239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33">
        <v>31</v>
      </c>
      <c r="AB56" s="14"/>
      <c r="AC56" s="15">
        <f>-G26/20</f>
        <v>-33.7</v>
      </c>
      <c r="AD56" s="15">
        <f>-AC71/20</f>
        <v>-32.015</v>
      </c>
      <c r="AE56" s="15">
        <f>-AD71/20</f>
        <v>-30.41425</v>
      </c>
      <c r="AF56" s="15">
        <f>-AE71/20</f>
        <v>-28.8935375</v>
      </c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32</v>
      </c>
      <c r="AB57" s="39"/>
      <c r="AC57" s="40">
        <v>-0.1</v>
      </c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33</v>
      </c>
      <c r="AB58" s="14"/>
      <c r="AC58" s="15">
        <f>IF(AC66&gt;0,AC66*$AC$57,0)</f>
        <v>-2.1656019911349</v>
      </c>
      <c r="AD58" s="15">
        <f>IF(AD66&gt;0,AD66*$AC$57,0)</f>
        <v>-1.99365522491148</v>
      </c>
      <c r="AE58" s="15">
        <f>IF(AE66&gt;0,AE66*$AC$57,0)</f>
        <v>-1.89564556816414</v>
      </c>
      <c r="AF58" s="15">
        <f>IF(AF66&gt;0,AF66*$AC$57,0)</f>
        <v>-1.99071493520906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34</v>
      </c>
      <c r="AB59" s="14"/>
      <c r="AC59" s="15">
        <f>AC55+AC56+AC58</f>
        <v>-7.6762487464526</v>
      </c>
      <c r="AD59" s="15">
        <f>AD55+AD56+AD58</f>
        <v>-7.53876964246338</v>
      </c>
      <c r="AE59" s="15">
        <f>AE55+AE56+AE58</f>
        <v>-6.82010655318944</v>
      </c>
      <c r="AF59" s="15">
        <f>AF55+AF56+AF58</f>
        <v>-4.44376974978516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35</v>
      </c>
      <c r="AB60" s="14"/>
      <c r="AC60" s="15">
        <f>-MIN(0,AC59)</f>
        <v>7.6762487464526</v>
      </c>
      <c r="AD60" s="15">
        <f>-MIN(AC72,AD59)</f>
        <v>7.53876964246338</v>
      </c>
      <c r="AE60" s="15">
        <f>-MIN(AD72,AE59)</f>
        <v>6.82010655318944</v>
      </c>
      <c r="AF60" s="15">
        <f>-MIN(AE72,AF59)</f>
        <v>4.44376974978516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36</v>
      </c>
      <c r="AB61" s="14"/>
      <c r="AC61" s="15">
        <f>F26</f>
        <v>102</v>
      </c>
      <c r="AD61" s="15">
        <f>AC63</f>
        <v>102</v>
      </c>
      <c r="AE61" s="15">
        <f>AD63</f>
        <v>102</v>
      </c>
      <c r="AF61" s="15">
        <f>AE63</f>
        <v>102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37</v>
      </c>
      <c r="AB62" s="14"/>
      <c r="AC62" s="15">
        <f>AC55+AC56+AC58+AC60</f>
        <v>0</v>
      </c>
      <c r="AD62" s="15">
        <f>AD55+AD56+AD58+AD60</f>
        <v>0</v>
      </c>
      <c r="AE62" s="15">
        <f>AE55+AE56+AE58+AE60</f>
        <v>0</v>
      </c>
      <c r="AF62" s="15">
        <f>AF55+AF56+AF58+AF60</f>
        <v>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38</v>
      </c>
      <c r="AB63" s="14"/>
      <c r="AC63" s="15">
        <f>AC61+AC62</f>
        <v>102</v>
      </c>
      <c r="AD63" s="15">
        <f>AD61+AD62</f>
        <v>102</v>
      </c>
      <c r="AE63" s="15">
        <f>AE61+AE62</f>
        <v>102</v>
      </c>
      <c r="AF63" s="15">
        <f>AF61+AF62</f>
        <v>102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41">
        <v>4</v>
      </c>
      <c r="AB64" s="14"/>
      <c r="AC64" s="15"/>
      <c r="AD64" s="15"/>
      <c r="AE64" s="15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ht="20.05" customHeight="1">
      <c r="AA65" t="s" s="33">
        <v>3</v>
      </c>
      <c r="AB65" s="14"/>
      <c r="AC65" s="15">
        <f>-AVERAGE(D24:D26)</f>
        <v>-12.7333333333333</v>
      </c>
      <c r="AD65" s="15">
        <f>AC65</f>
        <v>-12.7333333333333</v>
      </c>
      <c r="AE65" s="15">
        <f>AD65</f>
        <v>-12.7333333333333</v>
      </c>
      <c r="AF65" s="15">
        <f>AE65</f>
        <v>-12.7333333333333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</v>
      </c>
      <c r="AB66" s="14"/>
      <c r="AC66" s="15">
        <f>(AC52*AC53)+AC65</f>
        <v>21.656019911349</v>
      </c>
      <c r="AD66" s="15">
        <f>(AD52*AD53)+AD65</f>
        <v>19.9365522491148</v>
      </c>
      <c r="AE66" s="15">
        <f>(AE52*AE53)+AE65</f>
        <v>18.9564556816414</v>
      </c>
      <c r="AF66" s="15">
        <f>(AF52*AF53)+AF65</f>
        <v>19.9071493520906</v>
      </c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41">
        <v>39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40</v>
      </c>
      <c r="AB68" s="14"/>
      <c r="AC68" s="15">
        <f>H26-F26-AC54</f>
        <v>1311.2</v>
      </c>
      <c r="AD68" s="15">
        <f>AC68-AD54</f>
        <v>1317.4</v>
      </c>
      <c r="AE68" s="15">
        <f>AD68-AE54</f>
        <v>1323.6</v>
      </c>
      <c r="AF68" s="15">
        <f>AE68-AF54</f>
        <v>1329.8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41</v>
      </c>
      <c r="AB69" s="14"/>
      <c r="AC69" s="15">
        <f>0-AC65</f>
        <v>12.7333333333333</v>
      </c>
      <c r="AD69" s="15">
        <f>AC69-AD65</f>
        <v>25.4666666666666</v>
      </c>
      <c r="AE69" s="15">
        <f>AD69-AE65</f>
        <v>38.1999999999999</v>
      </c>
      <c r="AF69" s="15">
        <f>AE69-AF65</f>
        <v>50.9333333333332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42</v>
      </c>
      <c r="AB70" s="14"/>
      <c r="AC70" s="15">
        <f>AC68-AC69</f>
        <v>1298.466666666670</v>
      </c>
      <c r="AD70" s="15">
        <f>AD68-AD69</f>
        <v>1291.933333333330</v>
      </c>
      <c r="AE70" s="15">
        <f>AE68-AE69</f>
        <v>1285.4</v>
      </c>
      <c r="AF70" s="15">
        <f>AF68-AF69</f>
        <v>1278.866666666670</v>
      </c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ht="20.05" customHeight="1">
      <c r="AA71" t="s" s="33">
        <v>6</v>
      </c>
      <c r="AB71" s="14"/>
      <c r="AC71" s="15">
        <f>G26+AC56</f>
        <v>640.3</v>
      </c>
      <c r="AD71" s="15">
        <f>AC71+AD56</f>
        <v>608.285</v>
      </c>
      <c r="AE71" s="15">
        <f>AD71+AE56</f>
        <v>577.87075</v>
      </c>
      <c r="AF71" s="15">
        <f>AE71+AF56</f>
        <v>548.9772125</v>
      </c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ht="20.05" customHeight="1">
      <c r="AA72" t="s" s="33">
        <v>35</v>
      </c>
      <c r="AB72" s="14"/>
      <c r="AC72" s="15">
        <f>AC60</f>
        <v>7.6762487464526</v>
      </c>
      <c r="AD72" s="15">
        <f>AC72+AD60</f>
        <v>15.215018388916</v>
      </c>
      <c r="AE72" s="15">
        <f>AD72+AE60</f>
        <v>22.0351249421054</v>
      </c>
      <c r="AF72" s="15">
        <f>AE72+AF60</f>
        <v>26.4788946918906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11</v>
      </c>
      <c r="AB73" s="14"/>
      <c r="AC73" s="15">
        <f>(H26-G26)+AC66+AC58</f>
        <v>752.490417920214</v>
      </c>
      <c r="AD73" s="15">
        <f>AC73+AD66+AD58</f>
        <v>770.433314944417</v>
      </c>
      <c r="AE73" s="15">
        <f>AD73+AE66+AE58</f>
        <v>787.4941250578941</v>
      </c>
      <c r="AF73" s="15">
        <f>AE73+AF66+AF58</f>
        <v>805.4105594747761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43</v>
      </c>
      <c r="AB74" s="14"/>
      <c r="AC74" s="15">
        <f>AC71+AC72+AC73-AC63-AC70</f>
        <v>-3.4e-12</v>
      </c>
      <c r="AD74" s="15">
        <f>AD71+AD72+AD73-AD63-AD70</f>
        <v>3e-12</v>
      </c>
      <c r="AE74" s="15">
        <f>AE71+AE72+AE73-AE63-AE70</f>
        <v>-6e-13</v>
      </c>
      <c r="AF74" s="15">
        <f>AF71+AF72+AF73-AF63-AF70</f>
        <v>-3.4e-12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18</v>
      </c>
      <c r="AB75" s="14"/>
      <c r="AC75" s="15">
        <f>AC63-AC71-AC72</f>
        <v>-545.9762487464531</v>
      </c>
      <c r="AD75" s="15">
        <f>AD63-AD71-AD72</f>
        <v>-521.500018388916</v>
      </c>
      <c r="AE75" s="15">
        <f>AE63-AE71-AE72</f>
        <v>-497.905874942105</v>
      </c>
      <c r="AF75" s="15">
        <f>AF63-AF71-AF72</f>
        <v>-473.456107191891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44</v>
      </c>
      <c r="AB76" s="14"/>
      <c r="AC76" s="15">
        <f>AC56+AC58+AC60</f>
        <v>-28.1893532446823</v>
      </c>
      <c r="AD76" s="15">
        <f>AD56+AD58+AD60</f>
        <v>-26.4698855824481</v>
      </c>
      <c r="AE76" s="15">
        <f>AE56+AE58+AE60</f>
        <v>-25.4897890149747</v>
      </c>
      <c r="AF76" s="15">
        <f>AF56+AF58+AF60</f>
        <v>-26.4404826854239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45</v>
      </c>
      <c r="AB77" s="14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ht="20.05" customHeight="1">
      <c r="AA78" t="s" s="33">
        <f>X$3</f>
        <v>651</v>
      </c>
      <c r="AB78" s="14"/>
      <c r="AC78" s="15"/>
      <c r="AD78" s="15"/>
      <c r="AE78" s="15"/>
      <c r="AF78" s="15">
        <v>1070</v>
      </c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ht="20.05" customHeight="1">
      <c r="AA79" t="s" s="33">
        <f>$AA78</f>
        <v>651</v>
      </c>
      <c r="AB79" s="14"/>
      <c r="AC79" s="15"/>
      <c r="AD79" s="15"/>
      <c r="AE79" s="15"/>
      <c r="AF79" s="15">
        <v>433350000000</v>
      </c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ht="20.05" customHeight="1">
      <c r="AA80" t="s" s="33">
        <v>46</v>
      </c>
      <c r="AB80" s="14"/>
      <c r="AC80" s="15"/>
      <c r="AD80" s="15"/>
      <c r="AE80" s="15"/>
      <c r="AF80" s="15">
        <f>AF79/1000000000</f>
        <v>433.35</v>
      </c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ht="20.05" customHeight="1">
      <c r="AA81" t="s" s="33">
        <v>47</v>
      </c>
      <c r="AB81" s="14"/>
      <c r="AC81" s="15"/>
      <c r="AD81" s="15"/>
      <c r="AE81" s="15"/>
      <c r="AF81" s="15">
        <f>AF80/AF78</f>
        <v>0.405</v>
      </c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ht="20.05" customHeight="1">
      <c r="AA82" t="s" s="33">
        <v>48</v>
      </c>
      <c r="AB82" s="14"/>
      <c r="AC82" s="15"/>
      <c r="AD82" s="15"/>
      <c r="AE82" s="15"/>
      <c r="AF82" s="43">
        <f>AF80/(AF63+AF70)</f>
        <v>0.313824651185245</v>
      </c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</row>
    <row r="83" ht="20.05" customHeight="1">
      <c r="AA83" t="s" s="33">
        <v>49</v>
      </c>
      <c r="AB83" s="14"/>
      <c r="AC83" s="15"/>
      <c r="AD83" s="15"/>
      <c r="AE83" s="15"/>
      <c r="AF83" s="16">
        <f>-(AC58+AD58+AE58+AF58)/AF80</f>
        <v>0.0185660960411205</v>
      </c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</row>
    <row r="84" ht="20.05" customHeight="1">
      <c r="AA84" t="s" s="33">
        <v>50</v>
      </c>
      <c r="AB84" s="14"/>
      <c r="AC84" s="15"/>
      <c r="AD84" s="15"/>
      <c r="AE84" s="15">
        <f>SUM(J23:K26)</f>
        <v>64.09999999999999</v>
      </c>
      <c r="AF84" s="15">
        <f>SUM(AC55:AF55)</f>
        <v>106.589510527529</v>
      </c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ht="20.05" customHeight="1">
      <c r="AA85" t="s" s="33">
        <v>51</v>
      </c>
      <c r="AB85" s="14"/>
      <c r="AC85" s="15"/>
      <c r="AD85" s="15"/>
      <c r="AE85" s="15"/>
      <c r="AF85" s="15">
        <f>AF70/AF84</f>
        <v>11.9980536577882</v>
      </c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ht="20.05" customHeight="1">
      <c r="AA86" t="s" s="33">
        <v>52</v>
      </c>
      <c r="AB86" s="14"/>
      <c r="AC86" s="15"/>
      <c r="AD86" s="15"/>
      <c r="AE86" s="15">
        <f>AF80/AF84</f>
        <v>4.06559705411236</v>
      </c>
      <c r="AF86" s="15">
        <v>5</v>
      </c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ht="20.05" customHeight="1">
      <c r="AA87" t="s" s="33">
        <v>53</v>
      </c>
      <c r="AB87" s="14"/>
      <c r="AC87" s="15"/>
      <c r="AD87" s="15"/>
      <c r="AE87" s="15"/>
      <c r="AF87" s="15">
        <f>AF84*AF86</f>
        <v>532.947552637645</v>
      </c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ht="20.05" customHeight="1">
      <c r="AA88" t="s" s="33">
        <v>54</v>
      </c>
      <c r="AB88" s="14"/>
      <c r="AC88" s="15"/>
      <c r="AD88" s="15"/>
      <c r="AE88" s="15"/>
      <c r="AF88" s="15">
        <f>(AF87/AF81)</f>
        <v>1315.919883055910</v>
      </c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ht="20.05" customHeight="1">
      <c r="AA89" t="s" s="33">
        <v>55</v>
      </c>
      <c r="AB89" s="38"/>
      <c r="AC89" s="23"/>
      <c r="AD89" s="23"/>
      <c r="AE89" s="23"/>
      <c r="AF89" s="16">
        <f>AF88/AF78-1</f>
        <v>0.229831666407393</v>
      </c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</row>
    <row r="90" ht="20.05" customHeight="1">
      <c r="AA90" t="s" s="33">
        <v>56</v>
      </c>
      <c r="AB90" s="38"/>
      <c r="AC90" s="23"/>
      <c r="AD90" s="23"/>
      <c r="AE90" s="23"/>
      <c r="AF90" s="16">
        <f>C26/C22-1</f>
        <v>0.08799853640687889</v>
      </c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</row>
    <row r="91" ht="20.05" customHeight="1">
      <c r="AA91" t="s" s="33">
        <v>57</v>
      </c>
      <c r="AB91" s="38"/>
      <c r="AC91" s="23"/>
      <c r="AD91" s="23"/>
      <c r="AE91" s="23"/>
      <c r="AF91" s="16">
        <f>O28/N28-1</f>
        <v>0.0596964068762306</v>
      </c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</row>
    <row r="92" ht="20.05" customHeight="1">
      <c r="AA92" s="36"/>
      <c r="AB92" s="38"/>
      <c r="AC92" s="23"/>
      <c r="AD92" s="23"/>
      <c r="AE92" s="23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</row>
    <row r="93" ht="20.05" customHeight="1">
      <c r="AA93" s="36"/>
      <c r="AB93" s="38"/>
      <c r="AC93" t="s" s="44">
        <f>$AA78</f>
        <v>651</v>
      </c>
      <c r="AD93" t="s" s="44">
        <f>AC115</f>
        <v>15</v>
      </c>
      <c r="AE93" t="s" s="44">
        <f>AD115</f>
        <v>360</v>
      </c>
      <c r="AF93" t="s" s="44">
        <f>AE115</f>
        <v>59</v>
      </c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</row>
    <row r="94" ht="20.05" customHeight="1">
      <c r="AA94" s="36"/>
      <c r="AB94" s="45"/>
      <c r="AC94" t="s" s="44">
        <v>60</v>
      </c>
      <c r="AD94" s="15">
        <f>AF78</f>
        <v>1070</v>
      </c>
      <c r="AE94" t="s" s="44">
        <v>61</v>
      </c>
      <c r="AF94" s="15">
        <f>AF88</f>
        <v>1315.919883055910</v>
      </c>
      <c r="AG94" t="s" s="44">
        <f>IF(AH94&gt;0,"+","")</f>
        <v>361</v>
      </c>
      <c r="AH94" s="16">
        <f>AF94/AD94-1</f>
        <v>0.229831666407393</v>
      </c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20.05" customHeight="1">
      <c r="AA95" s="36"/>
      <c r="AB95" s="46"/>
      <c r="AC95" s="47">
        <f>TODAY()</f>
        <v>44942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ht="32.05" customHeight="1">
      <c r="AA96" s="36"/>
      <c r="AB96" s="34"/>
      <c r="AC96" t="s" s="44">
        <v>62</v>
      </c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32.05" customHeight="1">
      <c r="AA97" s="36"/>
      <c r="AB97" s="34"/>
      <c r="AC97" t="s" s="44">
        <v>63</v>
      </c>
      <c r="AD97" t="s" s="44">
        <v>64</v>
      </c>
      <c r="AE97" t="s" s="44">
        <f>IF(AF97&gt;0,"+","")</f>
        <v>361</v>
      </c>
      <c r="AF97" s="16">
        <f>AK104/AC104-1</f>
        <v>0.08799853640687889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32.05" customHeight="1">
      <c r="AA98" s="36"/>
      <c r="AB98" s="34"/>
      <c r="AC98" t="s" s="44">
        <v>63</v>
      </c>
      <c r="AD98" t="s" s="44">
        <v>65</v>
      </c>
      <c r="AE98" t="s" s="44">
        <f>IF(AF98&gt;0,"+","")</f>
        <v>361</v>
      </c>
      <c r="AF98" s="16">
        <f>(AE119+AE120+AG119+AG120+AI119+AI120+AK119+AK120)/AD136</f>
        <v>0.147917387792777</v>
      </c>
      <c r="AG98" t="s" s="44">
        <v>66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68.05" customHeight="1">
      <c r="AA99" s="36"/>
      <c r="AB99" s="34"/>
      <c r="AC99" t="s" s="44">
        <v>63</v>
      </c>
      <c r="AD99" t="s" s="44">
        <v>67</v>
      </c>
      <c r="AE99" t="s" s="44">
        <f>IF(AF99&gt;0,"+","")</f>
      </c>
      <c r="AF99" s="16">
        <f>(AE133+AE134+AG133+AG134+AI133+AI134+AK133+AK134)/AD136</f>
        <v>-0.103842159916926</v>
      </c>
      <c r="AG99" t="s" s="44">
        <f>AG98</f>
        <v>66</v>
      </c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68</v>
      </c>
      <c r="AD100" t="s" s="44">
        <v>69</v>
      </c>
      <c r="AE100" s="16">
        <f>AN129/AD136</f>
        <v>-1.31994923272182</v>
      </c>
      <c r="AF100" t="s" s="44">
        <f>AG99</f>
        <v>66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ht="20.05" customHeight="1">
      <c r="AA101" s="36"/>
      <c r="AB101" s="34"/>
      <c r="AC101" t="s" s="44">
        <v>28</v>
      </c>
      <c r="AD101" t="s" s="44">
        <f>AD105</f>
        <v>362</v>
      </c>
      <c r="AE101" s="16">
        <f>AE105</f>
        <v>0.0709526382135782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68.05" customHeight="1">
      <c r="AA102" s="36"/>
      <c r="AB102" s="34"/>
      <c r="AC102" t="s" s="44">
        <v>70</v>
      </c>
      <c r="AD102" t="s" s="44">
        <v>71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s="16">
        <f>P22</f>
        <v>-0.0163757423070002</v>
      </c>
      <c r="AD103" s="16">
        <f>P23</f>
        <v>0.202524698133919</v>
      </c>
      <c r="AE103" s="16">
        <f>P24</f>
        <v>-0.0695268522744561</v>
      </c>
      <c r="AF103" s="16">
        <f>P25</f>
        <v>-0.092053629823414</v>
      </c>
      <c r="AG103" s="16">
        <f>P26</f>
        <v>0.0709526382135782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32.05" customHeight="1">
      <c r="AA104" s="36"/>
      <c r="AB104" s="34"/>
      <c r="AC104" s="15">
        <f>C22</f>
        <v>546.6</v>
      </c>
      <c r="AD104" t="s" s="44">
        <v>72</v>
      </c>
      <c r="AE104" s="15">
        <f>C23</f>
        <v>657.3</v>
      </c>
      <c r="AF104" t="s" s="44">
        <v>72</v>
      </c>
      <c r="AG104" s="15">
        <f>C24</f>
        <v>611.6</v>
      </c>
      <c r="AH104" t="s" s="44">
        <v>72</v>
      </c>
      <c r="AI104" s="15">
        <f>C25</f>
        <v>555.3</v>
      </c>
      <c r="AJ104" t="s" s="44">
        <v>72</v>
      </c>
      <c r="AK104" s="15">
        <f>C26</f>
        <v>594.7</v>
      </c>
      <c r="AL104" t="s" s="48">
        <f>AA$47</f>
        <v>22</v>
      </c>
      <c r="AM104" s="17"/>
      <c r="AN104" s="17"/>
      <c r="AO104" s="17"/>
      <c r="AP104" s="17"/>
      <c r="AQ104" s="17"/>
      <c r="AR104" s="17"/>
      <c r="AS104" s="17"/>
      <c r="AT104" s="17"/>
    </row>
    <row r="105" ht="56.05" customHeight="1">
      <c r="AA105" s="36"/>
      <c r="AB105" s="34"/>
      <c r="AC105" t="s" s="44">
        <v>2</v>
      </c>
      <c r="AD105" t="s" s="44">
        <f>IF(AE105&lt;0,"declined","grew")</f>
        <v>362</v>
      </c>
      <c r="AE105" s="16">
        <f>AK104/AI104-1</f>
        <v>0.0709526382135782</v>
      </c>
      <c r="AF105" t="s" s="44">
        <v>73</v>
      </c>
      <c r="AG105" t="s" s="44">
        <v>74</v>
      </c>
      <c r="AH105" t="s" s="44">
        <v>75</v>
      </c>
      <c r="AI105" t="s" s="44">
        <v>76</v>
      </c>
      <c r="AJ105" s="15">
        <f>AK104</f>
        <v>594.7</v>
      </c>
      <c r="AK105" t="s" s="48">
        <f>AL104</f>
        <v>22</v>
      </c>
      <c r="AL105" t="s" s="44">
        <v>77</v>
      </c>
      <c r="AM105" t="s" s="44">
        <f>IF(AN105&gt;0,"+","")</f>
        <v>361</v>
      </c>
      <c r="AN105" s="16">
        <f>AF91</f>
        <v>0.0596964068762306</v>
      </c>
      <c r="AO105" t="s" s="44">
        <v>78</v>
      </c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v>79</v>
      </c>
      <c r="AD106" s="16">
        <f>AVERAGE(AD103:AG103)</f>
        <v>0.0279742135624068</v>
      </c>
      <c r="AE106" t="s" s="44">
        <v>80</v>
      </c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56.05" customHeight="1">
      <c r="AA107" s="36"/>
      <c r="AB107" s="34"/>
      <c r="AC107" t="s" s="44">
        <v>81</v>
      </c>
      <c r="AD107" s="35">
        <f>AF49</f>
        <v>0.025</v>
      </c>
      <c r="AE107" t="s" s="44">
        <v>82</v>
      </c>
      <c r="AF107" t="s" s="44">
        <v>83</v>
      </c>
      <c r="AG107" s="23">
        <f>AF52</f>
        <v>649.125011225</v>
      </c>
      <c r="AH107" t="s" s="48">
        <f>AL104</f>
        <v>22</v>
      </c>
      <c r="AI107" t="s" s="44">
        <v>84</v>
      </c>
      <c r="AJ107" t="s" s="44">
        <f>AG105</f>
        <v>74</v>
      </c>
      <c r="AK107" t="s" s="44">
        <f>AH105</f>
        <v>75</v>
      </c>
      <c r="AL107" t="s" s="44">
        <v>85</v>
      </c>
      <c r="AM107" s="17"/>
      <c r="AN107" s="17"/>
      <c r="AO107" s="17"/>
      <c r="AP107" s="17"/>
      <c r="AQ107" s="17"/>
      <c r="AR107" s="17"/>
      <c r="AS107" s="17"/>
      <c r="AT107" s="17"/>
    </row>
    <row r="108" ht="20.05" customHeight="1">
      <c r="AA108" s="36"/>
      <c r="AB108" s="34"/>
      <c r="AC108" t="s" s="44">
        <v>14</v>
      </c>
      <c r="AD108" t="s" s="44">
        <f>IF(AF112&lt;AD112,"down","up")</f>
        <v>108</v>
      </c>
      <c r="AE108" t="s" s="44">
        <v>86</v>
      </c>
      <c r="AF108" t="s" s="44">
        <f>IF(AJ112&gt;AH112,"up","down")</f>
        <v>108</v>
      </c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f>AC102</f>
        <v>70</v>
      </c>
      <c r="AD109" t="s" s="44">
        <v>88</v>
      </c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ht="20.05" customHeight="1">
      <c r="AA110" s="36"/>
      <c r="AB110" s="34"/>
      <c r="AC110" s="16">
        <f>(D22+E22)/C22</f>
        <v>0.0510428100987925</v>
      </c>
      <c r="AD110" s="16">
        <f>(D23+E23)/C23</f>
        <v>0.0348394949033927</v>
      </c>
      <c r="AE110" s="16">
        <f>((E24+D24)/C24)</f>
        <v>0.0475801177240026</v>
      </c>
      <c r="AF110" s="16">
        <f>(D25+E25)/C25</f>
        <v>0.0533045200792364</v>
      </c>
      <c r="AG110" s="16">
        <f>(D26+E26)/C26</f>
        <v>0.0654111316630234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32.05" customHeight="1">
      <c r="AA111" s="36"/>
      <c r="AB111" s="34"/>
      <c r="AC111" s="15">
        <f>E22</f>
        <v>15.4</v>
      </c>
      <c r="AD111" t="s" s="44">
        <v>72</v>
      </c>
      <c r="AE111" s="15">
        <f>E23</f>
        <v>10.3</v>
      </c>
      <c r="AF111" t="s" s="44">
        <v>72</v>
      </c>
      <c r="AG111" s="15">
        <f>E24</f>
        <v>16.4</v>
      </c>
      <c r="AH111" t="s" s="44">
        <v>72</v>
      </c>
      <c r="AI111" s="15">
        <f>E25</f>
        <v>16.8</v>
      </c>
      <c r="AJ111" t="s" s="44">
        <v>72</v>
      </c>
      <c r="AK111" s="15">
        <f>E26</f>
        <v>26.2</v>
      </c>
      <c r="AL111" t="s" s="48">
        <f>AL104</f>
        <v>22</v>
      </c>
      <c r="AM111" s="17"/>
      <c r="AN111" s="17"/>
      <c r="AO111" s="17"/>
      <c r="AP111" s="17"/>
      <c r="AQ111" s="17"/>
      <c r="AR111" s="17"/>
      <c r="AS111" s="17"/>
      <c r="AT111" s="17"/>
    </row>
    <row r="112" ht="44.05" customHeight="1">
      <c r="AA112" s="36"/>
      <c r="AB112" s="34"/>
      <c r="AC112" t="s" s="44">
        <v>89</v>
      </c>
      <c r="AD112" s="16">
        <f>AF110</f>
        <v>0.0533045200792364</v>
      </c>
      <c r="AE112" t="s" s="44">
        <v>76</v>
      </c>
      <c r="AF112" s="16">
        <f>AG110</f>
        <v>0.0654111316630234</v>
      </c>
      <c r="AG112" t="s" s="44">
        <v>90</v>
      </c>
      <c r="AH112" s="15">
        <f>AI111</f>
        <v>16.8</v>
      </c>
      <c r="AI112" t="s" s="44">
        <v>76</v>
      </c>
      <c r="AJ112" s="15">
        <f>AK111</f>
        <v>26.2</v>
      </c>
      <c r="AK112" t="s" s="48">
        <f>AH107</f>
        <v>22</v>
      </c>
      <c r="AL112" t="s" s="44">
        <v>73</v>
      </c>
      <c r="AM112" t="s" s="44">
        <f>AJ107</f>
        <v>74</v>
      </c>
      <c r="AN112" t="s" s="44">
        <v>91</v>
      </c>
      <c r="AO112" s="17"/>
      <c r="AP112" s="17"/>
      <c r="AQ112" s="17"/>
      <c r="AR112" s="17"/>
      <c r="AS112" s="17"/>
      <c r="AT112" s="17"/>
    </row>
    <row r="113" ht="68.05" customHeight="1">
      <c r="AA113" s="36"/>
      <c r="AB113" s="34"/>
      <c r="AC113" t="s" s="44">
        <v>92</v>
      </c>
      <c r="AD113" s="16">
        <f>AVERAGE(AD110:AG110)</f>
        <v>0.0502838160924138</v>
      </c>
      <c r="AE113" t="s" s="44">
        <v>78</v>
      </c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44.05" customHeight="1">
      <c r="AA114" s="36"/>
      <c r="AB114" s="34"/>
      <c r="AC114" t="s" s="44">
        <v>93</v>
      </c>
      <c r="AD114" s="35">
        <f>AC53</f>
        <v>0.0502838160924138</v>
      </c>
      <c r="AE114" t="s" s="44">
        <v>94</v>
      </c>
      <c r="AF114" s="15">
        <f>AF66</f>
        <v>19.9071493520906</v>
      </c>
      <c r="AG114" t="s" s="48">
        <f>AK112</f>
        <v>22</v>
      </c>
      <c r="AH114" t="s" s="44">
        <v>95</v>
      </c>
      <c r="AI114" t="s" s="44">
        <f>AM112</f>
        <v>74</v>
      </c>
      <c r="AJ114" t="s" s="44">
        <f>AH105</f>
        <v>75</v>
      </c>
      <c r="AK114" t="s" s="44">
        <f>AL107</f>
        <v>85</v>
      </c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ht="20.05" customHeight="1">
      <c r="AA115" s="36"/>
      <c r="AB115" s="34"/>
      <c r="AC115" t="s" s="44">
        <v>15</v>
      </c>
      <c r="AD115" t="s" s="44">
        <f>IF(AD117&gt;AC117,"more","less")</f>
        <v>360</v>
      </c>
      <c r="AE115" t="s" s="44">
        <f>IF(AF121&lt;0,"negative","positive")</f>
        <v>59</v>
      </c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ht="8.35" customHeight="1" hidden="1">
      <c r="AA116" s="36"/>
      <c r="AB116" s="34"/>
      <c r="AC116" s="17"/>
      <c r="AD116" s="15">
        <f>ABS(AD121)</f>
        <v>110.9</v>
      </c>
      <c r="AE116" s="15">
        <f>ABS(AF121)</f>
        <v>114.5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8.35" customHeight="1" hidden="1">
      <c r="AA117" s="36"/>
      <c r="AB117" s="34"/>
      <c r="AC117" s="15">
        <f>ABS(AD121)</f>
        <v>110.9</v>
      </c>
      <c r="AD117" s="15">
        <f>ABS(AF121)</f>
        <v>114.5</v>
      </c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ht="56.05" customHeight="1">
      <c r="AA118" s="36"/>
      <c r="AB118" s="34"/>
      <c r="AC118" t="s" s="44">
        <f>AC109</f>
        <v>70</v>
      </c>
      <c r="AD118" t="s" s="44">
        <v>96</v>
      </c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ht="32.05" customHeight="1">
      <c r="AA119" s="36"/>
      <c r="AB119" s="34"/>
      <c r="AC119" s="15">
        <f>J22</f>
        <v>-39.45</v>
      </c>
      <c r="AD119" t="s" s="44">
        <v>72</v>
      </c>
      <c r="AE119" s="15">
        <f>J23</f>
        <v>66.3</v>
      </c>
      <c r="AF119" t="s" s="44">
        <v>72</v>
      </c>
      <c r="AG119" s="15">
        <f>J24</f>
        <v>1.1</v>
      </c>
      <c r="AH119" t="s" s="44">
        <v>72</v>
      </c>
      <c r="AI119" s="15">
        <f>J25</f>
        <v>-104.4</v>
      </c>
      <c r="AJ119" t="s" s="44">
        <v>72</v>
      </c>
      <c r="AK119" s="15">
        <f>J26</f>
        <v>120.7</v>
      </c>
      <c r="AL119" t="s" s="48">
        <f>AL104</f>
        <v>22</v>
      </c>
      <c r="AM119" s="17"/>
      <c r="AN119" s="17"/>
      <c r="AO119" s="17"/>
      <c r="AP119" s="17"/>
      <c r="AQ119" s="17"/>
      <c r="AR119" s="17"/>
      <c r="AS119" s="17"/>
      <c r="AT119" s="17"/>
    </row>
    <row r="120" ht="32.05" customHeight="1">
      <c r="AA120" s="36"/>
      <c r="AB120" s="34"/>
      <c r="AC120" s="15">
        <f>K22</f>
        <v>-4.9</v>
      </c>
      <c r="AD120" t="s" s="44">
        <v>72</v>
      </c>
      <c r="AE120" s="15">
        <f>K23</f>
        <v>-2.7</v>
      </c>
      <c r="AF120" t="s" s="44">
        <v>72</v>
      </c>
      <c r="AG120" s="15">
        <f>K24</f>
        <v>-4.2</v>
      </c>
      <c r="AH120" t="s" s="44">
        <v>72</v>
      </c>
      <c r="AI120" s="15">
        <f>K25</f>
        <v>-6.5</v>
      </c>
      <c r="AJ120" t="s" s="44">
        <v>72</v>
      </c>
      <c r="AK120" s="15">
        <f>K26</f>
        <v>-6.2</v>
      </c>
      <c r="AL120" t="s" s="48">
        <f>AL119</f>
        <v>22</v>
      </c>
      <c r="AM120" s="17"/>
      <c r="AN120" s="17"/>
      <c r="AO120" s="17"/>
      <c r="AP120" s="17"/>
      <c r="AQ120" s="17"/>
      <c r="AR120" s="17"/>
      <c r="AS120" s="17"/>
      <c r="AT120" s="17"/>
    </row>
    <row r="121" ht="44.05" customHeight="1">
      <c r="AA121" s="36"/>
      <c r="AB121" s="34"/>
      <c r="AC121" t="s" s="44">
        <v>97</v>
      </c>
      <c r="AD121" s="15">
        <f>AI119+AI120</f>
        <v>-110.9</v>
      </c>
      <c r="AE121" t="s" s="44">
        <v>76</v>
      </c>
      <c r="AF121" s="15">
        <f>AK119+AK120</f>
        <v>114.5</v>
      </c>
      <c r="AG121" t="s" s="48">
        <f>AG114</f>
        <v>22</v>
      </c>
      <c r="AH121" t="s" s="44">
        <v>84</v>
      </c>
      <c r="AI121" t="s" s="44">
        <f>AI114</f>
        <v>74</v>
      </c>
      <c r="AJ121" t="s" s="44">
        <v>98</v>
      </c>
      <c r="AK121" s="15">
        <f>AK120</f>
        <v>-6.2</v>
      </c>
      <c r="AL121" t="s" s="48">
        <f>AL104</f>
        <v>22</v>
      </c>
      <c r="AM121" t="s" s="44">
        <v>99</v>
      </c>
      <c r="AN121" s="17"/>
      <c r="AO121" s="17"/>
      <c r="AP121" s="17"/>
      <c r="AQ121" s="17"/>
      <c r="AR121" s="17"/>
      <c r="AS121" s="17"/>
      <c r="AT121" s="17"/>
    </row>
    <row r="122" ht="56.05" customHeight="1">
      <c r="AA122" s="36"/>
      <c r="AB122" s="34"/>
      <c r="AC122" t="s" s="44">
        <v>100</v>
      </c>
      <c r="AD122" s="15">
        <f>(AE119+AE120+AG119+AG120+AI119+AI120+AK119+AK120)/4</f>
        <v>16.025</v>
      </c>
      <c r="AE122" t="s" s="48">
        <f>AL104</f>
        <v>22</v>
      </c>
      <c r="AF122" t="s" s="44">
        <v>78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v>101</v>
      </c>
      <c r="AD123" s="15">
        <f>AC54</f>
        <v>-6.2</v>
      </c>
      <c r="AE123" t="s" s="48">
        <f>AE122</f>
        <v>22</v>
      </c>
      <c r="AF123" t="s" s="44">
        <v>102</v>
      </c>
      <c r="AG123" t="s" s="44">
        <v>103</v>
      </c>
      <c r="AH123" t="s" s="44">
        <f>IF(AG107&gt;AJ105,"higher","lower")</f>
        <v>363</v>
      </c>
      <c r="AI123" t="s" s="44">
        <v>105</v>
      </c>
      <c r="AJ123" s="15">
        <f>SUM(AC55:AF55)/4</f>
        <v>26.6473776318823</v>
      </c>
      <c r="AK123" t="s" s="48">
        <f>AE123</f>
        <v>22</v>
      </c>
      <c r="AL123" t="s" s="44">
        <v>106</v>
      </c>
      <c r="AM123" t="s" s="44">
        <v>107</v>
      </c>
      <c r="AN123" s="17"/>
      <c r="AO123" s="17"/>
      <c r="AP123" s="17"/>
      <c r="AQ123" s="17"/>
      <c r="AR123" s="17"/>
      <c r="AS123" s="17"/>
      <c r="AT123" s="17"/>
    </row>
    <row r="124" ht="20.05" customHeight="1">
      <c r="AA124" s="36"/>
      <c r="AB124" s="34"/>
      <c r="AC124" t="s" s="44">
        <v>18</v>
      </c>
      <c r="AD124" t="s" s="44">
        <f>AK129</f>
        <v>108</v>
      </c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ht="32.05" customHeight="1">
      <c r="AA125" s="36"/>
      <c r="AB125" s="34"/>
      <c r="AC125" t="s" s="44">
        <f>AC102</f>
        <v>70</v>
      </c>
      <c r="AD125" t="s" s="44">
        <v>109</v>
      </c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ht="32.05" customHeight="1">
      <c r="AA126" s="36"/>
      <c r="AB126" s="34"/>
      <c r="AC126" s="15">
        <f>F22</f>
        <v>45</v>
      </c>
      <c r="AD126" t="s" s="44">
        <v>72</v>
      </c>
      <c r="AE126" s="15">
        <f>F23</f>
        <v>81</v>
      </c>
      <c r="AF126" t="s" s="44">
        <v>72</v>
      </c>
      <c r="AG126" s="15">
        <f>F24</f>
        <v>42</v>
      </c>
      <c r="AH126" t="s" s="44">
        <v>72</v>
      </c>
      <c r="AI126" s="15">
        <f>F25</f>
        <v>58</v>
      </c>
      <c r="AJ126" t="s" s="44">
        <v>72</v>
      </c>
      <c r="AK126" s="15">
        <f>F26</f>
        <v>102</v>
      </c>
      <c r="AL126" t="s" s="48">
        <f>AL104</f>
        <v>22</v>
      </c>
      <c r="AM126" s="17"/>
      <c r="AN126" s="17"/>
      <c r="AO126" s="17"/>
      <c r="AP126" s="17"/>
      <c r="AQ126" s="17"/>
      <c r="AR126" s="17"/>
      <c r="AS126" s="17"/>
      <c r="AT126" s="17"/>
    </row>
    <row r="127" ht="32.05" customHeight="1">
      <c r="AA127" s="36"/>
      <c r="AB127" s="34"/>
      <c r="AC127" s="15">
        <f>G22</f>
        <v>640</v>
      </c>
      <c r="AD127" t="s" s="44">
        <v>72</v>
      </c>
      <c r="AE127" s="15">
        <f>G23</f>
        <v>629</v>
      </c>
      <c r="AF127" t="s" s="44">
        <v>72</v>
      </c>
      <c r="AG127" s="15">
        <f>G24</f>
        <v>712</v>
      </c>
      <c r="AH127" t="s" s="44">
        <v>72</v>
      </c>
      <c r="AI127" s="15">
        <f>G25</f>
        <v>801</v>
      </c>
      <c r="AJ127" t="s" s="44">
        <v>72</v>
      </c>
      <c r="AK127" s="15">
        <f>G26</f>
        <v>674</v>
      </c>
      <c r="AL127" t="s" s="48">
        <f>AL126</f>
        <v>22</v>
      </c>
      <c r="AM127" s="17"/>
      <c r="AN127" s="17"/>
      <c r="AO127" s="17"/>
      <c r="AP127" s="17"/>
      <c r="AQ127" s="17"/>
      <c r="AR127" s="17"/>
      <c r="AS127" s="17"/>
      <c r="AT127" s="17"/>
    </row>
    <row r="128" ht="32.05" customHeight="1">
      <c r="AA128" s="36"/>
      <c r="AB128" s="34"/>
      <c r="AC128" t="s" s="44">
        <v>110</v>
      </c>
      <c r="AD128" t="s" s="44">
        <f>IF(AG128&lt;AE128,"declined","increased")</f>
        <v>111</v>
      </c>
      <c r="AE128" s="15">
        <f>AI126</f>
        <v>58</v>
      </c>
      <c r="AF128" t="s" s="44">
        <v>76</v>
      </c>
      <c r="AG128" s="15">
        <f>AK126</f>
        <v>102</v>
      </c>
      <c r="AH128" t="s" s="48">
        <f>AK123</f>
        <v>22</v>
      </c>
      <c r="AI128" t="s" s="44">
        <v>84</v>
      </c>
      <c r="AJ128" t="s" s="44">
        <f>AG105</f>
        <v>74</v>
      </c>
      <c r="AK128" t="s" s="44">
        <f>AN112</f>
        <v>91</v>
      </c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32.05" customHeight="1">
      <c r="AA129" s="36"/>
      <c r="AB129" s="34"/>
      <c r="AC129" t="s" s="44">
        <v>112</v>
      </c>
      <c r="AD129" t="s" s="44">
        <f>IF(AG129&lt;AE129,"declined","increased")</f>
        <v>370</v>
      </c>
      <c r="AE129" s="15">
        <f>AI127</f>
        <v>801</v>
      </c>
      <c r="AF129" t="s" s="44">
        <v>76</v>
      </c>
      <c r="AG129" s="15">
        <f>AK127</f>
        <v>674</v>
      </c>
      <c r="AH129" t="s" s="48">
        <f>AH128</f>
        <v>22</v>
      </c>
      <c r="AI129" t="s" s="44">
        <v>113</v>
      </c>
      <c r="AJ129" t="s" s="44">
        <v>114</v>
      </c>
      <c r="AK129" t="s" s="44">
        <f>IF(AN129&lt;AL129,"down","up")</f>
        <v>108</v>
      </c>
      <c r="AL129" s="15">
        <f>AE128-AE129</f>
        <v>-743</v>
      </c>
      <c r="AM129" t="s" s="44">
        <v>76</v>
      </c>
      <c r="AN129" s="15">
        <f>AG128-AG129</f>
        <v>-572</v>
      </c>
      <c r="AO129" t="s" s="48">
        <f>AH129</f>
        <v>22</v>
      </c>
      <c r="AP129" t="s" s="44">
        <v>115</v>
      </c>
      <c r="AQ129" s="17"/>
      <c r="AR129" s="17"/>
      <c r="AS129" s="17"/>
      <c r="AT129" s="17"/>
    </row>
    <row r="130" ht="56.05" customHeight="1">
      <c r="AA130" s="36"/>
      <c r="AB130" s="34"/>
      <c r="AC130" t="s" s="44">
        <v>116</v>
      </c>
      <c r="AD130" s="15">
        <f>SUM(AC58:AF58)</f>
        <v>-8.04561771941958</v>
      </c>
      <c r="AE130" t="s" s="48">
        <f>AH129</f>
        <v>22</v>
      </c>
      <c r="AF130" t="s" s="44">
        <v>117</v>
      </c>
      <c r="AG130" t="s" s="44">
        <f>IF(AH130&gt;0,"+","")</f>
      </c>
      <c r="AH130" s="15">
        <f>AC56+AD56+AE56+AF56+AC60+AD60+AE60+AF60</f>
        <v>-98.5438928081094</v>
      </c>
      <c r="AI130" t="s" s="48">
        <f>AO129</f>
        <v>22</v>
      </c>
      <c r="AJ130" t="s" s="44">
        <v>118</v>
      </c>
      <c r="AK130" t="s" s="44">
        <v>119</v>
      </c>
      <c r="AL130" s="15">
        <f>AF75</f>
        <v>-473.456107191891</v>
      </c>
      <c r="AM130" t="s" s="48">
        <f>AH129</f>
        <v>22</v>
      </c>
      <c r="AN130" t="s" s="44">
        <v>120</v>
      </c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t="s" s="44">
        <v>17</v>
      </c>
      <c r="AD131" t="s" s="44">
        <f>AD135</f>
        <v>374</v>
      </c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68.05" customHeight="1">
      <c r="AA132" s="36"/>
      <c r="AB132" s="34"/>
      <c r="AC132" t="s" s="44">
        <f>AC102</f>
        <v>70</v>
      </c>
      <c r="AD132" t="s" s="44">
        <v>122</v>
      </c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32.05" customHeight="1">
      <c r="AA133" s="36"/>
      <c r="AB133" s="34"/>
      <c r="AC133" s="15">
        <f>-L22</f>
        <v>-26.5</v>
      </c>
      <c r="AD133" t="s" s="44">
        <v>72</v>
      </c>
      <c r="AE133" s="15">
        <f>-L23</f>
        <v>-26.5</v>
      </c>
      <c r="AF133" t="s" s="44">
        <v>72</v>
      </c>
      <c r="AG133" s="15">
        <f>-L24</f>
        <v>35.6</v>
      </c>
      <c r="AH133" t="s" s="44">
        <v>72</v>
      </c>
      <c r="AI133" s="15">
        <f>-L25</f>
        <v>-127</v>
      </c>
      <c r="AJ133" t="s" s="44">
        <v>72</v>
      </c>
      <c r="AK133" s="15">
        <f>-L26</f>
        <v>32.4</v>
      </c>
      <c r="AL133" t="s" s="48">
        <f>AL104</f>
        <v>22</v>
      </c>
      <c r="AM133" s="17"/>
      <c r="AN133" s="17"/>
      <c r="AO133" s="17"/>
      <c r="AP133" s="17"/>
      <c r="AQ133" s="17"/>
      <c r="AR133" s="17"/>
      <c r="AS133" s="17"/>
      <c r="AT133" s="17"/>
    </row>
    <row r="134" ht="32.05" customHeight="1">
      <c r="AA134" s="36"/>
      <c r="AB134" s="34"/>
      <c r="AC134" s="15">
        <f>-M22</f>
        <v>0</v>
      </c>
      <c r="AD134" t="s" s="44">
        <v>72</v>
      </c>
      <c r="AE134" s="15">
        <f>-M23</f>
        <v>0</v>
      </c>
      <c r="AF134" t="s" s="44">
        <v>72</v>
      </c>
      <c r="AG134" s="15">
        <f>-M24</f>
        <v>0</v>
      </c>
      <c r="AH134" t="s" s="44">
        <v>72</v>
      </c>
      <c r="AI134" s="15">
        <f>-M25</f>
        <v>0</v>
      </c>
      <c r="AJ134" t="s" s="44">
        <v>72</v>
      </c>
      <c r="AK134" s="15">
        <f>-M26</f>
        <v>40.5</v>
      </c>
      <c r="AL134" t="s" s="48">
        <f>AL133</f>
        <v>22</v>
      </c>
      <c r="AM134" s="17"/>
      <c r="AN134" s="17"/>
      <c r="AO134" s="17"/>
      <c r="AP134" s="17"/>
      <c r="AQ134" s="17"/>
      <c r="AR134" s="17"/>
      <c r="AS134" s="17"/>
      <c r="AT134" s="17"/>
    </row>
    <row r="135" ht="44.05" customHeight="1">
      <c r="AA135" s="36"/>
      <c r="AB135" s="34"/>
      <c r="AC135" t="s" s="44">
        <f>AC93</f>
        <v>651</v>
      </c>
      <c r="AD135" t="s" s="44">
        <f>IF(AE135&gt;0,"paid","(raised)")</f>
        <v>374</v>
      </c>
      <c r="AE135" s="15">
        <f>SUM(AK133:AK134)</f>
        <v>72.90000000000001</v>
      </c>
      <c r="AF135" t="s" s="48">
        <f>AL104</f>
        <v>22</v>
      </c>
      <c r="AG135" t="s" s="44">
        <f>AF105</f>
        <v>73</v>
      </c>
      <c r="AH135" t="s" s="44">
        <f>AG105</f>
        <v>74</v>
      </c>
      <c r="AI135" t="s" s="44">
        <f>AH105</f>
        <v>75</v>
      </c>
      <c r="AJ135" s="15">
        <f>AK133</f>
        <v>32.4</v>
      </c>
      <c r="AK135" t="s" s="48">
        <f>AL104</f>
        <v>22</v>
      </c>
      <c r="AL135" t="s" s="44">
        <v>123</v>
      </c>
      <c r="AM135" s="15">
        <f>AK134</f>
        <v>40.5</v>
      </c>
      <c r="AN135" t="s" s="48">
        <f>AL104</f>
        <v>22</v>
      </c>
      <c r="AO135" t="s" s="44">
        <v>124</v>
      </c>
      <c r="AP135" t="s" s="44">
        <v>125</v>
      </c>
      <c r="AQ135" t="s" s="44">
        <f>IF(AR135&gt;0,"pay","raise")</f>
        <v>364</v>
      </c>
      <c r="AR135" s="15">
        <f>-SUM(AC76:AF76)</f>
        <v>106.589510527529</v>
      </c>
      <c r="AS135" t="s" s="48">
        <f>AL104</f>
        <v>22</v>
      </c>
      <c r="AT135" t="s" s="44">
        <v>126</v>
      </c>
    </row>
    <row r="136" ht="56.05" customHeight="1">
      <c r="AA136" s="36"/>
      <c r="AB136" s="34"/>
      <c r="AC136" t="s" s="44">
        <v>127</v>
      </c>
      <c r="AD136" s="15">
        <f>AF80</f>
        <v>433.35</v>
      </c>
      <c r="AE136" t="s" s="48">
        <f>AL104</f>
        <v>22</v>
      </c>
      <c r="AF136" t="s" s="44">
        <v>128</v>
      </c>
      <c r="AG136" t="s" s="44">
        <v>129</v>
      </c>
      <c r="AH136" s="43">
        <f>AF82</f>
        <v>0.313824651185245</v>
      </c>
      <c r="AI136" t="s" s="44">
        <v>130</v>
      </c>
      <c r="AJ136" t="s" s="44">
        <v>131</v>
      </c>
      <c r="AK136" t="s" s="44">
        <v>132</v>
      </c>
      <c r="AL136" s="15">
        <f>AF85</f>
        <v>11.9980536577882</v>
      </c>
      <c r="AM136" t="s" s="44">
        <v>133</v>
      </c>
      <c r="AN136" s="16">
        <f>-AD130/AD136</f>
        <v>0.0185660960411205</v>
      </c>
      <c r="AO136" t="s" s="44">
        <v>134</v>
      </c>
      <c r="AP136" s="17"/>
      <c r="AQ136" s="17"/>
      <c r="AR136" s="17"/>
      <c r="AS136" s="17"/>
      <c r="AT136" s="17"/>
    </row>
    <row r="137" ht="56.05" customHeight="1">
      <c r="AA137" s="36"/>
      <c r="AB137" s="34"/>
      <c r="AC137" t="s" s="44">
        <v>135</v>
      </c>
      <c r="AD137" s="15">
        <f>AF84</f>
        <v>106.589510527529</v>
      </c>
      <c r="AE137" t="s" s="48">
        <f>AE136</f>
        <v>22</v>
      </c>
      <c r="AF137" t="s" s="44">
        <v>136</v>
      </c>
      <c r="AG137" s="15">
        <f>AD136/AD137</f>
        <v>4.06559705411236</v>
      </c>
      <c r="AH137" t="s" s="44">
        <v>130</v>
      </c>
      <c r="AI137" t="s" s="44">
        <v>137</v>
      </c>
      <c r="AJ137" t="s" s="44">
        <v>138</v>
      </c>
      <c r="AK137" s="15">
        <f>AF86</f>
        <v>5</v>
      </c>
      <c r="AL137" t="s" s="44">
        <v>139</v>
      </c>
      <c r="AM137" t="s" s="44">
        <v>140</v>
      </c>
      <c r="AN137" t="s" s="44">
        <v>141</v>
      </c>
      <c r="AO137" s="16">
        <f>AH94</f>
        <v>0.229831666407393</v>
      </c>
      <c r="AP137" t="s" s="44">
        <f>IF(AO137&gt;0,"higher","lower")</f>
        <v>363</v>
      </c>
      <c r="AQ137" t="s" s="44">
        <v>142</v>
      </c>
      <c r="AR137" s="15">
        <f>AF94</f>
        <v>1315.919883055910</v>
      </c>
      <c r="AS137" t="s" s="44">
        <v>143</v>
      </c>
      <c r="AT137" s="17"/>
    </row>
    <row r="138" ht="20.05" customHeight="1">
      <c r="AA138" s="36"/>
      <c r="AB138" s="34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ht="20.05" customHeight="1">
      <c r="AA139" t="s" s="33">
        <v>28</v>
      </c>
      <c r="AB139" s="14">
        <f>AC104</f>
        <v>546.6</v>
      </c>
      <c r="AC139" s="15">
        <f>AE104</f>
        <v>657.3</v>
      </c>
      <c r="AD139" s="15">
        <f>AG104</f>
        <v>611.6</v>
      </c>
      <c r="AE139" s="15">
        <f>AI104</f>
        <v>555.3</v>
      </c>
      <c r="AF139" s="15">
        <f>AK104</f>
        <v>594.7</v>
      </c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ht="20.05" customHeight="1">
      <c r="AA140" t="s" s="33">
        <v>144</v>
      </c>
      <c r="AB140" s="14">
        <f>SUM(AC119:AC120)</f>
        <v>-44.35</v>
      </c>
      <c r="AC140" s="15">
        <f>SUM(AE119:AE120)</f>
        <v>63.6</v>
      </c>
      <c r="AD140" s="15">
        <f>SUM(AG119:AG120)</f>
        <v>-3.1</v>
      </c>
      <c r="AE140" s="15">
        <f>SUM(AI119:AI120)</f>
        <v>-110.9</v>
      </c>
      <c r="AF140" s="15">
        <f>SUM(AK119:AK120)</f>
        <v>114.5</v>
      </c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ht="20.05" customHeight="1">
      <c r="AA141" t="s" s="33">
        <v>145</v>
      </c>
      <c r="AB141" s="14">
        <f>SUM(AC133:AC134)</f>
        <v>-26.5</v>
      </c>
      <c r="AC141" s="15">
        <f>SUM(AE133:AE134)</f>
        <v>-26.5</v>
      </c>
      <c r="AD141" s="15">
        <f>SUM(AG133:AG134)</f>
        <v>35.6</v>
      </c>
      <c r="AE141" s="15">
        <f>SUM(AI133:AI134)</f>
        <v>-127</v>
      </c>
      <c r="AF141" s="15">
        <f>SUM(AK133:AK134)</f>
        <v>72.90000000000001</v>
      </c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ht="20.05" customHeight="1">
      <c r="AA142" t="s" s="33">
        <v>146</v>
      </c>
      <c r="AB142" s="14">
        <f>(AC126-AC127)</f>
        <v>-595</v>
      </c>
      <c r="AC142" s="15">
        <f>(AE126-AE127)</f>
        <v>-548</v>
      </c>
      <c r="AD142" s="15">
        <f>(AG126-AG127)</f>
        <v>-670</v>
      </c>
      <c r="AE142" s="15">
        <f>(AI126-AI127)</f>
        <v>-743</v>
      </c>
      <c r="AF142" s="15">
        <f>(AK126-AK127)</f>
        <v>-572</v>
      </c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ht="20.05" customHeight="1">
      <c r="AA143" s="36"/>
      <c r="AB143" s="34"/>
      <c r="AC143" s="17"/>
      <c r="AD143" s="17"/>
      <c r="AE143" s="17"/>
      <c r="AF143" s="15">
        <f>AR137</f>
        <v>1315.919883055910</v>
      </c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ht="20.05" customHeight="1">
      <c r="AA144" s="36"/>
      <c r="AB144" s="34"/>
      <c r="AC144" s="17"/>
      <c r="AD144" s="17"/>
      <c r="AE144" s="17"/>
      <c r="AF144" s="17"/>
      <c r="AG144" s="15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ht="20.05" customHeight="1">
      <c r="AA145" s="36"/>
      <c r="AB145" s="34"/>
      <c r="AC145" s="17"/>
      <c r="AD145" s="17"/>
      <c r="AE145" s="17"/>
      <c r="AF145" s="17"/>
      <c r="AG145" s="15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ht="20.05" customHeight="1">
      <c r="AA146" s="36"/>
      <c r="AB146" s="34"/>
      <c r="AC146" s="17"/>
      <c r="AD146" s="17"/>
      <c r="AE146" s="17"/>
      <c r="AF146" s="17"/>
      <c r="AG146" s="15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ht="20.05" customHeight="1">
      <c r="AA147" s="36"/>
      <c r="AB147" s="34"/>
      <c r="AC147" s="17"/>
      <c r="AD147" s="17"/>
      <c r="AE147" s="17"/>
      <c r="AF147" s="17"/>
      <c r="AG147" s="15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ht="20.05" customHeight="1">
      <c r="AA148" s="36"/>
      <c r="AB148" s="34"/>
      <c r="AC148" s="17"/>
      <c r="AD148" s="17"/>
      <c r="AE148" s="17"/>
      <c r="AF148" s="17"/>
      <c r="AG148" s="15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ht="20.05" customHeight="1">
      <c r="AA149" s="36"/>
      <c r="AB149" s="34"/>
      <c r="AC149" s="17"/>
      <c r="AD149" s="17"/>
      <c r="AE149" s="17"/>
      <c r="AF149" s="17"/>
      <c r="AG149" s="15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ht="20.05" customHeight="1">
      <c r="AA150" s="36"/>
      <c r="AB150" s="34"/>
      <c r="AC150" s="17"/>
      <c r="AD150" s="17"/>
      <c r="AE150" s="17"/>
      <c r="AF150" s="17"/>
      <c r="AG150" s="15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</sheetData>
  <mergeCells count="2">
    <mergeCell ref="B2:Z2"/>
    <mergeCell ref="AA46:AT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94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93" customWidth="1"/>
    <col min="2" max="28" width="10.4844" style="293" customWidth="1"/>
    <col min="29" max="29" width="18.9766" style="294" customWidth="1"/>
    <col min="30" max="48" width="9" style="294" customWidth="1"/>
    <col min="49" max="16384" width="16.3516" style="294" customWidth="1"/>
  </cols>
  <sheetData>
    <row r="1" ht="11.65" customHeight="1"/>
    <row r="2" ht="27.65" customHeight="1">
      <c r="B2" t="s" s="2">
        <v>652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272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10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8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8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214.2</v>
      </c>
      <c r="D8" s="15">
        <v>0</v>
      </c>
      <c r="E8" s="15">
        <v>0</v>
      </c>
      <c r="F8" s="15"/>
      <c r="G8" s="15"/>
      <c r="H8" s="15"/>
      <c r="I8" s="15"/>
      <c r="J8" s="15"/>
      <c r="K8" s="15"/>
      <c r="L8" s="15"/>
      <c r="M8" s="15"/>
      <c r="N8" s="15">
        <f>SUM(C5:C8)/4</f>
        <v>53.55</v>
      </c>
      <c r="O8" s="15"/>
      <c r="P8" s="16"/>
      <c r="Q8" s="16"/>
      <c r="R8" s="16"/>
      <c r="S8" s="17"/>
      <c r="T8" s="15">
        <f>SUM(J5:K8)/4</f>
        <v>0</v>
      </c>
      <c r="U8" s="25"/>
      <c r="V8" s="15">
        <f>-(L8+M8)+V7</f>
        <v>0</v>
      </c>
      <c r="W8" s="17"/>
      <c r="X8" s="15">
        <f>F8-G8</f>
        <v>0</v>
      </c>
      <c r="Y8" s="24"/>
      <c r="Z8" s="18"/>
      <c r="AA8" s="22"/>
      <c r="AB8" s="20">
        <v>13.761</v>
      </c>
    </row>
    <row r="9" ht="20.05" customHeight="1">
      <c r="B9" s="13"/>
      <c r="C9" s="14">
        <v>214.2</v>
      </c>
      <c r="D9" s="15">
        <v>0</v>
      </c>
      <c r="E9" s="15">
        <v>0</v>
      </c>
      <c r="F9" s="15"/>
      <c r="G9" s="15"/>
      <c r="H9" s="15"/>
      <c r="I9" s="15"/>
      <c r="J9" s="15"/>
      <c r="K9" s="15"/>
      <c r="L9" s="15"/>
      <c r="M9" s="15"/>
      <c r="N9" s="15">
        <f>SUM(C6:C9)/4</f>
        <v>107.1</v>
      </c>
      <c r="O9" s="15"/>
      <c r="P9" s="16"/>
      <c r="Q9" s="16"/>
      <c r="R9" s="16"/>
      <c r="S9" s="17"/>
      <c r="T9" s="15">
        <f>SUM(J6:K9)/4</f>
        <v>0</v>
      </c>
      <c r="U9" s="25"/>
      <c r="V9" s="15">
        <f>-(L9+M9)+V8</f>
        <v>0</v>
      </c>
      <c r="W9" s="17"/>
      <c r="X9" s="15">
        <f>F13-G9</f>
        <v>0</v>
      </c>
      <c r="Y9" s="24"/>
      <c r="Z9" s="18"/>
      <c r="AA9" s="22"/>
      <c r="AB9" s="20">
        <v>14</v>
      </c>
    </row>
    <row r="10" ht="20.05" customHeight="1">
      <c r="B10" s="13"/>
      <c r="C10" s="14">
        <v>214.2</v>
      </c>
      <c r="D10" s="15">
        <v>0</v>
      </c>
      <c r="E10" s="15">
        <v>0</v>
      </c>
      <c r="F10" s="15"/>
      <c r="G10" s="15"/>
      <c r="H10" s="15"/>
      <c r="I10" s="15"/>
      <c r="J10" s="15"/>
      <c r="K10" s="15"/>
      <c r="L10" s="15"/>
      <c r="M10" s="15"/>
      <c r="N10" s="15">
        <f>SUM(C7:C10)/4</f>
        <v>160.65</v>
      </c>
      <c r="O10" s="15"/>
      <c r="P10" s="16"/>
      <c r="Q10" s="16"/>
      <c r="R10" s="16"/>
      <c r="S10" s="17"/>
      <c r="T10" s="15">
        <f>SUM(J7:K10)/4</f>
        <v>0</v>
      </c>
      <c r="U10" s="25"/>
      <c r="V10" s="15">
        <f>-(L10+M10)+V9</f>
        <v>0</v>
      </c>
      <c r="W10" s="17"/>
      <c r="X10" s="15">
        <f>F10-G10</f>
        <v>0</v>
      </c>
      <c r="Y10" s="24"/>
      <c r="Z10" s="18"/>
      <c r="AA10" s="22"/>
      <c r="AB10" s="20">
        <v>14.902</v>
      </c>
    </row>
    <row r="11" ht="20.05" customHeight="1">
      <c r="B11" s="13"/>
      <c r="C11" s="14">
        <v>214.2</v>
      </c>
      <c r="D11" s="15">
        <v>27.8</v>
      </c>
      <c r="E11" s="15">
        <v>67.5</v>
      </c>
      <c r="F11" s="15"/>
      <c r="G11" s="15"/>
      <c r="H11" s="15"/>
      <c r="I11" s="15"/>
      <c r="J11" s="15"/>
      <c r="K11" s="15"/>
      <c r="L11" s="15"/>
      <c r="M11" s="15"/>
      <c r="N11" s="15">
        <f>SUM(C8:C11)/4</f>
        <v>214.2</v>
      </c>
      <c r="O11" s="15"/>
      <c r="P11" s="16"/>
      <c r="Q11" s="16"/>
      <c r="R11" s="16"/>
      <c r="S11" s="17"/>
      <c r="T11" s="15">
        <f>SUM(J8:K11)/4</f>
        <v>0</v>
      </c>
      <c r="U11" s="25"/>
      <c r="V11" s="15">
        <f>-(L11+M11)+V10</f>
        <v>0</v>
      </c>
      <c r="W11" s="17"/>
      <c r="X11" s="15">
        <f>F11-G11</f>
        <v>0</v>
      </c>
      <c r="Y11" s="24"/>
      <c r="Z11" s="18"/>
      <c r="AA11" s="22"/>
      <c r="AB11" s="20">
        <v>14.38</v>
      </c>
    </row>
    <row r="12" ht="20.05" customHeight="1">
      <c r="B12" s="21">
        <v>2019</v>
      </c>
      <c r="C12" s="14">
        <v>212.1</v>
      </c>
      <c r="D12" s="15">
        <v>6.7</v>
      </c>
      <c r="E12" s="15">
        <v>15.8</v>
      </c>
      <c r="F12" s="15"/>
      <c r="G12" s="15"/>
      <c r="H12" s="15"/>
      <c r="I12" s="15">
        <v>0</v>
      </c>
      <c r="J12" s="15">
        <v>-1.75</v>
      </c>
      <c r="K12" s="15">
        <v>0</v>
      </c>
      <c r="L12" s="15">
        <v>6.25</v>
      </c>
      <c r="M12" s="15">
        <v>-12.25</v>
      </c>
      <c r="N12" s="15">
        <f>SUM(C9:C12)/4</f>
        <v>213.675</v>
      </c>
      <c r="O12" s="23"/>
      <c r="P12" s="16"/>
      <c r="Q12" s="16">
        <f>(E12+D12)/C12</f>
        <v>0.106082036775106</v>
      </c>
      <c r="R12" s="16">
        <f>AVERAGE(Q9:Q12)</f>
        <v>0.106082036775106</v>
      </c>
      <c r="S12" s="17"/>
      <c r="T12" s="15">
        <f>SUM(J9:K12)/4</f>
        <v>-0.4375</v>
      </c>
      <c r="U12" s="25"/>
      <c r="V12" s="15">
        <f>-(L12+M12)+V11</f>
        <v>6</v>
      </c>
      <c r="W12" s="17"/>
      <c r="X12" s="15">
        <f>F12-G12</f>
        <v>0</v>
      </c>
      <c r="Y12" s="24"/>
      <c r="Z12" s="18"/>
      <c r="AA12" s="22"/>
      <c r="AB12" s="20">
        <v>14.24</v>
      </c>
    </row>
    <row r="13" ht="20.05" customHeight="1">
      <c r="B13" s="13"/>
      <c r="C13" s="14">
        <v>245.2</v>
      </c>
      <c r="D13" s="15">
        <v>12.8</v>
      </c>
      <c r="E13" s="15">
        <v>20.1</v>
      </c>
      <c r="F13" s="15"/>
      <c r="G13" s="15"/>
      <c r="H13" s="15"/>
      <c r="I13" s="15">
        <v>0</v>
      </c>
      <c r="J13" s="15">
        <v>-1.75</v>
      </c>
      <c r="K13" s="15">
        <v>0</v>
      </c>
      <c r="L13" s="15">
        <v>6.25</v>
      </c>
      <c r="M13" s="15">
        <v>-12.25</v>
      </c>
      <c r="N13" s="15">
        <f>SUM(C10:C13)/4</f>
        <v>221.425</v>
      </c>
      <c r="O13" s="23"/>
      <c r="P13" s="16">
        <f>C13/C12-1</f>
        <v>0.156058462989156</v>
      </c>
      <c r="Q13" s="16">
        <f>(E13+D13)/C13</f>
        <v>0.134176182707993</v>
      </c>
      <c r="R13" s="16">
        <f>AVERAGE(Q10:Q13)</f>
        <v>0.12012910974155</v>
      </c>
      <c r="S13" s="17"/>
      <c r="T13" s="15">
        <f>SUM(J10:K13)/4</f>
        <v>-0.875</v>
      </c>
      <c r="U13" s="25"/>
      <c r="V13" s="15">
        <f>-(L13+M13)+V12</f>
        <v>12</v>
      </c>
      <c r="W13" s="17"/>
      <c r="X13" s="15">
        <f>F13-G13</f>
        <v>0</v>
      </c>
      <c r="Y13" s="24"/>
      <c r="Z13" s="18"/>
      <c r="AA13" s="24"/>
      <c r="AB13" s="15">
        <v>14.127</v>
      </c>
    </row>
    <row r="14" ht="20.05" customHeight="1">
      <c r="B14" s="13"/>
      <c r="C14" s="14">
        <v>250.2</v>
      </c>
      <c r="D14" s="15">
        <v>0</v>
      </c>
      <c r="E14" s="15">
        <v>31.2</v>
      </c>
      <c r="F14" s="15"/>
      <c r="G14" s="15"/>
      <c r="H14" s="15"/>
      <c r="I14" s="15">
        <v>0</v>
      </c>
      <c r="J14" s="15">
        <v>-1.75</v>
      </c>
      <c r="K14" s="15">
        <v>0</v>
      </c>
      <c r="L14" s="15">
        <v>6.25</v>
      </c>
      <c r="M14" s="15">
        <v>-12.25</v>
      </c>
      <c r="N14" s="15">
        <f>SUM(C11:C14)/4</f>
        <v>230.425</v>
      </c>
      <c r="O14" s="23"/>
      <c r="P14" s="16">
        <f>C14/C13-1</f>
        <v>0.0203915171288744</v>
      </c>
      <c r="Q14" s="16">
        <f>(E14+D14)/C14</f>
        <v>0.124700239808153</v>
      </c>
      <c r="R14" s="16">
        <f>AVERAGE(Q11:Q14)</f>
        <v>0.121652819763751</v>
      </c>
      <c r="S14" s="17"/>
      <c r="T14" s="15">
        <f>SUM(J11:K14)/4</f>
        <v>-1.3125</v>
      </c>
      <c r="U14" s="25"/>
      <c r="V14" s="15">
        <f>-(L14+M14)+V13</f>
        <v>18</v>
      </c>
      <c r="W14" s="17"/>
      <c r="X14" s="15">
        <f>F14-G14</f>
        <v>0</v>
      </c>
      <c r="Y14" s="24"/>
      <c r="Z14" s="18"/>
      <c r="AA14" s="24"/>
      <c r="AB14" s="15">
        <v>14.195</v>
      </c>
    </row>
    <row r="15" ht="20.05" customHeight="1">
      <c r="B15" s="13"/>
      <c r="C15" s="14">
        <v>271.3</v>
      </c>
      <c r="D15" s="15">
        <v>25.6</v>
      </c>
      <c r="E15" s="15">
        <v>30.9</v>
      </c>
      <c r="F15" s="15">
        <v>189</v>
      </c>
      <c r="G15" s="15">
        <v>230</v>
      </c>
      <c r="H15" s="15">
        <v>666</v>
      </c>
      <c r="I15" s="15">
        <v>847</v>
      </c>
      <c r="J15" s="15">
        <v>33.45</v>
      </c>
      <c r="K15" s="15">
        <v>-6.3</v>
      </c>
      <c r="L15" s="15">
        <v>6.25</v>
      </c>
      <c r="M15" s="15">
        <v>-12.25</v>
      </c>
      <c r="N15" s="15">
        <f>SUM(C12:C15)/4</f>
        <v>244.7</v>
      </c>
      <c r="O15" s="15"/>
      <c r="P15" s="16">
        <f>C15/C14-1</f>
        <v>0.0843325339728217</v>
      </c>
      <c r="Q15" s="16">
        <f>(E15+D15)/C15</f>
        <v>0.208256542572798</v>
      </c>
      <c r="R15" s="16">
        <f>AVERAGE(Q12:Q15)</f>
        <v>0.143303750466013</v>
      </c>
      <c r="S15" s="17"/>
      <c r="T15" s="15">
        <f>SUM(J12:K15)/4</f>
        <v>5.475</v>
      </c>
      <c r="U15" s="25"/>
      <c r="V15" s="15">
        <f>-(L15+M15)+V14</f>
        <v>24</v>
      </c>
      <c r="W15" s="17"/>
      <c r="X15" s="15">
        <f>F15-G15</f>
        <v>-41</v>
      </c>
      <c r="Y15" s="24"/>
      <c r="Z15" s="24">
        <v>940</v>
      </c>
      <c r="AA15" s="24"/>
      <c r="AB15" s="15">
        <v>13.882</v>
      </c>
    </row>
    <row r="16" ht="20.05" customHeight="1">
      <c r="B16" s="21">
        <v>2020</v>
      </c>
      <c r="C16" s="14">
        <v>230.1</v>
      </c>
      <c r="D16" s="15">
        <v>6</v>
      </c>
      <c r="E16" s="15">
        <v>25.9</v>
      </c>
      <c r="F16" s="15">
        <v>178</v>
      </c>
      <c r="G16" s="15">
        <v>167</v>
      </c>
      <c r="H16" s="15">
        <v>628</v>
      </c>
      <c r="I16" s="15">
        <v>222.7</v>
      </c>
      <c r="J16" s="15">
        <v>74.087</v>
      </c>
      <c r="K16" s="15">
        <v>20.6</v>
      </c>
      <c r="L16" s="15">
        <v>27.25</v>
      </c>
      <c r="M16" s="15">
        <v>-34.25</v>
      </c>
      <c r="N16" s="15">
        <f>SUM(C13:C16)/4</f>
        <v>249.2</v>
      </c>
      <c r="O16" s="15"/>
      <c r="P16" s="16">
        <f>C16/C15-1</f>
        <v>-0.151861408035385</v>
      </c>
      <c r="Q16" s="16">
        <f>(E16+D16)/C16</f>
        <v>0.138635375923512</v>
      </c>
      <c r="R16" s="16">
        <f>AVERAGE(Q13:Q16)</f>
        <v>0.151442085253114</v>
      </c>
      <c r="S16" s="17"/>
      <c r="T16" s="15">
        <f>SUM(J13:K16)/4</f>
        <v>29.58425</v>
      </c>
      <c r="U16" s="25"/>
      <c r="V16" s="15">
        <f>-(L16+M16)+V15</f>
        <v>31</v>
      </c>
      <c r="W16" s="17"/>
      <c r="X16" s="15">
        <f>F16-G16</f>
        <v>11</v>
      </c>
      <c r="Y16" s="24"/>
      <c r="Z16" s="24">
        <v>755</v>
      </c>
      <c r="AA16" s="24"/>
      <c r="AB16" s="15">
        <v>16.31</v>
      </c>
    </row>
    <row r="17" ht="20.05" customHeight="1">
      <c r="B17" s="13"/>
      <c r="C17" s="14">
        <v>199.4</v>
      </c>
      <c r="D17" s="15">
        <v>16.1</v>
      </c>
      <c r="E17" s="15">
        <v>31.2</v>
      </c>
      <c r="F17" s="15">
        <v>225</v>
      </c>
      <c r="G17" s="15">
        <v>163</v>
      </c>
      <c r="H17" s="15">
        <v>654</v>
      </c>
      <c r="I17" s="15">
        <v>267</v>
      </c>
      <c r="J17" s="15">
        <v>47.459</v>
      </c>
      <c r="K17" s="15">
        <v>-24.4</v>
      </c>
      <c r="L17" s="15">
        <v>27.25</v>
      </c>
      <c r="M17" s="15">
        <v>-34.25</v>
      </c>
      <c r="N17" s="15">
        <f>SUM(C14:C17)/4</f>
        <v>237.75</v>
      </c>
      <c r="O17" s="15"/>
      <c r="P17" s="16">
        <f>C17/C16-1</f>
        <v>-0.13342025206432</v>
      </c>
      <c r="Q17" s="16">
        <f>(E17+D17)/C17</f>
        <v>0.237211634904714</v>
      </c>
      <c r="R17" s="16">
        <f>AVERAGE(Q14:Q17)</f>
        <v>0.177200948302294</v>
      </c>
      <c r="S17" s="17"/>
      <c r="T17" s="25">
        <f>SUM(J14:K17)/4</f>
        <v>35.7865</v>
      </c>
      <c r="U17" s="25"/>
      <c r="V17" s="15">
        <f>-(L17+M17)+V16</f>
        <v>38</v>
      </c>
      <c r="W17" s="17"/>
      <c r="X17" s="15">
        <f>F17-G17</f>
        <v>62</v>
      </c>
      <c r="Y17" s="24"/>
      <c r="Z17" s="24">
        <v>880</v>
      </c>
      <c r="AA17" s="24"/>
      <c r="AB17" s="15">
        <v>14.255</v>
      </c>
    </row>
    <row r="18" ht="20.05" customHeight="1">
      <c r="B18" s="13"/>
      <c r="C18" s="14">
        <v>258.5</v>
      </c>
      <c r="D18" s="15">
        <v>9.1</v>
      </c>
      <c r="E18" s="15">
        <v>62.1</v>
      </c>
      <c r="F18" s="15">
        <v>200</v>
      </c>
      <c r="G18" s="15">
        <v>183</v>
      </c>
      <c r="H18" s="15">
        <v>615</v>
      </c>
      <c r="I18" s="15">
        <v>225.69</v>
      </c>
      <c r="J18" s="15">
        <v>39.743</v>
      </c>
      <c r="K18" s="15">
        <v>-5.08</v>
      </c>
      <c r="L18" s="15">
        <v>27.25</v>
      </c>
      <c r="M18" s="15">
        <v>-34.25</v>
      </c>
      <c r="N18" s="15">
        <f>SUM(C15:C18)/4</f>
        <v>239.825</v>
      </c>
      <c r="O18" s="15"/>
      <c r="P18" s="16">
        <f>C18/C17-1</f>
        <v>0.296389167502508</v>
      </c>
      <c r="Q18" s="16">
        <f>(E18+D18)/C18</f>
        <v>0.275435203094778</v>
      </c>
      <c r="R18" s="16">
        <f>AVERAGE(Q15:Q18)</f>
        <v>0.214884689123951</v>
      </c>
      <c r="S18" s="17"/>
      <c r="T18" s="25">
        <f>SUM(J15:K18)/4</f>
        <v>44.88975</v>
      </c>
      <c r="U18" s="25"/>
      <c r="V18" s="15">
        <f>-(L18+M18)+V17</f>
        <v>45</v>
      </c>
      <c r="W18" s="17"/>
      <c r="X18" s="15">
        <f>F18-G18</f>
        <v>17</v>
      </c>
      <c r="Y18" s="24"/>
      <c r="Z18" s="18">
        <v>1255</v>
      </c>
      <c r="AA18" s="24"/>
      <c r="AB18" s="15">
        <v>14.79</v>
      </c>
    </row>
    <row r="19" ht="20.05" customHeight="1">
      <c r="B19" s="13"/>
      <c r="C19" s="14">
        <v>212.8</v>
      </c>
      <c r="D19" s="15">
        <v>8</v>
      </c>
      <c r="E19" s="15">
        <v>1.8</v>
      </c>
      <c r="F19" s="15">
        <v>215.47</v>
      </c>
      <c r="G19" s="15">
        <v>233.5</v>
      </c>
      <c r="H19" s="15">
        <v>674.5599999999999</v>
      </c>
      <c r="I19" s="15">
        <v>250.91</v>
      </c>
      <c r="J19" s="15">
        <v>39.774</v>
      </c>
      <c r="K19" s="15">
        <v>11.98</v>
      </c>
      <c r="L19" s="15">
        <v>27.25</v>
      </c>
      <c r="M19" s="15">
        <v>-34.25</v>
      </c>
      <c r="N19" s="15">
        <f>SUM(C16:C19)/4</f>
        <v>225.2</v>
      </c>
      <c r="O19" s="15"/>
      <c r="P19" s="16">
        <f>C19/C18-1</f>
        <v>-0.17678916827853</v>
      </c>
      <c r="Q19" s="16">
        <f>(E19+D19)/C19</f>
        <v>0.0460526315789474</v>
      </c>
      <c r="R19" s="16">
        <f>AVERAGE(Q16:Q19)</f>
        <v>0.174333711375488</v>
      </c>
      <c r="S19" s="17"/>
      <c r="T19" s="25">
        <f>SUM(J16:K19)/4</f>
        <v>51.04075</v>
      </c>
      <c r="U19" s="25"/>
      <c r="V19" s="15">
        <f>-(L19+M19)+V18</f>
        <v>52</v>
      </c>
      <c r="W19" s="17"/>
      <c r="X19" s="15">
        <f>F19-G19</f>
        <v>-18.03</v>
      </c>
      <c r="Y19" s="24"/>
      <c r="Z19" s="18">
        <v>1355</v>
      </c>
      <c r="AA19" s="24"/>
      <c r="AB19" s="15">
        <v>14.1</v>
      </c>
    </row>
    <row r="20" ht="20.05" customHeight="1">
      <c r="B20" s="21">
        <v>2021</v>
      </c>
      <c r="C20" s="14">
        <v>249.6</v>
      </c>
      <c r="D20" s="15">
        <v>8.9</v>
      </c>
      <c r="E20" s="15">
        <v>36.7</v>
      </c>
      <c r="F20" s="15">
        <v>248</v>
      </c>
      <c r="G20" s="15">
        <v>225</v>
      </c>
      <c r="H20" s="15">
        <v>703</v>
      </c>
      <c r="I20" s="15">
        <v>251.7</v>
      </c>
      <c r="J20" s="15">
        <v>36.9</v>
      </c>
      <c r="K20" s="15">
        <v>-1.2</v>
      </c>
      <c r="L20" s="15">
        <v>0</v>
      </c>
      <c r="M20" s="15">
        <v>-42.5</v>
      </c>
      <c r="N20" s="15">
        <f>SUM(C17:C20)/4</f>
        <v>230.075</v>
      </c>
      <c r="O20" s="15"/>
      <c r="P20" s="16">
        <f>C20/C19-1</f>
        <v>0.172932330827068</v>
      </c>
      <c r="Q20" s="16">
        <f>(E20+D20)/C20</f>
        <v>0.182692307692308</v>
      </c>
      <c r="R20" s="16">
        <f>AVERAGE(Q17:Q20)</f>
        <v>0.185347944317687</v>
      </c>
      <c r="S20" s="17"/>
      <c r="T20" s="25">
        <f>SUM(J17:K20)/4</f>
        <v>36.294</v>
      </c>
      <c r="U20" s="25"/>
      <c r="V20" s="15">
        <f>-(L20+M20)+V19</f>
        <v>94.5</v>
      </c>
      <c r="W20" s="17"/>
      <c r="X20" s="15">
        <f>F20-G20</f>
        <v>23</v>
      </c>
      <c r="Y20" s="15"/>
      <c r="Z20" s="18">
        <v>1350</v>
      </c>
      <c r="AA20" s="15"/>
      <c r="AB20" s="15">
        <v>14.606</v>
      </c>
    </row>
    <row r="21" ht="20.05" customHeight="1">
      <c r="B21" s="13"/>
      <c r="C21" s="14">
        <v>252.1</v>
      </c>
      <c r="D21" s="15">
        <v>8.300000000000001</v>
      </c>
      <c r="E21" s="15">
        <v>35.3</v>
      </c>
      <c r="F21" s="15">
        <v>308</v>
      </c>
      <c r="G21" s="15">
        <v>190</v>
      </c>
      <c r="H21" s="15">
        <v>703</v>
      </c>
      <c r="I21" s="15">
        <v>183.4</v>
      </c>
      <c r="J21" s="15">
        <v>51.2</v>
      </c>
      <c r="K21" s="15">
        <v>-0.8</v>
      </c>
      <c r="L21" s="15">
        <v>0</v>
      </c>
      <c r="M21" s="15">
        <v>-42.5</v>
      </c>
      <c r="N21" s="15">
        <f>SUM(C18:C21)/4</f>
        <v>243.25</v>
      </c>
      <c r="O21" s="15"/>
      <c r="P21" s="16">
        <f>C21/C20-1</f>
        <v>0.0100160256410256</v>
      </c>
      <c r="Q21" s="16">
        <f>(E21+D21)/C21</f>
        <v>0.172947243157477</v>
      </c>
      <c r="R21" s="16">
        <f>AVERAGE(Q18:Q21)</f>
        <v>0.169281846380878</v>
      </c>
      <c r="S21" s="17"/>
      <c r="T21" s="25">
        <f>SUM(J18:K21)/4</f>
        <v>43.12925</v>
      </c>
      <c r="U21" s="25"/>
      <c r="V21" s="15">
        <f>-(L21+M21)+V20</f>
        <v>137</v>
      </c>
      <c r="W21" s="17"/>
      <c r="X21" s="15">
        <f>F21-G21</f>
        <v>118</v>
      </c>
      <c r="Y21" s="15"/>
      <c r="Z21" s="18">
        <v>1215</v>
      </c>
      <c r="AA21" s="15"/>
      <c r="AB21" s="15">
        <v>14.45</v>
      </c>
    </row>
    <row r="22" ht="20.05" customHeight="1">
      <c r="B22" s="13"/>
      <c r="C22" s="14">
        <v>234</v>
      </c>
      <c r="D22" s="15">
        <v>7.8</v>
      </c>
      <c r="E22" s="15">
        <v>32.9</v>
      </c>
      <c r="F22" s="15">
        <v>214</v>
      </c>
      <c r="G22" s="15">
        <v>212</v>
      </c>
      <c r="H22" s="15">
        <v>758</v>
      </c>
      <c r="I22" s="15">
        <v>273.12</v>
      </c>
      <c r="J22" s="15">
        <v>97.90000000000001</v>
      </c>
      <c r="K22" s="15">
        <v>-2.68</v>
      </c>
      <c r="L22" s="15">
        <v>0</v>
      </c>
      <c r="M22" s="15">
        <v>-42.5</v>
      </c>
      <c r="N22" s="15">
        <f>SUM(C19:C22)/4</f>
        <v>237.125</v>
      </c>
      <c r="O22" s="15">
        <v>258.3505</v>
      </c>
      <c r="P22" s="16">
        <f>C22/C21-1</f>
        <v>-0.0717969059896866</v>
      </c>
      <c r="Q22" s="16">
        <f>(E22+D22)/C22</f>
        <v>0.173931623931624</v>
      </c>
      <c r="R22" s="16">
        <f>AVERAGE(Q19:Q22)</f>
        <v>0.143905951590089</v>
      </c>
      <c r="S22" s="17"/>
      <c r="T22" s="25">
        <f>SUM(J19:K22)/4</f>
        <v>58.2685</v>
      </c>
      <c r="U22" s="25"/>
      <c r="V22" s="15">
        <f>-(L22+M22)+V21</f>
        <v>179.5</v>
      </c>
      <c r="W22" s="17"/>
      <c r="X22" s="15">
        <f>F22-G22</f>
        <v>2</v>
      </c>
      <c r="Y22" s="15"/>
      <c r="Z22" s="18">
        <v>1210</v>
      </c>
      <c r="AA22" s="15"/>
      <c r="AB22" s="15">
        <v>14.328</v>
      </c>
    </row>
    <row r="23" ht="20.05" customHeight="1">
      <c r="B23" s="13"/>
      <c r="C23" s="14">
        <v>306.6</v>
      </c>
      <c r="D23" s="15">
        <v>8.5</v>
      </c>
      <c r="E23" s="15">
        <v>39.8</v>
      </c>
      <c r="F23" s="15">
        <v>159.5</v>
      </c>
      <c r="G23" s="15">
        <v>181.9</v>
      </c>
      <c r="H23" s="15">
        <v>767.7</v>
      </c>
      <c r="I23" s="15">
        <v>211.25</v>
      </c>
      <c r="J23" s="15">
        <v>14.5</v>
      </c>
      <c r="K23" s="15">
        <v>0.78</v>
      </c>
      <c r="L23" s="15">
        <v>0</v>
      </c>
      <c r="M23" s="15">
        <v>-42.5</v>
      </c>
      <c r="N23" s="15">
        <f>SUM(C20:C23)/4</f>
        <v>260.575</v>
      </c>
      <c r="O23" s="15">
        <v>254.900333333333</v>
      </c>
      <c r="P23" s="16">
        <f>C23/C22-1</f>
        <v>0.31025641025641</v>
      </c>
      <c r="Q23" s="16">
        <f>(E23+D23)/C23</f>
        <v>0.157534246575342</v>
      </c>
      <c r="R23" s="16">
        <f>AVERAGE(Q20:Q23)</f>
        <v>0.171776355339188</v>
      </c>
      <c r="S23" s="17"/>
      <c r="T23" s="25">
        <f>SUM(J20:K23)/4</f>
        <v>49.15</v>
      </c>
      <c r="U23" s="25"/>
      <c r="V23" s="15">
        <f>-(L23+M23)+V22</f>
        <v>222</v>
      </c>
      <c r="W23" s="17"/>
      <c r="X23" s="15">
        <f>F23-G23</f>
        <v>-22.4</v>
      </c>
      <c r="Y23" s="15"/>
      <c r="Z23" s="18">
        <v>1185</v>
      </c>
      <c r="AA23" s="15"/>
      <c r="AB23" s="15">
        <v>14.275</v>
      </c>
    </row>
    <row r="24" ht="20.05" customHeight="1">
      <c r="B24" s="21">
        <v>2022</v>
      </c>
      <c r="C24" s="14">
        <v>292.1</v>
      </c>
      <c r="D24" s="15">
        <v>8.6</v>
      </c>
      <c r="E24" s="15">
        <v>39.9</v>
      </c>
      <c r="F24" s="15">
        <v>178</v>
      </c>
      <c r="G24" s="15">
        <v>221</v>
      </c>
      <c r="H24" s="15">
        <v>847</v>
      </c>
      <c r="I24" s="15">
        <v>293.5</v>
      </c>
      <c r="J24" s="15">
        <v>41.651</v>
      </c>
      <c r="K24" s="15">
        <v>-4.1</v>
      </c>
      <c r="L24" s="15">
        <v>0</v>
      </c>
      <c r="M24" s="15">
        <v>0</v>
      </c>
      <c r="N24" s="15">
        <f>SUM(C21:C24)/4</f>
        <v>271.2</v>
      </c>
      <c r="O24" s="15">
        <v>265.52575</v>
      </c>
      <c r="P24" s="16">
        <f>C24/C23-1</f>
        <v>-0.0472928897586432</v>
      </c>
      <c r="Q24" s="16">
        <f>(E24+D24)/C24</f>
        <v>0.166039027730229</v>
      </c>
      <c r="R24" s="16">
        <f>AVERAGE(Q21:Q24)</f>
        <v>0.167613035348668</v>
      </c>
      <c r="S24" s="35"/>
      <c r="T24" s="25">
        <f>SUM(J21:K24)/4</f>
        <v>49.61275</v>
      </c>
      <c r="U24" s="15">
        <v>41.1540312050653</v>
      </c>
      <c r="V24" s="15">
        <f>-(L24+M24)+V23</f>
        <v>222</v>
      </c>
      <c r="W24" s="15"/>
      <c r="X24" s="15">
        <f>F24-G24</f>
        <v>-43</v>
      </c>
      <c r="Y24" s="25">
        <v>26.510076940279</v>
      </c>
      <c r="Z24" s="18">
        <v>1190</v>
      </c>
      <c r="AA24" s="15">
        <v>1562.258012744890</v>
      </c>
      <c r="AB24" s="15">
        <v>14.327</v>
      </c>
    </row>
    <row r="25" ht="20.05" customHeight="1">
      <c r="B25" s="13"/>
      <c r="C25" s="14">
        <v>287</v>
      </c>
      <c r="D25" s="15">
        <v>8.800000000000001</v>
      </c>
      <c r="E25" s="15">
        <v>40.3</v>
      </c>
      <c r="F25" s="15">
        <v>186</v>
      </c>
      <c r="G25" s="15">
        <v>204</v>
      </c>
      <c r="H25" s="15">
        <v>871</v>
      </c>
      <c r="I25" s="15">
        <v>323.5</v>
      </c>
      <c r="J25" s="15">
        <v>53.049</v>
      </c>
      <c r="K25" s="15">
        <v>2.6</v>
      </c>
      <c r="L25" s="15">
        <v>0</v>
      </c>
      <c r="M25" s="15">
        <v>0</v>
      </c>
      <c r="N25" s="15">
        <f>SUM(C22:C25)/4</f>
        <v>279.925</v>
      </c>
      <c r="O25" s="15">
        <v>273.90825</v>
      </c>
      <c r="P25" s="16">
        <f>C25/C24-1</f>
        <v>-0.0174597740499829</v>
      </c>
      <c r="Q25" s="16">
        <f>(E25+D25)/C25</f>
        <v>0.171080139372822</v>
      </c>
      <c r="R25" s="16">
        <f>AVERAGE(Q22:Q25)</f>
        <v>0.167146259402504</v>
      </c>
      <c r="S25" s="35"/>
      <c r="T25" s="25">
        <f>SUM(J22:K25)/4</f>
        <v>50.925</v>
      </c>
      <c r="U25" s="15">
        <v>32.4143852471347</v>
      </c>
      <c r="V25" s="15">
        <f>-(L25+M25)+V24</f>
        <v>222</v>
      </c>
      <c r="W25" s="15"/>
      <c r="X25" s="15">
        <f>F25-G25</f>
        <v>-18</v>
      </c>
      <c r="Y25" s="25">
        <v>-0.621907472140</v>
      </c>
      <c r="Z25" s="18">
        <v>1275</v>
      </c>
      <c r="AA25" s="15">
        <v>1517.967009120410</v>
      </c>
      <c r="AB25" s="15">
        <v>14.66</v>
      </c>
    </row>
    <row r="26" ht="20.05" customHeight="1">
      <c r="B26" s="13"/>
      <c r="C26" s="14">
        <v>234</v>
      </c>
      <c r="D26" s="15">
        <v>7.6</v>
      </c>
      <c r="E26" s="15">
        <v>34</v>
      </c>
      <c r="F26" s="15">
        <v>107</v>
      </c>
      <c r="G26" s="15">
        <v>154</v>
      </c>
      <c r="H26" s="15">
        <v>854</v>
      </c>
      <c r="I26" s="15">
        <v>296.3</v>
      </c>
      <c r="J26" s="15">
        <v>13.5</v>
      </c>
      <c r="K26" s="15">
        <v>-106.5</v>
      </c>
      <c r="L26" s="15">
        <v>0</v>
      </c>
      <c r="M26" s="15">
        <v>0</v>
      </c>
      <c r="N26" s="15">
        <f>SUM(C23:C26)/4</f>
        <v>279.925</v>
      </c>
      <c r="O26" s="15">
        <v>284.1555</v>
      </c>
      <c r="P26" s="16">
        <f>C26/C25-1</f>
        <v>-0.184668989547038</v>
      </c>
      <c r="Q26" s="16">
        <f>(E26+D26)/C26</f>
        <v>0.177777777777778</v>
      </c>
      <c r="R26" s="16">
        <f>AVERAGE(Q23:Q26)</f>
        <v>0.168107797864043</v>
      </c>
      <c r="S26" s="35">
        <f>S27</f>
        <v>0.168107797864043</v>
      </c>
      <c r="T26" s="25">
        <f>SUM(J23:K26)/4</f>
        <v>3.87</v>
      </c>
      <c r="U26" s="15">
        <v>21.1582879905</v>
      </c>
      <c r="V26" s="15">
        <f>-(L26+M26)+V25</f>
        <v>222</v>
      </c>
      <c r="W26" s="15">
        <f>W27</f>
        <v>320.436916443552</v>
      </c>
      <c r="X26" s="15">
        <f>F26-G26</f>
        <v>-47</v>
      </c>
      <c r="Y26" s="25">
        <v>-3.183424019</v>
      </c>
      <c r="Z26" s="18">
        <v>1440</v>
      </c>
      <c r="AA26" s="15">
        <v>1514.674220668630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257.38706565</v>
      </c>
      <c r="P27" s="17"/>
      <c r="Q27" s="17"/>
      <c r="R27" s="17"/>
      <c r="S27" s="35">
        <f>AE53</f>
        <v>0.168107797864043</v>
      </c>
      <c r="T27" s="25"/>
      <c r="U27" s="15">
        <f>SUM(AE55:AH55)/4</f>
        <v>39.1687728051094</v>
      </c>
      <c r="V27" s="17"/>
      <c r="W27" s="15">
        <f>-SUM(AE76:AH76)+V26</f>
        <v>320.436916443552</v>
      </c>
      <c r="X27" s="26"/>
      <c r="Y27" s="15">
        <f>AH75</f>
        <v>39.804212276885</v>
      </c>
      <c r="Z27" s="15">
        <v>1355</v>
      </c>
      <c r="AA27" s="15">
        <v>1514.674220668630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1328.75</v>
      </c>
      <c r="O28" s="15">
        <f>SUM(O22:O26)</f>
        <v>1336.840333333330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1671.200973017990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272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f>B$3</f>
        <v>22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0.0152086892251865</v>
      </c>
      <c r="AF49" s="35"/>
      <c r="AG49" s="35"/>
      <c r="AH49" s="35">
        <f>AVERAGE(AE51:AH51)</f>
        <v>0.0275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0.31025641025641</v>
      </c>
      <c r="AF50" s="35">
        <f>P24</f>
        <v>-0.0472928897586432</v>
      </c>
      <c r="AG50" s="35">
        <f>P25</f>
        <v>-0.0174597740499829</v>
      </c>
      <c r="AH50" s="35">
        <f>P26</f>
        <v>-0.184668989547038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0.1</v>
      </c>
      <c r="AF51" s="35">
        <v>-0.01</v>
      </c>
      <c r="AG51" s="35">
        <v>0.01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234</v>
      </c>
      <c r="AE52" s="23">
        <f>C26*(1+AE51)</f>
        <v>257.4</v>
      </c>
      <c r="AF52" s="23">
        <f>AE52*(1+AF51)</f>
        <v>254.826</v>
      </c>
      <c r="AG52" s="23">
        <f>AF52*(1+AG51)</f>
        <v>257.37426</v>
      </c>
      <c r="AH52" s="23">
        <f>AG52*(1+AH51)</f>
        <v>259.9480026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0.168107797864043</v>
      </c>
      <c r="AF53" s="35">
        <f>AE53</f>
        <v>0.168107797864043</v>
      </c>
      <c r="AG53" s="35">
        <f>AF53</f>
        <v>0.168107797864043</v>
      </c>
      <c r="AH53" s="35">
        <f>AG53</f>
        <v>0.168107797864043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AVERAGE(K24)</f>
        <v>-4.1</v>
      </c>
      <c r="AF54" s="15">
        <f>AE54</f>
        <v>-4.1</v>
      </c>
      <c r="AG54" s="15">
        <f>AF54</f>
        <v>-4.1</v>
      </c>
      <c r="AH54" s="15">
        <f>AG54</f>
        <v>-4.1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39.1709471702047</v>
      </c>
      <c r="AF55" s="15">
        <f>(AF52*AF53)+AF54</f>
        <v>38.7382376985026</v>
      </c>
      <c r="AG55" s="15">
        <f>(AG52*AG53)+AG54</f>
        <v>39.1666200754876</v>
      </c>
      <c r="AH55" s="15">
        <f>(AH52*AH53)+AH54</f>
        <v>39.5992862762425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-7.7</v>
      </c>
      <c r="AF56" s="15">
        <f>-AE71/20</f>
        <v>-7.315</v>
      </c>
      <c r="AG56" s="15">
        <f>-AF71/20</f>
        <v>-6.94925</v>
      </c>
      <c r="AH56" s="15">
        <f>-AG71/20</f>
        <v>-6.6017875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-17.4688069184357</v>
      </c>
      <c r="AF58" s="15">
        <f>IF(AF66&gt;0,AF66*$AE$57,0)</f>
        <v>-17.2524521825847</v>
      </c>
      <c r="AG58" s="15">
        <f>IF(AG66&gt;0,AG66*$AE$57,0)</f>
        <v>-17.4666433710772</v>
      </c>
      <c r="AH58" s="15">
        <f>IF(AH66&gt;0,AH66*$AE$57,0)</f>
        <v>-17.6829764714546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14.002140251769</v>
      </c>
      <c r="AF59" s="15">
        <f>AF55+AF56+AF58</f>
        <v>14.1707855159179</v>
      </c>
      <c r="AG59" s="15">
        <f>AG55+AG56+AG58</f>
        <v>14.7507267044104</v>
      </c>
      <c r="AH59" s="15">
        <f>AH55+AH56+AH58</f>
        <v>15.3145223047879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107</v>
      </c>
      <c r="AF61" s="15">
        <f>AE63</f>
        <v>121.002140251769</v>
      </c>
      <c r="AG61" s="15">
        <f>AF63</f>
        <v>135.172925767687</v>
      </c>
      <c r="AH61" s="15">
        <f>AG63</f>
        <v>149.923652472097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14.002140251769</v>
      </c>
      <c r="AF62" s="15">
        <f>AF55+AF56+AF58+AF60</f>
        <v>14.1707855159179</v>
      </c>
      <c r="AG62" s="15">
        <f>AG55+AG56+AG58+AG60</f>
        <v>14.7507267044104</v>
      </c>
      <c r="AH62" s="15">
        <f>AH55+AH56+AH58+AH60</f>
        <v>15.3145223047879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121.002140251769</v>
      </c>
      <c r="AF63" s="15">
        <f>AF61+AF62</f>
        <v>135.172925767687</v>
      </c>
      <c r="AG63" s="15">
        <f>AG61+AG62</f>
        <v>149.923652472097</v>
      </c>
      <c r="AH63" s="15">
        <f>AH61+AH62</f>
        <v>165.238174776885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-8.33333333333333</v>
      </c>
      <c r="AF65" s="15">
        <f>AE65</f>
        <v>-8.33333333333333</v>
      </c>
      <c r="AG65" s="15">
        <f>AF65</f>
        <v>-8.33333333333333</v>
      </c>
      <c r="AH65" s="15">
        <f>AG65</f>
        <v>-8.33333333333333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34.9376138368713</v>
      </c>
      <c r="AF66" s="15">
        <f>(AF52*AF53)+AF65</f>
        <v>34.5049043651693</v>
      </c>
      <c r="AG66" s="15">
        <f>(AG52*AG53)+AG65</f>
        <v>34.9332867421543</v>
      </c>
      <c r="AH66" s="15">
        <f>(AH52*AH53)+AH65</f>
        <v>35.3659529429092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751.1</v>
      </c>
      <c r="AF68" s="15">
        <f>AE68-AF54</f>
        <v>755.2</v>
      </c>
      <c r="AG68" s="15">
        <f>AF68-AG54</f>
        <v>759.3</v>
      </c>
      <c r="AH68" s="15">
        <f>AG68-AH54</f>
        <v>763.4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8.33333333333333</v>
      </c>
      <c r="AF69" s="15">
        <f>AE69-AF65</f>
        <v>16.6666666666667</v>
      </c>
      <c r="AG69" s="15">
        <f>AF69-AG65</f>
        <v>25</v>
      </c>
      <c r="AH69" s="15">
        <f>AG69-AH65</f>
        <v>33.3333333333333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742.766666666667</v>
      </c>
      <c r="AF70" s="15">
        <f>AF68-AF69</f>
        <v>738.533333333333</v>
      </c>
      <c r="AG70" s="15">
        <f>AG68-AG69</f>
        <v>734.3</v>
      </c>
      <c r="AH70" s="15">
        <f>AH68-AH69</f>
        <v>730.0666666666669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146.3</v>
      </c>
      <c r="AF71" s="15">
        <f>AE71+AF56</f>
        <v>138.985</v>
      </c>
      <c r="AG71" s="15">
        <f>AF71+AG56</f>
        <v>132.03575</v>
      </c>
      <c r="AH71" s="15">
        <f>AG71+AH56</f>
        <v>125.4339625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717.468806918436</v>
      </c>
      <c r="AF73" s="15">
        <f>AE73+AF66+AF58</f>
        <v>734.721259101021</v>
      </c>
      <c r="AG73" s="15">
        <f>AF73+AG66+AG58</f>
        <v>752.187902472098</v>
      </c>
      <c r="AH73" s="15">
        <f>AG73+AH66+AH58</f>
        <v>769.870878943553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0</v>
      </c>
      <c r="AF74" s="15">
        <f>AF71+AF72+AF73-AF63-AF70</f>
        <v>1e-12</v>
      </c>
      <c r="AG74" s="15">
        <f>AG71+AG72+AG73-AG63-AG70</f>
        <v>1e-12</v>
      </c>
      <c r="AH74" s="15">
        <f>AH71+AH72+AH73-AH63-AH70</f>
        <v>1e-12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-25.297859748231</v>
      </c>
      <c r="AF75" s="15">
        <f>AF63-AF71-AF72</f>
        <v>-3.812074232313</v>
      </c>
      <c r="AG75" s="15">
        <f>AG63-AG71-AG72</f>
        <v>17.887902472097</v>
      </c>
      <c r="AH75" s="15">
        <f>AH63-AH71-AH72</f>
        <v>39.804212276885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-25.1688069184357</v>
      </c>
      <c r="AF76" s="15">
        <f>AF56+AF58+AF60</f>
        <v>-24.5674521825847</v>
      </c>
      <c r="AG76" s="15">
        <f>AG56+AG58+AG60</f>
        <v>-24.4158933710772</v>
      </c>
      <c r="AH76" s="15">
        <f>AH56+AH58+AH60</f>
        <v>-24.2847639714546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653</v>
      </c>
      <c r="AD78" s="14"/>
      <c r="AE78" s="15"/>
      <c r="AF78" s="15"/>
      <c r="AG78" s="15"/>
      <c r="AH78" s="15">
        <v>1355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653</v>
      </c>
      <c r="AD79" s="14"/>
      <c r="AE79" s="15"/>
      <c r="AF79" s="15"/>
      <c r="AG79" s="15"/>
      <c r="AH79" s="15">
        <v>2032500000000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2032.5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1.5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2.27017648728771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0.0343768162083898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15.48</v>
      </c>
      <c r="AH84" s="15">
        <f>SUM(AE55:AH55)</f>
        <v>156.675091220437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4.659749427811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12.972706664267</v>
      </c>
      <c r="AH86" s="15">
        <v>16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2506.801459526990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1671.200973017990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0.233358651673793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0.00608867983693697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t="s" s="44">
        <f>$AC78</f>
        <v>653</v>
      </c>
      <c r="AF93" t="s" s="44">
        <f>AE115</f>
        <v>15</v>
      </c>
      <c r="AG93" t="s" s="44">
        <f>AF115</f>
        <v>485</v>
      </c>
      <c r="AH93" s="17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v>60</v>
      </c>
      <c r="AF94" s="15">
        <f>AH78</f>
        <v>1355</v>
      </c>
      <c r="AG94" t="s" s="44">
        <v>61</v>
      </c>
      <c r="AH94" s="15">
        <f>AH88</f>
        <v>1671.200973017990</v>
      </c>
      <c r="AI94" t="s" s="44">
        <f>IF(AJ94&gt;0,"+","")</f>
        <v>361</v>
      </c>
      <c r="AJ94" s="16">
        <f>AH94/AF94-1</f>
        <v>0.233358651673793</v>
      </c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</c>
      <c r="AH97" s="16">
        <f>AM104/AE104-1</f>
        <v>0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(AG118+AG119+AI118+AI119+AK118+AK119+AM118+AM119)/AF135</f>
        <v>0.00761623616236162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68.05" customHeight="1">
      <c r="AC99" s="36"/>
      <c r="AD99" s="34"/>
      <c r="AE99" t="s" s="44">
        <v>63</v>
      </c>
      <c r="AF99" t="s" s="44">
        <v>67</v>
      </c>
      <c r="AG99" t="s" s="44">
        <f>IF(AH99&gt;0,"+","")</f>
        <v>361</v>
      </c>
      <c r="AH99" s="16">
        <f>(AG132+AG133+AI132+AI133+AK132+AK133+AM132+AM133)/AF135</f>
        <v>0.020910209102091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44.05" customHeight="1">
      <c r="AC100" s="36"/>
      <c r="AD100" s="34"/>
      <c r="AE100" t="s" s="44">
        <v>68</v>
      </c>
      <c r="AF100" t="s" s="44">
        <v>69</v>
      </c>
      <c r="AG100" s="16">
        <f>AP128/AF135</f>
        <v>-0.0231242312423124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-0.184668989547038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68.05" customHeight="1">
      <c r="AC102" s="36"/>
      <c r="AD102" s="34"/>
      <c r="AE102" t="s" s="44">
        <v>70</v>
      </c>
      <c r="AF102" t="s" s="44">
        <v>393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-0.0717969059896866</v>
      </c>
      <c r="AF103" s="16">
        <f>P23</f>
        <v>0.31025641025641</v>
      </c>
      <c r="AG103" s="16">
        <f>P24</f>
        <v>-0.0472928897586432</v>
      </c>
      <c r="AH103" s="16">
        <f>P25</f>
        <v>-0.0174597740499829</v>
      </c>
      <c r="AI103" s="16">
        <f>P26</f>
        <v>-0.184668989547038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32.05" customHeight="1">
      <c r="AC104" s="36"/>
      <c r="AD104" s="34"/>
      <c r="AE104" s="15">
        <f>C22</f>
        <v>234</v>
      </c>
      <c r="AF104" t="s" s="44">
        <v>72</v>
      </c>
      <c r="AG104" s="15">
        <f>C23</f>
        <v>306.6</v>
      </c>
      <c r="AH104" t="s" s="44">
        <v>72</v>
      </c>
      <c r="AI104" s="15">
        <f>C24</f>
        <v>292.1</v>
      </c>
      <c r="AJ104" t="s" s="44">
        <v>72</v>
      </c>
      <c r="AK104" s="15">
        <f>C25</f>
        <v>287</v>
      </c>
      <c r="AL104" t="s" s="44">
        <v>72</v>
      </c>
      <c r="AM104" s="15">
        <f>C26</f>
        <v>234</v>
      </c>
      <c r="AN104" t="s" s="48">
        <f>AC$47</f>
        <v>22</v>
      </c>
      <c r="AO104" s="17"/>
      <c r="AP104" s="17"/>
      <c r="AQ104" s="17"/>
      <c r="AR104" s="17"/>
      <c r="AS104" s="17"/>
      <c r="AT104" s="17"/>
      <c r="AU104" s="17"/>
      <c r="AV104" s="17"/>
    </row>
    <row r="105" ht="56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-0.184668989547038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234</v>
      </c>
      <c r="AM105" t="s" s="48">
        <f>AN104</f>
        <v>22</v>
      </c>
      <c r="AN105" t="s" s="44">
        <v>77</v>
      </c>
      <c r="AO105" t="s" s="44">
        <f>IF(AP105&gt;0,"+","")</f>
        <v>361</v>
      </c>
      <c r="AP105" s="16">
        <f>AH91</f>
        <v>0.00608867983693697</v>
      </c>
      <c r="AQ105" t="s" s="44">
        <v>78</v>
      </c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0.0152086892251865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0.0275</v>
      </c>
      <c r="AG107" t="s" s="44">
        <v>82</v>
      </c>
      <c r="AH107" t="s" s="44">
        <v>83</v>
      </c>
      <c r="AI107" s="23">
        <f>AH52</f>
        <v>259.9480026</v>
      </c>
      <c r="AJ107" t="s" s="48">
        <f>AN104</f>
        <v>22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0.173931623931624</v>
      </c>
      <c r="AF110" s="16">
        <f>(D23+E23)/C23</f>
        <v>0.157534246575342</v>
      </c>
      <c r="AG110" s="16">
        <f>((E24+D24)/C24)</f>
        <v>0.166039027730229</v>
      </c>
      <c r="AH110" s="16">
        <f>(D25+E25)/C25</f>
        <v>0.171080139372822</v>
      </c>
      <c r="AI110" s="16">
        <f>(D26+E26)/C26</f>
        <v>0.177777777777778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32.05" customHeight="1">
      <c r="AC111" s="36"/>
      <c r="AD111" s="34"/>
      <c r="AE111" s="15">
        <f>E22</f>
        <v>32.9</v>
      </c>
      <c r="AF111" t="s" s="44">
        <v>72</v>
      </c>
      <c r="AG111" s="15">
        <f>E23</f>
        <v>39.8</v>
      </c>
      <c r="AH111" t="s" s="44">
        <v>72</v>
      </c>
      <c r="AI111" s="15">
        <f>E24</f>
        <v>39.9</v>
      </c>
      <c r="AJ111" t="s" s="44">
        <v>72</v>
      </c>
      <c r="AK111" s="15">
        <f>E25</f>
        <v>40.3</v>
      </c>
      <c r="AL111" t="s" s="44">
        <v>72</v>
      </c>
      <c r="AM111" s="15">
        <f>E26</f>
        <v>34</v>
      </c>
      <c r="AN111" t="s" s="48">
        <f>AN104</f>
        <v>22</v>
      </c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0.171080139372822</v>
      </c>
      <c r="AG112" t="s" s="44">
        <v>76</v>
      </c>
      <c r="AH112" s="16">
        <f>AI110</f>
        <v>0.177777777777778</v>
      </c>
      <c r="AI112" t="s" s="44">
        <v>90</v>
      </c>
      <c r="AJ112" s="15">
        <f>AK111</f>
        <v>40.3</v>
      </c>
      <c r="AK112" t="s" s="44">
        <v>76</v>
      </c>
      <c r="AL112" s="15">
        <f>AM111</f>
        <v>34</v>
      </c>
      <c r="AM112" t="s" s="48">
        <f>AJ107</f>
        <v>22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0.168107797864043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0.168107797864043</v>
      </c>
      <c r="AG114" t="s" s="44">
        <v>94</v>
      </c>
      <c r="AH114" s="15">
        <f>AH66</f>
        <v>35.3659529429092</v>
      </c>
      <c r="AI114" t="s" s="48">
        <f>AM112</f>
        <v>22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IF(AH120&lt;0,"negative","positive")</f>
        <v>485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8.35" customHeight="1" hidden="1">
      <c r="AC116" s="36"/>
      <c r="AD116" s="34"/>
      <c r="AE116" s="17"/>
      <c r="AF116" s="15">
        <f>ABS(AF120)</f>
        <v>55.649</v>
      </c>
      <c r="AG116" s="15">
        <f>ABS(AH120)</f>
        <v>93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AE109</f>
        <v>70</v>
      </c>
      <c r="AF117" t="s" s="44">
        <v>96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32.05" customHeight="1">
      <c r="AC118" s="36"/>
      <c r="AD118" s="34"/>
      <c r="AE118" s="15">
        <f>J22</f>
        <v>97.90000000000001</v>
      </c>
      <c r="AF118" t="s" s="44">
        <v>72</v>
      </c>
      <c r="AG118" s="15">
        <f>J23</f>
        <v>14.5</v>
      </c>
      <c r="AH118" t="s" s="44">
        <v>72</v>
      </c>
      <c r="AI118" s="15">
        <f>J24</f>
        <v>41.651</v>
      </c>
      <c r="AJ118" t="s" s="44">
        <v>72</v>
      </c>
      <c r="AK118" s="15">
        <f>J25</f>
        <v>53.049</v>
      </c>
      <c r="AL118" t="s" s="44">
        <v>72</v>
      </c>
      <c r="AM118" s="15">
        <f>J26</f>
        <v>13.5</v>
      </c>
      <c r="AN118" t="s" s="48">
        <f>AN104</f>
        <v>22</v>
      </c>
      <c r="AO118" s="17"/>
      <c r="AP118" s="17"/>
      <c r="AQ118" s="17"/>
      <c r="AR118" s="17"/>
      <c r="AS118" s="17"/>
      <c r="AT118" s="17"/>
      <c r="AU118" s="17"/>
      <c r="AV118" s="17"/>
    </row>
    <row r="119" ht="32.05" customHeight="1">
      <c r="AC119" s="36"/>
      <c r="AD119" s="34"/>
      <c r="AE119" s="15">
        <f>K22</f>
        <v>-2.68</v>
      </c>
      <c r="AF119" t="s" s="44">
        <v>72</v>
      </c>
      <c r="AG119" s="15">
        <f>K23</f>
        <v>0.78</v>
      </c>
      <c r="AH119" t="s" s="44">
        <v>72</v>
      </c>
      <c r="AI119" s="15">
        <f>K24</f>
        <v>-4.1</v>
      </c>
      <c r="AJ119" t="s" s="44">
        <v>72</v>
      </c>
      <c r="AK119" s="15">
        <f>K25</f>
        <v>2.6</v>
      </c>
      <c r="AL119" t="s" s="44">
        <v>72</v>
      </c>
      <c r="AM119" s="15">
        <f>K26</f>
        <v>-106.5</v>
      </c>
      <c r="AN119" t="s" s="48">
        <f>AN118</f>
        <v>22</v>
      </c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55.649</v>
      </c>
      <c r="AG120" t="s" s="44">
        <v>76</v>
      </c>
      <c r="AH120" s="15">
        <f>AM118+AM119</f>
        <v>-93</v>
      </c>
      <c r="AI120" t="s" s="48">
        <f>AI114</f>
        <v>22</v>
      </c>
      <c r="AJ120" t="s" s="44">
        <v>84</v>
      </c>
      <c r="AK120" t="s" s="44">
        <f>AK114</f>
        <v>74</v>
      </c>
      <c r="AL120" t="s" s="44">
        <v>98</v>
      </c>
      <c r="AM120" s="15">
        <f>AM119</f>
        <v>-106.5</v>
      </c>
      <c r="AN120" t="s" s="48">
        <f>AN104</f>
        <v>22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3.87</v>
      </c>
      <c r="AG121" t="s" s="48">
        <f>AN104</f>
        <v>22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AE54</f>
        <v>-4.1</v>
      </c>
      <c r="AG122" t="s" s="48">
        <f>AG121</f>
        <v>22</v>
      </c>
      <c r="AH122" t="s" s="44">
        <v>102</v>
      </c>
      <c r="AI122" t="s" s="44">
        <v>103</v>
      </c>
      <c r="AJ122" t="s" s="44">
        <f>IF(AI107&gt;AL105,"higher","lower")</f>
        <v>363</v>
      </c>
      <c r="AK122" t="s" s="44">
        <v>105</v>
      </c>
      <c r="AL122" s="15">
        <f>SUM(AE55:AH55)/4</f>
        <v>39.1687728051094</v>
      </c>
      <c r="AM122" t="s" s="48">
        <f>AG122</f>
        <v>22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AE102</f>
        <v>70</v>
      </c>
      <c r="AF124" t="s" s="44">
        <v>109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32.05" customHeight="1">
      <c r="AC125" s="36"/>
      <c r="AD125" s="34"/>
      <c r="AE125" s="15">
        <f>F22</f>
        <v>214</v>
      </c>
      <c r="AF125" t="s" s="44">
        <v>72</v>
      </c>
      <c r="AG125" s="15">
        <f>F23</f>
        <v>159.5</v>
      </c>
      <c r="AH125" t="s" s="44">
        <v>72</v>
      </c>
      <c r="AI125" s="15">
        <f>F24</f>
        <v>178</v>
      </c>
      <c r="AJ125" t="s" s="44">
        <v>72</v>
      </c>
      <c r="AK125" s="15">
        <f>F25</f>
        <v>186</v>
      </c>
      <c r="AL125" t="s" s="44">
        <v>72</v>
      </c>
      <c r="AM125" s="15">
        <f>F26</f>
        <v>107</v>
      </c>
      <c r="AN125" t="s" s="48">
        <f>AN104</f>
        <v>22</v>
      </c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s="15">
        <f>G22</f>
        <v>212</v>
      </c>
      <c r="AF126" t="s" s="44">
        <v>72</v>
      </c>
      <c r="AG126" s="15">
        <f>G23</f>
        <v>181.9</v>
      </c>
      <c r="AH126" t="s" s="44">
        <v>72</v>
      </c>
      <c r="AI126" s="15">
        <f>G24</f>
        <v>221</v>
      </c>
      <c r="AJ126" t="s" s="44">
        <v>72</v>
      </c>
      <c r="AK126" s="15">
        <f>G25</f>
        <v>204</v>
      </c>
      <c r="AL126" t="s" s="44">
        <v>72</v>
      </c>
      <c r="AM126" s="15">
        <f>G26</f>
        <v>154</v>
      </c>
      <c r="AN126" t="s" s="48">
        <f>AN125</f>
        <v>22</v>
      </c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370</v>
      </c>
      <c r="AG127" s="15">
        <f>AK125</f>
        <v>186</v>
      </c>
      <c r="AH127" t="s" s="44">
        <v>76</v>
      </c>
      <c r="AI127" s="15">
        <f>AM125</f>
        <v>107</v>
      </c>
      <c r="AJ127" t="s" s="48">
        <f>AM122</f>
        <v>22</v>
      </c>
      <c r="AK127" t="s" s="44">
        <v>84</v>
      </c>
      <c r="AL127" t="s" s="44">
        <f>AI105</f>
        <v>74</v>
      </c>
      <c r="AM127" t="s" s="44">
        <f>AP112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370</v>
      </c>
      <c r="AG128" s="15">
        <f>AK126</f>
        <v>204</v>
      </c>
      <c r="AH128" t="s" s="44">
        <v>76</v>
      </c>
      <c r="AI128" s="15">
        <f>AM126</f>
        <v>154</v>
      </c>
      <c r="AJ128" t="s" s="48">
        <f>AJ127</f>
        <v>22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-18</v>
      </c>
      <c r="AO128" t="s" s="44">
        <v>76</v>
      </c>
      <c r="AP128" s="15">
        <f>AI127-AI128</f>
        <v>-47</v>
      </c>
      <c r="AQ128" t="s" s="48">
        <f>AJ128</f>
        <v>22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SUM(AE58:AH58)</f>
        <v>-69.8708789435522</v>
      </c>
      <c r="AG129" t="s" s="48">
        <f>AJ128</f>
        <v>22</v>
      </c>
      <c r="AH129" t="s" s="44">
        <v>117</v>
      </c>
      <c r="AI129" t="s" s="44">
        <f>IF(AJ129&gt;0,"+","")</f>
      </c>
      <c r="AJ129" s="15">
        <f>AE56+AF56+AG56+AH56+AE60+AF60+AG60+AH60</f>
        <v>-28.5660375</v>
      </c>
      <c r="AK129" t="s" s="48">
        <f>AQ128</f>
        <v>22</v>
      </c>
      <c r="AL129" t="s" s="44">
        <v>118</v>
      </c>
      <c r="AM129" t="s" s="44">
        <v>119</v>
      </c>
      <c r="AN129" s="15">
        <f>AH75</f>
        <v>39.804212276885</v>
      </c>
      <c r="AO129" t="s" s="48">
        <f>AJ128</f>
        <v>22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AE102</f>
        <v>70</v>
      </c>
      <c r="AF131" t="s" s="44">
        <v>122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32.05" customHeight="1">
      <c r="AC132" s="36"/>
      <c r="AD132" s="34"/>
      <c r="AE132" s="15">
        <f>-L22</f>
        <v>0</v>
      </c>
      <c r="AF132" t="s" s="44">
        <v>72</v>
      </c>
      <c r="AG132" s="15">
        <f>-L23</f>
        <v>0</v>
      </c>
      <c r="AH132" t="s" s="44">
        <v>72</v>
      </c>
      <c r="AI132" s="15">
        <f>-L24</f>
        <v>0</v>
      </c>
      <c r="AJ132" t="s" s="44">
        <v>72</v>
      </c>
      <c r="AK132" s="15">
        <f>-L25</f>
        <v>0</v>
      </c>
      <c r="AL132" t="s" s="44">
        <v>72</v>
      </c>
      <c r="AM132" s="15">
        <f>-L26</f>
        <v>0</v>
      </c>
      <c r="AN132" t="s" s="48">
        <f>AN104</f>
        <v>22</v>
      </c>
      <c r="AO132" s="17"/>
      <c r="AP132" s="17"/>
      <c r="AQ132" s="17"/>
      <c r="AR132" s="17"/>
      <c r="AS132" s="17"/>
      <c r="AT132" s="17"/>
      <c r="AU132" s="17"/>
      <c r="AV132" s="17"/>
    </row>
    <row r="133" ht="32.05" customHeight="1">
      <c r="AC133" s="36"/>
      <c r="AD133" s="34"/>
      <c r="AE133" s="15">
        <f>-M22</f>
        <v>42.5</v>
      </c>
      <c r="AF133" t="s" s="44">
        <v>72</v>
      </c>
      <c r="AG133" s="15">
        <f>-M23</f>
        <v>42.5</v>
      </c>
      <c r="AH133" t="s" s="44">
        <v>72</v>
      </c>
      <c r="AI133" s="15">
        <f>-M24</f>
        <v>0</v>
      </c>
      <c r="AJ133" t="s" s="44">
        <v>72</v>
      </c>
      <c r="AK133" s="15">
        <f>-M25</f>
        <v>0</v>
      </c>
      <c r="AL133" t="s" s="44">
        <v>72</v>
      </c>
      <c r="AM133" s="15">
        <f>-M26</f>
        <v>0</v>
      </c>
      <c r="AN133" t="s" s="48">
        <f>AN132</f>
        <v>22</v>
      </c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AE93</f>
        <v>653</v>
      </c>
      <c r="AF134" t="s" s="44">
        <f>IF(AG134&gt;0,"paid","(raised)")</f>
        <v>121</v>
      </c>
      <c r="AG134" s="15">
        <f>SUM(AM132:AM133)</f>
        <v>0</v>
      </c>
      <c r="AH134" t="s" s="48">
        <f>AN104</f>
        <v>22</v>
      </c>
      <c r="AI134" t="s" s="44">
        <f>AH105</f>
        <v>73</v>
      </c>
      <c r="AJ134" t="s" s="44">
        <f>AI105</f>
        <v>74</v>
      </c>
      <c r="AK134" t="s" s="44">
        <f>AJ105</f>
        <v>75</v>
      </c>
      <c r="AL134" s="15">
        <f>AM132</f>
        <v>0</v>
      </c>
      <c r="AM134" t="s" s="48">
        <f>AN104</f>
        <v>22</v>
      </c>
      <c r="AN134" t="s" s="44">
        <v>123</v>
      </c>
      <c r="AO134" s="15">
        <f>AM133</f>
        <v>0</v>
      </c>
      <c r="AP134" t="s" s="48">
        <f>AN104</f>
        <v>22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-SUM(AE76:AH76)</f>
        <v>98.43691644355221</v>
      </c>
      <c r="AU134" t="s" s="48">
        <f>AN104</f>
        <v>22</v>
      </c>
      <c r="AV134" t="s" s="44">
        <v>126</v>
      </c>
    </row>
    <row r="135" ht="56.05" customHeight="1">
      <c r="AC135" s="36"/>
      <c r="AD135" s="34"/>
      <c r="AE135" t="s" s="44">
        <v>127</v>
      </c>
      <c r="AF135" s="15">
        <f>AH80</f>
        <v>2032.5</v>
      </c>
      <c r="AG135" t="s" s="48">
        <f>AN104</f>
        <v>22</v>
      </c>
      <c r="AH135" t="s" s="44">
        <v>128</v>
      </c>
      <c r="AI135" t="s" s="44">
        <v>129</v>
      </c>
      <c r="AJ135" s="43">
        <f>AH82</f>
        <v>2.27017648728771</v>
      </c>
      <c r="AK135" t="s" s="44">
        <v>130</v>
      </c>
      <c r="AL135" t="s" s="44">
        <v>131</v>
      </c>
      <c r="AM135" t="s" s="44">
        <v>132</v>
      </c>
      <c r="AN135" s="15">
        <f>AH85</f>
        <v>4.659749427811</v>
      </c>
      <c r="AO135" t="s" s="44">
        <v>133</v>
      </c>
      <c r="AP135" s="16">
        <f>-AF129/AF135</f>
        <v>0.0343768162083898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AH84</f>
        <v>156.675091220437</v>
      </c>
      <c r="AG136" t="s" s="48">
        <f>AG135</f>
        <v>22</v>
      </c>
      <c r="AH136" t="s" s="44">
        <v>136</v>
      </c>
      <c r="AI136" s="15">
        <f>AF135/AF136</f>
        <v>12.972706664267</v>
      </c>
      <c r="AJ136" t="s" s="44">
        <v>130</v>
      </c>
      <c r="AK136" t="s" s="44">
        <v>137</v>
      </c>
      <c r="AL136" t="s" s="44">
        <v>138</v>
      </c>
      <c r="AM136" s="15">
        <f>AH86</f>
        <v>16</v>
      </c>
      <c r="AN136" t="s" s="44">
        <v>139</v>
      </c>
      <c r="AO136" t="s" s="44">
        <v>140</v>
      </c>
      <c r="AP136" t="s" s="44">
        <v>141</v>
      </c>
      <c r="AQ136" s="16">
        <f>AJ94</f>
        <v>0.233358651673793</v>
      </c>
      <c r="AR136" t="s" s="44">
        <f>IF(AQ136&gt;0,"higher","lower")</f>
        <v>363</v>
      </c>
      <c r="AS136" t="s" s="44">
        <v>142</v>
      </c>
      <c r="AT136" s="15">
        <f>AH94</f>
        <v>1671.200973017990</v>
      </c>
      <c r="AU136" t="s" s="44">
        <v>143</v>
      </c>
      <c r="AV136" s="17"/>
    </row>
    <row r="137" ht="20.05" customHeight="1">
      <c r="AC137" s="36"/>
      <c r="AD137" s="38"/>
      <c r="AE137" s="44"/>
      <c r="AF137" s="17"/>
      <c r="AG137" s="17"/>
      <c r="AH137" s="17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</row>
    <row r="138" ht="20.05" customHeight="1">
      <c r="AC138" s="36"/>
      <c r="AD138" s="38"/>
      <c r="AE138" t="s" s="44">
        <f>AE93</f>
        <v>653</v>
      </c>
      <c r="AF138" t="s" s="44">
        <f>AE146</f>
        <v>394</v>
      </c>
      <c r="AG138" t="s" s="44">
        <f>AF146</f>
        <v>419</v>
      </c>
      <c r="AH138" s="16">
        <f>AG146</f>
        <v>-0.184668989547038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32.05" customHeight="1">
      <c r="AC139" s="36"/>
      <c r="AD139" s="38"/>
      <c r="AE139" t="s" s="44">
        <v>396</v>
      </c>
      <c r="AF139" s="15">
        <f>AF94</f>
        <v>1355</v>
      </c>
      <c r="AG139" t="s" s="44">
        <f>AG94</f>
        <v>61</v>
      </c>
      <c r="AH139" s="15">
        <f>AH94</f>
        <v>1671.200973017990</v>
      </c>
      <c r="AI139" t="s" s="44">
        <f>AI94</f>
        <v>361</v>
      </c>
      <c r="AJ139" s="16">
        <f>AJ94</f>
        <v>0.233358651673793</v>
      </c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s="36"/>
      <c r="AD140" s="38"/>
      <c r="AE140" s="47">
        <f>AE95</f>
        <v>44942</v>
      </c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44.05" customHeight="1">
      <c r="AC141" s="36"/>
      <c r="AD141" s="38"/>
      <c r="AE141" t="s" s="44">
        <v>397</v>
      </c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44.05" customHeight="1">
      <c r="AC142" s="36"/>
      <c r="AD142" s="34"/>
      <c r="AE142" t="s" s="44">
        <v>398</v>
      </c>
      <c r="AF142" t="s" s="44">
        <v>399</v>
      </c>
      <c r="AG142" t="s" s="44">
        <f>AG97</f>
      </c>
      <c r="AH142" s="16">
        <f>AH97</f>
        <v>0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44.05" customHeight="1">
      <c r="AC143" s="36"/>
      <c r="AD143" s="34"/>
      <c r="AE143" t="s" s="44">
        <v>400</v>
      </c>
      <c r="AF143" t="s" s="44">
        <f>AF142</f>
        <v>399</v>
      </c>
      <c r="AG143" t="s" s="44">
        <f>IF(AH143&gt;0,"+","")</f>
        <v>361</v>
      </c>
      <c r="AH143" s="16">
        <f>AH98</f>
        <v>0.00761623616236162</v>
      </c>
      <c r="AI143" t="s" s="44">
        <v>401</v>
      </c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44.05" customHeight="1">
      <c r="AC144" s="36"/>
      <c r="AD144" s="34"/>
      <c r="AE144" t="s" s="44">
        <v>402</v>
      </c>
      <c r="AF144" t="s" s="44">
        <f>AF143</f>
        <v>399</v>
      </c>
      <c r="AG144" t="s" s="44">
        <f>IF(AH144&gt;0,"+","")</f>
        <v>361</v>
      </c>
      <c r="AH144" s="16">
        <f>AH99</f>
        <v>0.020910209102091</v>
      </c>
      <c r="AI144" t="s" s="44">
        <f>AI143</f>
        <v>401</v>
      </c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68.05" customHeight="1">
      <c r="AC145" s="36"/>
      <c r="AD145" s="38"/>
      <c r="AE145" t="s" s="44">
        <v>403</v>
      </c>
      <c r="AF145" t="s" s="44">
        <v>404</v>
      </c>
      <c r="AG145" t="s" s="44">
        <f>IF(AH145&gt;0,"+","")</f>
      </c>
      <c r="AH145" s="16">
        <f>AG100</f>
        <v>-0.0231242312423124</v>
      </c>
      <c r="AI145" t="s" s="44">
        <f>AI144</f>
        <v>401</v>
      </c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8"/>
      <c r="AE146" t="s" s="44">
        <v>394</v>
      </c>
      <c r="AF146" t="s" s="44">
        <f>AF150</f>
        <v>419</v>
      </c>
      <c r="AG146" s="16">
        <f>AG101</f>
        <v>-0.184668989547038</v>
      </c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80.05" customHeight="1">
      <c r="AC147" s="36"/>
      <c r="AD147" s="34"/>
      <c r="AE147" t="s" s="44">
        <v>405</v>
      </c>
      <c r="AF147" t="s" s="44">
        <v>406</v>
      </c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8"/>
      <c r="AE148" s="16">
        <f>AE103</f>
        <v>-0.0717969059896866</v>
      </c>
      <c r="AF148" s="16">
        <f>AF103</f>
        <v>0.31025641025641</v>
      </c>
      <c r="AG148" s="16">
        <f>AG103</f>
        <v>-0.0472928897586432</v>
      </c>
      <c r="AH148" s="16">
        <f>AH103</f>
        <v>-0.0174597740499829</v>
      </c>
      <c r="AI148" s="16">
        <f>AI103</f>
        <v>-0.184668989547038</v>
      </c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32.05" customHeight="1">
      <c r="AC149" s="36"/>
      <c r="AD149" s="38"/>
      <c r="AE149" s="15">
        <f>AE104</f>
        <v>234</v>
      </c>
      <c r="AF149" t="s" s="44">
        <f>AF104</f>
        <v>72</v>
      </c>
      <c r="AG149" s="15">
        <f>AG104</f>
        <v>306.6</v>
      </c>
      <c r="AH149" t="s" s="44">
        <f>AH104</f>
        <v>72</v>
      </c>
      <c r="AI149" s="15">
        <f>AI104</f>
        <v>292.1</v>
      </c>
      <c r="AJ149" t="s" s="44">
        <f>AJ104</f>
        <v>72</v>
      </c>
      <c r="AK149" s="15">
        <f>AK104</f>
        <v>287</v>
      </c>
      <c r="AL149" t="s" s="44">
        <f>AL104</f>
        <v>72</v>
      </c>
      <c r="AM149" s="15">
        <f>AM104</f>
        <v>234</v>
      </c>
      <c r="AN149" t="s" s="44">
        <v>407</v>
      </c>
      <c r="AO149" s="17"/>
      <c r="AP149" s="17"/>
      <c r="AQ149" s="17"/>
      <c r="AR149" s="17"/>
      <c r="AS149" s="17"/>
      <c r="AT149" s="17"/>
      <c r="AU149" s="17"/>
      <c r="AV149" s="17"/>
    </row>
    <row r="150" ht="104.05" customHeight="1">
      <c r="AC150" s="36"/>
      <c r="AD150" s="38"/>
      <c r="AE150" t="s" s="44">
        <v>394</v>
      </c>
      <c r="AF150" t="s" s="44">
        <f>IF(AG150&lt;0,"turun","tumbuh")</f>
        <v>419</v>
      </c>
      <c r="AG150" s="16">
        <f>AG105</f>
        <v>-0.184668989547038</v>
      </c>
      <c r="AH150" t="s" s="44">
        <v>408</v>
      </c>
      <c r="AI150" t="s" s="44">
        <v>409</v>
      </c>
      <c r="AJ150" t="s" s="44">
        <v>410</v>
      </c>
      <c r="AK150" s="15">
        <f>AL105</f>
        <v>234</v>
      </c>
      <c r="AL150" t="s" s="44">
        <f>AN149</f>
        <v>407</v>
      </c>
      <c r="AM150" t="s" s="44">
        <v>411</v>
      </c>
      <c r="AN150" t="s" s="44">
        <f>AO105</f>
        <v>361</v>
      </c>
      <c r="AO150" s="16">
        <f>AP105</f>
        <v>0.00608867983693697</v>
      </c>
      <c r="AP150" s="17"/>
      <c r="AQ150" s="44"/>
      <c r="AR150" s="17"/>
      <c r="AS150" s="17"/>
      <c r="AT150" s="17"/>
      <c r="AU150" s="17"/>
      <c r="AV150" s="17"/>
    </row>
    <row r="151" ht="92.05" customHeight="1">
      <c r="AC151" s="36"/>
      <c r="AD151" s="38"/>
      <c r="AE151" t="s" s="44">
        <v>412</v>
      </c>
      <c r="AF151" s="16">
        <f>AF106</f>
        <v>0.0152086892251865</v>
      </c>
      <c r="AG151" t="s" s="44">
        <v>413</v>
      </c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</row>
    <row r="152" ht="80.05" customHeight="1">
      <c r="AC152" s="36"/>
      <c r="AD152" s="38"/>
      <c r="AE152" t="s" s="44">
        <v>414</v>
      </c>
      <c r="AF152" s="35">
        <f>AF107</f>
        <v>0.0275</v>
      </c>
      <c r="AG152" t="s" s="44">
        <v>415</v>
      </c>
      <c r="AH152" t="s" s="44">
        <v>416</v>
      </c>
      <c r="AI152" s="23">
        <f>AI107</f>
        <v>259.9480026</v>
      </c>
      <c r="AJ152" t="s" s="44">
        <f>AN149</f>
        <v>407</v>
      </c>
      <c r="AK152" t="s" s="44">
        <f>AH150</f>
        <v>408</v>
      </c>
      <c r="AL152" t="s" s="44">
        <f>AI150</f>
        <v>409</v>
      </c>
      <c r="AM152" t="s" s="44">
        <f>AN107</f>
        <v>85</v>
      </c>
      <c r="AN152" s="17"/>
      <c r="AO152" s="17"/>
      <c r="AP152" s="17"/>
      <c r="AQ152" s="17"/>
      <c r="AR152" s="17"/>
      <c r="AS152" s="17"/>
      <c r="AT152" s="17"/>
      <c r="AU152" s="17"/>
      <c r="AV152" s="17"/>
    </row>
    <row r="153" ht="32.05" customHeight="1">
      <c r="AC153" s="36"/>
      <c r="AD153" s="38"/>
      <c r="AE153" t="s" s="44">
        <v>417</v>
      </c>
      <c r="AF153" t="s" s="44">
        <f>IF(AI155&lt;AH155,"turun","tumbuh")</f>
        <v>395</v>
      </c>
      <c r="AG153" t="s" s="44">
        <v>418</v>
      </c>
      <c r="AH153" t="s" s="44">
        <f>IF(AK156&lt;AI156,"turun","tumbuh")</f>
        <v>395</v>
      </c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  <c r="AV153" s="17"/>
    </row>
    <row r="154" ht="44.05" customHeight="1">
      <c r="AC154" s="36"/>
      <c r="AD154" s="38"/>
      <c r="AE154" t="s" s="44">
        <v>420</v>
      </c>
      <c r="AF154" t="s" s="44">
        <f>AF147</f>
        <v>406</v>
      </c>
      <c r="AG154" s="44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  <c r="AV154" s="17"/>
    </row>
    <row r="155" ht="20.05" customHeight="1">
      <c r="AC155" s="36"/>
      <c r="AD155" s="38"/>
      <c r="AE155" s="16">
        <f>AE110</f>
        <v>0.173931623931624</v>
      </c>
      <c r="AF155" s="16">
        <f>AF110</f>
        <v>0.157534246575342</v>
      </c>
      <c r="AG155" s="16">
        <f>AG110</f>
        <v>0.166039027730229</v>
      </c>
      <c r="AH155" s="16">
        <f>AH110</f>
        <v>0.171080139372822</v>
      </c>
      <c r="AI155" s="16">
        <f>AI110</f>
        <v>0.177777777777778</v>
      </c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</row>
    <row r="156" ht="32.05" customHeight="1">
      <c r="AC156" s="36"/>
      <c r="AD156" s="38"/>
      <c r="AE156" s="15">
        <f>AE111</f>
        <v>32.9</v>
      </c>
      <c r="AF156" t="s" s="44">
        <f>AF111</f>
        <v>72</v>
      </c>
      <c r="AG156" s="15">
        <f>AG111</f>
        <v>39.8</v>
      </c>
      <c r="AH156" t="s" s="44">
        <f>AH111</f>
        <v>72</v>
      </c>
      <c r="AI156" s="15">
        <f>AI111</f>
        <v>39.9</v>
      </c>
      <c r="AJ156" t="s" s="44">
        <f>AJ111</f>
        <v>72</v>
      </c>
      <c r="AK156" s="15">
        <f>AK111</f>
        <v>40.3</v>
      </c>
      <c r="AL156" t="s" s="44">
        <f>AL111</f>
        <v>72</v>
      </c>
      <c r="AM156" s="15">
        <f>AM111</f>
        <v>34</v>
      </c>
      <c r="AN156" t="s" s="44">
        <f>AN149</f>
        <v>407</v>
      </c>
      <c r="AO156" s="17"/>
      <c r="AP156" s="17"/>
      <c r="AQ156" s="17"/>
      <c r="AR156" s="17"/>
      <c r="AS156" s="17"/>
      <c r="AT156" s="17"/>
      <c r="AU156" s="17"/>
      <c r="AV156" s="17"/>
    </row>
    <row r="157" ht="92" customHeight="1">
      <c r="AC157" s="36"/>
      <c r="AD157" s="38"/>
      <c r="AE157" t="s" s="85">
        <v>421</v>
      </c>
      <c r="AF157" s="16">
        <f>AF112</f>
        <v>0.171080139372822</v>
      </c>
      <c r="AG157" t="s" s="85">
        <v>422</v>
      </c>
      <c r="AH157" s="16">
        <f>AH112</f>
        <v>0.177777777777778</v>
      </c>
      <c r="AI157" t="s" s="85">
        <v>423</v>
      </c>
      <c r="AJ157" s="15">
        <f>AJ112</f>
        <v>40.3</v>
      </c>
      <c r="AK157" t="s" s="44">
        <v>410</v>
      </c>
      <c r="AL157" s="15">
        <f>AL112</f>
        <v>34</v>
      </c>
      <c r="AM157" t="s" s="44">
        <f>AN149</f>
        <v>407</v>
      </c>
      <c r="AN157" t="s" s="44">
        <f>AH150</f>
        <v>408</v>
      </c>
      <c r="AO157" t="s" s="44">
        <f>AI150</f>
        <v>409</v>
      </c>
      <c r="AP157" t="s" s="44">
        <v>413</v>
      </c>
      <c r="AQ157" s="17"/>
      <c r="AR157" s="17"/>
      <c r="AS157" s="17"/>
      <c r="AT157" s="17"/>
      <c r="AU157" s="17"/>
      <c r="AV157" s="17"/>
    </row>
    <row r="158" ht="68" customHeight="1">
      <c r="AC158" s="36"/>
      <c r="AD158" s="38"/>
      <c r="AE158" t="s" s="85">
        <v>424</v>
      </c>
      <c r="AF158" s="16">
        <f>AF113</f>
        <v>0.168107797864043</v>
      </c>
      <c r="AG158" t="s" s="44">
        <v>425</v>
      </c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  <c r="AV158" s="17"/>
    </row>
    <row r="159" ht="68" customHeight="1">
      <c r="AC159" s="36"/>
      <c r="AD159" s="38"/>
      <c r="AE159" t="s" s="85">
        <v>426</v>
      </c>
      <c r="AF159" s="35">
        <f>AF114</f>
        <v>0.168107797864043</v>
      </c>
      <c r="AG159" t="s" s="85">
        <v>427</v>
      </c>
      <c r="AH159" s="15">
        <f>AH114</f>
        <v>35.3659529429092</v>
      </c>
      <c r="AI159" t="s" s="44">
        <f>AN149</f>
        <v>407</v>
      </c>
      <c r="AJ159" t="s" s="44">
        <f>AK152</f>
        <v>408</v>
      </c>
      <c r="AK159" t="s" s="44">
        <f>AL152</f>
        <v>409</v>
      </c>
      <c r="AL159" t="s" s="44">
        <f>AM152</f>
        <v>85</v>
      </c>
      <c r="AM159" s="44"/>
      <c r="AN159" s="17"/>
      <c r="AO159" s="17"/>
      <c r="AP159" s="17"/>
      <c r="AQ159" s="17"/>
      <c r="AR159" s="17"/>
      <c r="AS159" s="17"/>
      <c r="AT159" s="17"/>
      <c r="AU159" s="17"/>
      <c r="AV159" s="17"/>
    </row>
    <row r="160" ht="20.05" customHeight="1">
      <c r="AC160" s="36"/>
      <c r="AD160" s="38"/>
      <c r="AE160" t="s" s="44">
        <v>428</v>
      </c>
      <c r="AF160" t="s" s="44">
        <f>IF(AH165&lt;0,"negatif","positif")</f>
        <v>524</v>
      </c>
      <c r="AG160" s="44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</row>
    <row r="161" ht="8.35" customHeight="1" hidden="1">
      <c r="AC161" s="36"/>
      <c r="AD161" s="38"/>
      <c r="AE161" s="17"/>
      <c r="AF161" s="15">
        <f>ABS(AF165)</f>
        <v>55.649</v>
      </c>
      <c r="AG161" s="15">
        <f>ABS(AH165)</f>
        <v>93</v>
      </c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  <c r="AV161" s="17"/>
    </row>
    <row r="162" ht="68.05" customHeight="1">
      <c r="AC162" s="36"/>
      <c r="AD162" s="38"/>
      <c r="AE162" t="s" s="44">
        <v>430</v>
      </c>
      <c r="AF162" t="s" s="44">
        <f>AF147</f>
        <v>406</v>
      </c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</row>
    <row r="163" ht="32.05" customHeight="1">
      <c r="AC163" s="36"/>
      <c r="AD163" s="38"/>
      <c r="AE163" s="15">
        <f>AE118</f>
        <v>97.90000000000001</v>
      </c>
      <c r="AF163" t="s" s="44">
        <f>AF118</f>
        <v>72</v>
      </c>
      <c r="AG163" s="15">
        <f>AG118</f>
        <v>14.5</v>
      </c>
      <c r="AH163" t="s" s="44">
        <f>AH118</f>
        <v>72</v>
      </c>
      <c r="AI163" s="15">
        <f>AI118</f>
        <v>41.651</v>
      </c>
      <c r="AJ163" t="s" s="44">
        <f>AJ118</f>
        <v>72</v>
      </c>
      <c r="AK163" s="15">
        <f>AK118</f>
        <v>53.049</v>
      </c>
      <c r="AL163" t="s" s="44">
        <f>AL118</f>
        <v>72</v>
      </c>
      <c r="AM163" s="15">
        <f>AM118</f>
        <v>13.5</v>
      </c>
      <c r="AN163" t="s" s="44">
        <f>AI159</f>
        <v>407</v>
      </c>
      <c r="AO163" s="17"/>
      <c r="AP163" s="17"/>
      <c r="AQ163" s="17"/>
      <c r="AR163" s="17"/>
      <c r="AS163" s="17"/>
      <c r="AT163" s="17"/>
      <c r="AU163" s="17"/>
      <c r="AV163" s="17"/>
    </row>
    <row r="164" ht="32.05" customHeight="1">
      <c r="AC164" s="36"/>
      <c r="AD164" s="38"/>
      <c r="AE164" s="15">
        <f>AE119</f>
        <v>-2.68</v>
      </c>
      <c r="AF164" t="s" s="44">
        <f>AF119</f>
        <v>72</v>
      </c>
      <c r="AG164" s="15">
        <f>AG119</f>
        <v>0.78</v>
      </c>
      <c r="AH164" t="s" s="44">
        <f>AH119</f>
        <v>72</v>
      </c>
      <c r="AI164" s="15">
        <f>AI119</f>
        <v>-4.1</v>
      </c>
      <c r="AJ164" t="s" s="44">
        <f>AJ119</f>
        <v>72</v>
      </c>
      <c r="AK164" s="15">
        <f>AK119</f>
        <v>2.6</v>
      </c>
      <c r="AL164" t="s" s="44">
        <f>AL119</f>
        <v>72</v>
      </c>
      <c r="AM164" s="15">
        <f>AM119</f>
        <v>-106.5</v>
      </c>
      <c r="AN164" t="s" s="44">
        <f>AN149</f>
        <v>407</v>
      </c>
      <c r="AO164" s="17"/>
      <c r="AP164" s="17"/>
      <c r="AQ164" s="17"/>
      <c r="AR164" s="17"/>
      <c r="AS164" s="17"/>
      <c r="AT164" s="17"/>
      <c r="AU164" s="17"/>
      <c r="AV164" s="17"/>
    </row>
    <row r="165" ht="80.05" customHeight="1">
      <c r="AC165" s="36"/>
      <c r="AD165" s="38"/>
      <c r="AE165" t="s" s="44">
        <v>431</v>
      </c>
      <c r="AF165" s="15">
        <f>AF120</f>
        <v>55.649</v>
      </c>
      <c r="AG165" t="s" s="44">
        <v>410</v>
      </c>
      <c r="AH165" s="15">
        <f>AH120</f>
        <v>-93</v>
      </c>
      <c r="AI165" t="s" s="44">
        <f>AN149</f>
        <v>407</v>
      </c>
      <c r="AJ165" t="s" s="44">
        <f>AH150</f>
        <v>408</v>
      </c>
      <c r="AK165" t="s" s="44">
        <f>AI150</f>
        <v>409</v>
      </c>
      <c r="AL165" t="s" s="44">
        <v>432</v>
      </c>
      <c r="AM165" s="15">
        <f>AM119</f>
        <v>-106.5</v>
      </c>
      <c r="AN165" t="s" s="44">
        <f>AN149</f>
        <v>407</v>
      </c>
      <c r="AO165" s="17"/>
      <c r="AP165" s="17"/>
      <c r="AQ165" s="44"/>
      <c r="AR165" s="17"/>
      <c r="AS165" s="17"/>
      <c r="AT165" s="17"/>
      <c r="AU165" s="17"/>
      <c r="AV165" s="17"/>
    </row>
    <row r="166" ht="68" customHeight="1">
      <c r="AC166" s="36"/>
      <c r="AD166" s="38"/>
      <c r="AE166" t="s" s="85">
        <v>433</v>
      </c>
      <c r="AF166" s="15">
        <f>AF121</f>
        <v>3.87</v>
      </c>
      <c r="AG166" t="s" s="44">
        <f>AN149</f>
        <v>407</v>
      </c>
      <c r="AH166" t="s" s="44">
        <v>425</v>
      </c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  <c r="AV166" s="17"/>
    </row>
    <row r="167" ht="140" customHeight="1">
      <c r="AC167" s="36"/>
      <c r="AD167" s="38"/>
      <c r="AE167" t="s" s="85">
        <v>434</v>
      </c>
      <c r="AF167" s="15">
        <f>AF122</f>
        <v>-4.1</v>
      </c>
      <c r="AG167" t="s" s="44">
        <f>AN149</f>
        <v>407</v>
      </c>
      <c r="AH167" t="s" s="85">
        <v>435</v>
      </c>
      <c r="AI167" s="15">
        <f>AL122</f>
        <v>39.1687728051094</v>
      </c>
      <c r="AJ167" t="s" s="44">
        <f>AN149</f>
        <v>407</v>
      </c>
      <c r="AK167" t="s" s="44">
        <v>115</v>
      </c>
      <c r="AL167" s="44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</row>
    <row r="168" ht="32.05" customHeight="1">
      <c r="AC168" s="36"/>
      <c r="AD168" s="38"/>
      <c r="AE168" t="s" s="44">
        <v>436</v>
      </c>
      <c r="AF168" t="s" s="44">
        <f>IF(AF123="down","turun","naik")</f>
        <v>419</v>
      </c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  <c r="AV168" s="17"/>
    </row>
    <row r="169" ht="32.05" customHeight="1">
      <c r="AC169" s="36"/>
      <c r="AD169" s="38"/>
      <c r="AE169" t="s" s="44">
        <v>438</v>
      </c>
      <c r="AF169" t="s" s="44">
        <v>406</v>
      </c>
      <c r="AG169" s="44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  <c r="AV169" s="17"/>
    </row>
    <row r="170" ht="32.05" customHeight="1">
      <c r="AC170" s="36"/>
      <c r="AD170" s="38"/>
      <c r="AE170" s="15">
        <f>AE125</f>
        <v>214</v>
      </c>
      <c r="AF170" t="s" s="44">
        <f>AF125</f>
        <v>72</v>
      </c>
      <c r="AG170" s="15">
        <f>AG125</f>
        <v>159.5</v>
      </c>
      <c r="AH170" t="s" s="44">
        <f>AH125</f>
        <v>72</v>
      </c>
      <c r="AI170" s="15">
        <f>AI125</f>
        <v>178</v>
      </c>
      <c r="AJ170" t="s" s="44">
        <f>AJ125</f>
        <v>72</v>
      </c>
      <c r="AK170" s="15">
        <f>AK125</f>
        <v>186</v>
      </c>
      <c r="AL170" t="s" s="44">
        <f>AL125</f>
        <v>72</v>
      </c>
      <c r="AM170" s="15">
        <f>AM125</f>
        <v>107</v>
      </c>
      <c r="AN170" t="s" s="44">
        <f>AG167</f>
        <v>407</v>
      </c>
      <c r="AO170" t="s" s="44">
        <v>115</v>
      </c>
      <c r="AP170" s="17"/>
      <c r="AQ170" s="17"/>
      <c r="AR170" s="17"/>
      <c r="AS170" s="17"/>
      <c r="AT170" s="17"/>
      <c r="AU170" s="17"/>
      <c r="AV170" s="17"/>
    </row>
    <row r="171" ht="32.05" customHeight="1">
      <c r="AC171" s="36"/>
      <c r="AD171" s="38"/>
      <c r="AE171" s="15">
        <f>AE126</f>
        <v>212</v>
      </c>
      <c r="AF171" t="s" s="44">
        <f>AF126</f>
        <v>72</v>
      </c>
      <c r="AG171" s="15">
        <f>AG126</f>
        <v>181.9</v>
      </c>
      <c r="AH171" t="s" s="44">
        <f>AH126</f>
        <v>72</v>
      </c>
      <c r="AI171" s="15">
        <f>AI126</f>
        <v>221</v>
      </c>
      <c r="AJ171" t="s" s="44">
        <f>AJ126</f>
        <v>72</v>
      </c>
      <c r="AK171" s="15">
        <f>AK126</f>
        <v>204</v>
      </c>
      <c r="AL171" t="s" s="44">
        <f>AL126</f>
        <v>72</v>
      </c>
      <c r="AM171" s="15">
        <f>AM126</f>
        <v>154</v>
      </c>
      <c r="AN171" t="s" s="44">
        <f>AG167</f>
        <v>407</v>
      </c>
      <c r="AO171" t="s" s="44">
        <v>115</v>
      </c>
      <c r="AP171" s="17"/>
      <c r="AQ171" s="17"/>
      <c r="AR171" s="17"/>
      <c r="AS171" s="17"/>
      <c r="AT171" s="17"/>
      <c r="AU171" s="17"/>
      <c r="AV171" s="17"/>
    </row>
    <row r="172" ht="32.05" customHeight="1">
      <c r="AC172" s="36"/>
      <c r="AD172" s="38"/>
      <c r="AE172" t="s" s="44">
        <v>439</v>
      </c>
      <c r="AF172" t="s" s="44">
        <f>IF(AG172&gt;AI172,"turun dari","naik dari")</f>
        <v>516</v>
      </c>
      <c r="AG172" s="15">
        <f>AG127</f>
        <v>186</v>
      </c>
      <c r="AH172" t="s" s="44">
        <f>AG165</f>
        <v>410</v>
      </c>
      <c r="AI172" s="15">
        <f>AI127</f>
        <v>107</v>
      </c>
      <c r="AJ172" t="s" s="44">
        <f>AN149</f>
        <v>407</v>
      </c>
      <c r="AK172" t="s" s="44">
        <f>AJ165</f>
        <v>408</v>
      </c>
      <c r="AL172" t="s" s="44">
        <f>AK165</f>
        <v>409</v>
      </c>
      <c r="AM172" t="s" s="44">
        <v>413</v>
      </c>
      <c r="AN172" s="17"/>
      <c r="AO172" s="17"/>
      <c r="AP172" s="17"/>
      <c r="AQ172" s="17"/>
      <c r="AR172" s="17"/>
      <c r="AS172" s="17"/>
      <c r="AT172" s="17"/>
      <c r="AU172" s="17"/>
      <c r="AV172" s="17"/>
    </row>
    <row r="173" ht="32.05" customHeight="1">
      <c r="AC173" s="36"/>
      <c r="AD173" s="38"/>
      <c r="AE173" t="s" s="44">
        <v>441</v>
      </c>
      <c r="AF173" t="s" s="44">
        <f>IF(AF128="increased","naik dari","turun dari")</f>
        <v>516</v>
      </c>
      <c r="AG173" s="15">
        <f>AG128</f>
        <v>204</v>
      </c>
      <c r="AH173" t="s" s="44">
        <f>AG165</f>
        <v>410</v>
      </c>
      <c r="AI173" s="15">
        <f>AI128</f>
        <v>154</v>
      </c>
      <c r="AJ173" t="s" s="44">
        <f>AJ172</f>
        <v>407</v>
      </c>
      <c r="AK173" t="s" s="44">
        <v>442</v>
      </c>
      <c r="AL173" t="s" s="44">
        <v>443</v>
      </c>
      <c r="AM173" t="s" s="44">
        <f>IF(AM128="down","turun dari","naik dari")</f>
        <v>516</v>
      </c>
      <c r="AN173" s="15">
        <f>AN128</f>
        <v>-18</v>
      </c>
      <c r="AO173" t="s" s="44">
        <f>AH173</f>
        <v>410</v>
      </c>
      <c r="AP173" s="15">
        <f>AP128</f>
        <v>-47</v>
      </c>
      <c r="AQ173" t="s" s="44">
        <f>AJ173</f>
        <v>407</v>
      </c>
      <c r="AR173" t="s" s="44">
        <v>413</v>
      </c>
      <c r="AS173" s="17"/>
      <c r="AT173" s="17"/>
      <c r="AU173" s="17"/>
      <c r="AV173" s="17"/>
    </row>
    <row r="174" ht="116" customHeight="1">
      <c r="AC174" s="36"/>
      <c r="AD174" s="38"/>
      <c r="AE174" t="s" s="85">
        <v>444</v>
      </c>
      <c r="AF174" s="15">
        <f>AF129</f>
        <v>-69.8708789435522</v>
      </c>
      <c r="AG174" t="s" s="44">
        <f>AN149</f>
        <v>407</v>
      </c>
      <c r="AH174" t="s" s="85">
        <v>445</v>
      </c>
      <c r="AI174" s="15">
        <f>AJ129</f>
        <v>-28.5660375</v>
      </c>
      <c r="AJ174" t="s" s="44">
        <f>AG174</f>
        <v>407</v>
      </c>
      <c r="AK174" t="s" s="85">
        <v>446</v>
      </c>
      <c r="AL174" s="15">
        <f>AN129</f>
        <v>39.804212276885</v>
      </c>
      <c r="AM174" t="s" s="44">
        <f>AJ174</f>
        <v>407</v>
      </c>
      <c r="AN174" t="s" s="85">
        <v>447</v>
      </c>
      <c r="AO174" s="17"/>
      <c r="AP174" s="17"/>
      <c r="AQ174" s="17"/>
      <c r="AR174" s="17"/>
      <c r="AS174" s="17"/>
      <c r="AT174" s="17"/>
      <c r="AU174" s="17"/>
      <c r="AV174" s="17"/>
    </row>
    <row r="175" ht="32.05" customHeight="1">
      <c r="AC175" s="36"/>
      <c r="AD175" s="38"/>
      <c r="AE175" t="s" s="44">
        <v>448</v>
      </c>
      <c r="AF175" t="s" s="44">
        <f>IF(AF130="(raised)","(yang dihimpun)","(yang dibayarkan)")</f>
        <v>525</v>
      </c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  <c r="AV175" s="17"/>
    </row>
    <row r="176" ht="128.05" customHeight="1">
      <c r="AC176" s="36"/>
      <c r="AD176" s="38"/>
      <c r="AE176" t="s" s="44">
        <v>450</v>
      </c>
      <c r="AF176" t="s" s="44">
        <f>AF162</f>
        <v>406</v>
      </c>
      <c r="AG176" s="44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</row>
    <row r="177" ht="32.05" customHeight="1">
      <c r="AC177" s="36"/>
      <c r="AD177" s="38"/>
      <c r="AE177" s="15">
        <f>AE132</f>
        <v>0</v>
      </c>
      <c r="AF177" t="s" s="44">
        <f>AF132</f>
        <v>72</v>
      </c>
      <c r="AG177" s="15">
        <f>AG132</f>
        <v>0</v>
      </c>
      <c r="AH177" t="s" s="44">
        <f>AH132</f>
        <v>72</v>
      </c>
      <c r="AI177" s="15">
        <f>AI132</f>
        <v>0</v>
      </c>
      <c r="AJ177" t="s" s="44">
        <f>AJ132</f>
        <v>72</v>
      </c>
      <c r="AK177" s="15">
        <f>AK132</f>
        <v>0</v>
      </c>
      <c r="AL177" t="s" s="44">
        <f>AL132</f>
        <v>72</v>
      </c>
      <c r="AM177" s="15">
        <f>AM132</f>
        <v>0</v>
      </c>
      <c r="AN177" t="s" s="44">
        <f>AN170</f>
        <v>407</v>
      </c>
      <c r="AO177" s="17"/>
      <c r="AP177" s="17"/>
      <c r="AQ177" s="17"/>
      <c r="AR177" s="17"/>
      <c r="AS177" s="17"/>
      <c r="AT177" s="17"/>
      <c r="AU177" s="17"/>
      <c r="AV177" s="17"/>
    </row>
    <row r="178" ht="32.05" customHeight="1">
      <c r="AC178" s="36"/>
      <c r="AD178" s="38"/>
      <c r="AE178" s="15">
        <f>AE133</f>
        <v>42.5</v>
      </c>
      <c r="AF178" t="s" s="44">
        <f>AF133</f>
        <v>72</v>
      </c>
      <c r="AG178" s="15">
        <f>AG133</f>
        <v>42.5</v>
      </c>
      <c r="AH178" t="s" s="44">
        <f>AH133</f>
        <v>72</v>
      </c>
      <c r="AI178" s="15">
        <f>AI133</f>
        <v>0</v>
      </c>
      <c r="AJ178" t="s" s="44">
        <f>AJ133</f>
        <v>72</v>
      </c>
      <c r="AK178" s="15">
        <f>AK133</f>
        <v>0</v>
      </c>
      <c r="AL178" t="s" s="44">
        <f>AL133</f>
        <v>72</v>
      </c>
      <c r="AM178" s="15">
        <f>AM133</f>
        <v>0</v>
      </c>
      <c r="AN178" t="s" s="44">
        <f>AN171</f>
        <v>407</v>
      </c>
      <c r="AO178" s="17"/>
      <c r="AP178" s="17"/>
      <c r="AQ178" s="17"/>
      <c r="AR178" s="17"/>
      <c r="AS178" s="17"/>
      <c r="AT178" s="17"/>
      <c r="AU178" s="17"/>
      <c r="AV178" s="17"/>
    </row>
    <row r="179" ht="68.05" customHeight="1">
      <c r="AC179" s="36"/>
      <c r="AD179" s="38"/>
      <c r="AE179" t="s" s="44">
        <f>AE134</f>
        <v>653</v>
      </c>
      <c r="AF179" t="s" s="44">
        <f>IF(AF175="(yang dihimpun)","(menghimpun)","(membayarkan)")</f>
        <v>526</v>
      </c>
      <c r="AG179" s="15">
        <f>AG134</f>
        <v>0</v>
      </c>
      <c r="AH179" t="s" s="44">
        <f>AN177</f>
        <v>407</v>
      </c>
      <c r="AI179" t="s" s="44">
        <f>AK172</f>
        <v>408</v>
      </c>
      <c r="AJ179" t="s" s="44">
        <f>AL172</f>
        <v>409</v>
      </c>
      <c r="AK179" t="s" s="44">
        <v>452</v>
      </c>
      <c r="AL179" t="s" s="44">
        <v>453</v>
      </c>
      <c r="AM179" s="15">
        <f>AL134</f>
        <v>0</v>
      </c>
      <c r="AN179" t="s" s="44">
        <f>AN178</f>
        <v>407</v>
      </c>
      <c r="AO179" t="s" s="44">
        <v>454</v>
      </c>
      <c r="AP179" s="15">
        <f>AO134</f>
        <v>0</v>
      </c>
      <c r="AQ179" t="s" s="44">
        <f>AN178</f>
        <v>407</v>
      </c>
      <c r="AR179" t="s" s="44">
        <v>455</v>
      </c>
      <c r="AS179" t="s" s="44">
        <f>IF(AS134="pay","membayar pengembalian sebesar","menghimpun kapital sebesar")</f>
        <v>456</v>
      </c>
      <c r="AT179" s="15">
        <f>AT134</f>
        <v>98.43691644355221</v>
      </c>
      <c r="AU179" t="s" s="44">
        <f>AN178</f>
        <v>407</v>
      </c>
      <c r="AV179" t="s" s="44">
        <f>AN174</f>
        <v>447</v>
      </c>
    </row>
    <row r="180" ht="104" customHeight="1">
      <c r="AC180" s="36"/>
      <c r="AD180" s="34"/>
      <c r="AE180" t="s" s="85">
        <v>457</v>
      </c>
      <c r="AF180" s="15">
        <f>AF135</f>
        <v>2032.5</v>
      </c>
      <c r="AG180" t="s" s="44">
        <f>AN149</f>
        <v>407</v>
      </c>
      <c r="AH180" t="s" s="85">
        <v>458</v>
      </c>
      <c r="AI180" s="40">
        <f>AJ135</f>
        <v>2.27017648728771</v>
      </c>
      <c r="AJ180" t="s" s="44">
        <v>459</v>
      </c>
      <c r="AK180" t="s" s="85">
        <v>460</v>
      </c>
      <c r="AL180" s="15">
        <f>AN135</f>
        <v>4.659749427811</v>
      </c>
      <c r="AM180" t="s" s="85">
        <v>461</v>
      </c>
      <c r="AN180" s="16">
        <f>AP135</f>
        <v>0.0343768162083898</v>
      </c>
      <c r="AO180" t="s" s="44">
        <v>115</v>
      </c>
      <c r="AP180" s="17"/>
      <c r="AQ180" s="17"/>
      <c r="AR180" s="17"/>
      <c r="AS180" s="17"/>
      <c r="AT180" s="17"/>
      <c r="AU180" s="17"/>
      <c r="AV180" s="17"/>
    </row>
    <row r="181" ht="92" customHeight="1">
      <c r="AC181" s="36"/>
      <c r="AD181" s="34"/>
      <c r="AE181" t="s" s="85">
        <v>462</v>
      </c>
      <c r="AF181" s="15">
        <f>AF136</f>
        <v>156.675091220437</v>
      </c>
      <c r="AG181" t="s" s="44">
        <f>AN149</f>
        <v>407</v>
      </c>
      <c r="AH181" t="s" s="85">
        <v>463</v>
      </c>
      <c r="AI181" s="15">
        <f>AI136</f>
        <v>12.972706664267</v>
      </c>
      <c r="AJ181" t="s" s="44">
        <v>464</v>
      </c>
      <c r="AK181" t="s" s="85">
        <v>465</v>
      </c>
      <c r="AL181" s="15">
        <f>AM136</f>
        <v>16</v>
      </c>
      <c r="AM181" t="s" s="44">
        <v>466</v>
      </c>
      <c r="AN181" t="s" s="85">
        <v>467</v>
      </c>
      <c r="AO181" t="s" s="44">
        <f>IF(AP181&gt;0,"+","")</f>
        <v>361</v>
      </c>
      <c r="AP181" s="16">
        <f>AQ136</f>
        <v>0.233358651673793</v>
      </c>
      <c r="AQ181" t="s" s="85">
        <v>468</v>
      </c>
      <c r="AR181" s="15">
        <f>AT136</f>
        <v>1671.200973017990</v>
      </c>
      <c r="AS181" t="s" s="44">
        <v>143</v>
      </c>
      <c r="AT181" s="17"/>
      <c r="AU181" s="17"/>
      <c r="AV181" s="17"/>
    </row>
    <row r="182" ht="20.05" customHeight="1">
      <c r="AC182" s="36"/>
      <c r="AD182" s="34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  <c r="AV182" s="17"/>
    </row>
    <row r="183" ht="20.05" customHeight="1">
      <c r="AC183" t="s" s="33">
        <v>28</v>
      </c>
      <c r="AD183" s="14">
        <f>AE104</f>
        <v>234</v>
      </c>
      <c r="AE183" s="15">
        <f>AG104</f>
        <v>306.6</v>
      </c>
      <c r="AF183" s="15">
        <f>AI104</f>
        <v>292.1</v>
      </c>
      <c r="AG183" s="15">
        <f>AK104</f>
        <v>287</v>
      </c>
      <c r="AH183" s="15">
        <f>AM104</f>
        <v>234</v>
      </c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  <c r="AV183" s="17"/>
    </row>
    <row r="184" ht="20.05" customHeight="1">
      <c r="AC184" t="s" s="33">
        <v>144</v>
      </c>
      <c r="AD184" s="14">
        <f>SUM(AE118:AE119)</f>
        <v>95.22</v>
      </c>
      <c r="AE184" s="15">
        <f>SUM(AG118:AG119)</f>
        <v>15.28</v>
      </c>
      <c r="AF184" s="15">
        <f>SUM(AI118:AI119)</f>
        <v>37.551</v>
      </c>
      <c r="AG184" s="15">
        <f>SUM(AK118:AK119)</f>
        <v>55.649</v>
      </c>
      <c r="AH184" s="15">
        <f>SUM(AM118:AM119)</f>
        <v>-93</v>
      </c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  <c r="AV184" s="17"/>
    </row>
    <row r="185" ht="20.05" customHeight="1">
      <c r="AC185" t="s" s="33">
        <v>145</v>
      </c>
      <c r="AD185" s="14">
        <f>SUM(AE132:AE133)</f>
        <v>42.5</v>
      </c>
      <c r="AE185" s="15">
        <f>SUM(AG132:AG133)</f>
        <v>42.5</v>
      </c>
      <c r="AF185" s="15">
        <f>SUM(AI132:AI133)</f>
        <v>0</v>
      </c>
      <c r="AG185" s="15">
        <f>SUM(AK132:AK133)</f>
        <v>0</v>
      </c>
      <c r="AH185" s="15">
        <f>SUM(AM132:AM133)</f>
        <v>0</v>
      </c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  <c r="AV185" s="17"/>
    </row>
    <row r="186" ht="20.05" customHeight="1">
      <c r="AC186" t="s" s="33">
        <v>146</v>
      </c>
      <c r="AD186" s="14">
        <f>(AE125-AE126)</f>
        <v>2</v>
      </c>
      <c r="AE186" s="15">
        <f>(AG125-AG126)</f>
        <v>-22.4</v>
      </c>
      <c r="AF186" s="15">
        <f>(AI125-AI126)</f>
        <v>-43</v>
      </c>
      <c r="AG186" s="15">
        <f>(AK125-AK126)</f>
        <v>-18</v>
      </c>
      <c r="AH186" s="15">
        <f>(AM125-AM126)</f>
        <v>-47</v>
      </c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  <c r="AV186" s="17"/>
    </row>
    <row r="187" ht="20.05" customHeight="1">
      <c r="AC187" s="36"/>
      <c r="AD187" s="34"/>
      <c r="AE187" s="17"/>
      <c r="AF187" s="17"/>
      <c r="AG187" s="17"/>
      <c r="AH187" s="15">
        <f>AT136</f>
        <v>1671.200973017990</v>
      </c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  <c r="AV187" s="17"/>
    </row>
    <row r="188" ht="20.05" customHeight="1">
      <c r="AC188" s="36"/>
      <c r="AD188" s="34"/>
      <c r="AE188" s="17"/>
      <c r="AF188" s="17"/>
      <c r="AG188" s="17"/>
      <c r="AH188" s="17"/>
      <c r="AI188" s="15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</row>
    <row r="189" ht="20.05" customHeight="1">
      <c r="AC189" s="36"/>
      <c r="AD189" s="34"/>
      <c r="AE189" s="17"/>
      <c r="AF189" s="17"/>
      <c r="AG189" s="17"/>
      <c r="AH189" s="17"/>
      <c r="AI189" s="15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  <c r="AV189" s="17"/>
    </row>
    <row r="190" ht="20.05" customHeight="1">
      <c r="AC190" s="36"/>
      <c r="AD190" s="34"/>
      <c r="AE190" s="17"/>
      <c r="AF190" s="17"/>
      <c r="AG190" s="17"/>
      <c r="AH190" s="17"/>
      <c r="AI190" s="15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  <c r="AV190" s="17"/>
    </row>
    <row r="191" ht="20.05" customHeight="1">
      <c r="AC191" s="36"/>
      <c r="AD191" s="34"/>
      <c r="AE191" s="17"/>
      <c r="AF191" s="17"/>
      <c r="AG191" s="17"/>
      <c r="AH191" s="17"/>
      <c r="AI191" s="15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  <c r="AV191" s="17"/>
    </row>
    <row r="192" ht="20.05" customHeight="1">
      <c r="AC192" s="36"/>
      <c r="AD192" s="34"/>
      <c r="AE192" s="17"/>
      <c r="AF192" s="17"/>
      <c r="AG192" s="17"/>
      <c r="AH192" s="17"/>
      <c r="AI192" s="15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</row>
    <row r="193" ht="20.05" customHeight="1">
      <c r="AC193" s="36"/>
      <c r="AD193" s="34"/>
      <c r="AE193" s="17"/>
      <c r="AF193" s="17"/>
      <c r="AG193" s="17"/>
      <c r="AH193" s="17"/>
      <c r="AI193" s="15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</row>
    <row r="194" ht="20.05" customHeight="1">
      <c r="AC194" s="36"/>
      <c r="AD194" s="34"/>
      <c r="AE194" s="17"/>
      <c r="AF194" s="17"/>
      <c r="AG194" s="17"/>
      <c r="AH194" s="17"/>
      <c r="AI194" s="15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95" customWidth="1"/>
    <col min="2" max="28" width="10.4844" style="295" customWidth="1"/>
    <col min="29" max="29" width="18.9766" style="296" customWidth="1"/>
    <col min="30" max="48" width="9" style="296" customWidth="1"/>
    <col min="49" max="16384" width="16.3516" style="296" customWidth="1"/>
  </cols>
  <sheetData>
    <row r="1" ht="11.65" customHeight="1"/>
    <row r="2" ht="27.65" customHeight="1">
      <c r="B2" t="s" s="2">
        <v>654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275</v>
      </c>
      <c r="AA3" t="s" s="3">
        <v>19</v>
      </c>
      <c r="AB3" t="s" s="3">
        <v>20</v>
      </c>
    </row>
    <row r="4" ht="20.25" customHeight="1">
      <c r="B4" s="6">
        <v>2017</v>
      </c>
      <c r="C4" s="7">
        <v>4898</v>
      </c>
      <c r="D4" s="8">
        <v>102</v>
      </c>
      <c r="E4" s="8">
        <v>596</v>
      </c>
      <c r="F4" s="8">
        <v>3120</v>
      </c>
      <c r="G4" s="8">
        <v>2837</v>
      </c>
      <c r="H4" s="8">
        <v>15916</v>
      </c>
      <c r="I4" s="8">
        <v>5058</v>
      </c>
      <c r="J4" s="8">
        <v>348.9</v>
      </c>
      <c r="K4" s="8">
        <v>-189</v>
      </c>
      <c r="L4" s="8">
        <v>18.43575</v>
      </c>
      <c r="M4" s="8">
        <v>-253.21</v>
      </c>
      <c r="N4" s="8"/>
      <c r="O4" s="8"/>
      <c r="P4" s="9"/>
      <c r="Q4" s="9"/>
      <c r="R4" s="9"/>
      <c r="S4" s="9"/>
      <c r="T4" s="9"/>
      <c r="U4" s="9"/>
      <c r="V4" s="8">
        <f>-(L4+M4)</f>
        <v>234.77425</v>
      </c>
      <c r="W4" s="9"/>
      <c r="X4" s="8">
        <f>F4-G4</f>
        <v>283</v>
      </c>
      <c r="Y4" s="9"/>
      <c r="Z4" s="8">
        <v>1540</v>
      </c>
      <c r="AA4" s="11"/>
      <c r="AB4" s="12">
        <v>13.3</v>
      </c>
    </row>
    <row r="5" ht="20.05" customHeight="1">
      <c r="B5" s="13"/>
      <c r="C5" s="14">
        <v>5168</v>
      </c>
      <c r="D5" s="15">
        <v>98</v>
      </c>
      <c r="E5" s="15">
        <v>642</v>
      </c>
      <c r="F5" s="15">
        <v>3301</v>
      </c>
      <c r="G5" s="15">
        <v>3762</v>
      </c>
      <c r="H5" s="15">
        <v>16437</v>
      </c>
      <c r="I5" s="15">
        <v>5517.8</v>
      </c>
      <c r="J5" s="15">
        <v>364.6</v>
      </c>
      <c r="K5" s="15">
        <v>-181</v>
      </c>
      <c r="L5" s="15">
        <v>18.43575</v>
      </c>
      <c r="M5" s="15">
        <v>-253.21</v>
      </c>
      <c r="N5" s="15"/>
      <c r="O5" s="15"/>
      <c r="P5" s="16"/>
      <c r="Q5" s="17"/>
      <c r="R5" s="17"/>
      <c r="S5" s="17"/>
      <c r="T5" s="17"/>
      <c r="U5" s="17"/>
      <c r="V5" s="15">
        <f>-(L5+M5)+V4</f>
        <v>469.5485</v>
      </c>
      <c r="W5" s="17"/>
      <c r="X5" s="15">
        <f>F5-G5</f>
        <v>-461</v>
      </c>
      <c r="Y5" s="17"/>
      <c r="Z5" s="15">
        <v>1625</v>
      </c>
      <c r="AA5" s="19"/>
      <c r="AB5" s="20">
        <v>13.327</v>
      </c>
    </row>
    <row r="6" ht="20.05" customHeight="1">
      <c r="B6" s="13"/>
      <c r="C6" s="14">
        <v>5024</v>
      </c>
      <c r="D6" s="15">
        <v>99</v>
      </c>
      <c r="E6" s="15">
        <v>574</v>
      </c>
      <c r="F6" s="15">
        <v>2726</v>
      </c>
      <c r="G6" s="15">
        <v>2961</v>
      </c>
      <c r="H6" s="15">
        <v>16225</v>
      </c>
      <c r="I6" s="15">
        <v>10397.1</v>
      </c>
      <c r="J6" s="15">
        <v>648.6</v>
      </c>
      <c r="K6" s="15">
        <v>-355</v>
      </c>
      <c r="L6" s="15">
        <v>18.43575</v>
      </c>
      <c r="M6" s="15">
        <v>-253.21</v>
      </c>
      <c r="N6" s="15"/>
      <c r="O6" s="15"/>
      <c r="P6" s="16"/>
      <c r="Q6" s="17"/>
      <c r="R6" s="17"/>
      <c r="S6" s="17"/>
      <c r="T6" s="17"/>
      <c r="U6" s="17"/>
      <c r="V6" s="15">
        <f>-(L6+M6)+V5</f>
        <v>704.32275</v>
      </c>
      <c r="W6" s="17"/>
      <c r="X6" s="15">
        <f>F6-G6</f>
        <v>-235</v>
      </c>
      <c r="Y6" s="17"/>
      <c r="Z6" s="15">
        <v>1665</v>
      </c>
      <c r="AA6" s="19"/>
      <c r="AB6" s="20">
        <v>13.305</v>
      </c>
    </row>
    <row r="7" ht="20.05" customHeight="1">
      <c r="B7" s="13"/>
      <c r="C7" s="14">
        <v>5092</v>
      </c>
      <c r="D7" s="15">
        <v>104</v>
      </c>
      <c r="E7" s="15">
        <v>641</v>
      </c>
      <c r="F7" s="15">
        <v>2785</v>
      </c>
      <c r="G7" s="15">
        <v>2722</v>
      </c>
      <c r="H7" s="15">
        <v>16616</v>
      </c>
      <c r="I7" s="15">
        <v>11352.9</v>
      </c>
      <c r="J7" s="15">
        <v>609.9</v>
      </c>
      <c r="K7" s="15">
        <v>-389</v>
      </c>
      <c r="L7" s="15">
        <v>18.43575</v>
      </c>
      <c r="M7" s="15">
        <v>-253.21</v>
      </c>
      <c r="N7" s="15"/>
      <c r="O7" s="15"/>
      <c r="P7" s="16"/>
      <c r="Q7" s="17"/>
      <c r="R7" s="17"/>
      <c r="S7" s="17"/>
      <c r="T7" s="17"/>
      <c r="U7" s="17"/>
      <c r="V7" s="15">
        <f>-(L7+M7)+V6</f>
        <v>939.097</v>
      </c>
      <c r="W7" s="17"/>
      <c r="X7" s="15">
        <f>F7-G7</f>
        <v>63</v>
      </c>
      <c r="Y7" s="17"/>
      <c r="Z7" s="15">
        <v>1690</v>
      </c>
      <c r="AA7" s="19"/>
      <c r="AB7" s="20">
        <v>13.557</v>
      </c>
    </row>
    <row r="8" ht="20.05" customHeight="1">
      <c r="B8" s="21">
        <v>2018</v>
      </c>
      <c r="C8" s="14">
        <v>5015</v>
      </c>
      <c r="D8" s="15">
        <v>103</v>
      </c>
      <c r="E8" s="15">
        <v>598</v>
      </c>
      <c r="F8" s="15">
        <v>3046</v>
      </c>
      <c r="G8" s="15">
        <v>2798</v>
      </c>
      <c r="H8" s="15">
        <v>17307</v>
      </c>
      <c r="I8" s="15">
        <v>5420.3</v>
      </c>
      <c r="J8" s="15">
        <v>449.9</v>
      </c>
      <c r="K8" s="15">
        <v>-226</v>
      </c>
      <c r="L8" s="15">
        <v>10.96225</v>
      </c>
      <c r="M8" s="15">
        <v>-287.975</v>
      </c>
      <c r="N8" s="15">
        <f>SUM(C5:C8)/4</f>
        <v>5074.75</v>
      </c>
      <c r="O8" s="15"/>
      <c r="P8" s="16"/>
      <c r="Q8" s="16">
        <f>(E8+D8)/C8</f>
        <v>0.139780658025922</v>
      </c>
      <c r="R8" s="16"/>
      <c r="S8" s="17"/>
      <c r="T8" s="15">
        <f>SUM(J5:K8)/4</f>
        <v>230.5</v>
      </c>
      <c r="U8" s="25"/>
      <c r="V8" s="15">
        <f>-(L8+M8)+V7</f>
        <v>1216.10975</v>
      </c>
      <c r="W8" s="17"/>
      <c r="X8" s="15">
        <f>F8-G8</f>
        <v>248</v>
      </c>
      <c r="Y8" s="24"/>
      <c r="Z8" s="15">
        <v>1500</v>
      </c>
      <c r="AA8" s="22"/>
      <c r="AB8" s="20">
        <v>13.761</v>
      </c>
    </row>
    <row r="9" ht="20.05" customHeight="1">
      <c r="B9" s="13"/>
      <c r="C9" s="14">
        <v>5366</v>
      </c>
      <c r="D9" s="15">
        <v>107</v>
      </c>
      <c r="E9" s="15">
        <v>635</v>
      </c>
      <c r="F9" s="15">
        <v>3126</v>
      </c>
      <c r="G9" s="15">
        <v>3921</v>
      </c>
      <c r="H9" s="15">
        <v>17893</v>
      </c>
      <c r="I9" s="15">
        <v>5326.8</v>
      </c>
      <c r="J9" s="15">
        <v>360.9</v>
      </c>
      <c r="K9" s="15">
        <v>-298</v>
      </c>
      <c r="L9" s="15">
        <v>10.96225</v>
      </c>
      <c r="M9" s="15">
        <v>-287.975</v>
      </c>
      <c r="N9" s="15">
        <f>SUM(C6:C9)/4</f>
        <v>5124.25</v>
      </c>
      <c r="O9" s="15"/>
      <c r="P9" s="16"/>
      <c r="Q9" s="16">
        <f>(E9+D9)/C9</f>
        <v>0.138278046962356</v>
      </c>
      <c r="R9" s="16"/>
      <c r="S9" s="17"/>
      <c r="T9" s="15">
        <f>SUM(J6:K9)/4</f>
        <v>200.325</v>
      </c>
      <c r="U9" s="25"/>
      <c r="V9" s="15">
        <f>-(L9+M9)+V8</f>
        <v>1493.1225</v>
      </c>
      <c r="W9" s="17"/>
      <c r="X9" s="15">
        <f>F13-G9</f>
        <v>-1443</v>
      </c>
      <c r="Y9" s="24"/>
      <c r="Z9" s="15">
        <v>1220</v>
      </c>
      <c r="AA9" s="22"/>
      <c r="AB9" s="20">
        <v>14</v>
      </c>
    </row>
    <row r="10" ht="20.05" customHeight="1">
      <c r="B10" s="13"/>
      <c r="C10" s="14">
        <v>5297</v>
      </c>
      <c r="D10" s="15">
        <v>111</v>
      </c>
      <c r="E10" s="15">
        <v>601</v>
      </c>
      <c r="F10" s="15">
        <v>2529</v>
      </c>
      <c r="G10" s="15">
        <v>2953</v>
      </c>
      <c r="H10" s="15">
        <v>17531</v>
      </c>
      <c r="I10" s="15">
        <v>11218</v>
      </c>
      <c r="J10" s="15">
        <v>1081.3</v>
      </c>
      <c r="K10" s="15">
        <v>-427</v>
      </c>
      <c r="L10" s="15">
        <v>10.96225</v>
      </c>
      <c r="M10" s="15">
        <v>-287.975</v>
      </c>
      <c r="N10" s="15">
        <f>SUM(C7:C10)/4</f>
        <v>5192.5</v>
      </c>
      <c r="O10" s="15"/>
      <c r="P10" s="16">
        <f>C10/C9-1</f>
        <v>-0.0128587402161759</v>
      </c>
      <c r="Q10" s="16">
        <f>(E10+D10)/C10</f>
        <v>0.134415707003965</v>
      </c>
      <c r="R10" s="16"/>
      <c r="S10" s="17"/>
      <c r="T10" s="15">
        <f>SUM(J7:K10)/4</f>
        <v>290.5</v>
      </c>
      <c r="U10" s="25"/>
      <c r="V10" s="15">
        <f>-(L10+M10)+V9</f>
        <v>1770.13525</v>
      </c>
      <c r="W10" s="17"/>
      <c r="X10" s="15">
        <f>F10-G10</f>
        <v>-424</v>
      </c>
      <c r="Y10" s="24"/>
      <c r="Z10" s="15">
        <v>1380</v>
      </c>
      <c r="AA10" s="22"/>
      <c r="AB10" s="20">
        <v>14.902</v>
      </c>
    </row>
    <row r="11" ht="20.05" customHeight="1">
      <c r="B11" s="13"/>
      <c r="C11" s="14">
        <v>5396</v>
      </c>
      <c r="D11" s="15">
        <v>82</v>
      </c>
      <c r="E11" s="15">
        <v>663</v>
      </c>
      <c r="F11" s="15">
        <v>3153</v>
      </c>
      <c r="G11" s="15">
        <v>2851</v>
      </c>
      <c r="H11" s="15">
        <v>18146</v>
      </c>
      <c r="I11" s="15">
        <v>740.1</v>
      </c>
      <c r="J11" s="15">
        <v>849.3</v>
      </c>
      <c r="K11" s="15">
        <v>-339</v>
      </c>
      <c r="L11" s="15">
        <v>10.96225</v>
      </c>
      <c r="M11" s="15">
        <v>-287.975</v>
      </c>
      <c r="N11" s="15">
        <f>SUM(C8:C11)/4</f>
        <v>5268.5</v>
      </c>
      <c r="O11" s="15"/>
      <c r="P11" s="16">
        <f>C11/C10-1</f>
        <v>0.018689824428922</v>
      </c>
      <c r="Q11" s="16">
        <f>(E11+D11)/C11</f>
        <v>0.138065233506301</v>
      </c>
      <c r="R11" s="16"/>
      <c r="S11" s="17"/>
      <c r="T11" s="15">
        <f>SUM(J8:K11)/4</f>
        <v>362.85</v>
      </c>
      <c r="U11" s="25"/>
      <c r="V11" s="15">
        <f>-(L11+M11)+V10</f>
        <v>2047.148</v>
      </c>
      <c r="W11" s="17"/>
      <c r="X11" s="15">
        <f>F11-G11</f>
        <v>302</v>
      </c>
      <c r="Y11" s="24"/>
      <c r="Z11" s="15">
        <v>1520</v>
      </c>
      <c r="AA11" s="22"/>
      <c r="AB11" s="20">
        <v>14.38</v>
      </c>
    </row>
    <row r="12" ht="20.05" customHeight="1">
      <c r="B12" s="21">
        <v>2019</v>
      </c>
      <c r="C12" s="14">
        <v>5366</v>
      </c>
      <c r="D12" s="15">
        <v>110</v>
      </c>
      <c r="E12" s="15">
        <v>604</v>
      </c>
      <c r="F12" s="15">
        <v>3201</v>
      </c>
      <c r="G12" s="15">
        <v>3320</v>
      </c>
      <c r="H12" s="15">
        <v>19178</v>
      </c>
      <c r="I12" s="15">
        <v>5569</v>
      </c>
      <c r="J12" s="15">
        <v>313.8</v>
      </c>
      <c r="K12" s="15">
        <v>-402</v>
      </c>
      <c r="L12" s="15">
        <v>104.2845</v>
      </c>
      <c r="M12" s="15">
        <v>-270.719</v>
      </c>
      <c r="N12" s="15">
        <f>SUM(C9:C12)/4</f>
        <v>5356.25</v>
      </c>
      <c r="O12" s="23"/>
      <c r="P12" s="16">
        <f>C12/C11-1</f>
        <v>-0.0055596738324685</v>
      </c>
      <c r="Q12" s="16">
        <f>(E12+D12)/C12</f>
        <v>0.133060007454342</v>
      </c>
      <c r="R12" s="16">
        <f>AVERAGE(Q9:Q12)</f>
        <v>0.135954748731741</v>
      </c>
      <c r="S12" s="17"/>
      <c r="T12" s="15">
        <f>SUM(J9:K12)/4</f>
        <v>284.825</v>
      </c>
      <c r="U12" s="25"/>
      <c r="V12" s="15">
        <f>-(L12+M12)+V11</f>
        <v>2213.5825</v>
      </c>
      <c r="W12" s="17"/>
      <c r="X12" s="15">
        <f>F12-G12</f>
        <v>-119</v>
      </c>
      <c r="Y12" s="24"/>
      <c r="Z12" s="15">
        <v>1520</v>
      </c>
      <c r="AA12" s="22"/>
      <c r="AB12" s="20">
        <v>14.24</v>
      </c>
    </row>
    <row r="13" ht="20.05" customHeight="1">
      <c r="B13" s="13"/>
      <c r="C13" s="14">
        <v>5813</v>
      </c>
      <c r="D13" s="15">
        <v>115</v>
      </c>
      <c r="E13" s="15">
        <v>671</v>
      </c>
      <c r="F13" s="15">
        <v>2478</v>
      </c>
      <c r="G13" s="15">
        <v>3516</v>
      </c>
      <c r="H13" s="15">
        <v>18813</v>
      </c>
      <c r="I13" s="15">
        <v>6220</v>
      </c>
      <c r="J13" s="15">
        <v>558.2</v>
      </c>
      <c r="K13" s="15">
        <v>-466</v>
      </c>
      <c r="L13" s="15">
        <v>104.2845</v>
      </c>
      <c r="M13" s="15">
        <v>-270.719</v>
      </c>
      <c r="N13" s="15">
        <f>SUM(C10:C13)/4</f>
        <v>5468</v>
      </c>
      <c r="O13" s="23"/>
      <c r="P13" s="16">
        <f>C13/C12-1</f>
        <v>0.0833022735743571</v>
      </c>
      <c r="Q13" s="16">
        <f>(E13+D13)/C13</f>
        <v>0.13521417512472</v>
      </c>
      <c r="R13" s="16">
        <f>AVERAGE(Q10:Q13)</f>
        <v>0.135188780772332</v>
      </c>
      <c r="S13" s="17"/>
      <c r="T13" s="15">
        <f>SUM(J10:K13)/4</f>
        <v>292.15</v>
      </c>
      <c r="U13" s="25"/>
      <c r="V13" s="15">
        <f>-(L13+M13)+V12</f>
        <v>2380.017</v>
      </c>
      <c r="W13" s="17"/>
      <c r="X13" s="15">
        <f>F13-G13</f>
        <v>-1038</v>
      </c>
      <c r="Y13" s="24"/>
      <c r="Z13" s="15">
        <v>1460</v>
      </c>
      <c r="AA13" s="24"/>
      <c r="AB13" s="15">
        <v>14.127</v>
      </c>
    </row>
    <row r="14" ht="20.05" customHeight="1">
      <c r="B14" s="13"/>
      <c r="C14" s="14">
        <v>5648</v>
      </c>
      <c r="D14" s="15">
        <v>118</v>
      </c>
      <c r="E14" s="15">
        <v>671</v>
      </c>
      <c r="F14" s="15">
        <v>2611</v>
      </c>
      <c r="G14" s="15">
        <v>3458</v>
      </c>
      <c r="H14" s="15">
        <v>19594</v>
      </c>
      <c r="I14" s="15">
        <v>6051</v>
      </c>
      <c r="J14" s="15">
        <v>656.9</v>
      </c>
      <c r="K14" s="15">
        <v>-473</v>
      </c>
      <c r="L14" s="15">
        <v>104.2845</v>
      </c>
      <c r="M14" s="15">
        <v>-270.719</v>
      </c>
      <c r="N14" s="15">
        <f>SUM(C11:C14)/4</f>
        <v>5555.75</v>
      </c>
      <c r="O14" s="23"/>
      <c r="P14" s="16">
        <f>C14/C13-1</f>
        <v>-0.0283846550834337</v>
      </c>
      <c r="Q14" s="16">
        <f>(E14+D14)/C14</f>
        <v>0.139695467422096</v>
      </c>
      <c r="R14" s="16">
        <f>AVERAGE(Q11:Q14)</f>
        <v>0.136508720876865</v>
      </c>
      <c r="S14" s="17"/>
      <c r="T14" s="15">
        <f>SUM(J11:K14)/4</f>
        <v>174.55</v>
      </c>
      <c r="U14" s="25"/>
      <c r="V14" s="15">
        <f>-(L14+M14)+V13</f>
        <v>2546.4515</v>
      </c>
      <c r="W14" s="17"/>
      <c r="X14" s="15">
        <f>F14-G14</f>
        <v>-847</v>
      </c>
      <c r="Y14" s="24"/>
      <c r="Z14" s="15">
        <v>1675</v>
      </c>
      <c r="AA14" s="24"/>
      <c r="AB14" s="15">
        <v>14.195</v>
      </c>
    </row>
    <row r="15" ht="20.05" customHeight="1">
      <c r="B15" s="13"/>
      <c r="C15" s="14">
        <v>5806.47</v>
      </c>
      <c r="D15" s="15">
        <v>119.7</v>
      </c>
      <c r="E15" s="15">
        <v>592</v>
      </c>
      <c r="F15" s="15">
        <v>3040.48</v>
      </c>
      <c r="G15" s="15">
        <v>3559</v>
      </c>
      <c r="H15" s="15">
        <v>20264.725</v>
      </c>
      <c r="I15" s="15">
        <v>6583</v>
      </c>
      <c r="J15" s="15">
        <v>934.1</v>
      </c>
      <c r="K15" s="15">
        <v>-560</v>
      </c>
      <c r="L15" s="15">
        <v>104.2845</v>
      </c>
      <c r="M15" s="15">
        <v>-270.719</v>
      </c>
      <c r="N15" s="15">
        <f>SUM(C12:C15)/4</f>
        <v>5658.3675</v>
      </c>
      <c r="O15" s="15"/>
      <c r="P15" s="16">
        <f>C15/C14-1</f>
        <v>0.0280577195467422</v>
      </c>
      <c r="Q15" s="16">
        <f>(E15+D15)/C15</f>
        <v>0.122570167416692</v>
      </c>
      <c r="R15" s="16">
        <f>AVERAGE(Q12:Q15)</f>
        <v>0.132634954354463</v>
      </c>
      <c r="S15" s="17"/>
      <c r="T15" s="15">
        <f>SUM(J12:K15)/4</f>
        <v>140.5</v>
      </c>
      <c r="U15" s="25"/>
      <c r="V15" s="15">
        <f>-(L15+M15)+V14</f>
        <v>2712.886</v>
      </c>
      <c r="W15" s="17"/>
      <c r="X15" s="15">
        <f>F15-G15</f>
        <v>-518.52</v>
      </c>
      <c r="Y15" s="24"/>
      <c r="Z15" s="15">
        <v>1620</v>
      </c>
      <c r="AA15" s="24"/>
      <c r="AB15" s="15">
        <v>13.882</v>
      </c>
    </row>
    <row r="16" ht="20.05" customHeight="1">
      <c r="B16" s="21">
        <v>2020</v>
      </c>
      <c r="C16" s="14">
        <v>5796</v>
      </c>
      <c r="D16" s="15">
        <v>150</v>
      </c>
      <c r="E16" s="15">
        <v>677</v>
      </c>
      <c r="F16" s="15">
        <v>3927</v>
      </c>
      <c r="G16" s="15">
        <v>4876</v>
      </c>
      <c r="H16" s="15">
        <v>22132</v>
      </c>
      <c r="I16" s="15">
        <v>6114</v>
      </c>
      <c r="J16" s="15">
        <v>697.1</v>
      </c>
      <c r="K16" s="15">
        <v>-342</v>
      </c>
      <c r="L16" s="15">
        <v>322</v>
      </c>
      <c r="M16" s="15">
        <v>-2.1</v>
      </c>
      <c r="N16" s="15">
        <f>SUM(C13:C16)/4</f>
        <v>5765.8675</v>
      </c>
      <c r="O16" s="23"/>
      <c r="P16" s="16">
        <f>C16/C15-1</f>
        <v>-0.00180316095665697</v>
      </c>
      <c r="Q16" s="16">
        <f>(E16+D16)/C16</f>
        <v>0.142684610075914</v>
      </c>
      <c r="R16" s="16">
        <f>AVERAGE(Q13:Q16)</f>
        <v>0.135041105009856</v>
      </c>
      <c r="S16" s="17"/>
      <c r="T16" s="15">
        <f>SUM(J13:K16)/4</f>
        <v>251.325</v>
      </c>
      <c r="U16" s="25"/>
      <c r="V16" s="15">
        <f>-(L16+M16)+V15</f>
        <v>2392.986</v>
      </c>
      <c r="W16" s="17"/>
      <c r="X16" s="15">
        <f>F16-G16</f>
        <v>-949</v>
      </c>
      <c r="Y16" s="24"/>
      <c r="Z16" s="15">
        <v>1200</v>
      </c>
      <c r="AA16" s="15"/>
      <c r="AB16" s="15">
        <v>16.31</v>
      </c>
    </row>
    <row r="17" ht="20.05" customHeight="1">
      <c r="B17" s="13"/>
      <c r="C17" s="14">
        <v>5809</v>
      </c>
      <c r="D17" s="15">
        <v>156</v>
      </c>
      <c r="E17" s="15">
        <v>731</v>
      </c>
      <c r="F17" s="15">
        <v>4012</v>
      </c>
      <c r="G17" s="15">
        <v>4911</v>
      </c>
      <c r="H17" s="15">
        <v>22091</v>
      </c>
      <c r="I17" s="15">
        <v>6638</v>
      </c>
      <c r="J17" s="15">
        <v>790</v>
      </c>
      <c r="K17" s="15">
        <v>-227</v>
      </c>
      <c r="L17" s="15">
        <v>468.2</v>
      </c>
      <c r="M17" s="15">
        <v>-818.2</v>
      </c>
      <c r="N17" s="15">
        <f>SUM(C14:C17)/4</f>
        <v>5764.8675</v>
      </c>
      <c r="O17" s="15">
        <v>5857.605</v>
      </c>
      <c r="P17" s="16">
        <f>C17/C16-1</f>
        <v>0.00224292615596963</v>
      </c>
      <c r="Q17" s="16">
        <f>(E17+D17)/C17</f>
        <v>0.152694095369255</v>
      </c>
      <c r="R17" s="16">
        <f>AVERAGE(Q14:Q17)</f>
        <v>0.139411085070989</v>
      </c>
      <c r="S17" s="17"/>
      <c r="T17" s="25">
        <f>SUM(J14:K17)/4</f>
        <v>369.025</v>
      </c>
      <c r="U17" s="25"/>
      <c r="V17" s="15">
        <f>-(L17+M17)+V16</f>
        <v>2742.986</v>
      </c>
      <c r="W17" s="17"/>
      <c r="X17" s="15">
        <f>F17-G17</f>
        <v>-899</v>
      </c>
      <c r="Y17" s="24"/>
      <c r="Z17" s="15">
        <v>1460</v>
      </c>
      <c r="AA17" s="15"/>
      <c r="AB17" s="15">
        <v>14.255</v>
      </c>
    </row>
    <row r="18" ht="20.05" customHeight="1">
      <c r="B18" s="13"/>
      <c r="C18" s="14">
        <v>5491</v>
      </c>
      <c r="D18" s="15">
        <v>162.9</v>
      </c>
      <c r="E18" s="15">
        <v>664</v>
      </c>
      <c r="F18" s="15">
        <v>4401</v>
      </c>
      <c r="G18" s="15">
        <v>4548</v>
      </c>
      <c r="H18" s="15">
        <v>22450</v>
      </c>
      <c r="I18" s="15">
        <v>6032</v>
      </c>
      <c r="J18" s="15">
        <v>955.6</v>
      </c>
      <c r="K18" s="15">
        <v>-186</v>
      </c>
      <c r="L18" s="15">
        <v>-246.8</v>
      </c>
      <c r="M18" s="15">
        <v>-152.8</v>
      </c>
      <c r="N18" s="15">
        <f>SUM(C15:C18)/4</f>
        <v>5725.6175</v>
      </c>
      <c r="O18" s="15">
        <v>5816.44</v>
      </c>
      <c r="P18" s="16">
        <f>C18/C17-1</f>
        <v>-0.0547426407299019</v>
      </c>
      <c r="Q18" s="16">
        <f>(E18+D18)/C18</f>
        <v>0.15059187761792</v>
      </c>
      <c r="R18" s="16">
        <f>AVERAGE(Q15:Q18)</f>
        <v>0.142135187619945</v>
      </c>
      <c r="S18" s="17"/>
      <c r="T18" s="25">
        <f>SUM(J15:K18)/4</f>
        <v>515.45</v>
      </c>
      <c r="U18" s="25"/>
      <c r="V18" s="15">
        <f>-(L18+M18)+V17</f>
        <v>3142.586</v>
      </c>
      <c r="W18" s="17"/>
      <c r="X18" s="15">
        <f>F18-G18</f>
        <v>-147</v>
      </c>
      <c r="Y18" s="24"/>
      <c r="Z18" s="15">
        <v>1550</v>
      </c>
      <c r="AA18" s="15">
        <v>2324.3402109145</v>
      </c>
      <c r="AB18" s="15">
        <v>14.79</v>
      </c>
    </row>
    <row r="19" ht="20.05" customHeight="1">
      <c r="B19" s="13"/>
      <c r="C19" s="14">
        <v>6016.7</v>
      </c>
      <c r="D19" s="15">
        <v>168.2</v>
      </c>
      <c r="E19" s="15">
        <v>727.6</v>
      </c>
      <c r="F19" s="15">
        <v>5208</v>
      </c>
      <c r="G19" s="15">
        <v>4288</v>
      </c>
      <c r="H19" s="15">
        <v>22564</v>
      </c>
      <c r="I19" s="15">
        <v>6669.5</v>
      </c>
      <c r="J19" s="15">
        <v>1668.9</v>
      </c>
      <c r="K19" s="15">
        <v>-196.2</v>
      </c>
      <c r="L19" s="15">
        <v>-279</v>
      </c>
      <c r="M19" s="15">
        <v>-281.2</v>
      </c>
      <c r="N19" s="15">
        <f>SUM(C16:C19)/4</f>
        <v>5778.175</v>
      </c>
      <c r="O19" s="15">
        <v>5760.2</v>
      </c>
      <c r="P19" s="16">
        <f>C19/C18-1</f>
        <v>0.0957384811509743</v>
      </c>
      <c r="Q19" s="16">
        <f>(E19+D19)/C19</f>
        <v>0.148885601741819</v>
      </c>
      <c r="R19" s="16">
        <f>AVERAGE(Q16:Q19)</f>
        <v>0.148714046201227</v>
      </c>
      <c r="S19" s="17"/>
      <c r="T19" s="25">
        <f>SUM(J16:K19)/4</f>
        <v>790.1</v>
      </c>
      <c r="U19" s="25"/>
      <c r="V19" s="15">
        <f>-(L19+M19)+V18</f>
        <v>3702.786</v>
      </c>
      <c r="W19" s="17"/>
      <c r="X19" s="15">
        <f>F19-G19</f>
        <v>920</v>
      </c>
      <c r="Y19" s="24"/>
      <c r="Z19" s="15">
        <v>1480</v>
      </c>
      <c r="AA19" s="15">
        <v>2116.129511751540</v>
      </c>
      <c r="AB19" s="15">
        <v>14.1</v>
      </c>
    </row>
    <row r="20" ht="20.05" customHeight="1">
      <c r="B20" s="21">
        <v>2021</v>
      </c>
      <c r="C20" s="14">
        <v>6015.4</v>
      </c>
      <c r="D20" s="15">
        <v>179.9</v>
      </c>
      <c r="E20" s="15">
        <v>723.9</v>
      </c>
      <c r="F20" s="15">
        <v>5324</v>
      </c>
      <c r="G20" s="15">
        <v>4476</v>
      </c>
      <c r="H20" s="15">
        <v>23931</v>
      </c>
      <c r="I20" s="15">
        <v>6350.5</v>
      </c>
      <c r="J20" s="15">
        <v>435.3</v>
      </c>
      <c r="K20" s="15">
        <v>-421.2</v>
      </c>
      <c r="L20" s="15">
        <v>-344.9</v>
      </c>
      <c r="M20" s="15">
        <v>423.1</v>
      </c>
      <c r="N20" s="15">
        <f>SUM(C17:C20)/4</f>
        <v>5833.025</v>
      </c>
      <c r="O20" s="15">
        <v>5882.705</v>
      </c>
      <c r="P20" s="16">
        <f>C20/C19-1</f>
        <v>-0.00021606528495687</v>
      </c>
      <c r="Q20" s="16">
        <f>(E20+D20)/C20</f>
        <v>0.150247697576221</v>
      </c>
      <c r="R20" s="16">
        <f>AVERAGE(Q17:Q20)</f>
        <v>0.150604818076304</v>
      </c>
      <c r="S20" s="17"/>
      <c r="T20" s="25">
        <f>SUM(J17:K20)/4</f>
        <v>704.85</v>
      </c>
      <c r="U20" s="25"/>
      <c r="V20" s="15">
        <f>-(L20+M20)+V19</f>
        <v>3624.586</v>
      </c>
      <c r="W20" s="17"/>
      <c r="X20" s="15">
        <f>F20-G20</f>
        <v>848</v>
      </c>
      <c r="Y20" s="15"/>
      <c r="Z20" s="15">
        <v>1570</v>
      </c>
      <c r="AA20" s="15">
        <v>2359.123741929560</v>
      </c>
      <c r="AB20" s="15">
        <v>14.606</v>
      </c>
    </row>
    <row r="21" ht="20.05" customHeight="1">
      <c r="B21" s="13"/>
      <c r="C21" s="14">
        <v>6355</v>
      </c>
      <c r="D21" s="15">
        <v>164.7</v>
      </c>
      <c r="E21" s="15">
        <v>787.8</v>
      </c>
      <c r="F21" s="15">
        <v>4604</v>
      </c>
      <c r="G21" s="15">
        <v>4090</v>
      </c>
      <c r="H21" s="15">
        <v>23407</v>
      </c>
      <c r="I21" s="15">
        <v>6924.1</v>
      </c>
      <c r="J21" s="15">
        <v>308</v>
      </c>
      <c r="K21" s="15">
        <v>-182.7</v>
      </c>
      <c r="L21" s="15">
        <v>9.6</v>
      </c>
      <c r="M21" s="15">
        <v>-853.3</v>
      </c>
      <c r="N21" s="15">
        <f>SUM(C18:C21)/4</f>
        <v>5969.525</v>
      </c>
      <c r="O21" s="15">
        <v>5994.471</v>
      </c>
      <c r="P21" s="16">
        <f>C21/C20-1</f>
        <v>0.0564550985803105</v>
      </c>
      <c r="Q21" s="16">
        <f>(E21+D21)/C21</f>
        <v>0.149881982690795</v>
      </c>
      <c r="R21" s="16">
        <f>AVERAGE(Q18:Q21)</f>
        <v>0.149901789906689</v>
      </c>
      <c r="S21" s="17"/>
      <c r="T21" s="25">
        <f>SUM(J18:K21)/4</f>
        <v>595.425</v>
      </c>
      <c r="U21" s="25"/>
      <c r="V21" s="15">
        <f>-(L21+M21)+V20</f>
        <v>4468.286</v>
      </c>
      <c r="W21" s="17"/>
      <c r="X21" s="15">
        <f>F21-G21</f>
        <v>514</v>
      </c>
      <c r="Y21" s="15"/>
      <c r="Z21" s="15">
        <v>1400</v>
      </c>
      <c r="AA21" s="15">
        <v>2083.342061887940</v>
      </c>
      <c r="AB21" s="15">
        <v>14.45</v>
      </c>
    </row>
    <row r="22" ht="20.05" customHeight="1">
      <c r="B22" s="13"/>
      <c r="C22" s="14">
        <v>6728.3</v>
      </c>
      <c r="D22" s="15">
        <v>145.7</v>
      </c>
      <c r="E22" s="15">
        <v>812.6</v>
      </c>
      <c r="F22" s="15">
        <v>5647</v>
      </c>
      <c r="G22" s="15">
        <v>4275</v>
      </c>
      <c r="H22" s="15">
        <v>24267</v>
      </c>
      <c r="I22" s="15">
        <v>7937.3</v>
      </c>
      <c r="J22" s="15">
        <v>1488.75</v>
      </c>
      <c r="K22" s="15">
        <v>-258.6</v>
      </c>
      <c r="L22" s="15">
        <v>-83.8</v>
      </c>
      <c r="M22" s="15">
        <v>-72.40000000000001</v>
      </c>
      <c r="N22" s="15">
        <f>SUM(C19:C22)/4</f>
        <v>6278.85</v>
      </c>
      <c r="O22" s="15">
        <v>6067.0785</v>
      </c>
      <c r="P22" s="16">
        <f>C22/C21-1</f>
        <v>0.0587411487018096</v>
      </c>
      <c r="Q22" s="16">
        <f>(E22+D22)/C22</f>
        <v>0.142428250821158</v>
      </c>
      <c r="R22" s="16">
        <f>AVERAGE(Q19:Q22)</f>
        <v>0.147860883207498</v>
      </c>
      <c r="S22" s="17"/>
      <c r="T22" s="25">
        <f>SUM(J19:K22)/4</f>
        <v>710.5625</v>
      </c>
      <c r="U22" s="25"/>
      <c r="V22" s="15">
        <f>-(L22+M22)+V21</f>
        <v>4624.486</v>
      </c>
      <c r="W22" s="17"/>
      <c r="X22" s="15">
        <f>F22-G22</f>
        <v>1372</v>
      </c>
      <c r="Y22" s="15"/>
      <c r="Z22" s="15">
        <v>1430</v>
      </c>
      <c r="AA22" s="15">
        <v>2079.390742688330</v>
      </c>
      <c r="AB22" s="15">
        <v>14.328</v>
      </c>
    </row>
    <row r="23" ht="20.05" customHeight="1">
      <c r="B23" s="13"/>
      <c r="C23" s="14">
        <v>7162.5</v>
      </c>
      <c r="D23" s="15">
        <v>161.8</v>
      </c>
      <c r="E23" s="15">
        <v>907.7</v>
      </c>
      <c r="F23" s="15">
        <v>6216</v>
      </c>
      <c r="G23" s="15">
        <v>4401</v>
      </c>
      <c r="H23" s="15">
        <v>25667</v>
      </c>
      <c r="I23" s="15">
        <v>7724.7</v>
      </c>
      <c r="J23" s="15">
        <v>500.95</v>
      </c>
      <c r="K23" s="15">
        <v>-193.5</v>
      </c>
      <c r="L23" s="15">
        <v>-87.8</v>
      </c>
      <c r="M23" s="15">
        <v>357.3</v>
      </c>
      <c r="N23" s="15">
        <f>SUM(C20:C23)/4</f>
        <v>6565.3</v>
      </c>
      <c r="O23" s="15">
        <v>6405.59725</v>
      </c>
      <c r="P23" s="16">
        <f>C23/C22-1</f>
        <v>0.06453338882035579</v>
      </c>
      <c r="Q23" s="16">
        <f>(E23+D23)/C23</f>
        <v>0.149319371727749</v>
      </c>
      <c r="R23" s="16">
        <f>AVERAGE(Q20:Q23)</f>
        <v>0.147969325703981</v>
      </c>
      <c r="S23" s="17"/>
      <c r="T23" s="25">
        <f>SUM(J20:K23)/4</f>
        <v>419.25</v>
      </c>
      <c r="U23" s="25"/>
      <c r="V23" s="15">
        <f>-(L23+M23)+V22</f>
        <v>4354.986</v>
      </c>
      <c r="W23" s="17"/>
      <c r="X23" s="15">
        <f>F23-G23</f>
        <v>1815</v>
      </c>
      <c r="Y23" s="15"/>
      <c r="Z23" s="15">
        <v>1615</v>
      </c>
      <c r="AA23" s="15">
        <v>2079.390742688330</v>
      </c>
      <c r="AB23" s="15">
        <v>14.275</v>
      </c>
    </row>
    <row r="24" ht="20.05" customHeight="1">
      <c r="B24" s="21">
        <v>2022</v>
      </c>
      <c r="C24" s="14">
        <v>7015.7</v>
      </c>
      <c r="D24" s="15">
        <v>161</v>
      </c>
      <c r="E24" s="15">
        <v>852.7</v>
      </c>
      <c r="F24" s="15">
        <v>6367</v>
      </c>
      <c r="G24" s="15">
        <v>4916</v>
      </c>
      <c r="H24" s="15">
        <v>26862</v>
      </c>
      <c r="I24" s="15">
        <v>7336.6</v>
      </c>
      <c r="J24" s="15">
        <v>318.3</v>
      </c>
      <c r="K24" s="15">
        <v>-135.9</v>
      </c>
      <c r="L24" s="15">
        <v>134.4</v>
      </c>
      <c r="M24" s="15">
        <v>-177.9</v>
      </c>
      <c r="N24" s="15">
        <f>SUM(C21:C24)/4</f>
        <v>6815.375</v>
      </c>
      <c r="O24" s="15">
        <v>6674.066</v>
      </c>
      <c r="P24" s="16">
        <f>C24/C23-1</f>
        <v>-0.0204956369982548</v>
      </c>
      <c r="Q24" s="16">
        <f>(E24+D24)/C24</f>
        <v>0.14449021480394</v>
      </c>
      <c r="R24" s="16">
        <f>AVERAGE(Q21:Q24)</f>
        <v>0.146529955010911</v>
      </c>
      <c r="S24" s="35"/>
      <c r="T24" s="25">
        <f>SUM(J21:K24)/4</f>
        <v>461.325</v>
      </c>
      <c r="U24" s="15"/>
      <c r="V24" s="15">
        <f>-(L24+M24)+V23</f>
        <v>4398.486</v>
      </c>
      <c r="W24" s="15"/>
      <c r="X24" s="15">
        <f>F24-G24</f>
        <v>1451</v>
      </c>
      <c r="Y24" s="15"/>
      <c r="Z24" s="15">
        <v>1610</v>
      </c>
      <c r="AA24" s="15">
        <v>2079.390742688330</v>
      </c>
      <c r="AB24" s="15">
        <v>14.327</v>
      </c>
    </row>
    <row r="25" ht="20.05" customHeight="1">
      <c r="B25" s="13"/>
      <c r="C25" s="14">
        <v>6858.9</v>
      </c>
      <c r="D25" s="15">
        <v>169.4</v>
      </c>
      <c r="E25" s="15">
        <v>820</v>
      </c>
      <c r="F25" s="15">
        <v>4133</v>
      </c>
      <c r="G25" s="15">
        <v>4533</v>
      </c>
      <c r="H25" s="15">
        <v>25263</v>
      </c>
      <c r="I25" s="15">
        <v>7381.3</v>
      </c>
      <c r="J25" s="15">
        <v>-27.7</v>
      </c>
      <c r="K25" s="15">
        <v>-122.4</v>
      </c>
      <c r="L25" s="15">
        <v>-130.5</v>
      </c>
      <c r="M25" s="15">
        <v>-2001.8</v>
      </c>
      <c r="N25" s="15">
        <f>SUM(C22:C25)/4</f>
        <v>6941.35</v>
      </c>
      <c r="O25" s="15">
        <v>6904.067</v>
      </c>
      <c r="P25" s="16">
        <f>C25/C24-1</f>
        <v>-0.0223498724289807</v>
      </c>
      <c r="Q25" s="16">
        <f>(E25+D25)/C25</f>
        <v>0.144250535800201</v>
      </c>
      <c r="R25" s="16">
        <f>AVERAGE(Q22:Q25)</f>
        <v>0.145122093288262</v>
      </c>
      <c r="S25" s="35"/>
      <c r="T25" s="25">
        <f>SUM(J22:K25)/4</f>
        <v>392.475</v>
      </c>
      <c r="U25" s="15">
        <v>981.760590396688</v>
      </c>
      <c r="V25" s="15">
        <f>-(L25+M25)+V24</f>
        <v>6530.786</v>
      </c>
      <c r="W25" s="15"/>
      <c r="X25" s="15">
        <f>F25-G25</f>
        <v>-400</v>
      </c>
      <c r="Y25" s="15">
        <v>1551.4</v>
      </c>
      <c r="Z25" s="15">
        <v>1660</v>
      </c>
      <c r="AA25" s="15">
        <v>1948</v>
      </c>
      <c r="AB25" s="15">
        <v>14.66</v>
      </c>
    </row>
    <row r="26" ht="20.05" customHeight="1">
      <c r="B26" s="13"/>
      <c r="C26" s="14">
        <v>7307.2</v>
      </c>
      <c r="D26" s="15">
        <v>170.9</v>
      </c>
      <c r="E26" s="15">
        <v>861.5</v>
      </c>
      <c r="F26" s="15">
        <v>4144</v>
      </c>
      <c r="G26" s="15">
        <v>5038</v>
      </c>
      <c r="H26" s="15">
        <v>26187</v>
      </c>
      <c r="I26" s="15">
        <v>7821.6</v>
      </c>
      <c r="J26" s="15">
        <v>225.8</v>
      </c>
      <c r="K26" s="15">
        <v>-207.8</v>
      </c>
      <c r="L26" s="15">
        <v>462.8</v>
      </c>
      <c r="M26" s="15">
        <v>-509.9</v>
      </c>
      <c r="N26" s="15">
        <f>SUM(C23:C26)/4</f>
        <v>7086.075</v>
      </c>
      <c r="O26" s="15">
        <v>7060.55725</v>
      </c>
      <c r="P26" s="16">
        <f>C26/C25-1</f>
        <v>0.0653603347475543</v>
      </c>
      <c r="Q26" s="16">
        <f>(E26+D26)/C26</f>
        <v>0.141285307641778</v>
      </c>
      <c r="R26" s="16">
        <f>AVERAGE(Q23:Q26)</f>
        <v>0.144836357493417</v>
      </c>
      <c r="S26" s="35">
        <f>S27</f>
        <v>0.144836357493417</v>
      </c>
      <c r="T26" s="25">
        <f>SUM(J23:K26)/4</f>
        <v>89.4375</v>
      </c>
      <c r="U26" s="15">
        <v>891.920073993135</v>
      </c>
      <c r="V26" s="15">
        <f>-(L26+M26)+V25</f>
        <v>6577.886</v>
      </c>
      <c r="W26" s="15">
        <f>W27</f>
        <v>9999.129532741590</v>
      </c>
      <c r="X26" s="15">
        <f>F26-G26</f>
        <v>-894</v>
      </c>
      <c r="Y26" s="15">
        <v>811.7740887917601</v>
      </c>
      <c r="Z26" s="15">
        <v>1830</v>
      </c>
      <c r="AA26" s="15">
        <v>2178.297103602030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7340.082984576</v>
      </c>
      <c r="P27" s="17"/>
      <c r="Q27" s="17"/>
      <c r="R27" s="17"/>
      <c r="S27" s="35">
        <f>AE53</f>
        <v>0.144836357493417</v>
      </c>
      <c r="T27" s="25"/>
      <c r="U27" s="15">
        <f>SUM(AE55:AH55)/4</f>
        <v>855.310883185397</v>
      </c>
      <c r="V27" s="17"/>
      <c r="W27" s="15">
        <f>-SUM(AE76:AH76)+V26</f>
        <v>9999.129532741590</v>
      </c>
      <c r="X27" s="26"/>
      <c r="Y27" s="15">
        <f>AH75</f>
        <v>18.413059822476</v>
      </c>
      <c r="Z27" s="15">
        <v>2050</v>
      </c>
      <c r="AA27" s="15">
        <v>1994.454460460030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62758.16</v>
      </c>
      <c r="O28" s="15">
        <f>SUM(O17:O26)</f>
        <v>62422.787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2144.952465715890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275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0.0217620535351687</v>
      </c>
      <c r="AF49" s="35"/>
      <c r="AG49" s="35"/>
      <c r="AH49" s="35">
        <f>AVERAGE(AE51:AH51)</f>
        <v>0.005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0.06453338882035579</v>
      </c>
      <c r="AF50" s="35">
        <f>P24</f>
        <v>-0.0204956369982548</v>
      </c>
      <c r="AG50" s="35">
        <f>P25</f>
        <v>-0.0223498724289807</v>
      </c>
      <c r="AH50" s="35">
        <f>P26</f>
        <v>0.0653603347475543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16">
        <v>0.02</v>
      </c>
      <c r="AF51" s="16">
        <v>-0.02</v>
      </c>
      <c r="AG51" s="16">
        <v>-0.02</v>
      </c>
      <c r="AH51" s="16">
        <v>0.04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7307.2</v>
      </c>
      <c r="AE52" s="23">
        <f>C26*(1+AE51)</f>
        <v>7453.344</v>
      </c>
      <c r="AF52" s="23">
        <f>AE52*(1+AF51)</f>
        <v>7304.27712</v>
      </c>
      <c r="AG52" s="23">
        <f>AF52*(1+AG51)</f>
        <v>7158.1915776</v>
      </c>
      <c r="AH52" s="23">
        <f>AG52*(1+AH51)</f>
        <v>7444.519240704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0.144836357493417</v>
      </c>
      <c r="AF53" s="35">
        <f>AE53</f>
        <v>0.144836357493417</v>
      </c>
      <c r="AG53" s="35">
        <f>AF53</f>
        <v>0.144836357493417</v>
      </c>
      <c r="AH53" s="35">
        <f>AG53</f>
        <v>0.144836357493417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-207.8</v>
      </c>
      <c r="AF54" s="15">
        <f>AE54</f>
        <v>-207.8</v>
      </c>
      <c r="AG54" s="15">
        <f>AF54</f>
        <v>-207.8</v>
      </c>
      <c r="AH54" s="15">
        <f>AG54</f>
        <v>-207.8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871.715196105415</v>
      </c>
      <c r="AF55" s="15">
        <f>(AF52*AF53)+AF54</f>
        <v>850.124892183306</v>
      </c>
      <c r="AG55" s="15">
        <f>(AG52*AG53)+AG54</f>
        <v>828.966394339640</v>
      </c>
      <c r="AH55" s="15">
        <f>(AH52*AH53)+AH54</f>
        <v>870.437050113226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-251.9</v>
      </c>
      <c r="AF56" s="15">
        <f>-AE71/20</f>
        <v>-239.305</v>
      </c>
      <c r="AG56" s="15">
        <f>-AF71/20</f>
        <v>-227.33975</v>
      </c>
      <c r="AH56" s="15">
        <f>-AG71/20</f>
        <v>-215.9727625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-0.7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-638.690637273791</v>
      </c>
      <c r="AF58" s="15">
        <f>IF(AF66&gt;0,AF66*$AE$57,0)</f>
        <v>-623.5774245283141</v>
      </c>
      <c r="AG58" s="15">
        <f>IF(AG66&gt;0,AG66*$AE$57,0)</f>
        <v>-608.766476037748</v>
      </c>
      <c r="AH58" s="15">
        <f>IF(AH66&gt;0,AH66*$AE$57,0)</f>
        <v>-637.795935079258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-18.875441168376</v>
      </c>
      <c r="AF59" s="15">
        <f>AF55+AF56+AF58</f>
        <v>-12.757532345008</v>
      </c>
      <c r="AG59" s="15">
        <f>AG55+AG56+AG58</f>
        <v>-7.139831698108</v>
      </c>
      <c r="AH59" s="15">
        <f>AH55+AH56+AH58</f>
        <v>16.668352533968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18.875441168376</v>
      </c>
      <c r="AF60" s="15">
        <f>-MIN(AE72,AF59)</f>
        <v>12.757532345008</v>
      </c>
      <c r="AG60" s="15">
        <f>-MIN(AF72,AG59)</f>
        <v>7.139831698108</v>
      </c>
      <c r="AH60" s="15">
        <f>-MIN(AG72,AH59)</f>
        <v>-16.668352533968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4144</v>
      </c>
      <c r="AF61" s="15">
        <f>AE63</f>
        <v>4144</v>
      </c>
      <c r="AG61" s="15">
        <f>AF63</f>
        <v>4144</v>
      </c>
      <c r="AH61" s="15">
        <f>AG63</f>
        <v>4144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0</v>
      </c>
      <c r="AF62" s="15">
        <f>AF55+AF56+AF58+AF60</f>
        <v>0</v>
      </c>
      <c r="AG62" s="15">
        <f>AG55+AG56+AG58+AG60</f>
        <v>0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4144</v>
      </c>
      <c r="AF63" s="15">
        <f>AF61+AF62</f>
        <v>4144</v>
      </c>
      <c r="AG63" s="15">
        <f>AG61+AG62</f>
        <v>4144</v>
      </c>
      <c r="AH63" s="15">
        <f>AH61+AH62</f>
        <v>4144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-167.1</v>
      </c>
      <c r="AF65" s="15">
        <f>AE65</f>
        <v>-167.1</v>
      </c>
      <c r="AG65" s="15">
        <f>AF65</f>
        <v>-167.1</v>
      </c>
      <c r="AH65" s="15">
        <f>AG65</f>
        <v>-167.1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912.415196105415</v>
      </c>
      <c r="AF66" s="15">
        <f>(AF52*AF53)+AF65</f>
        <v>890.824892183306</v>
      </c>
      <c r="AG66" s="15">
        <f>(AG52*AG53)+AG65</f>
        <v>869.666394339640</v>
      </c>
      <c r="AH66" s="15">
        <f>(AH52*AH53)+AH65</f>
        <v>911.137050113226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22250.8</v>
      </c>
      <c r="AF68" s="15">
        <f>AE68-AF54</f>
        <v>22458.6</v>
      </c>
      <c r="AG68" s="15">
        <f>AF68-AG54</f>
        <v>22666.4</v>
      </c>
      <c r="AH68" s="15">
        <f>AG68-AH54</f>
        <v>22874.2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167.1</v>
      </c>
      <c r="AF69" s="15">
        <f>AE69-AF65</f>
        <v>334.2</v>
      </c>
      <c r="AG69" s="15">
        <f>AF69-AG65</f>
        <v>501.3</v>
      </c>
      <c r="AH69" s="15">
        <f>AG69-AH65</f>
        <v>668.4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22083.7</v>
      </c>
      <c r="AF70" s="15">
        <f>AF68-AF69</f>
        <v>22124.4</v>
      </c>
      <c r="AG70" s="15">
        <f>AG68-AG69</f>
        <v>22165.1</v>
      </c>
      <c r="AH70" s="15">
        <f>AH68-AH69</f>
        <v>22205.8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4786.1</v>
      </c>
      <c r="AF71" s="15">
        <f>AE71+AF56</f>
        <v>4546.795</v>
      </c>
      <c r="AG71" s="15">
        <f>AF71+AG56</f>
        <v>4319.45525</v>
      </c>
      <c r="AH71" s="15">
        <f>AG71+AH56</f>
        <v>4103.4824875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18.875441168376</v>
      </c>
      <c r="AF72" s="15">
        <f>AE72+AF60</f>
        <v>31.632973513384</v>
      </c>
      <c r="AG72" s="15">
        <f>AF72+AG60</f>
        <v>38.772805211492</v>
      </c>
      <c r="AH72" s="15">
        <f>AG72+AH60</f>
        <v>22.104452677524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21422.7245588316</v>
      </c>
      <c r="AF73" s="15">
        <f>AE73+AF66+AF58</f>
        <v>21689.9720264866</v>
      </c>
      <c r="AG73" s="15">
        <f>AF73+AG66+AG58</f>
        <v>21950.8719447885</v>
      </c>
      <c r="AH73" s="15">
        <f>AG73+AH66+AH58</f>
        <v>22224.2130598225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-2.4e-11</v>
      </c>
      <c r="AF74" s="15">
        <f>AF71+AF72+AF73-AF63-AF70</f>
        <v>-1.6e-11</v>
      </c>
      <c r="AG74" s="15">
        <f>AG71+AG72+AG73-AG63-AG70</f>
        <v>-8e-12</v>
      </c>
      <c r="AH74" s="15">
        <f>AH71+AH72+AH73-AH63-AH70</f>
        <v>2.4e-11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-660.9754411683761</v>
      </c>
      <c r="AF75" s="15">
        <f>AF63-AF71-AF72</f>
        <v>-434.427973513384</v>
      </c>
      <c r="AG75" s="15">
        <f>AG63-AG71-AG72</f>
        <v>-214.228055211492</v>
      </c>
      <c r="AH75" s="15">
        <f>AH63-AH71-AH72</f>
        <v>18.413059822476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-871.715196105415</v>
      </c>
      <c r="AF76" s="15">
        <f>AF56+AF58+AF60</f>
        <v>-850.124892183306</v>
      </c>
      <c r="AG76" s="15">
        <f>AG56+AG58+AG60</f>
        <v>-828.966394339640</v>
      </c>
      <c r="AH76" s="15">
        <f>AH56+AH58+AH60</f>
        <v>-870.437050113226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655</v>
      </c>
      <c r="AD78" s="14"/>
      <c r="AE78" s="15"/>
      <c r="AF78" s="15"/>
      <c r="AG78" s="15"/>
      <c r="AH78" s="15">
        <v>2050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655</v>
      </c>
      <c r="AD79" s="14"/>
      <c r="AE79" s="15"/>
      <c r="AF79" s="15"/>
      <c r="AG79" s="15"/>
      <c r="AH79" s="15">
        <v>94823979212800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94823.9792128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46.255599616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3.59866030151272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0.0264577640987719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3421.243532741590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6.49056396818543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27.7162319213252</v>
      </c>
      <c r="AH86" s="15">
        <v>29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99216.062449506106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2144.952465715890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0.0463182759589707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0.0860395642287056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-0.0053438947222162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655</v>
      </c>
      <c r="AF94" t="s" s="44">
        <v>60</v>
      </c>
      <c r="AG94" s="15">
        <f>AH78</f>
        <v>2050</v>
      </c>
      <c r="AH94" t="s" s="44">
        <v>61</v>
      </c>
      <c r="AI94" s="15">
        <f>AH88</f>
        <v>2144.952465715890</v>
      </c>
      <c r="AJ94" t="s" s="44">
        <f>IF(AK94&gt;0,"+","")</f>
        <v>361</v>
      </c>
      <c r="AK94" s="16">
        <f>AI94/AG94-1</f>
        <v>0.0463182759589707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0.0860395642287056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0.00377277987034432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0.020600274489813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-0.009427994979979931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0.0653603347475543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0.0587411487018096</v>
      </c>
      <c r="AF103" s="16">
        <f>P23</f>
        <v>0.06453338882035579</v>
      </c>
      <c r="AG103" s="16">
        <f>P24</f>
        <v>-0.0204956369982548</v>
      </c>
      <c r="AH103" s="16">
        <f>P25</f>
        <v>-0.0223498724289807</v>
      </c>
      <c r="AI103" s="16">
        <f>P26</f>
        <v>0.0653603347475543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6728.3</v>
      </c>
      <c r="AF104" t="s" s="44">
        <v>72</v>
      </c>
      <c r="AG104" s="15">
        <f>C23</f>
        <v>7162.5</v>
      </c>
      <c r="AH104" t="s" s="44">
        <v>72</v>
      </c>
      <c r="AI104" s="15">
        <f>C24</f>
        <v>7015.7</v>
      </c>
      <c r="AJ104" t="s" s="44">
        <v>72</v>
      </c>
      <c r="AK104" s="15">
        <f>C25</f>
        <v>6858.9</v>
      </c>
      <c r="AL104" t="s" s="44">
        <v>72</v>
      </c>
      <c r="AM104" s="15">
        <f>C26</f>
        <v>7307.2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0.0653603347475543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7307.2</v>
      </c>
      <c r="AM105" t="s" s="44">
        <v>372</v>
      </c>
      <c r="AN105" t="s" s="44">
        <v>373</v>
      </c>
      <c r="AO105" s="16">
        <f>AH91</f>
        <v>-0.0053438947222162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0.0217620535351687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0.005</v>
      </c>
      <c r="AG107" t="s" s="44">
        <v>82</v>
      </c>
      <c r="AH107" t="s" s="44">
        <v>83</v>
      </c>
      <c r="AI107" s="23">
        <f>AH52</f>
        <v>7444.519240704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0.142428250821158</v>
      </c>
      <c r="AF110" s="16">
        <f>(D23+E23)/C23</f>
        <v>0.149319371727749</v>
      </c>
      <c r="AG110" s="16">
        <f>((E24+D24)/C24)</f>
        <v>0.14449021480394</v>
      </c>
      <c r="AH110" s="16">
        <f>(D25+E25)/C25</f>
        <v>0.144250535800201</v>
      </c>
      <c r="AI110" s="16">
        <f>(D26+E26)/C26</f>
        <v>0.141285307641778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812.6</v>
      </c>
      <c r="AF111" t="s" s="44">
        <v>72</v>
      </c>
      <c r="AG111" s="15">
        <f>E23</f>
        <v>907.7</v>
      </c>
      <c r="AH111" t="s" s="44">
        <v>72</v>
      </c>
      <c r="AI111" s="15">
        <f>E24</f>
        <v>852.7</v>
      </c>
      <c r="AJ111" t="s" s="44">
        <v>72</v>
      </c>
      <c r="AK111" s="15">
        <f>E25</f>
        <v>820</v>
      </c>
      <c r="AL111" t="s" s="44">
        <v>72</v>
      </c>
      <c r="AM111" s="15">
        <f>E26</f>
        <v>861.5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0.144250535800201</v>
      </c>
      <c r="AG112" t="s" s="44">
        <v>76</v>
      </c>
      <c r="AH112" s="16">
        <f>AI110</f>
        <v>0.141285307641778</v>
      </c>
      <c r="AI112" t="s" s="44">
        <v>90</v>
      </c>
      <c r="AJ112" s="15">
        <f>AK111</f>
        <v>820</v>
      </c>
      <c r="AK112" t="s" s="44">
        <v>76</v>
      </c>
      <c r="AL112" s="15">
        <f>AM111</f>
        <v>861.5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0.144836357493417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0.144836357493417</v>
      </c>
      <c r="AG114" t="s" s="44">
        <v>94</v>
      </c>
      <c r="AH114" s="15">
        <f>AH66</f>
        <v>911.137050113226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1488.75</v>
      </c>
      <c r="AF117" t="s" s="44">
        <v>72</v>
      </c>
      <c r="AG117" s="15">
        <f>J23</f>
        <v>500.95</v>
      </c>
      <c r="AH117" t="s" s="44">
        <v>72</v>
      </c>
      <c r="AI117" s="15">
        <f>J24</f>
        <v>318.3</v>
      </c>
      <c r="AJ117" t="s" s="44">
        <v>72</v>
      </c>
      <c r="AK117" s="15">
        <f>J25</f>
        <v>-27.7</v>
      </c>
      <c r="AL117" t="s" s="44">
        <v>72</v>
      </c>
      <c r="AM117" s="15">
        <f>J26</f>
        <v>225.8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-258.6</v>
      </c>
      <c r="AF118" t="s" s="44">
        <v>72</v>
      </c>
      <c r="AG118" s="15">
        <f>K23</f>
        <v>-193.5</v>
      </c>
      <c r="AH118" t="s" s="44">
        <v>72</v>
      </c>
      <c r="AI118" s="15">
        <f>K24</f>
        <v>-135.9</v>
      </c>
      <c r="AJ118" t="s" s="44">
        <v>72</v>
      </c>
      <c r="AK118" s="15">
        <f>K25</f>
        <v>-122.4</v>
      </c>
      <c r="AL118" t="s" s="44">
        <v>72</v>
      </c>
      <c r="AM118" s="15">
        <f>K26</f>
        <v>-207.8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-150.1</v>
      </c>
      <c r="AG119" t="s" s="44">
        <v>76</v>
      </c>
      <c r="AH119" s="15">
        <f>AM117+AM118</f>
        <v>18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-207.8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89.4375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-207.8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855.310883185397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5647</v>
      </c>
      <c r="AF124" t="s" s="44">
        <v>72</v>
      </c>
      <c r="AG124" s="15">
        <f>F23</f>
        <v>6216</v>
      </c>
      <c r="AH124" t="s" s="44">
        <v>72</v>
      </c>
      <c r="AI124" s="15">
        <f>F24</f>
        <v>6367</v>
      </c>
      <c r="AJ124" t="s" s="44">
        <v>72</v>
      </c>
      <c r="AK124" s="15">
        <f>F25</f>
        <v>4133</v>
      </c>
      <c r="AL124" t="s" s="44">
        <v>72</v>
      </c>
      <c r="AM124" s="15">
        <f>F26</f>
        <v>4144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4275</v>
      </c>
      <c r="AF125" t="s" s="44">
        <v>72</v>
      </c>
      <c r="AG125" s="15">
        <f>G23</f>
        <v>4401</v>
      </c>
      <c r="AH125" t="s" s="44">
        <v>72</v>
      </c>
      <c r="AI125" s="15">
        <f>G24</f>
        <v>4916</v>
      </c>
      <c r="AJ125" t="s" s="44">
        <v>72</v>
      </c>
      <c r="AK125" s="15">
        <f>G25</f>
        <v>4533</v>
      </c>
      <c r="AL125" t="s" s="44">
        <v>72</v>
      </c>
      <c r="AM125" s="15">
        <f>G26</f>
        <v>5038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4133</v>
      </c>
      <c r="AH126" t="s" s="44">
        <v>76</v>
      </c>
      <c r="AI126" s="15">
        <f>AM124</f>
        <v>4144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4533</v>
      </c>
      <c r="AH127" t="s" s="44">
        <v>76</v>
      </c>
      <c r="AI127" s="15">
        <f>AM125</f>
        <v>5038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-400</v>
      </c>
      <c r="AO127" t="s" s="44">
        <v>76</v>
      </c>
      <c r="AP127" s="15">
        <f>AI126-AI127</f>
        <v>-894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-2508.830472919110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-912.413059822476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18.413059822476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83.8</v>
      </c>
      <c r="AF131" t="s" s="44">
        <v>72</v>
      </c>
      <c r="AG131" s="15">
        <f>-L23</f>
        <v>87.8</v>
      </c>
      <c r="AH131" t="s" s="44">
        <v>72</v>
      </c>
      <c r="AI131" s="15">
        <f>-L24</f>
        <v>-134.4</v>
      </c>
      <c r="AJ131" t="s" s="44">
        <v>72</v>
      </c>
      <c r="AK131" s="15">
        <f>-L25</f>
        <v>130.5</v>
      </c>
      <c r="AL131" t="s" s="44">
        <v>72</v>
      </c>
      <c r="AM131" s="15">
        <f>-L26</f>
        <v>-462.8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72.40000000000001</v>
      </c>
      <c r="AF132" t="s" s="44">
        <v>72</v>
      </c>
      <c r="AG132" s="15">
        <f>-M23</f>
        <v>-357.3</v>
      </c>
      <c r="AH132" t="s" s="44">
        <v>72</v>
      </c>
      <c r="AI132" s="15">
        <f>-M24</f>
        <v>177.9</v>
      </c>
      <c r="AJ132" t="s" s="44">
        <v>72</v>
      </c>
      <c r="AK132" s="15">
        <f>-M25</f>
        <v>2001.8</v>
      </c>
      <c r="AL132" t="s" s="44">
        <v>72</v>
      </c>
      <c r="AM132" s="15">
        <f>-M26</f>
        <v>509.9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655</v>
      </c>
      <c r="AF133" t="s" s="44">
        <f>IF(AG133&gt;0,"paid","(raised)")</f>
        <v>374</v>
      </c>
      <c r="AG133" s="15">
        <f>SUM(AM131:AM132)</f>
        <v>47.1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-462.8</v>
      </c>
      <c r="AM133" t="s" s="44">
        <f>AM105</f>
        <v>372</v>
      </c>
      <c r="AN133" t="s" s="44">
        <v>123</v>
      </c>
      <c r="AO133" s="15">
        <f>AM132</f>
        <v>509.9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3421.243532741590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94823.9792128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3.59866030151272</v>
      </c>
      <c r="AK134" t="s" s="44">
        <v>130</v>
      </c>
      <c r="AL134" t="s" s="44">
        <v>131</v>
      </c>
      <c r="AM134" t="s" s="44">
        <v>132</v>
      </c>
      <c r="AN134" s="15">
        <f>AH85</f>
        <v>6.49056396818543</v>
      </c>
      <c r="AO134" t="s" s="44">
        <v>133</v>
      </c>
      <c r="AP134" s="16">
        <f>-AF128/AF134</f>
        <v>0.0264577640987719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3421.243532741590</v>
      </c>
      <c r="AG135" t="s" s="44">
        <f>AG134</f>
        <v>372</v>
      </c>
      <c r="AH135" t="s" s="44">
        <v>136</v>
      </c>
      <c r="AI135" s="15">
        <f>AF134/AF135</f>
        <v>27.7162319213252</v>
      </c>
      <c r="AJ135" t="s" s="44">
        <v>130</v>
      </c>
      <c r="AK135" t="s" s="44">
        <v>137</v>
      </c>
      <c r="AL135" t="s" s="44">
        <v>138</v>
      </c>
      <c r="AM135" s="15">
        <f>AH86</f>
        <v>29</v>
      </c>
      <c r="AN135" t="s" s="44">
        <v>139</v>
      </c>
      <c r="AO135" t="s" s="44">
        <v>140</v>
      </c>
      <c r="AP135" t="s" s="44">
        <v>141</v>
      </c>
      <c r="AQ135" s="16">
        <f>AK94</f>
        <v>0.0463182759589707</v>
      </c>
      <c r="AR135" t="s" s="44">
        <f>IF(AQ135&gt;0,"higher","lower")</f>
        <v>363</v>
      </c>
      <c r="AS135" t="s" s="44">
        <v>142</v>
      </c>
      <c r="AT135" s="15">
        <f>AI94</f>
        <v>2144.952465715890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6728.3</v>
      </c>
      <c r="AE137" s="15">
        <f>AG104</f>
        <v>7162.5</v>
      </c>
      <c r="AF137" s="15">
        <f>AI104</f>
        <v>7015.7</v>
      </c>
      <c r="AG137" s="15">
        <f>AK104</f>
        <v>6858.9</v>
      </c>
      <c r="AH137" s="15">
        <f>AM104</f>
        <v>7307.2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1230.15</v>
      </c>
      <c r="AE138" s="15">
        <f>SUM(AG117:AG118)</f>
        <v>307.45</v>
      </c>
      <c r="AF138" s="15">
        <f>SUM(AI117:AI118)</f>
        <v>182.4</v>
      </c>
      <c r="AG138" s="15">
        <f>SUM(AK117:AK118)</f>
        <v>-150.1</v>
      </c>
      <c r="AH138" s="15">
        <f>SUM(AM117:AM118)</f>
        <v>18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156.2</v>
      </c>
      <c r="AE139" s="15">
        <f>SUM(AG131:AG132)</f>
        <v>-269.5</v>
      </c>
      <c r="AF139" s="15">
        <f>SUM(AI131:AI132)</f>
        <v>43.5</v>
      </c>
      <c r="AG139" s="15">
        <f>SUM(AK131:AK132)</f>
        <v>2132.3</v>
      </c>
      <c r="AH139" s="15">
        <f>SUM(AM131:AM132)</f>
        <v>47.1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1372</v>
      </c>
      <c r="AE140" s="15">
        <f>(AG124-AG125)</f>
        <v>1815</v>
      </c>
      <c r="AF140" s="15">
        <f>(AI124-AI125)</f>
        <v>1451</v>
      </c>
      <c r="AG140" s="15">
        <f>(AK124-AK125)</f>
        <v>-400</v>
      </c>
      <c r="AH140" s="15">
        <f>(AM124-AM125)</f>
        <v>-894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2144.952465715890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3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97" customWidth="1"/>
    <col min="2" max="26" width="10.4844" style="297" customWidth="1"/>
    <col min="27" max="27" width="18.9766" style="298" customWidth="1"/>
    <col min="28" max="31" width="9" style="298" customWidth="1"/>
    <col min="32" max="45" hidden="1" width="16.3333" style="298" customWidth="1"/>
    <col min="46" max="16384" width="16.3516" style="298" customWidth="1"/>
  </cols>
  <sheetData>
    <row r="1" ht="11.65" customHeight="1"/>
    <row r="2" ht="27.65" customHeight="1">
      <c r="B2" t="s" s="2">
        <v>656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341</v>
      </c>
      <c r="Z3" t="s" s="3">
        <v>19</v>
      </c>
    </row>
    <row r="4" ht="20.25" customHeight="1">
      <c r="B4" s="6">
        <v>2017</v>
      </c>
      <c r="C4" s="7">
        <v>809</v>
      </c>
      <c r="D4" s="8">
        <v>155</v>
      </c>
      <c r="E4" s="8">
        <v>236.2</v>
      </c>
      <c r="F4" s="8">
        <v>655.3</v>
      </c>
      <c r="G4" s="8">
        <v>1090.7</v>
      </c>
      <c r="H4" s="8">
        <v>5289.9</v>
      </c>
      <c r="I4" s="8">
        <v>757.1</v>
      </c>
      <c r="J4" s="8">
        <v>347.5</v>
      </c>
      <c r="K4" s="8">
        <v>-229</v>
      </c>
      <c r="L4" s="8">
        <v>0</v>
      </c>
      <c r="M4" s="8">
        <v>-75.5</v>
      </c>
      <c r="N4" s="9"/>
      <c r="O4" s="9"/>
      <c r="P4" s="55"/>
      <c r="Q4" s="55"/>
      <c r="R4" s="9"/>
      <c r="S4" s="9"/>
      <c r="T4" s="9"/>
      <c r="U4" s="9"/>
      <c r="V4" s="9"/>
      <c r="W4" s="8">
        <f>F4-G4</f>
        <v>-435.4</v>
      </c>
      <c r="X4" s="73"/>
      <c r="Y4" s="10"/>
      <c r="Z4" s="73"/>
    </row>
    <row r="5" ht="20.05" customHeight="1">
      <c r="B5" s="13"/>
      <c r="C5" s="14">
        <v>841.6</v>
      </c>
      <c r="D5" s="15">
        <v>159</v>
      </c>
      <c r="E5" s="15">
        <v>254</v>
      </c>
      <c r="F5" s="15">
        <v>531</v>
      </c>
      <c r="G5" s="15">
        <v>1125.7</v>
      </c>
      <c r="H5" s="15">
        <v>5292.7</v>
      </c>
      <c r="I5" s="15">
        <v>733.4</v>
      </c>
      <c r="J5" s="15">
        <v>323.5</v>
      </c>
      <c r="K5" s="15">
        <v>-151.6</v>
      </c>
      <c r="L5" s="15">
        <v>0</v>
      </c>
      <c r="M5" s="15">
        <v>-75.5</v>
      </c>
      <c r="N5" s="17"/>
      <c r="O5" s="17"/>
      <c r="P5" s="16"/>
      <c r="Q5" s="16"/>
      <c r="R5" s="17"/>
      <c r="S5" s="17"/>
      <c r="T5" s="17"/>
      <c r="U5" s="17"/>
      <c r="V5" s="17"/>
      <c r="W5" s="15">
        <f>F5-G5</f>
        <v>-594.7</v>
      </c>
      <c r="X5" s="24"/>
      <c r="Y5" s="18"/>
      <c r="Z5" s="24"/>
    </row>
    <row r="6" ht="20.05" customHeight="1">
      <c r="B6" s="13"/>
      <c r="C6" s="14">
        <v>854.7</v>
      </c>
      <c r="D6" s="15">
        <v>162</v>
      </c>
      <c r="E6" s="15">
        <v>250.1</v>
      </c>
      <c r="F6" s="15">
        <v>665.2</v>
      </c>
      <c r="G6" s="15">
        <v>1128.2</v>
      </c>
      <c r="H6" s="15">
        <v>5541.1</v>
      </c>
      <c r="I6" s="15">
        <v>1041.3</v>
      </c>
      <c r="J6" s="15">
        <v>405.4</v>
      </c>
      <c r="K6" s="15">
        <v>-257.3</v>
      </c>
      <c r="L6" s="15">
        <v>0</v>
      </c>
      <c r="M6" s="15">
        <v>-75.5</v>
      </c>
      <c r="N6" s="17"/>
      <c r="O6" s="17"/>
      <c r="P6" s="16"/>
      <c r="Q6" s="16"/>
      <c r="R6" s="17"/>
      <c r="S6" s="17"/>
      <c r="T6" s="17"/>
      <c r="U6" s="17"/>
      <c r="V6" s="17"/>
      <c r="W6" s="15">
        <f>F6-G6</f>
        <v>-463</v>
      </c>
      <c r="X6" s="24"/>
      <c r="Y6" s="18"/>
      <c r="Z6" s="24"/>
    </row>
    <row r="7" ht="20.05" customHeight="1">
      <c r="B7" s="13"/>
      <c r="C7" s="14">
        <v>893.8</v>
      </c>
      <c r="D7" s="15">
        <v>168</v>
      </c>
      <c r="E7" s="15">
        <v>267</v>
      </c>
      <c r="F7" s="15">
        <v>765.9</v>
      </c>
      <c r="G7" s="15">
        <v>1242</v>
      </c>
      <c r="H7" s="15">
        <v>5766.2</v>
      </c>
      <c r="I7" s="15">
        <v>757.8</v>
      </c>
      <c r="J7" s="15">
        <v>445.4</v>
      </c>
      <c r="K7" s="15">
        <v>-332.7</v>
      </c>
      <c r="L7" s="15">
        <v>0</v>
      </c>
      <c r="M7" s="15">
        <v>-75.5</v>
      </c>
      <c r="N7" s="17"/>
      <c r="O7" s="17"/>
      <c r="P7" s="16"/>
      <c r="Q7" s="16"/>
      <c r="R7" s="17"/>
      <c r="S7" s="17"/>
      <c r="T7" s="17"/>
      <c r="U7" s="17"/>
      <c r="V7" s="17"/>
      <c r="W7" s="15">
        <f>F7-G7</f>
        <v>-476.1</v>
      </c>
      <c r="X7" s="24"/>
      <c r="Y7" s="18"/>
      <c r="Z7" s="24"/>
    </row>
    <row r="8" ht="20.05" customHeight="1">
      <c r="B8" s="21">
        <v>2018</v>
      </c>
      <c r="C8" s="14">
        <v>905.6</v>
      </c>
      <c r="D8" s="15">
        <v>175</v>
      </c>
      <c r="E8" s="15">
        <v>266.3</v>
      </c>
      <c r="F8" s="15">
        <v>746.3</v>
      </c>
      <c r="G8" s="15">
        <v>1252.2</v>
      </c>
      <c r="H8" s="15">
        <v>6042.7</v>
      </c>
      <c r="I8" s="15">
        <v>826.5</v>
      </c>
      <c r="J8" s="15">
        <v>501.9</v>
      </c>
      <c r="K8" s="15">
        <v>-378.9</v>
      </c>
      <c r="L8" s="15">
        <v>0</v>
      </c>
      <c r="M8" s="15">
        <v>-181.75</v>
      </c>
      <c r="N8" s="17"/>
      <c r="O8" s="17"/>
      <c r="P8" s="16"/>
      <c r="Q8" s="16"/>
      <c r="R8" s="17"/>
      <c r="S8" s="17"/>
      <c r="T8" s="17"/>
      <c r="U8" s="17"/>
      <c r="V8" s="17"/>
      <c r="W8" s="15">
        <f>F8-G8</f>
        <v>-505.9</v>
      </c>
      <c r="X8" s="24"/>
      <c r="Y8" s="15">
        <v>5225</v>
      </c>
      <c r="Z8" s="24"/>
    </row>
    <row r="9" ht="20.05" customHeight="1">
      <c r="B9" s="13"/>
      <c r="C9" s="14">
        <v>939.6</v>
      </c>
      <c r="D9" s="15">
        <v>176</v>
      </c>
      <c r="E9" s="15">
        <v>280.5</v>
      </c>
      <c r="F9" s="15">
        <v>465.4</v>
      </c>
      <c r="G9" s="15">
        <v>1403.2</v>
      </c>
      <c r="H9" s="15">
        <v>5920.4</v>
      </c>
      <c r="I9" s="15">
        <v>855.3</v>
      </c>
      <c r="J9" s="15">
        <v>368</v>
      </c>
      <c r="K9" s="15">
        <v>-112.6</v>
      </c>
      <c r="L9" s="15">
        <v>0</v>
      </c>
      <c r="M9" s="15">
        <v>-181.75</v>
      </c>
      <c r="N9" s="17"/>
      <c r="O9" s="17"/>
      <c r="P9" s="16"/>
      <c r="Q9" s="16"/>
      <c r="R9" s="17"/>
      <c r="S9" s="17"/>
      <c r="T9" s="17"/>
      <c r="U9" s="17"/>
      <c r="V9" s="17"/>
      <c r="W9" s="15">
        <f>F9-G9</f>
        <v>-937.8</v>
      </c>
      <c r="X9" s="24"/>
      <c r="Y9" s="15">
        <v>4390</v>
      </c>
      <c r="Z9" s="24"/>
    </row>
    <row r="10" ht="20.05" customHeight="1">
      <c r="B10" s="13"/>
      <c r="C10" s="14">
        <v>949.1</v>
      </c>
      <c r="D10" s="15">
        <v>182</v>
      </c>
      <c r="E10" s="15">
        <v>268.9</v>
      </c>
      <c r="F10" s="15">
        <v>468.4</v>
      </c>
      <c r="G10" s="15">
        <v>1329.4</v>
      </c>
      <c r="H10" s="15">
        <v>6094.4</v>
      </c>
      <c r="I10" s="15">
        <v>848.5</v>
      </c>
      <c r="J10" s="15">
        <v>336.9</v>
      </c>
      <c r="K10" s="15">
        <v>-315.2</v>
      </c>
      <c r="L10" s="15">
        <v>0</v>
      </c>
      <c r="M10" s="15">
        <v>-181.75</v>
      </c>
      <c r="N10" s="17"/>
      <c r="O10" s="17"/>
      <c r="P10" s="16"/>
      <c r="Q10" s="16"/>
      <c r="R10" s="17"/>
      <c r="S10" s="17"/>
      <c r="T10" s="17"/>
      <c r="U10" s="17"/>
      <c r="V10" s="17"/>
      <c r="W10" s="15">
        <f>F10-G10</f>
        <v>-861</v>
      </c>
      <c r="X10" s="24"/>
      <c r="Y10" s="15">
        <v>4200</v>
      </c>
      <c r="Z10" s="24"/>
    </row>
    <row r="11" ht="20.05" customHeight="1">
      <c r="B11" s="13"/>
      <c r="C11" s="14">
        <v>931.7</v>
      </c>
      <c r="D11" s="15">
        <v>185</v>
      </c>
      <c r="E11" s="15">
        <v>-26.7</v>
      </c>
      <c r="F11" s="15">
        <v>600</v>
      </c>
      <c r="G11" s="15">
        <v>1272.9</v>
      </c>
      <c r="H11" s="15">
        <v>6023.5</v>
      </c>
      <c r="I11" s="15">
        <v>1003.6</v>
      </c>
      <c r="J11" s="15">
        <v>439.8</v>
      </c>
      <c r="K11" s="15">
        <v>-309.3</v>
      </c>
      <c r="L11" s="15">
        <v>0</v>
      </c>
      <c r="M11" s="15">
        <v>-181.75</v>
      </c>
      <c r="N11" s="17"/>
      <c r="O11" s="17"/>
      <c r="P11" s="16"/>
      <c r="Q11" s="16"/>
      <c r="R11" s="17"/>
      <c r="S11" s="17"/>
      <c r="T11" s="17"/>
      <c r="U11" s="17"/>
      <c r="V11" s="17"/>
      <c r="W11" s="15">
        <f>F11-G11</f>
        <v>-672.9</v>
      </c>
      <c r="X11" s="24"/>
      <c r="Y11" s="15">
        <v>4900</v>
      </c>
      <c r="Z11" s="24"/>
    </row>
    <row r="12" ht="20.05" customHeight="1">
      <c r="B12" s="21">
        <v>2019</v>
      </c>
      <c r="C12" s="14">
        <v>891</v>
      </c>
      <c r="D12" s="15">
        <v>190</v>
      </c>
      <c r="E12" s="15">
        <v>264</v>
      </c>
      <c r="F12" s="15">
        <v>613</v>
      </c>
      <c r="G12" s="15">
        <v>1145</v>
      </c>
      <c r="H12" s="15">
        <v>6152</v>
      </c>
      <c r="I12" s="15">
        <v>949.5</v>
      </c>
      <c r="J12" s="15">
        <v>383.7</v>
      </c>
      <c r="K12" s="15">
        <v>-365</v>
      </c>
      <c r="L12" s="15">
        <v>200</v>
      </c>
      <c r="M12" s="15">
        <v>-245.75</v>
      </c>
      <c r="N12" s="15">
        <f>SUM(C12)/4</f>
        <v>222.75</v>
      </c>
      <c r="O12" s="17"/>
      <c r="P12" s="16">
        <f>C12/C11-1</f>
        <v>-0.0436835891381346</v>
      </c>
      <c r="Q12" s="16">
        <f>(D9+D10+D11+D12+E9+E10+E11+E12-C9-C10-C11-C12)/(C9+C10+C11+C12)</f>
        <v>-0.59053187476424</v>
      </c>
      <c r="R12" s="17"/>
      <c r="S12" s="15">
        <f>SUM(J11:K12)/4</f>
        <v>37.3</v>
      </c>
      <c r="T12" s="17"/>
      <c r="U12" s="15">
        <f>-(L12+M12)</f>
        <v>45.75</v>
      </c>
      <c r="V12" s="17"/>
      <c r="W12" s="15">
        <f>F12-G12</f>
        <v>-532</v>
      </c>
      <c r="X12" s="24"/>
      <c r="Y12" s="15">
        <v>4490</v>
      </c>
      <c r="Z12" s="24"/>
    </row>
    <row r="13" ht="20.05" customHeight="1">
      <c r="B13" s="13"/>
      <c r="C13" s="14">
        <v>915</v>
      </c>
      <c r="D13" s="15">
        <v>187</v>
      </c>
      <c r="E13" s="15">
        <v>263</v>
      </c>
      <c r="F13" s="15">
        <v>295</v>
      </c>
      <c r="G13" s="15">
        <v>1620</v>
      </c>
      <c r="H13" s="15">
        <v>6102</v>
      </c>
      <c r="I13" s="15">
        <v>766.8</v>
      </c>
      <c r="J13" s="15">
        <v>236.3</v>
      </c>
      <c r="K13" s="15">
        <v>-319</v>
      </c>
      <c r="L13" s="15">
        <v>200</v>
      </c>
      <c r="M13" s="15">
        <v>-245.75</v>
      </c>
      <c r="N13" s="15">
        <f>SUM(C12:C13)/4</f>
        <v>451.5</v>
      </c>
      <c r="O13" s="17"/>
      <c r="P13" s="16">
        <f>C13/C12-1</f>
        <v>0.0269360269360269</v>
      </c>
      <c r="Q13" s="16">
        <f>(D10+D11+D12+D13+E10+E11+E12+E13-C10-C11-C12-C13)/(C10+C11+C12+C13)</f>
        <v>-0.589562764456982</v>
      </c>
      <c r="R13" s="17"/>
      <c r="S13" s="15">
        <f>SUM(J12:K13)/4</f>
        <v>-16</v>
      </c>
      <c r="T13" s="17"/>
      <c r="U13" s="15">
        <f>-(L13+M13)+U12</f>
        <v>91.5</v>
      </c>
      <c r="V13" s="17"/>
      <c r="W13" s="15">
        <f>F13-G13</f>
        <v>-1325</v>
      </c>
      <c r="X13" s="24"/>
      <c r="Y13" s="15">
        <v>4250</v>
      </c>
      <c r="Z13" s="24"/>
    </row>
    <row r="14" ht="20.05" customHeight="1">
      <c r="B14" s="13"/>
      <c r="C14" s="14">
        <v>961</v>
      </c>
      <c r="D14" s="15">
        <v>196</v>
      </c>
      <c r="E14" s="15">
        <v>246</v>
      </c>
      <c r="F14" s="15">
        <v>274</v>
      </c>
      <c r="G14" s="15">
        <v>1686</v>
      </c>
      <c r="H14" s="15">
        <v>6278</v>
      </c>
      <c r="I14" s="15">
        <v>975.9</v>
      </c>
      <c r="J14" s="15">
        <v>481.5</v>
      </c>
      <c r="K14" s="15">
        <v>-406</v>
      </c>
      <c r="L14" s="15">
        <v>200</v>
      </c>
      <c r="M14" s="15">
        <v>-245.75</v>
      </c>
      <c r="N14" s="15">
        <f>SUM(C12:C14)/4</f>
        <v>691.75</v>
      </c>
      <c r="O14" s="17"/>
      <c r="P14" s="16">
        <f>C14/C13-1</f>
        <v>0.0502732240437158</v>
      </c>
      <c r="Q14" s="16">
        <f>(D11+D12+D13+D14+E11+E12+E13+E14-C11-C12-C13-C14)/(C11+C12+C13+C14)</f>
        <v>-0.593289534160651</v>
      </c>
      <c r="R14" s="17"/>
      <c r="S14" s="15">
        <f>SUM(J12:K14)/4</f>
        <v>2.875</v>
      </c>
      <c r="T14" s="17"/>
      <c r="U14" s="15">
        <f>-(L14+M14)+U13</f>
        <v>137.25</v>
      </c>
      <c r="V14" s="17"/>
      <c r="W14" s="15">
        <f>F14-G14</f>
        <v>-1412</v>
      </c>
      <c r="X14" s="24"/>
      <c r="Y14" s="15">
        <v>4100</v>
      </c>
      <c r="Z14" s="24"/>
    </row>
    <row r="15" ht="20.05" customHeight="1">
      <c r="B15" s="13"/>
      <c r="C15" s="14">
        <v>988</v>
      </c>
      <c r="D15" s="15">
        <v>202</v>
      </c>
      <c r="E15" s="15">
        <v>122</v>
      </c>
      <c r="F15" s="15">
        <v>298</v>
      </c>
      <c r="G15" s="15">
        <v>1997</v>
      </c>
      <c r="H15" s="15">
        <v>6653</v>
      </c>
      <c r="I15" s="15">
        <v>954.2</v>
      </c>
      <c r="J15" s="15">
        <v>574.9</v>
      </c>
      <c r="K15" s="15">
        <v>-659</v>
      </c>
      <c r="L15" s="15">
        <v>200</v>
      </c>
      <c r="M15" s="15">
        <v>-245.75</v>
      </c>
      <c r="N15" s="15">
        <f>SUM(C12:C15)/4</f>
        <v>938.75</v>
      </c>
      <c r="O15" s="17"/>
      <c r="P15" s="16">
        <f>C15/C14-1</f>
        <v>0.0280957336108221</v>
      </c>
      <c r="Q15" s="16">
        <f>(D12+D13+D14+D15+E12+E13+E14+E15-C12-C13-C14-C15)/(C12+C13+C14+C15)</f>
        <v>-0.55525965379494</v>
      </c>
      <c r="R15" s="17"/>
      <c r="S15" s="15">
        <f>SUM(J12:K15)/4</f>
        <v>-18.15</v>
      </c>
      <c r="T15" s="17"/>
      <c r="U15" s="15">
        <f>-(L15+M15)+U14</f>
        <v>183</v>
      </c>
      <c r="V15" s="17"/>
      <c r="W15" s="15">
        <f>F15-G15</f>
        <v>-1699</v>
      </c>
      <c r="X15" s="24"/>
      <c r="Y15" s="15">
        <v>3687.673828</v>
      </c>
      <c r="Z15" s="24"/>
    </row>
    <row r="16" ht="20.05" customHeight="1">
      <c r="B16" s="21">
        <v>2020</v>
      </c>
      <c r="C16" s="14">
        <v>958.9</v>
      </c>
      <c r="D16" s="15">
        <v>209</v>
      </c>
      <c r="E16" s="15">
        <v>197.7</v>
      </c>
      <c r="F16" s="15">
        <v>195</v>
      </c>
      <c r="G16" s="15">
        <v>2363</v>
      </c>
      <c r="H16" s="15">
        <v>6912</v>
      </c>
      <c r="I16" s="15">
        <v>949.5</v>
      </c>
      <c r="J16" s="15">
        <v>348.11</v>
      </c>
      <c r="K16" s="15">
        <v>-329.2</v>
      </c>
      <c r="L16" s="15">
        <v>175</v>
      </c>
      <c r="M16" s="15">
        <v>-199.5</v>
      </c>
      <c r="N16" s="15">
        <f>SUM(C13:C16)/4</f>
        <v>955.725</v>
      </c>
      <c r="O16" s="15">
        <v>956.9175</v>
      </c>
      <c r="P16" s="16">
        <f>C16/C15-1</f>
        <v>-0.0294534412955466</v>
      </c>
      <c r="Q16" s="16">
        <f>(D13+D14+D15+D16+E13+E14+E15+E16-C13-C14-C15-C16)/(C13+C14+C15+C16)</f>
        <v>-0.575531664443224</v>
      </c>
      <c r="R16" s="17"/>
      <c r="S16" s="15">
        <f>SUM(J13:K16)/4</f>
        <v>-18.0975</v>
      </c>
      <c r="T16" s="17"/>
      <c r="U16" s="15">
        <f>-(L16+M16)+U15</f>
        <v>207.5</v>
      </c>
      <c r="V16" s="17"/>
      <c r="W16" s="15">
        <f>F16-G16</f>
        <v>-2168</v>
      </c>
      <c r="X16" s="24"/>
      <c r="Y16" s="15">
        <v>2449.136963</v>
      </c>
      <c r="Z16" s="24"/>
    </row>
    <row r="17" ht="20.05" customHeight="1">
      <c r="B17" s="13"/>
      <c r="C17" s="14">
        <v>971.1</v>
      </c>
      <c r="D17" s="15">
        <v>193</v>
      </c>
      <c r="E17" s="15">
        <v>258.3</v>
      </c>
      <c r="F17" s="15">
        <v>695</v>
      </c>
      <c r="G17" s="15">
        <v>3242</v>
      </c>
      <c r="H17" s="15">
        <v>7558</v>
      </c>
      <c r="I17" s="15">
        <v>916.1</v>
      </c>
      <c r="J17" s="15">
        <v>629.79</v>
      </c>
      <c r="K17" s="15">
        <v>-396.8</v>
      </c>
      <c r="L17" s="15">
        <v>175</v>
      </c>
      <c r="M17" s="15">
        <v>-199.5</v>
      </c>
      <c r="N17" s="15">
        <f>SUM(C14:C17)/4</f>
        <v>969.75</v>
      </c>
      <c r="O17" s="15">
        <v>936.845</v>
      </c>
      <c r="P17" s="16">
        <f>C17/C16-1</f>
        <v>0.0127229116696214</v>
      </c>
      <c r="Q17" s="16">
        <f>(D14+D15+D16+D17+E14+E15+E16+E17-C14-C15-C16-C17)/(C14+C15+C16+C17)</f>
        <v>-0.581335395720547</v>
      </c>
      <c r="R17" s="17"/>
      <c r="S17" s="15">
        <f>SUM(J14:K17)/4</f>
        <v>60.825</v>
      </c>
      <c r="T17" s="17"/>
      <c r="U17" s="15">
        <f>-(L17+M17)+U16</f>
        <v>232</v>
      </c>
      <c r="V17" s="17"/>
      <c r="W17" s="15">
        <f>F17-G17</f>
        <v>-2547</v>
      </c>
      <c r="X17" s="24"/>
      <c r="Y17" s="15">
        <v>2250</v>
      </c>
      <c r="Z17" s="24"/>
    </row>
    <row r="18" ht="20.05" customHeight="1">
      <c r="B18" s="13"/>
      <c r="C18" s="14">
        <v>1024</v>
      </c>
      <c r="D18" s="15">
        <v>252</v>
      </c>
      <c r="E18" s="15">
        <v>242.9</v>
      </c>
      <c r="F18" s="15">
        <v>368</v>
      </c>
      <c r="G18" s="15">
        <v>3096</v>
      </c>
      <c r="H18" s="15">
        <v>7653</v>
      </c>
      <c r="I18" s="15">
        <v>998</v>
      </c>
      <c r="J18" s="15">
        <v>565.1</v>
      </c>
      <c r="K18" s="15">
        <v>-653</v>
      </c>
      <c r="L18" s="15">
        <v>175</v>
      </c>
      <c r="M18" s="15">
        <v>-199.5</v>
      </c>
      <c r="N18" s="15">
        <f>SUM(C15:C18)/4</f>
        <v>985.5</v>
      </c>
      <c r="O18" s="15">
        <v>947.63375</v>
      </c>
      <c r="P18" s="16">
        <f>C18/C17-1</f>
        <v>0.0544743074863557</v>
      </c>
      <c r="Q18" s="16">
        <f>(D15+D16+D17+D18+E15+E16+E17+E18-C15-C16-C17-C18)/(C15+C16+C17+C18)</f>
        <v>-0.574606798579401</v>
      </c>
      <c r="R18" s="17"/>
      <c r="S18" s="15">
        <f>SUM(J15:K18)/4</f>
        <v>19.975</v>
      </c>
      <c r="T18" s="17"/>
      <c r="U18" s="15">
        <f>-(L18+M18)+U17</f>
        <v>256.5</v>
      </c>
      <c r="V18" s="17"/>
      <c r="W18" s="15">
        <f>F18-G18</f>
        <v>-2728</v>
      </c>
      <c r="X18" s="24"/>
      <c r="Y18" s="15">
        <v>1765</v>
      </c>
      <c r="Z18" s="24"/>
    </row>
    <row r="19" ht="20.05" customHeight="1">
      <c r="B19" s="13"/>
      <c r="C19" s="14">
        <v>1094</v>
      </c>
      <c r="D19" s="15">
        <v>277.1</v>
      </c>
      <c r="E19" s="15">
        <v>242.8</v>
      </c>
      <c r="F19" s="15">
        <v>360</v>
      </c>
      <c r="G19" s="15">
        <v>3177</v>
      </c>
      <c r="H19" s="15">
        <v>7800</v>
      </c>
      <c r="I19" s="15">
        <v>1094.8</v>
      </c>
      <c r="J19" s="15">
        <v>134.5</v>
      </c>
      <c r="K19" s="15">
        <v>-384.8</v>
      </c>
      <c r="L19" s="15">
        <v>175</v>
      </c>
      <c r="M19" s="15">
        <v>-199.5</v>
      </c>
      <c r="N19" s="15">
        <f>SUM(C16:C19)/4</f>
        <v>1012</v>
      </c>
      <c r="O19" s="15">
        <v>966.7424999999999</v>
      </c>
      <c r="P19" s="16">
        <f>C19/C18-1</f>
        <v>0.068359375</v>
      </c>
      <c r="Q19" s="16">
        <f>(D16+D17+D18+D19+E16+E17+E18+E19-C16-C17-C18-C19)/(C16+C17+C18+C19)</f>
        <v>-0.537351778656126</v>
      </c>
      <c r="R19" s="17"/>
      <c r="S19" s="15">
        <f>SUM(J16:K19)/4</f>
        <v>-21.575</v>
      </c>
      <c r="T19" s="17"/>
      <c r="U19" s="15">
        <f>-(L19+M19)+U18</f>
        <v>281</v>
      </c>
      <c r="V19" s="17"/>
      <c r="W19" s="15">
        <f>F19-G19</f>
        <v>-2817</v>
      </c>
      <c r="X19" s="24"/>
      <c r="Y19" s="15">
        <v>2410</v>
      </c>
      <c r="Z19" s="24"/>
    </row>
    <row r="20" ht="20.05" customHeight="1">
      <c r="B20" s="21">
        <v>2021</v>
      </c>
      <c r="C20" s="14">
        <v>1068.8</v>
      </c>
      <c r="D20" s="15">
        <v>320</v>
      </c>
      <c r="E20" s="15">
        <v>249</v>
      </c>
      <c r="F20" s="15">
        <v>1248</v>
      </c>
      <c r="G20" s="15">
        <v>4236</v>
      </c>
      <c r="H20" s="15">
        <v>9108</v>
      </c>
      <c r="I20" s="15">
        <v>1055</v>
      </c>
      <c r="J20" s="15">
        <v>609.9</v>
      </c>
      <c r="K20" s="15">
        <v>-722.3</v>
      </c>
      <c r="L20" s="15">
        <v>999.9</v>
      </c>
      <c r="M20" s="15">
        <v>0</v>
      </c>
      <c r="N20" s="15">
        <f>SUM(C17:C20)/4</f>
        <v>1039.475</v>
      </c>
      <c r="O20" s="15">
        <v>993.8982</v>
      </c>
      <c r="P20" s="16">
        <f>C20/C19-1</f>
        <v>-0.0230347349177331</v>
      </c>
      <c r="Q20" s="16">
        <f>(D17+D18+D19+D20+E17+E18+E19+E20-C17-C18-C19-C20)/(C17+C18+C19+C20)</f>
        <v>-0.510546189182039</v>
      </c>
      <c r="R20" s="17"/>
      <c r="S20" s="15">
        <f>SUM(J17:K20)/4</f>
        <v>-54.4025</v>
      </c>
      <c r="T20" s="17"/>
      <c r="U20" s="15">
        <f>-(L20+M20)+U19</f>
        <v>-718.9</v>
      </c>
      <c r="V20" s="17"/>
      <c r="W20" s="15">
        <f>F20-G20</f>
        <v>-2988</v>
      </c>
      <c r="X20" s="15"/>
      <c r="Y20" s="15">
        <v>3200</v>
      </c>
      <c r="Z20" s="15"/>
    </row>
    <row r="21" ht="20.05" customHeight="1">
      <c r="B21" s="13"/>
      <c r="C21" s="14">
        <v>1087</v>
      </c>
      <c r="D21" s="15">
        <v>320</v>
      </c>
      <c r="E21" s="15">
        <v>222.8</v>
      </c>
      <c r="F21" s="15">
        <v>281</v>
      </c>
      <c r="G21" s="15">
        <v>3772</v>
      </c>
      <c r="H21" s="15">
        <v>8589</v>
      </c>
      <c r="I21" s="15">
        <v>982.5</v>
      </c>
      <c r="J21" s="15">
        <v>273.733</v>
      </c>
      <c r="K21" s="15">
        <v>-557.6</v>
      </c>
      <c r="L21" s="15">
        <v>-682.533</v>
      </c>
      <c r="M21" s="15">
        <v>0</v>
      </c>
      <c r="N21" s="15">
        <f>SUM(C18:C21)/4</f>
        <v>1068.45</v>
      </c>
      <c r="O21" s="15">
        <v>1042.2672</v>
      </c>
      <c r="P21" s="16">
        <f>C21/C20-1</f>
        <v>0.0170284431137725</v>
      </c>
      <c r="Q21" s="16">
        <f>(D18+D19+D20+D21+E18+E19+E20+E21-C18-C19-C20-C21)/(C18+C19+C20+C21)</f>
        <v>-0.502410033225701</v>
      </c>
      <c r="R21" s="17"/>
      <c r="S21" s="15">
        <f>SUM(J18:K21)/4</f>
        <v>-183.61675</v>
      </c>
      <c r="T21" s="17"/>
      <c r="U21" s="15">
        <f>-(L21+M21)+U20</f>
        <v>-36.367</v>
      </c>
      <c r="V21" s="17"/>
      <c r="W21" s="15">
        <f>F21-G21</f>
        <v>-3491</v>
      </c>
      <c r="X21" s="15"/>
      <c r="Y21" s="15">
        <v>4300</v>
      </c>
      <c r="Z21" s="15"/>
    </row>
    <row r="22" ht="20.05" customHeight="1">
      <c r="B22" s="13"/>
      <c r="C22" s="14">
        <v>1086</v>
      </c>
      <c r="D22" s="15">
        <v>320</v>
      </c>
      <c r="E22" s="15">
        <v>215.1</v>
      </c>
      <c r="F22" s="15">
        <v>426</v>
      </c>
      <c r="G22" s="15">
        <v>4256</v>
      </c>
      <c r="H22" s="15">
        <v>9288</v>
      </c>
      <c r="I22" s="15">
        <v>1107.2</v>
      </c>
      <c r="J22" s="15">
        <v>343.467</v>
      </c>
      <c r="K22" s="15">
        <v>-798.1</v>
      </c>
      <c r="L22" s="15">
        <v>882.5359999999999</v>
      </c>
      <c r="M22" s="15">
        <v>-282.587</v>
      </c>
      <c r="N22" s="15">
        <f>SUM(C19:C22)/4</f>
        <v>1083.95</v>
      </c>
      <c r="O22" s="15">
        <v>1080.71296</v>
      </c>
      <c r="P22" s="16">
        <f>C22/C21-1</f>
        <v>-0.000919963201471941</v>
      </c>
      <c r="Q22" s="16">
        <f>(D19+D20+D21+D22+E19+E20+E21+E22-C19-C20-C21-C22)/(C19+C20+C21+C22)</f>
        <v>-0.50025370173901</v>
      </c>
      <c r="R22" s="17"/>
      <c r="S22" s="15">
        <f>SUM(J19:K22)/4</f>
        <v>-275.3</v>
      </c>
      <c r="T22" s="17"/>
      <c r="U22" s="15">
        <f>-(L22+M22)+U21</f>
        <v>-636.316</v>
      </c>
      <c r="V22" s="17"/>
      <c r="W22" s="15">
        <f>F22-G22</f>
        <v>-3830</v>
      </c>
      <c r="X22" s="15"/>
      <c r="Y22" s="15">
        <v>4030</v>
      </c>
      <c r="Z22" s="15"/>
    </row>
    <row r="23" ht="20.05" customHeight="1">
      <c r="B23" s="13"/>
      <c r="C23" s="14">
        <v>1223.2</v>
      </c>
      <c r="D23" s="15">
        <v>320</v>
      </c>
      <c r="E23" s="15">
        <v>198.1</v>
      </c>
      <c r="F23" s="15">
        <v>270.1</v>
      </c>
      <c r="G23" s="15">
        <v>4498</v>
      </c>
      <c r="H23" s="15">
        <v>9747</v>
      </c>
      <c r="I23" s="15">
        <v>993.3</v>
      </c>
      <c r="J23" s="15">
        <v>624.9</v>
      </c>
      <c r="K23" s="15">
        <v>-1065</v>
      </c>
      <c r="L23" s="15">
        <v>300.097</v>
      </c>
      <c r="M23" s="15">
        <v>0</v>
      </c>
      <c r="N23" s="15">
        <f>SUM(C20:C23)/4</f>
        <v>1116.25</v>
      </c>
      <c r="O23" s="15">
        <v>1102.10796</v>
      </c>
      <c r="P23" s="16">
        <f>C23/C22-1</f>
        <v>0.126335174953959</v>
      </c>
      <c r="Q23" s="16">
        <f>(D20+D21+D22+D23+E20+E21+E22+E23-C20-C21-C22-C23)/(C20+C21+C22+C23)</f>
        <v>-0.51511758118701</v>
      </c>
      <c r="R23" s="17"/>
      <c r="S23" s="15">
        <f>SUM(J20:K23)/4</f>
        <v>-322.75</v>
      </c>
      <c r="T23" s="17"/>
      <c r="U23" s="15">
        <f>-(L23+M23)+U22</f>
        <v>-936.413</v>
      </c>
      <c r="V23" s="17"/>
      <c r="W23" s="15">
        <f>F23-G23</f>
        <v>-4227.9</v>
      </c>
      <c r="X23" s="15"/>
      <c r="Y23" s="15">
        <v>4470</v>
      </c>
      <c r="Z23" s="15"/>
    </row>
    <row r="24" ht="20.05" customHeight="1">
      <c r="B24" s="21">
        <v>2022</v>
      </c>
      <c r="C24" s="14">
        <v>1055</v>
      </c>
      <c r="D24" s="15">
        <v>317</v>
      </c>
      <c r="E24" s="15">
        <v>128</v>
      </c>
      <c r="F24" s="15">
        <v>247</v>
      </c>
      <c r="G24" s="15">
        <v>4925</v>
      </c>
      <c r="H24" s="15">
        <v>10303</v>
      </c>
      <c r="I24" s="15">
        <v>981</v>
      </c>
      <c r="J24" s="15">
        <v>423.6</v>
      </c>
      <c r="K24" s="15">
        <v>-381.7</v>
      </c>
      <c r="L24" s="15">
        <v>-66</v>
      </c>
      <c r="M24" s="15">
        <v>0</v>
      </c>
      <c r="N24" s="15">
        <f>SUM(C21:C24)/4</f>
        <v>1112.8</v>
      </c>
      <c r="O24" s="15">
        <v>1143.80676</v>
      </c>
      <c r="P24" s="16">
        <f>C24/C23-1</f>
        <v>-0.137508175277959</v>
      </c>
      <c r="Q24" s="16">
        <f>(D21+D22+D23+D24+E21+E22+E23+E24-C21-C22-C23-C24)/(C21+C22+C23+C24)</f>
        <v>-0.541471962616822</v>
      </c>
      <c r="R24" s="35">
        <v>-0.512996117536043</v>
      </c>
      <c r="S24" s="15">
        <f>SUM(J21:K24)/4</f>
        <v>-284.175</v>
      </c>
      <c r="T24" s="15">
        <v>84.497213250778</v>
      </c>
      <c r="U24" s="15">
        <f>-(L24+M24)+U23</f>
        <v>-870.413</v>
      </c>
      <c r="V24" s="15"/>
      <c r="W24" s="15">
        <f>F24-G24</f>
        <v>-4678</v>
      </c>
      <c r="X24" s="15">
        <v>-4150.5080174558</v>
      </c>
      <c r="Y24" s="15">
        <v>4290</v>
      </c>
      <c r="Z24" s="15">
        <v>3400.851389639030</v>
      </c>
    </row>
    <row r="25" ht="20.05" customHeight="1">
      <c r="B25" s="13"/>
      <c r="C25" s="14">
        <v>1055</v>
      </c>
      <c r="D25" s="15">
        <v>405</v>
      </c>
      <c r="E25" s="15">
        <v>13</v>
      </c>
      <c r="F25" s="15">
        <v>163</v>
      </c>
      <c r="G25" s="15">
        <v>5324</v>
      </c>
      <c r="H25" s="15">
        <v>10721</v>
      </c>
      <c r="I25" s="15">
        <v>1013</v>
      </c>
      <c r="J25" s="15">
        <v>481.4</v>
      </c>
      <c r="K25" s="15">
        <v>-608.3</v>
      </c>
      <c r="L25" s="15">
        <v>41</v>
      </c>
      <c r="M25" s="15">
        <v>0</v>
      </c>
      <c r="N25" s="15">
        <f>SUM(C22:C25)/4</f>
        <v>1104.8</v>
      </c>
      <c r="O25" s="15">
        <v>1145.56276</v>
      </c>
      <c r="P25" s="16">
        <f>C25/C24-1</f>
        <v>0</v>
      </c>
      <c r="Q25" s="16">
        <f>(D22+D23+D24+D25+E22+E23+E24+E25-C22-C23-C24-C25)/(C22+C23+C24+C25)</f>
        <v>-0.566392107168718</v>
      </c>
      <c r="R25" s="35">
        <v>-0.540639069191973</v>
      </c>
      <c r="S25" s="15">
        <f>SUM(J22:K25)/4</f>
        <v>-244.93325</v>
      </c>
      <c r="T25" s="15">
        <v>184.017458457131</v>
      </c>
      <c r="U25" s="15">
        <f>-(L25+M25)+U24</f>
        <v>-911.413</v>
      </c>
      <c r="V25" s="15"/>
      <c r="W25" s="15">
        <f>F25-G25</f>
        <v>-5161</v>
      </c>
      <c r="X25" s="15">
        <v>-4151.295730891</v>
      </c>
      <c r="Y25" s="15">
        <v>4670</v>
      </c>
      <c r="Z25" s="15">
        <v>3930.702968275350</v>
      </c>
    </row>
    <row r="26" ht="20.05" customHeight="1">
      <c r="B26" s="13"/>
      <c r="C26" s="14">
        <f>C30-C25-C24</f>
        <v>1080</v>
      </c>
      <c r="D26" s="15">
        <f>D30-D25-D24</f>
        <v>334</v>
      </c>
      <c r="E26" s="15">
        <f>E30-E25-E24</f>
        <v>105</v>
      </c>
      <c r="F26" s="15">
        <f>F30</f>
        <v>152</v>
      </c>
      <c r="G26" s="15">
        <f>G30</f>
        <v>5590</v>
      </c>
      <c r="H26" s="15">
        <f>H30</f>
        <v>11093</v>
      </c>
      <c r="I26" s="15">
        <f>I30-I25-I24</f>
        <v>1009</v>
      </c>
      <c r="J26" s="15">
        <f>J30-J25-J24</f>
        <v>280</v>
      </c>
      <c r="K26" s="15">
        <f>K30-K25-K24</f>
        <v>-1261</v>
      </c>
      <c r="L26" s="15">
        <f>L30-L25-L24</f>
        <v>1069</v>
      </c>
      <c r="M26" s="15">
        <f>M30-M25-M24</f>
        <v>0</v>
      </c>
      <c r="N26" s="15">
        <f>SUM(C23:C26)/4</f>
        <v>1103.3</v>
      </c>
      <c r="O26" s="15">
        <v>1104.463886</v>
      </c>
      <c r="P26" s="16">
        <f>C26/C25-1</f>
        <v>0.023696682464455</v>
      </c>
      <c r="Q26" s="16">
        <f>(D23+D24+D25+D26+E23+E24+E25+E26-C23-C24-C25-C26)/(C23+C24+C25+C26)</f>
        <v>-0.587578174567207</v>
      </c>
      <c r="R26" s="16">
        <v>-0.566425942930294</v>
      </c>
      <c r="S26" s="15">
        <f>SUM(J23:K26)/4</f>
        <v>-376.525</v>
      </c>
      <c r="T26" s="15">
        <v>97.166887939993</v>
      </c>
      <c r="U26" s="15">
        <f>-(L26+M26)+U25</f>
        <v>-1980.413</v>
      </c>
      <c r="V26" s="15">
        <f>U26</f>
        <v>-1980.413</v>
      </c>
      <c r="W26" s="15">
        <f>F26-G26</f>
        <v>-5438</v>
      </c>
      <c r="X26" s="15">
        <v>-4772.332448240030</v>
      </c>
      <c r="Y26" s="15">
        <v>3300</v>
      </c>
      <c r="Z26" s="15">
        <v>5350.161430954580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AVERAGE(AB41:AE41)</f>
        <v>1132.0812288</v>
      </c>
      <c r="P27" s="17"/>
      <c r="Q27" s="17"/>
      <c r="R27" s="35">
        <f>AB42</f>
        <v>-0.587578174567207</v>
      </c>
      <c r="S27" s="17"/>
      <c r="T27" s="15">
        <f>SUM(AB45:AE45)/4</f>
        <v>85.19500691989531</v>
      </c>
      <c r="U27" s="17"/>
      <c r="V27" s="15">
        <f>-SUM(AB66:AE66)+U26</f>
        <v>-1639.632972320420</v>
      </c>
      <c r="W27" s="17"/>
      <c r="X27" s="15">
        <f>AE65</f>
        <v>-5097.219972320420</v>
      </c>
      <c r="Y27" s="15">
        <v>2270</v>
      </c>
      <c r="Z27" s="15">
        <v>4520.080132231950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SUM(N16:N26)</f>
        <v>11552</v>
      </c>
      <c r="O28" s="15">
        <f>SUM(O16:O26)</f>
        <v>11420.958476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AE78</f>
        <v>2724.674866992630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20.05" customHeight="1">
      <c r="B30" t="s" s="56">
        <v>477</v>
      </c>
      <c r="C30" s="14">
        <v>3190</v>
      </c>
      <c r="D30" s="15">
        <v>1056</v>
      </c>
      <c r="E30" s="15">
        <v>246</v>
      </c>
      <c r="F30" s="15">
        <v>152</v>
      </c>
      <c r="G30" s="15">
        <v>5590</v>
      </c>
      <c r="H30" s="15">
        <v>11093</v>
      </c>
      <c r="I30" s="15">
        <v>3003</v>
      </c>
      <c r="J30" s="15">
        <f>1359+203-209-168</f>
        <v>1185</v>
      </c>
      <c r="K30" s="15">
        <v>-2251</v>
      </c>
      <c r="L30" s="15">
        <f>3325-2275-6</f>
        <v>1044</v>
      </c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6" ht="27.65" customHeight="1">
      <c r="AA36" t="s" s="2">
        <v>341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20.25" customHeight="1">
      <c r="AA37" t="s" s="28">
        <v>366</v>
      </c>
      <c r="AB37" t="s" s="29">
        <v>24</v>
      </c>
      <c r="AC37" t="s" s="29">
        <v>25</v>
      </c>
      <c r="AD37" t="s" s="29">
        <v>26</v>
      </c>
      <c r="AE37" t="s" s="29">
        <v>23</v>
      </c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</row>
    <row r="38" ht="20.25" customHeight="1">
      <c r="AA38" t="s" s="31">
        <v>15</v>
      </c>
      <c r="AB38" s="32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</row>
    <row r="39" ht="20.05" customHeight="1">
      <c r="AA39" t="s" s="33">
        <v>27</v>
      </c>
      <c r="AB39" s="71">
        <f>AVERAGE(P23:P26)</f>
        <v>0.00313092053511375</v>
      </c>
      <c r="AC39" s="35"/>
      <c r="AD39" s="35"/>
      <c r="AE39" s="35">
        <f>AVERAGE(AB40:AE40)</f>
        <v>0.015</v>
      </c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ht="20.05" customHeight="1">
      <c r="AA40" t="s" s="33">
        <v>13</v>
      </c>
      <c r="AB40" s="37">
        <v>0.07000000000000001</v>
      </c>
      <c r="AC40" s="35">
        <v>-0.04</v>
      </c>
      <c r="AD40" s="35">
        <v>0.01</v>
      </c>
      <c r="AE40" s="35">
        <v>0.02</v>
      </c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ht="20.05" customHeight="1">
      <c r="AA41" t="s" s="33">
        <v>28</v>
      </c>
      <c r="AB41" s="38">
        <f>C26*(1+AB40)</f>
        <v>1155.6</v>
      </c>
      <c r="AC41" s="23">
        <f>AB41*(1+AC40)</f>
        <v>1109.376</v>
      </c>
      <c r="AD41" s="23">
        <f>AC41*(1+AD40)</f>
        <v>1120.46976</v>
      </c>
      <c r="AE41" s="23">
        <f>AD41*(1+AE40)</f>
        <v>1142.8791552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ht="20.05" customHeight="1">
      <c r="AA42" t="s" s="33">
        <v>570</v>
      </c>
      <c r="AB42" s="37">
        <f>AVERAGE(Q26)</f>
        <v>-0.587578174567207</v>
      </c>
      <c r="AC42" s="35">
        <f>AB42</f>
        <v>-0.587578174567207</v>
      </c>
      <c r="AD42" s="35">
        <f>AC42</f>
        <v>-0.587578174567207</v>
      </c>
      <c r="AE42" s="35">
        <f>AD42</f>
        <v>-0.587578174567207</v>
      </c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ht="20.05" customHeight="1">
      <c r="AA43" t="s" s="33">
        <v>571</v>
      </c>
      <c r="AB43" s="14">
        <f>AB41*AB42</f>
        <v>-679.005338529864</v>
      </c>
      <c r="AC43" s="15">
        <f>AC41*AC42</f>
        <v>-651.845124988670</v>
      </c>
      <c r="AD43" s="15">
        <f>AD41*AD42</f>
        <v>-658.363576238557</v>
      </c>
      <c r="AE43" s="15">
        <f>AE41*AE42</f>
        <v>-671.530847763328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29</v>
      </c>
      <c r="AB44" s="14">
        <f>AVERAGE(K24)</f>
        <v>-381.7</v>
      </c>
      <c r="AC44" s="15">
        <f>AB44</f>
        <v>-381.7</v>
      </c>
      <c r="AD44" s="15">
        <f>AC44</f>
        <v>-381.7</v>
      </c>
      <c r="AE44" s="15">
        <f>AD44</f>
        <v>-381.7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33">
        <v>30</v>
      </c>
      <c r="AB45" s="14">
        <f>AB41+AB43+AB44</f>
        <v>94.894661470136</v>
      </c>
      <c r="AC45" s="15">
        <f>AC41+AC43+AC44</f>
        <v>75.83087501132999</v>
      </c>
      <c r="AD45" s="15">
        <f>AD41+AD43+AD44</f>
        <v>80.406183761443</v>
      </c>
      <c r="AE45" s="15">
        <f>AE41+AE43+AE44</f>
        <v>89.648307436672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ht="20.05" customHeight="1">
      <c r="AA46" t="s" s="33">
        <v>31</v>
      </c>
      <c r="AB46" s="14">
        <f>-G26/20</f>
        <v>-279.5</v>
      </c>
      <c r="AC46" s="15">
        <f>-AB61/20</f>
        <v>-265.525</v>
      </c>
      <c r="AD46" s="15">
        <f>-AC61/20</f>
        <v>-252.24875</v>
      </c>
      <c r="AE46" s="15">
        <f>-AD61/20</f>
        <v>-239.6363125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ht="20.05" customHeight="1">
      <c r="AA47" t="s" s="33">
        <v>32</v>
      </c>
      <c r="AB47" s="39">
        <v>0</v>
      </c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33">
        <v>33</v>
      </c>
      <c r="AB48" s="14">
        <f>IF(AB56&gt;0,AB56*$AB$47,0)</f>
        <v>0</v>
      </c>
      <c r="AC48" s="15">
        <f>IF(AC56&gt;0,AC56*$AB$47,0)</f>
        <v>0</v>
      </c>
      <c r="AD48" s="15">
        <f>IF(AD56&gt;0,AD56*$AB$47,0)</f>
        <v>0</v>
      </c>
      <c r="AE48" s="15">
        <f>IF(AE56&gt;0,AE56*$AB$47,0)</f>
        <v>0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33">
        <v>34</v>
      </c>
      <c r="AB49" s="14">
        <f>AB45+AB46+AB48</f>
        <v>-184.605338529864</v>
      </c>
      <c r="AC49" s="15">
        <f>AC45+AC46+AC48</f>
        <v>-189.694124988670</v>
      </c>
      <c r="AD49" s="15">
        <f>AD45+AD46+AD48</f>
        <v>-171.842566238557</v>
      </c>
      <c r="AE49" s="15">
        <f>AE45+AE46+AE48</f>
        <v>-149.988005063328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35</v>
      </c>
      <c r="AB50" s="14">
        <f>-MIN(0,AB49)</f>
        <v>184.605338529864</v>
      </c>
      <c r="AC50" s="15">
        <f>-MIN(AB62,AC49)</f>
        <v>189.694124988670</v>
      </c>
      <c r="AD50" s="15">
        <f>-MIN(AC62,AD49)</f>
        <v>171.842566238557</v>
      </c>
      <c r="AE50" s="15">
        <f>-MIN(AD62,AE49)</f>
        <v>149.988005063328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36</v>
      </c>
      <c r="AB51" s="14">
        <f>F26</f>
        <v>152</v>
      </c>
      <c r="AC51" s="15">
        <f>AB53</f>
        <v>152</v>
      </c>
      <c r="AD51" s="15">
        <f>AC53</f>
        <v>152</v>
      </c>
      <c r="AE51" s="15">
        <f>AD53</f>
        <v>152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37</v>
      </c>
      <c r="AB52" s="14">
        <f>AB45+AB46+AB48+AB50</f>
        <v>0</v>
      </c>
      <c r="AC52" s="15">
        <f>AC45+AC46+AC48+AC50</f>
        <v>0</v>
      </c>
      <c r="AD52" s="15">
        <f>AD45+AD46+AD48+AD50</f>
        <v>0</v>
      </c>
      <c r="AE52" s="15">
        <f>AE45+AE46+AE48+AE50</f>
        <v>0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33">
        <v>38</v>
      </c>
      <c r="AB53" s="14">
        <f>AB51+AB52</f>
        <v>152</v>
      </c>
      <c r="AC53" s="15">
        <f>AC51+AC52</f>
        <v>152</v>
      </c>
      <c r="AD53" s="15">
        <f>AD51+AD52</f>
        <v>152</v>
      </c>
      <c r="AE53" s="15">
        <f>AE51+AE52</f>
        <v>152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</row>
    <row r="54" ht="20.05" customHeight="1">
      <c r="AA54" t="s" s="41">
        <v>4</v>
      </c>
      <c r="AB54" s="14"/>
      <c r="AC54" s="15"/>
      <c r="AD54" s="15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</row>
    <row r="55" ht="20.05" customHeight="1">
      <c r="AA55" t="s" s="33">
        <v>3</v>
      </c>
      <c r="AB55" s="14">
        <f>-AVERAGE(D24:D26)</f>
        <v>-352</v>
      </c>
      <c r="AC55" s="15">
        <f>AB55</f>
        <v>-352</v>
      </c>
      <c r="AD55" s="15">
        <f>AC55</f>
        <v>-352</v>
      </c>
      <c r="AE55" s="15">
        <f>AD55</f>
        <v>-352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33">
        <v>4</v>
      </c>
      <c r="AB56" s="14">
        <f>AB41+AB43+AB55</f>
        <v>124.594661470136</v>
      </c>
      <c r="AC56" s="15">
        <f>AC41+AC43+AC55</f>
        <v>105.530875011330</v>
      </c>
      <c r="AD56" s="15">
        <f>AD41+AD43+AD55</f>
        <v>110.106183761443</v>
      </c>
      <c r="AE56" s="15">
        <f>AE41+AE43+AE55</f>
        <v>119.348307436672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41">
        <v>39</v>
      </c>
      <c r="AB57" s="14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40</v>
      </c>
      <c r="AB58" s="14">
        <f>H26-F26-AB44</f>
        <v>11322.7</v>
      </c>
      <c r="AC58" s="15">
        <f>AB58-AC44</f>
        <v>11704.4</v>
      </c>
      <c r="AD58" s="15">
        <f>AC58-AD44</f>
        <v>12086.1</v>
      </c>
      <c r="AE58" s="15">
        <f>AD58-AE44</f>
        <v>12467.8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41</v>
      </c>
      <c r="AB59" s="14">
        <f>0-AB55</f>
        <v>352</v>
      </c>
      <c r="AC59" s="15">
        <f>AB59-AC55</f>
        <v>704</v>
      </c>
      <c r="AD59" s="15">
        <f>AC59-AD55</f>
        <v>1056</v>
      </c>
      <c r="AE59" s="15">
        <f>AD59-AE55</f>
        <v>1408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33">
        <v>42</v>
      </c>
      <c r="AB60" s="14">
        <f>AB58-AB59</f>
        <v>10970.7</v>
      </c>
      <c r="AC60" s="15">
        <f>AC58-AC59</f>
        <v>11000.4</v>
      </c>
      <c r="AD60" s="15">
        <f>AD58-AD59</f>
        <v>11030.1</v>
      </c>
      <c r="AE60" s="15">
        <f>AE58-AE59</f>
        <v>11059.8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20.05" customHeight="1">
      <c r="AA61" t="s" s="33">
        <v>6</v>
      </c>
      <c r="AB61" s="14">
        <f>G26+AB46</f>
        <v>5310.5</v>
      </c>
      <c r="AC61" s="15">
        <f>AB61+AC46</f>
        <v>5044.975</v>
      </c>
      <c r="AD61" s="15">
        <f>AC61+AD46</f>
        <v>4792.72625</v>
      </c>
      <c r="AE61" s="15">
        <f>AD61+AE46</f>
        <v>4553.0899375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35</v>
      </c>
      <c r="AB62" s="14">
        <f>AB50</f>
        <v>184.605338529864</v>
      </c>
      <c r="AC62" s="15">
        <f>AB62+AC50</f>
        <v>374.299463518534</v>
      </c>
      <c r="AD62" s="15">
        <f>AC62+AD50</f>
        <v>546.142029757091</v>
      </c>
      <c r="AE62" s="15">
        <f>AD62+AE50</f>
        <v>696.130034820419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11</v>
      </c>
      <c r="AB63" s="14">
        <f>(H26-G26)+AB56+AB48</f>
        <v>5627.594661470140</v>
      </c>
      <c r="AC63" s="15">
        <f>AB63+AC56+AC48</f>
        <v>5733.125536481470</v>
      </c>
      <c r="AD63" s="15">
        <f>AC63+AD56+AD48</f>
        <v>5843.231720242910</v>
      </c>
      <c r="AE63" s="15">
        <f>AD63+AE56+AE48</f>
        <v>5962.580027679580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</row>
    <row r="64" ht="20.05" customHeight="1">
      <c r="AA64" t="s" s="33">
        <v>43</v>
      </c>
      <c r="AB64" s="14">
        <f>AB61+AB62+AB63-AB53-AB60</f>
        <v>4e-12</v>
      </c>
      <c r="AC64" s="15">
        <f>AC61+AC62+AC63-AC53-AC60</f>
        <v>4e-12</v>
      </c>
      <c r="AD64" s="15">
        <f>AD61+AD62+AD63-AD53-AD60</f>
        <v>1e-12</v>
      </c>
      <c r="AE64" s="15">
        <f>AE61+AE62+AE63-AE53-AE60</f>
        <v>-1e-12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</row>
    <row r="65" ht="20.05" customHeight="1">
      <c r="AA65" t="s" s="33">
        <v>18</v>
      </c>
      <c r="AB65" s="14">
        <f>AB53-AB61-AB62</f>
        <v>-5343.105338529860</v>
      </c>
      <c r="AC65" s="15">
        <f>AC53-AC61-AC62</f>
        <v>-5267.274463518530</v>
      </c>
      <c r="AD65" s="15">
        <f>AD53-AD61-AD62</f>
        <v>-5186.868279757090</v>
      </c>
      <c r="AE65" s="15">
        <f>AE53-AE61-AE62</f>
        <v>-5097.219972320420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</row>
    <row r="66" ht="20.05" customHeight="1">
      <c r="AA66" t="s" s="33">
        <v>44</v>
      </c>
      <c r="AB66" s="14">
        <f>AB46+AB48+AB50</f>
        <v>-94.894661470136</v>
      </c>
      <c r="AC66" s="15">
        <f>AC46+AC48+AC50</f>
        <v>-75.83087501132999</v>
      </c>
      <c r="AD66" s="15">
        <f>AD46+AD48+AD50</f>
        <v>-80.406183761443</v>
      </c>
      <c r="AE66" s="15">
        <f>AE46+AE48+AE50</f>
        <v>-89.648307436672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33">
        <v>45</v>
      </c>
      <c r="AB67" s="14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20.05" customHeight="1">
      <c r="AA68" t="s" s="33">
        <v>341</v>
      </c>
      <c r="AB68" s="14"/>
      <c r="AC68" s="15"/>
      <c r="AD68" s="15"/>
      <c r="AE68" s="15">
        <v>2270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8.35" customHeight="1" hidden="1">
      <c r="AA69" t="s" s="33">
        <f>$AA68</f>
        <v>657</v>
      </c>
      <c r="AB69" s="14"/>
      <c r="AC69" s="15"/>
      <c r="AD69" s="15"/>
      <c r="AE69" s="15">
        <v>6246086382080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46</v>
      </c>
      <c r="AB70" s="14"/>
      <c r="AC70" s="15"/>
      <c r="AD70" s="15"/>
      <c r="AE70" s="15">
        <f>AE69/1000000000</f>
        <v>6246.08638208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</row>
    <row r="71" ht="20.05" customHeight="1">
      <c r="AA71" t="s" s="33">
        <v>47</v>
      </c>
      <c r="AB71" s="14"/>
      <c r="AC71" s="15"/>
      <c r="AD71" s="15"/>
      <c r="AE71" s="15">
        <f>AE70/AE68</f>
        <v>2.751579904</v>
      </c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</row>
    <row r="72" ht="20.05" customHeight="1">
      <c r="AA72" t="s" s="33">
        <v>48</v>
      </c>
      <c r="AB72" s="14"/>
      <c r="AC72" s="15"/>
      <c r="AD72" s="15"/>
      <c r="AE72" s="43">
        <f>AE70/(AE53+AE60)</f>
        <v>0.55709934016661</v>
      </c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</row>
    <row r="73" ht="20.05" customHeight="1">
      <c r="AA73" t="s" s="33">
        <v>49</v>
      </c>
      <c r="AB73" s="14"/>
      <c r="AC73" s="15"/>
      <c r="AD73" s="15"/>
      <c r="AE73" s="16">
        <f>-(AB48+AC48+AD48+AE48)/AE70</f>
        <v>0</v>
      </c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</row>
    <row r="74" ht="20.05" customHeight="1">
      <c r="AA74" t="s" s="33">
        <v>50</v>
      </c>
      <c r="AB74" s="14"/>
      <c r="AC74" s="15"/>
      <c r="AD74" s="15"/>
      <c r="AE74" s="15">
        <f>SUM(AB45:AE45)</f>
        <v>340.780027679581</v>
      </c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</row>
    <row r="75" ht="20.05" customHeight="1">
      <c r="AA75" t="s" s="33">
        <v>51</v>
      </c>
      <c r="AB75" s="14"/>
      <c r="AC75" s="15"/>
      <c r="AD75" s="15"/>
      <c r="AE75" s="15">
        <f>(H26+F26)/AE74</f>
        <v>32.997825830841</v>
      </c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</row>
    <row r="76" ht="20.05" customHeight="1">
      <c r="AA76" t="s" s="33">
        <v>52</v>
      </c>
      <c r="AB76" s="14"/>
      <c r="AC76" s="15"/>
      <c r="AD76" s="15">
        <f>AE70/AE74</f>
        <v>18.3287924019799</v>
      </c>
      <c r="AE76" s="15">
        <v>22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</row>
    <row r="77" ht="20.05" customHeight="1">
      <c r="AA77" t="s" s="33">
        <v>53</v>
      </c>
      <c r="AB77" s="14"/>
      <c r="AC77" s="15"/>
      <c r="AD77" s="15"/>
      <c r="AE77" s="15">
        <f>AE74*AE76</f>
        <v>7497.160608950780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</row>
    <row r="78" ht="20.05" customHeight="1">
      <c r="AA78" t="s" s="33">
        <v>54</v>
      </c>
      <c r="AB78" s="14"/>
      <c r="AC78" s="15"/>
      <c r="AD78" s="15"/>
      <c r="AE78" s="15">
        <f>AE77/AE71</f>
        <v>2724.674866992630</v>
      </c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</row>
    <row r="79" ht="20.05" customHeight="1">
      <c r="AA79" t="s" s="33">
        <v>55</v>
      </c>
      <c r="AB79" s="38"/>
      <c r="AC79" s="23"/>
      <c r="AD79" s="23"/>
      <c r="AE79" s="16">
        <f>AE78/AE68-1</f>
        <v>0.200297298234639</v>
      </c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</row>
    <row r="80" ht="20.05" customHeight="1">
      <c r="AA80" t="s" s="33">
        <v>56</v>
      </c>
      <c r="AB80" s="38"/>
      <c r="AC80" s="23"/>
      <c r="AD80" s="23"/>
      <c r="AE80" s="16">
        <f>C26/C22-1</f>
        <v>-0.00552486187845304</v>
      </c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</row>
    <row r="81" ht="20.05" customHeight="1">
      <c r="AA81" t="s" s="33">
        <v>57</v>
      </c>
      <c r="AB81" s="38"/>
      <c r="AC81" s="23"/>
      <c r="AD81" s="23"/>
      <c r="AE81" s="16">
        <f>O28/N28-1</f>
        <v>-0.0113436222299169</v>
      </c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</row>
    <row r="82" ht="8.35" customHeight="1" hidden="1">
      <c r="AA82" s="36"/>
      <c r="AB82" s="38"/>
      <c r="AC82" s="23"/>
      <c r="AD82" s="23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</row>
    <row r="83" ht="8.35" customHeight="1" hidden="1">
      <c r="AA83" s="36"/>
      <c r="AB83" t="s" s="45">
        <f>$AA68</f>
        <v>657</v>
      </c>
      <c r="AC83" t="s" s="44">
        <v>60</v>
      </c>
      <c r="AD83" s="15">
        <f>AE68</f>
        <v>2270</v>
      </c>
      <c r="AE83" t="s" s="44">
        <v>61</v>
      </c>
      <c r="AF83" s="15">
        <f>AE78</f>
        <v>2724.674866992630</v>
      </c>
      <c r="AG83" t="s" s="44">
        <f>IF(AH83&gt;0,"+","")</f>
        <v>361</v>
      </c>
      <c r="AH83" s="16">
        <f>AF83/AD83-1</f>
        <v>0.200297298234639</v>
      </c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</row>
    <row r="84" ht="8.35" customHeight="1" hidden="1">
      <c r="AA84" s="36"/>
      <c r="AB84" s="46">
        <f>TODAY()</f>
        <v>44942</v>
      </c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</row>
    <row r="85" ht="8.35" customHeight="1" hidden="1">
      <c r="AA85" s="36"/>
      <c r="AB85" t="s" s="45">
        <v>62</v>
      </c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</row>
    <row r="86" ht="8.35" customHeight="1" hidden="1">
      <c r="AA86" s="36"/>
      <c r="AB86" t="s" s="45">
        <v>63</v>
      </c>
      <c r="AC86" t="s" s="44">
        <v>64</v>
      </c>
      <c r="AD86" t="s" s="44">
        <f>IF(AE86&gt;0,"+","")</f>
      </c>
      <c r="AE86" s="16">
        <f>AF93/AB93-1</f>
        <v>-0.00552486187845304</v>
      </c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</row>
    <row r="87" ht="8.35" customHeight="1" hidden="1">
      <c r="AA87" s="36"/>
      <c r="AB87" t="s" s="45">
        <v>63</v>
      </c>
      <c r="AC87" t="s" s="44">
        <v>65</v>
      </c>
      <c r="AD87" t="s" s="44">
        <f>IF(AE87&gt;0,"+","")</f>
      </c>
      <c r="AE87" s="16">
        <f>SUM(AC106:AF107)/AC123</f>
        <v>-0.241126988624588</v>
      </c>
      <c r="AF87" t="s" s="44">
        <v>66</v>
      </c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</row>
    <row r="88" ht="8.35" customHeight="1" hidden="1">
      <c r="AA88" s="36"/>
      <c r="AB88" t="s" s="45">
        <v>63</v>
      </c>
      <c r="AC88" t="s" s="44">
        <v>17</v>
      </c>
      <c r="AD88" t="s" s="44">
        <f>IF(AE88&gt;0,"+","")</f>
      </c>
      <c r="AE88" s="16">
        <f>SUM(AC120:AF121)/AC123</f>
        <v>-0.215190267597997</v>
      </c>
      <c r="AF88" t="s" s="44">
        <f>AF87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</row>
    <row r="89" ht="8.35" customHeight="1" hidden="1">
      <c r="AA89" s="36"/>
      <c r="AB89" t="s" s="45">
        <v>68</v>
      </c>
      <c r="AC89" t="s" s="44">
        <v>369</v>
      </c>
      <c r="AD89" s="16">
        <f>AM116/AC123</f>
        <v>-0.870625167080879</v>
      </c>
      <c r="AE89" t="s" s="44">
        <f>AF88</f>
        <v>66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</row>
    <row r="90" ht="8.35" customHeight="1" hidden="1">
      <c r="AA90" s="36"/>
      <c r="AB90" t="s" s="45">
        <v>28</v>
      </c>
      <c r="AC90" t="s" s="44">
        <f>AC94</f>
        <v>362</v>
      </c>
      <c r="AD90" s="16">
        <f>AD94</f>
        <v>0.023696682464455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</row>
    <row r="91" ht="8.35" customHeight="1" hidden="1">
      <c r="AA91" s="36"/>
      <c r="AB91" t="s" s="45">
        <v>70</v>
      </c>
      <c r="AC91" t="s" s="44">
        <v>371</v>
      </c>
      <c r="AD91" t="s" s="44">
        <f>AJ94</f>
        <v>372</v>
      </c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</row>
    <row r="92" ht="8.35" customHeight="1" hidden="1">
      <c r="AA92" s="36"/>
      <c r="AB92" s="71">
        <f>P22</f>
        <v>-0.000919963201471941</v>
      </c>
      <c r="AC92" s="16">
        <f>P23</f>
        <v>0.126335174953959</v>
      </c>
      <c r="AD92" s="16">
        <f>P24</f>
        <v>-0.137508175277959</v>
      </c>
      <c r="AE92" s="16">
        <f>P25</f>
        <v>0</v>
      </c>
      <c r="AF92" s="16">
        <f>P26</f>
        <v>0.023696682464455</v>
      </c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</row>
    <row r="93" ht="8.35" customHeight="1" hidden="1">
      <c r="AA93" s="36"/>
      <c r="AB93" s="14">
        <f>C22</f>
        <v>1086</v>
      </c>
      <c r="AC93" s="15">
        <f>C23</f>
        <v>1223.2</v>
      </c>
      <c r="AD93" s="15">
        <f>C24</f>
        <v>1055</v>
      </c>
      <c r="AE93" s="15">
        <f>C25</f>
        <v>1055</v>
      </c>
      <c r="AF93" s="15">
        <f>C26</f>
        <v>1080</v>
      </c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</row>
    <row r="94" ht="8.35" customHeight="1" hidden="1">
      <c r="AA94" s="36"/>
      <c r="AB94" t="s" s="45">
        <v>2</v>
      </c>
      <c r="AC94" t="s" s="44">
        <f>IF(AD94&lt;0,"declined","grew")</f>
        <v>362</v>
      </c>
      <c r="AD94" s="16">
        <f>AF93/AE93-1</f>
        <v>0.023696682464455</v>
      </c>
      <c r="AE94" t="s" s="44">
        <v>73</v>
      </c>
      <c r="AF94" t="s" s="44">
        <v>74</v>
      </c>
      <c r="AG94" t="s" s="44">
        <v>75</v>
      </c>
      <c r="AH94" t="s" s="44">
        <v>76</v>
      </c>
      <c r="AI94" s="15">
        <f>AF93</f>
        <v>1080</v>
      </c>
      <c r="AJ94" t="s" s="44">
        <v>372</v>
      </c>
      <c r="AK94" t="s" s="44">
        <v>378</v>
      </c>
      <c r="AL94" s="16">
        <v>0.0297063450445726</v>
      </c>
      <c r="AM94" t="s" s="44">
        <v>78</v>
      </c>
      <c r="AN94" s="17"/>
      <c r="AO94" s="17"/>
      <c r="AP94" s="17"/>
      <c r="AQ94" s="17"/>
      <c r="AR94" s="17"/>
      <c r="AS94" s="17"/>
    </row>
    <row r="95" ht="8.35" customHeight="1" hidden="1">
      <c r="AA95" s="36"/>
      <c r="AB95" t="s" s="45">
        <v>79</v>
      </c>
      <c r="AC95" s="16">
        <f>AVERAGE(AC92:AF92)</f>
        <v>0.00313092053511375</v>
      </c>
      <c r="AD95" t="s" s="44">
        <v>80</v>
      </c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</row>
    <row r="96" ht="8.35" customHeight="1" hidden="1">
      <c r="AA96" s="36"/>
      <c r="AB96" t="s" s="45">
        <v>81</v>
      </c>
      <c r="AC96" s="35">
        <f>AE39</f>
        <v>0.015</v>
      </c>
      <c r="AD96" t="s" s="44">
        <v>82</v>
      </c>
      <c r="AE96" t="s" s="44">
        <v>83</v>
      </c>
      <c r="AF96" s="23">
        <f>AE41</f>
        <v>1142.8791552</v>
      </c>
      <c r="AG96" t="s" s="44">
        <f>AJ94</f>
        <v>372</v>
      </c>
      <c r="AH96" t="s" s="44">
        <v>84</v>
      </c>
      <c r="AI96" t="s" s="44">
        <f>AF94</f>
        <v>74</v>
      </c>
      <c r="AJ96" t="s" s="44">
        <f>AG94</f>
        <v>75</v>
      </c>
      <c r="AK96" t="s" s="44">
        <v>85</v>
      </c>
      <c r="AL96" s="17"/>
      <c r="AM96" s="17"/>
      <c r="AN96" s="17"/>
      <c r="AO96" s="17"/>
      <c r="AP96" s="17"/>
      <c r="AQ96" s="17"/>
      <c r="AR96" s="17"/>
      <c r="AS96" s="17"/>
    </row>
    <row r="97" ht="8.35" customHeight="1" hidden="1">
      <c r="AA97" s="36"/>
      <c r="AB97" t="s" s="45">
        <v>574</v>
      </c>
      <c r="AC97" t="s" s="44">
        <f>IF(AE101&lt;AC101,"up","down")</f>
        <v>108</v>
      </c>
      <c r="AD97" t="s" s="44">
        <v>86</v>
      </c>
      <c r="AE97" t="s" s="44">
        <f>IF(AI101&gt;AG101,"up","down")</f>
        <v>108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</row>
    <row r="98" ht="8.35" customHeight="1" hidden="1">
      <c r="AA98" s="36"/>
      <c r="AB98" t="s" s="45">
        <f>AB91</f>
        <v>70</v>
      </c>
      <c r="AC98" t="s" s="44">
        <v>575</v>
      </c>
      <c r="AD98" t="s" s="44">
        <f>AJ94</f>
        <v>372</v>
      </c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</row>
    <row r="99" ht="8.35" customHeight="1" hidden="1">
      <c r="AA99" s="36"/>
      <c r="AB99" s="71">
        <f>Q22</f>
        <v>-0.50025370173901</v>
      </c>
      <c r="AC99" s="16">
        <f>Q23</f>
        <v>-0.51511758118701</v>
      </c>
      <c r="AD99" s="16">
        <f>Q24</f>
        <v>-0.541471962616822</v>
      </c>
      <c r="AE99" s="16">
        <f>Q25</f>
        <v>-0.566392107168718</v>
      </c>
      <c r="AF99" s="16">
        <f>Q26</f>
        <v>-0.587578174567207</v>
      </c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</row>
    <row r="100" ht="8.35" customHeight="1" hidden="1">
      <c r="AA100" s="36"/>
      <c r="AB100" s="14">
        <f>E22</f>
        <v>215.1</v>
      </c>
      <c r="AC100" s="15">
        <f>E23</f>
        <v>198.1</v>
      </c>
      <c r="AD100" s="15">
        <f>E24</f>
        <v>128</v>
      </c>
      <c r="AE100" s="15">
        <f>E25</f>
        <v>13</v>
      </c>
      <c r="AF100" s="15">
        <f>E26</f>
        <v>105</v>
      </c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</row>
    <row r="101" ht="8.35" customHeight="1" hidden="1">
      <c r="AA101" s="36"/>
      <c r="AB101" t="s" s="45">
        <v>576</v>
      </c>
      <c r="AC101" s="16">
        <f>AE99</f>
        <v>-0.566392107168718</v>
      </c>
      <c r="AD101" t="s" s="44">
        <v>76</v>
      </c>
      <c r="AE101" s="16">
        <f>AF99</f>
        <v>-0.587578174567207</v>
      </c>
      <c r="AF101" t="s" s="44">
        <v>90</v>
      </c>
      <c r="AG101" s="15">
        <f>AE100</f>
        <v>13</v>
      </c>
      <c r="AH101" t="s" s="44">
        <v>76</v>
      </c>
      <c r="AI101" s="15">
        <f>AF100</f>
        <v>105</v>
      </c>
      <c r="AJ101" t="s" s="44">
        <f>AG96</f>
        <v>372</v>
      </c>
      <c r="AK101" t="s" s="44">
        <v>73</v>
      </c>
      <c r="AL101" t="s" s="44">
        <f>AI96</f>
        <v>74</v>
      </c>
      <c r="AM101" t="s" s="44">
        <v>91</v>
      </c>
      <c r="AN101" s="17"/>
      <c r="AO101" s="17"/>
      <c r="AP101" s="17"/>
      <c r="AQ101" s="17"/>
      <c r="AR101" s="17"/>
      <c r="AS101" s="17"/>
    </row>
    <row r="102" ht="8.35" customHeight="1" hidden="1">
      <c r="AA102" s="36"/>
      <c r="AB102" t="s" s="45">
        <v>577</v>
      </c>
      <c r="AC102" s="16">
        <f>AVERAGE(AC99:AF99)</f>
        <v>-0.552639956384939</v>
      </c>
      <c r="AD102" t="s" s="44">
        <v>78</v>
      </c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</row>
    <row r="103" ht="8.35" customHeight="1" hidden="1">
      <c r="AA103" s="36"/>
      <c r="AB103" t="s" s="45">
        <v>93</v>
      </c>
      <c r="AC103" s="35">
        <f>AB42</f>
        <v>-0.587578174567207</v>
      </c>
      <c r="AD103" t="s" s="44">
        <v>559</v>
      </c>
      <c r="AE103" s="15">
        <f>AE56</f>
        <v>119.348307436672</v>
      </c>
      <c r="AF103" t="s" s="44">
        <f>AJ101</f>
        <v>372</v>
      </c>
      <c r="AG103" t="s" s="44">
        <v>95</v>
      </c>
      <c r="AH103" t="s" s="44">
        <f>AL101</f>
        <v>74</v>
      </c>
      <c r="AI103" t="s" s="44">
        <f>AG94</f>
        <v>75</v>
      </c>
      <c r="AJ103" t="s" s="44">
        <f>AK96</f>
        <v>85</v>
      </c>
      <c r="AK103" s="17"/>
      <c r="AL103" s="17"/>
      <c r="AM103" s="17"/>
      <c r="AN103" s="17"/>
      <c r="AO103" s="17"/>
      <c r="AP103" s="17"/>
      <c r="AQ103" s="17"/>
      <c r="AR103" s="17"/>
      <c r="AS103" s="17"/>
    </row>
    <row r="104" ht="8.35" customHeight="1" hidden="1">
      <c r="AA104" s="36"/>
      <c r="AB104" t="s" s="45">
        <v>15</v>
      </c>
      <c r="AC104" t="s" s="44">
        <f>IF(AE108&lt;AC108,"lower","higher")</f>
        <v>104</v>
      </c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</row>
    <row r="105" ht="8.35" customHeight="1" hidden="1">
      <c r="AA105" s="36"/>
      <c r="AB105" t="s" s="45">
        <f>AB98</f>
        <v>70</v>
      </c>
      <c r="AC105" t="s" s="44">
        <v>96</v>
      </c>
      <c r="AD105" t="s" s="44">
        <f>AJ94</f>
        <v>372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</row>
    <row r="106" ht="8.35" customHeight="1" hidden="1">
      <c r="AA106" s="36"/>
      <c r="AB106" s="14">
        <f>J22</f>
        <v>343.467</v>
      </c>
      <c r="AC106" s="15">
        <f>J23</f>
        <v>624.9</v>
      </c>
      <c r="AD106" s="15">
        <f>J24</f>
        <v>423.6</v>
      </c>
      <c r="AE106" s="15">
        <f>J25</f>
        <v>481.4</v>
      </c>
      <c r="AF106" s="15">
        <f>J26</f>
        <v>280</v>
      </c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</row>
    <row r="107" ht="8.35" customHeight="1" hidden="1">
      <c r="AA107" s="36"/>
      <c r="AB107" s="14">
        <f>K22</f>
        <v>-798.1</v>
      </c>
      <c r="AC107" s="15">
        <f>K23</f>
        <v>-1065</v>
      </c>
      <c r="AD107" s="15">
        <f>K24</f>
        <v>-381.7</v>
      </c>
      <c r="AE107" s="15">
        <f>K25</f>
        <v>-608.3</v>
      </c>
      <c r="AF107" s="15">
        <f>K26</f>
        <v>-1261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</row>
    <row r="108" ht="8.35" customHeight="1" hidden="1">
      <c r="AA108" s="36"/>
      <c r="AB108" t="s" s="45">
        <v>97</v>
      </c>
      <c r="AC108" s="15">
        <f>AE106+AE107</f>
        <v>-126.9</v>
      </c>
      <c r="AD108" t="s" s="44">
        <v>76</v>
      </c>
      <c r="AE108" s="15">
        <f>AF106+AF107</f>
        <v>-981</v>
      </c>
      <c r="AF108" t="s" s="44">
        <f>AF103</f>
        <v>372</v>
      </c>
      <c r="AG108" t="s" s="44">
        <v>84</v>
      </c>
      <c r="AH108" t="s" s="44">
        <f>AH103</f>
        <v>74</v>
      </c>
      <c r="AI108" t="s" s="44">
        <v>98</v>
      </c>
      <c r="AJ108" s="15">
        <f>AF107</f>
        <v>-1261</v>
      </c>
      <c r="AK108" t="s" s="44">
        <f>AJ94</f>
        <v>372</v>
      </c>
      <c r="AL108" t="s" s="44">
        <v>99</v>
      </c>
      <c r="AM108" s="17"/>
      <c r="AN108" s="17"/>
      <c r="AO108" s="17"/>
      <c r="AP108" s="17"/>
      <c r="AQ108" s="17"/>
      <c r="AR108" s="17"/>
      <c r="AS108" s="17"/>
    </row>
    <row r="109" ht="8.35" customHeight="1" hidden="1">
      <c r="AA109" s="36"/>
      <c r="AB109" t="s" s="45">
        <v>100</v>
      </c>
      <c r="AC109" s="15">
        <f>SUM(AC106:AF107)/4</f>
        <v>-376.525</v>
      </c>
      <c r="AD109" t="s" s="44">
        <f>AJ94</f>
        <v>372</v>
      </c>
      <c r="AE109" t="s" s="44">
        <v>78</v>
      </c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</row>
    <row r="110" ht="8.35" customHeight="1" hidden="1">
      <c r="AA110" s="36"/>
      <c r="AB110" t="s" s="45">
        <v>101</v>
      </c>
      <c r="AC110" s="15">
        <f>AB44</f>
        <v>-381.7</v>
      </c>
      <c r="AD110" t="s" s="44">
        <f>AD109</f>
        <v>372</v>
      </c>
      <c r="AE110" t="s" s="44">
        <v>102</v>
      </c>
      <c r="AF110" t="s" s="44">
        <v>103</v>
      </c>
      <c r="AG110" t="s" s="44">
        <f>IF(AF96&gt;AI94,"higher","lower")</f>
        <v>363</v>
      </c>
      <c r="AH110" t="s" s="44">
        <v>105</v>
      </c>
      <c r="AI110" s="15">
        <f>SUM(AB45:AE45)/4</f>
        <v>85.19500691989531</v>
      </c>
      <c r="AJ110" t="s" s="44">
        <f>AD110</f>
        <v>372</v>
      </c>
      <c r="AK110" t="s" s="44">
        <v>106</v>
      </c>
      <c r="AL110" t="s" s="44">
        <v>107</v>
      </c>
      <c r="AM110" s="17"/>
      <c r="AN110" s="17"/>
      <c r="AO110" s="17"/>
      <c r="AP110" s="17"/>
      <c r="AQ110" s="17"/>
      <c r="AR110" s="17"/>
      <c r="AS110" s="17"/>
    </row>
    <row r="111" ht="8.35" customHeight="1" hidden="1">
      <c r="AA111" s="36"/>
      <c r="AB111" t="s" s="45">
        <v>18</v>
      </c>
      <c r="AC111" t="s" s="44">
        <f>AJ116</f>
        <v>87</v>
      </c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</row>
    <row r="112" ht="8.35" customHeight="1" hidden="1">
      <c r="AA112" s="36"/>
      <c r="AB112" t="s" s="45">
        <f>AB91</f>
        <v>70</v>
      </c>
      <c r="AC112" t="s" s="44">
        <v>109</v>
      </c>
      <c r="AD112" t="s" s="44">
        <f>AJ94</f>
        <v>372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</row>
    <row r="113" ht="8.35" customHeight="1" hidden="1">
      <c r="AA113" s="36"/>
      <c r="AB113" s="14">
        <f>F22</f>
        <v>426</v>
      </c>
      <c r="AC113" s="15">
        <f>F23</f>
        <v>270.1</v>
      </c>
      <c r="AD113" s="15">
        <f>F24</f>
        <v>247</v>
      </c>
      <c r="AE113" s="15">
        <f>F25</f>
        <v>163</v>
      </c>
      <c r="AF113" s="15">
        <f>F26</f>
        <v>152</v>
      </c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</row>
    <row r="114" ht="8.35" customHeight="1" hidden="1">
      <c r="AA114" s="36"/>
      <c r="AB114" s="14">
        <f>G22</f>
        <v>4256</v>
      </c>
      <c r="AC114" s="15">
        <f>G23</f>
        <v>4498</v>
      </c>
      <c r="AD114" s="15">
        <f>G24</f>
        <v>4925</v>
      </c>
      <c r="AE114" s="15">
        <f>G25</f>
        <v>5324</v>
      </c>
      <c r="AF114" s="15">
        <f>G26</f>
        <v>5590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</row>
    <row r="115" ht="8.35" customHeight="1" hidden="1">
      <c r="AA115" s="36"/>
      <c r="AB115" t="s" s="45">
        <v>110</v>
      </c>
      <c r="AC115" t="s" s="44">
        <f>IF(AF115&lt;AD115,"declined","increased")</f>
        <v>370</v>
      </c>
      <c r="AD115" s="15">
        <f>AE113</f>
        <v>163</v>
      </c>
      <c r="AE115" t="s" s="44">
        <v>76</v>
      </c>
      <c r="AF115" s="15">
        <f>AF113</f>
        <v>152</v>
      </c>
      <c r="AG115" t="s" s="44">
        <f>AJ110</f>
        <v>372</v>
      </c>
      <c r="AH115" t="s" s="44">
        <v>84</v>
      </c>
      <c r="AI115" t="s" s="44">
        <f>AF94</f>
        <v>74</v>
      </c>
      <c r="AJ115" t="s" s="44">
        <f>AM101</f>
        <v>91</v>
      </c>
      <c r="AK115" s="17"/>
      <c r="AL115" s="17"/>
      <c r="AM115" s="17"/>
      <c r="AN115" s="17"/>
      <c r="AO115" s="17"/>
      <c r="AP115" s="17"/>
      <c r="AQ115" s="17"/>
      <c r="AR115" s="17"/>
      <c r="AS115" s="17"/>
    </row>
    <row r="116" ht="8.35" customHeight="1" hidden="1">
      <c r="AA116" s="36"/>
      <c r="AB116" t="s" s="45">
        <v>112</v>
      </c>
      <c r="AC116" t="s" s="44">
        <f>IF(AF116&lt;AD116,"declined","increased")</f>
        <v>111</v>
      </c>
      <c r="AD116" s="15">
        <f>AE114</f>
        <v>5324</v>
      </c>
      <c r="AE116" t="s" s="44">
        <v>76</v>
      </c>
      <c r="AF116" s="15">
        <f>AF114</f>
        <v>5590</v>
      </c>
      <c r="AG116" t="s" s="44">
        <f>AG115</f>
        <v>372</v>
      </c>
      <c r="AH116" t="s" s="44">
        <v>113</v>
      </c>
      <c r="AI116" t="s" s="44">
        <v>114</v>
      </c>
      <c r="AJ116" t="s" s="44">
        <f>IF(AM116&lt;AK116,"down","up")</f>
        <v>87</v>
      </c>
      <c r="AK116" s="15">
        <f>AD115-AD116</f>
        <v>-5161</v>
      </c>
      <c r="AL116" t="s" s="44">
        <v>76</v>
      </c>
      <c r="AM116" s="15">
        <f>AF115-AF116</f>
        <v>-5438</v>
      </c>
      <c r="AN116" t="s" s="44">
        <f>AG116</f>
        <v>372</v>
      </c>
      <c r="AO116" t="s" s="44">
        <v>115</v>
      </c>
      <c r="AP116" s="17"/>
      <c r="AQ116" s="17"/>
      <c r="AR116" s="17"/>
      <c r="AS116" s="17"/>
    </row>
    <row r="117" ht="8.35" customHeight="1" hidden="1">
      <c r="AA117" s="36"/>
      <c r="AB117" t="s" s="45">
        <v>116</v>
      </c>
      <c r="AC117" s="15">
        <f>SUM(AB48:AE48)</f>
        <v>0</v>
      </c>
      <c r="AD117" t="s" s="44">
        <f>AG116</f>
        <v>372</v>
      </c>
      <c r="AE117" t="s" s="44">
        <v>117</v>
      </c>
      <c r="AF117" t="s" s="44">
        <f>IF(AG117&gt;0,"+","")</f>
      </c>
      <c r="AG117" s="15">
        <f>AB46+AC46+AD46+AE46+AB50+AC50+AD50+AE50</f>
        <v>-340.780027679581</v>
      </c>
      <c r="AH117" t="s" s="44">
        <f>AN116</f>
        <v>372</v>
      </c>
      <c r="AI117" t="s" s="44">
        <v>118</v>
      </c>
      <c r="AJ117" t="s" s="44">
        <v>119</v>
      </c>
      <c r="AK117" s="15">
        <f>AE65</f>
        <v>-5097.219972320420</v>
      </c>
      <c r="AL117" t="s" s="44">
        <f>AG116</f>
        <v>372</v>
      </c>
      <c r="AM117" t="s" s="44">
        <v>120</v>
      </c>
      <c r="AN117" s="17"/>
      <c r="AO117" s="17"/>
      <c r="AP117" s="17"/>
      <c r="AQ117" s="17"/>
      <c r="AR117" s="17"/>
      <c r="AS117" s="17"/>
    </row>
    <row r="118" ht="8.35" customHeight="1" hidden="1">
      <c r="AA118" s="36"/>
      <c r="AB118" t="s" s="45">
        <v>17</v>
      </c>
      <c r="AC118" t="s" s="44">
        <f>AC122</f>
        <v>121</v>
      </c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</row>
    <row r="119" ht="8.35" customHeight="1" hidden="1">
      <c r="AA119" s="36"/>
      <c r="AB119" t="s" s="45">
        <f>AB91</f>
        <v>70</v>
      </c>
      <c r="AC119" t="s" s="44">
        <v>379</v>
      </c>
      <c r="AD119" t="s" s="44">
        <f>AJ94</f>
        <v>372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</row>
    <row r="120" ht="8.35" customHeight="1" hidden="1">
      <c r="AA120" s="36"/>
      <c r="AB120" s="14">
        <f>-L22</f>
        <v>-882.5359999999999</v>
      </c>
      <c r="AC120" s="15">
        <f>-L23</f>
        <v>-300.097</v>
      </c>
      <c r="AD120" s="15">
        <f>-L24</f>
        <v>66</v>
      </c>
      <c r="AE120" s="15">
        <f>-L25</f>
        <v>-41</v>
      </c>
      <c r="AF120" s="15">
        <f>-L26</f>
        <v>-1069</v>
      </c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</row>
    <row r="121" ht="8.35" customHeight="1" hidden="1">
      <c r="AA121" s="36"/>
      <c r="AB121" s="14">
        <f>-M22</f>
        <v>282.587</v>
      </c>
      <c r="AC121" s="15">
        <f>-M23</f>
        <v>0</v>
      </c>
      <c r="AD121" s="15">
        <f>-M24</f>
        <v>0</v>
      </c>
      <c r="AE121" s="15">
        <f>-M25</f>
        <v>0</v>
      </c>
      <c r="AF121" s="15">
        <f>-M26</f>
        <v>0</v>
      </c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</row>
    <row r="122" ht="8.35" customHeight="1" hidden="1">
      <c r="AA122" s="36"/>
      <c r="AB122" t="s" s="45">
        <f>AB83</f>
        <v>657</v>
      </c>
      <c r="AC122" t="s" s="44">
        <f>IF(AD122&gt;0,"paid","(raised)")</f>
        <v>121</v>
      </c>
      <c r="AD122" s="15">
        <f>SUM(AF120:AF121)</f>
        <v>-1069</v>
      </c>
      <c r="AE122" t="s" s="44">
        <f>AJ94</f>
        <v>372</v>
      </c>
      <c r="AF122" t="s" s="44">
        <f>AE94</f>
        <v>73</v>
      </c>
      <c r="AG122" t="s" s="44">
        <f>AF94</f>
        <v>74</v>
      </c>
      <c r="AH122" t="s" s="44">
        <f>AG94</f>
        <v>75</v>
      </c>
      <c r="AI122" s="15">
        <f>AF120</f>
        <v>-1069</v>
      </c>
      <c r="AJ122" t="s" s="44">
        <f>AJ94</f>
        <v>372</v>
      </c>
      <c r="AK122" t="s" s="44">
        <v>123</v>
      </c>
      <c r="AL122" s="15">
        <f>AF121</f>
        <v>0</v>
      </c>
      <c r="AM122" t="s" s="44">
        <f>AJ94</f>
        <v>372</v>
      </c>
      <c r="AN122" t="s" s="44">
        <v>389</v>
      </c>
      <c r="AO122" t="s" s="44">
        <v>475</v>
      </c>
      <c r="AP122" t="s" s="44">
        <f>IF(AQ122&gt;0,"pay","raise")</f>
        <v>364</v>
      </c>
      <c r="AQ122" s="15">
        <f>-SUM(AB66:AE66)</f>
        <v>340.780027679581</v>
      </c>
      <c r="AR122" t="s" s="44">
        <f>AJ94</f>
        <v>372</v>
      </c>
      <c r="AS122" t="s" s="44">
        <v>126</v>
      </c>
    </row>
    <row r="123" ht="8.35" customHeight="1" hidden="1">
      <c r="AA123" s="36"/>
      <c r="AB123" t="s" s="45">
        <v>375</v>
      </c>
      <c r="AC123" s="15">
        <f>AE70</f>
        <v>6246.08638208</v>
      </c>
      <c r="AD123" t="s" s="44">
        <f>AJ94</f>
        <v>372</v>
      </c>
      <c r="AE123" t="s" s="44">
        <v>128</v>
      </c>
      <c r="AF123" t="s" s="44">
        <v>129</v>
      </c>
      <c r="AG123" s="26">
        <f>AE72</f>
        <v>0.55709934016661</v>
      </c>
      <c r="AH123" t="s" s="44">
        <v>130</v>
      </c>
      <c r="AI123" t="s" s="44">
        <v>131</v>
      </c>
      <c r="AJ123" t="s" s="44">
        <v>132</v>
      </c>
      <c r="AK123" s="15">
        <f>AE75</f>
        <v>32.997825830841</v>
      </c>
      <c r="AL123" t="s" s="44">
        <v>133</v>
      </c>
      <c r="AM123" s="16">
        <f>-AC117/AC123</f>
        <v>0</v>
      </c>
      <c r="AN123" t="s" s="44">
        <v>134</v>
      </c>
      <c r="AO123" s="17"/>
      <c r="AP123" s="17"/>
      <c r="AQ123" s="17"/>
      <c r="AR123" s="17"/>
      <c r="AS123" s="17"/>
    </row>
    <row r="124" ht="8.35" customHeight="1" hidden="1">
      <c r="AA124" s="36"/>
      <c r="AB124" t="s" s="45">
        <v>135</v>
      </c>
      <c r="AC124" s="15">
        <f>AE74</f>
        <v>340.780027679581</v>
      </c>
      <c r="AD124" t="s" s="44">
        <f>AD123</f>
        <v>372</v>
      </c>
      <c r="AE124" t="s" s="44">
        <v>136</v>
      </c>
      <c r="AF124" s="15">
        <f>AC123/AC124</f>
        <v>18.3287924019799</v>
      </c>
      <c r="AG124" t="s" s="44">
        <v>130</v>
      </c>
      <c r="AH124" t="s" s="44">
        <v>137</v>
      </c>
      <c r="AI124" t="s" s="44">
        <v>138</v>
      </c>
      <c r="AJ124" s="15">
        <f>AE76</f>
        <v>22</v>
      </c>
      <c r="AK124" t="s" s="44">
        <v>139</v>
      </c>
      <c r="AL124" t="s" s="44">
        <v>140</v>
      </c>
      <c r="AM124" t="s" s="44">
        <v>141</v>
      </c>
      <c r="AN124" s="16">
        <f>AH83</f>
        <v>0.200297298234639</v>
      </c>
      <c r="AO124" t="s" s="44">
        <f>IF(AN124&gt;0,"higher","lower")</f>
        <v>363</v>
      </c>
      <c r="AP124" t="s" s="44">
        <v>142</v>
      </c>
      <c r="AQ124" s="15">
        <f>AF83</f>
        <v>2724.674866992630</v>
      </c>
      <c r="AR124" t="s" s="44">
        <v>143</v>
      </c>
      <c r="AS124" s="17"/>
    </row>
    <row r="125" ht="8.35" customHeight="1" hidden="1">
      <c r="AA125" s="36"/>
      <c r="AB125" s="34"/>
      <c r="AC125" s="17"/>
      <c r="AD125" s="17"/>
      <c r="AE125" s="17"/>
      <c r="AF125" s="15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</row>
    <row r="126" ht="8.35" customHeight="1" hidden="1">
      <c r="AA126" s="36"/>
      <c r="AB126" s="14">
        <f>AB93</f>
        <v>1086</v>
      </c>
      <c r="AC126" s="15">
        <f>AC93</f>
        <v>1223.2</v>
      </c>
      <c r="AD126" s="15">
        <f>AD93</f>
        <v>1055</v>
      </c>
      <c r="AE126" s="15">
        <f>AE93</f>
        <v>1055</v>
      </c>
      <c r="AF126" s="15">
        <f>AF93</f>
        <v>1080</v>
      </c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</row>
    <row r="127" ht="8.35" customHeight="1" hidden="1">
      <c r="AA127" s="36"/>
      <c r="AB127" s="14">
        <f>SUM(AB106:AB107)</f>
        <v>-454.633</v>
      </c>
      <c r="AC127" s="15">
        <f>SUM(AC106:AC107)</f>
        <v>-440.1</v>
      </c>
      <c r="AD127" s="15">
        <f>SUM(AD106:AD107)</f>
        <v>41.9</v>
      </c>
      <c r="AE127" s="15">
        <f>SUM(AE106:AE107)</f>
        <v>-126.9</v>
      </c>
      <c r="AF127" s="15">
        <f>SUM(AF106:AF107)</f>
        <v>-981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</row>
    <row r="128" ht="8.35" customHeight="1" hidden="1">
      <c r="AA128" s="36"/>
      <c r="AB128" s="14">
        <f>SUM(AB120:AB121)</f>
        <v>-599.949</v>
      </c>
      <c r="AC128" s="15">
        <f>SUM(AC120:AC121)</f>
        <v>-300.097</v>
      </c>
      <c r="AD128" s="15">
        <f>SUM(AD120:AD121)</f>
        <v>66</v>
      </c>
      <c r="AE128" s="15">
        <f>SUM(AE120:AE121)</f>
        <v>-41</v>
      </c>
      <c r="AF128" s="15">
        <f>SUM(AF120:AF121)</f>
        <v>-1069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</row>
    <row r="129" ht="8.35" customHeight="1" hidden="1">
      <c r="AA129" s="36"/>
      <c r="AB129" s="14">
        <f>AB113-AB114</f>
        <v>-3830</v>
      </c>
      <c r="AC129" s="15">
        <f>AC113-AC114</f>
        <v>-4227.9</v>
      </c>
      <c r="AD129" s="15">
        <f>AD113-AD114</f>
        <v>-4678</v>
      </c>
      <c r="AE129" s="15">
        <f>AE113-AE114</f>
        <v>-5161</v>
      </c>
      <c r="AF129" s="15">
        <f>AF113-AF114</f>
        <v>-5438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</row>
    <row r="130" ht="8.35" customHeight="1" hidden="1">
      <c r="AA130" s="36"/>
      <c r="AB130" s="34"/>
      <c r="AC130" s="17"/>
      <c r="AD130" s="17"/>
      <c r="AE130" s="17"/>
      <c r="AF130" s="15">
        <f>AQ124</f>
        <v>2724.674866992630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</row>
    <row r="131" ht="8.35" customHeight="1" hidden="1">
      <c r="AA131" s="36"/>
      <c r="AB131" s="34"/>
      <c r="AC131" s="17"/>
      <c r="AD131" s="17"/>
      <c r="AE131" s="17"/>
      <c r="AF131" s="15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</row>
    <row r="132" ht="8.35" customHeight="1" hidden="1">
      <c r="AA132" s="36"/>
      <c r="AB132" s="34"/>
      <c r="AC132" s="17"/>
      <c r="AD132" s="17"/>
      <c r="AE132" s="17"/>
      <c r="AF132" s="15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</row>
    <row r="133" ht="8.35" customHeight="1" hidden="1">
      <c r="AA133" s="36"/>
      <c r="AB133" s="34"/>
      <c r="AC133" s="17"/>
      <c r="AD133" s="17"/>
      <c r="AE133" s="17"/>
      <c r="AF133" s="15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</row>
    <row r="134" ht="8.35" customHeight="1" hidden="1">
      <c r="AA134" s="36"/>
      <c r="AB134" s="34"/>
      <c r="AC134" s="17"/>
      <c r="AD134" s="17"/>
      <c r="AE134" s="17"/>
      <c r="AF134" s="15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</row>
    <row r="135" ht="8.35" customHeight="1" hidden="1">
      <c r="AA135" s="36"/>
      <c r="AB135" s="34"/>
      <c r="AC135" s="17"/>
      <c r="AD135" s="17"/>
      <c r="AE135" s="17"/>
      <c r="AF135" s="15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</row>
    <row r="136" ht="8.35" customHeight="1" hidden="1">
      <c r="AA136" s="36"/>
      <c r="AB136" s="34"/>
      <c r="AC136" s="17"/>
      <c r="AD136" s="17"/>
      <c r="AE136" s="17"/>
      <c r="AF136" s="15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</row>
    <row r="137" ht="8.35" customHeight="1" hidden="1">
      <c r="AA137" s="36"/>
      <c r="AB137" s="34"/>
      <c r="AC137" s="17"/>
      <c r="AD137" s="17"/>
      <c r="AE137" s="17"/>
      <c r="AF137" s="15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</row>
  </sheetData>
  <mergeCells count="2">
    <mergeCell ref="B2:Z2"/>
    <mergeCell ref="AA36:AS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T13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299" customWidth="1"/>
    <col min="2" max="26" width="10.4844" style="299" customWidth="1"/>
    <col min="27" max="27" width="18.9766" style="300" customWidth="1"/>
    <col min="28" max="46" width="9" style="300" customWidth="1"/>
    <col min="47" max="16384" width="16.3516" style="300" customWidth="1"/>
  </cols>
  <sheetData>
    <row r="1" ht="11.65" customHeight="1"/>
    <row r="2" ht="27.65" customHeight="1">
      <c r="B2" t="s" s="2">
        <v>656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15</v>
      </c>
      <c r="T3" t="s" s="3">
        <v>16</v>
      </c>
      <c r="U3" t="s" s="3">
        <v>17</v>
      </c>
      <c r="V3" t="s" s="3">
        <f>X$3</f>
        <v>341</v>
      </c>
      <c r="W3" t="s" s="3">
        <v>18</v>
      </c>
      <c r="X3" t="s" s="3">
        <v>341</v>
      </c>
      <c r="Y3" t="s" s="3">
        <v>19</v>
      </c>
      <c r="Z3" t="s" s="3">
        <v>20</v>
      </c>
    </row>
    <row r="4" ht="20.25" customHeight="1">
      <c r="B4" s="6">
        <v>2017</v>
      </c>
      <c r="C4" s="7">
        <v>809</v>
      </c>
      <c r="D4" s="8">
        <v>155</v>
      </c>
      <c r="E4" s="8">
        <v>236.2</v>
      </c>
      <c r="F4" s="8">
        <v>655.3</v>
      </c>
      <c r="G4" s="8">
        <v>1090.7</v>
      </c>
      <c r="H4" s="8">
        <v>5289.9</v>
      </c>
      <c r="I4" s="8">
        <v>757.1</v>
      </c>
      <c r="J4" s="8">
        <v>347.5</v>
      </c>
      <c r="K4" s="8">
        <v>-229</v>
      </c>
      <c r="L4" s="8">
        <v>0</v>
      </c>
      <c r="M4" s="8">
        <v>-75.5</v>
      </c>
      <c r="N4" s="8"/>
      <c r="O4" s="8"/>
      <c r="P4" s="9"/>
      <c r="Q4" s="9"/>
      <c r="R4" s="9"/>
      <c r="S4" s="9"/>
      <c r="T4" s="8">
        <f>J4+K4</f>
        <v>118.5</v>
      </c>
      <c r="U4" s="8">
        <f>-(L4+M4)</f>
        <v>75.5</v>
      </c>
      <c r="V4" s="8">
        <v>6246.08638208</v>
      </c>
      <c r="W4" s="8">
        <f>F4-G4</f>
        <v>-435.4</v>
      </c>
      <c r="X4" s="10"/>
      <c r="Y4" s="11"/>
      <c r="Z4" s="12">
        <v>13.3</v>
      </c>
    </row>
    <row r="5" ht="20.05" customHeight="1">
      <c r="B5" s="13"/>
      <c r="C5" s="14">
        <v>841.6</v>
      </c>
      <c r="D5" s="15">
        <v>159</v>
      </c>
      <c r="E5" s="15">
        <v>254</v>
      </c>
      <c r="F5" s="15">
        <v>531</v>
      </c>
      <c r="G5" s="15">
        <v>1125.7</v>
      </c>
      <c r="H5" s="15">
        <v>5292.7</v>
      </c>
      <c r="I5" s="15">
        <v>733.4</v>
      </c>
      <c r="J5" s="15">
        <v>323.5</v>
      </c>
      <c r="K5" s="15">
        <v>-151.6</v>
      </c>
      <c r="L5" s="15">
        <v>0</v>
      </c>
      <c r="M5" s="15">
        <v>-75.5</v>
      </c>
      <c r="N5" s="15"/>
      <c r="O5" s="15"/>
      <c r="P5" s="16"/>
      <c r="Q5" s="17"/>
      <c r="R5" s="17"/>
      <c r="S5" s="17"/>
      <c r="T5" s="15">
        <f>J5+K5+T4</f>
        <v>290.4</v>
      </c>
      <c r="U5" s="15">
        <f>-(L5+M5)+U4</f>
        <v>151</v>
      </c>
      <c r="V5" s="15">
        <f>V4</f>
        <v>6246.08638208</v>
      </c>
      <c r="W5" s="15">
        <f>F5-G5</f>
        <v>-594.7</v>
      </c>
      <c r="X5" s="18"/>
      <c r="Y5" s="19"/>
      <c r="Z5" s="20">
        <v>13.327</v>
      </c>
    </row>
    <row r="6" ht="20.05" customHeight="1">
      <c r="B6" s="13"/>
      <c r="C6" s="14">
        <v>854.7</v>
      </c>
      <c r="D6" s="15">
        <v>162</v>
      </c>
      <c r="E6" s="15">
        <v>250.1</v>
      </c>
      <c r="F6" s="15">
        <v>665.2</v>
      </c>
      <c r="G6" s="15">
        <v>1128.2</v>
      </c>
      <c r="H6" s="15">
        <v>5541.1</v>
      </c>
      <c r="I6" s="15">
        <v>1041.3</v>
      </c>
      <c r="J6" s="15">
        <v>405.4</v>
      </c>
      <c r="K6" s="15">
        <v>-257.3</v>
      </c>
      <c r="L6" s="15">
        <v>0</v>
      </c>
      <c r="M6" s="15">
        <v>-75.5</v>
      </c>
      <c r="N6" s="15"/>
      <c r="O6" s="15"/>
      <c r="P6" s="16"/>
      <c r="Q6" s="17"/>
      <c r="R6" s="17"/>
      <c r="S6" s="17"/>
      <c r="T6" s="15">
        <f>J6+K6+T5</f>
        <v>438.5</v>
      </c>
      <c r="U6" s="15">
        <f>-(L6+M6)+U5</f>
        <v>226.5</v>
      </c>
      <c r="V6" s="15">
        <f>V5</f>
        <v>6246.08638208</v>
      </c>
      <c r="W6" s="15">
        <f>F6-G6</f>
        <v>-463</v>
      </c>
      <c r="X6" s="18"/>
      <c r="Y6" s="19"/>
      <c r="Z6" s="20">
        <v>13.305</v>
      </c>
    </row>
    <row r="7" ht="20.05" customHeight="1">
      <c r="B7" s="13"/>
      <c r="C7" s="14">
        <v>893.8</v>
      </c>
      <c r="D7" s="15">
        <v>168</v>
      </c>
      <c r="E7" s="15">
        <v>267</v>
      </c>
      <c r="F7" s="15">
        <v>765.9</v>
      </c>
      <c r="G7" s="15">
        <v>1242</v>
      </c>
      <c r="H7" s="15">
        <v>5766.2</v>
      </c>
      <c r="I7" s="15">
        <v>757.8</v>
      </c>
      <c r="J7" s="15">
        <v>445.4</v>
      </c>
      <c r="K7" s="15">
        <v>-332.7</v>
      </c>
      <c r="L7" s="15">
        <v>0</v>
      </c>
      <c r="M7" s="15">
        <v>-75.5</v>
      </c>
      <c r="N7" s="15"/>
      <c r="O7" s="15"/>
      <c r="P7" s="16"/>
      <c r="Q7" s="17"/>
      <c r="R7" s="17"/>
      <c r="S7" s="17"/>
      <c r="T7" s="15">
        <f>J7+K7+T6</f>
        <v>551.2</v>
      </c>
      <c r="U7" s="15">
        <f>-(L7+M7)+U6</f>
        <v>302</v>
      </c>
      <c r="V7" s="15">
        <f>V6</f>
        <v>6246.08638208</v>
      </c>
      <c r="W7" s="15">
        <f>F7-G7</f>
        <v>-476.1</v>
      </c>
      <c r="X7" s="18"/>
      <c r="Y7" s="19"/>
      <c r="Z7" s="20">
        <v>13.557</v>
      </c>
    </row>
    <row r="8" ht="20.05" customHeight="1">
      <c r="B8" s="21">
        <v>2018</v>
      </c>
      <c r="C8" s="14">
        <v>905.6</v>
      </c>
      <c r="D8" s="15">
        <v>175</v>
      </c>
      <c r="E8" s="15">
        <v>266.3</v>
      </c>
      <c r="F8" s="15">
        <v>746.3</v>
      </c>
      <c r="G8" s="15">
        <v>1252.2</v>
      </c>
      <c r="H8" s="15">
        <v>6042.7</v>
      </c>
      <c r="I8" s="15">
        <v>826.5</v>
      </c>
      <c r="J8" s="15">
        <v>501.9</v>
      </c>
      <c r="K8" s="15">
        <v>-378.9</v>
      </c>
      <c r="L8" s="15">
        <v>0</v>
      </c>
      <c r="M8" s="15">
        <v>-181.75</v>
      </c>
      <c r="N8" s="15">
        <f>SUM(C5:C8)/4</f>
        <v>873.925</v>
      </c>
      <c r="O8" s="15"/>
      <c r="P8" s="16"/>
      <c r="Q8" s="16"/>
      <c r="R8" s="16"/>
      <c r="S8" s="15">
        <f>SUM(J5:K8)/4</f>
        <v>138.925</v>
      </c>
      <c r="T8" s="15">
        <f>J8+K8+T7</f>
        <v>674.2</v>
      </c>
      <c r="U8" s="15">
        <f>-(L8+M8)+U7</f>
        <v>483.75</v>
      </c>
      <c r="V8" s="15">
        <f>V7</f>
        <v>6246.08638208</v>
      </c>
      <c r="W8" s="15">
        <f>F8-G8</f>
        <v>-505.9</v>
      </c>
      <c r="X8" s="18"/>
      <c r="Y8" s="22"/>
      <c r="Z8" s="20">
        <v>13.761</v>
      </c>
    </row>
    <row r="9" ht="20.05" customHeight="1">
      <c r="B9" s="13"/>
      <c r="C9" s="14">
        <v>939.6</v>
      </c>
      <c r="D9" s="15">
        <v>176</v>
      </c>
      <c r="E9" s="15">
        <v>280.5</v>
      </c>
      <c r="F9" s="15">
        <v>465.4</v>
      </c>
      <c r="G9" s="15">
        <v>1403.2</v>
      </c>
      <c r="H9" s="15">
        <v>5920.4</v>
      </c>
      <c r="I9" s="15">
        <v>855.3</v>
      </c>
      <c r="J9" s="15">
        <v>368</v>
      </c>
      <c r="K9" s="15">
        <v>-112.6</v>
      </c>
      <c r="L9" s="15">
        <v>0</v>
      </c>
      <c r="M9" s="15">
        <v>-181.75</v>
      </c>
      <c r="N9" s="15">
        <f>SUM(C6:C9)/4</f>
        <v>898.425</v>
      </c>
      <c r="O9" s="15"/>
      <c r="P9" s="16"/>
      <c r="Q9" s="16"/>
      <c r="R9" s="16"/>
      <c r="S9" s="15">
        <f>SUM(J6:K9)/4</f>
        <v>159.8</v>
      </c>
      <c r="T9" s="15">
        <f>J9+K9+T8</f>
        <v>929.6</v>
      </c>
      <c r="U9" s="15">
        <f>-(L9+M9)+U8</f>
        <v>665.5</v>
      </c>
      <c r="V9" s="15">
        <f>V8</f>
        <v>6246.08638208</v>
      </c>
      <c r="W9" s="15">
        <f>F13-G9</f>
        <v>-1108.2</v>
      </c>
      <c r="X9" s="18"/>
      <c r="Y9" s="22"/>
      <c r="Z9" s="20">
        <v>14</v>
      </c>
    </row>
    <row r="10" ht="20.05" customHeight="1">
      <c r="B10" s="13"/>
      <c r="C10" s="14">
        <v>949.1</v>
      </c>
      <c r="D10" s="15">
        <v>182</v>
      </c>
      <c r="E10" s="15">
        <v>268.9</v>
      </c>
      <c r="F10" s="15">
        <v>468.4</v>
      </c>
      <c r="G10" s="15">
        <v>1329.4</v>
      </c>
      <c r="H10" s="15">
        <v>6094.4</v>
      </c>
      <c r="I10" s="15">
        <v>848.5</v>
      </c>
      <c r="J10" s="15">
        <v>336.9</v>
      </c>
      <c r="K10" s="15">
        <v>-315.2</v>
      </c>
      <c r="L10" s="15">
        <v>0</v>
      </c>
      <c r="M10" s="15">
        <v>-181.75</v>
      </c>
      <c r="N10" s="15">
        <f>SUM(C7:C10)/4</f>
        <v>922.025</v>
      </c>
      <c r="O10" s="15"/>
      <c r="P10" s="16"/>
      <c r="Q10" s="16"/>
      <c r="R10" s="16"/>
      <c r="S10" s="15">
        <f>SUM(J7:K10)/4</f>
        <v>128.2</v>
      </c>
      <c r="T10" s="15">
        <f>J10+K10+T9</f>
        <v>951.3</v>
      </c>
      <c r="U10" s="15">
        <f>-(L10+M10)+U9</f>
        <v>847.25</v>
      </c>
      <c r="V10" s="15">
        <f>V9</f>
        <v>6246.08638208</v>
      </c>
      <c r="W10" s="15">
        <f>F10-G10</f>
        <v>-861</v>
      </c>
      <c r="X10" s="18"/>
      <c r="Y10" s="22"/>
      <c r="Z10" s="20">
        <v>14.902</v>
      </c>
    </row>
    <row r="11" ht="20.05" customHeight="1">
      <c r="B11" s="13"/>
      <c r="C11" s="14">
        <v>931.7</v>
      </c>
      <c r="D11" s="15">
        <v>185</v>
      </c>
      <c r="E11" s="15">
        <v>-26.7</v>
      </c>
      <c r="F11" s="15">
        <v>600</v>
      </c>
      <c r="G11" s="15">
        <v>1272.9</v>
      </c>
      <c r="H11" s="15">
        <v>6023.5</v>
      </c>
      <c r="I11" s="15">
        <v>1003.6</v>
      </c>
      <c r="J11" s="15">
        <v>439.8</v>
      </c>
      <c r="K11" s="15">
        <v>-309.3</v>
      </c>
      <c r="L11" s="15">
        <v>0</v>
      </c>
      <c r="M11" s="15">
        <v>-181.75</v>
      </c>
      <c r="N11" s="15">
        <f>SUM(C8:C11)/4</f>
        <v>931.5</v>
      </c>
      <c r="O11" s="15"/>
      <c r="P11" s="16"/>
      <c r="Q11" s="16"/>
      <c r="R11" s="16"/>
      <c r="S11" s="15">
        <f>SUM(J8:K11)/4</f>
        <v>132.65</v>
      </c>
      <c r="T11" s="15">
        <f>J11+K11+T10</f>
        <v>1081.8</v>
      </c>
      <c r="U11" s="15">
        <f>-(L11+M11)+U10</f>
        <v>1029</v>
      </c>
      <c r="V11" s="15">
        <f>V10</f>
        <v>6246.08638208</v>
      </c>
      <c r="W11" s="15">
        <f>F11-G11</f>
        <v>-672.9</v>
      </c>
      <c r="X11" s="18"/>
      <c r="Y11" s="22"/>
      <c r="Z11" s="20">
        <v>14.38</v>
      </c>
    </row>
    <row r="12" ht="20.05" customHeight="1">
      <c r="B12" s="21">
        <v>2019</v>
      </c>
      <c r="C12" s="14">
        <v>891</v>
      </c>
      <c r="D12" s="15">
        <v>190</v>
      </c>
      <c r="E12" s="15">
        <v>264</v>
      </c>
      <c r="F12" s="15">
        <v>613</v>
      </c>
      <c r="G12" s="15">
        <v>1145</v>
      </c>
      <c r="H12" s="15">
        <v>6152</v>
      </c>
      <c r="I12" s="15">
        <v>949.5</v>
      </c>
      <c r="J12" s="15">
        <v>383.7</v>
      </c>
      <c r="K12" s="15">
        <v>-365</v>
      </c>
      <c r="L12" s="15">
        <v>200</v>
      </c>
      <c r="M12" s="15">
        <v>-245.75</v>
      </c>
      <c r="N12" s="15">
        <f>SUM(C9:C12)/4</f>
        <v>927.85</v>
      </c>
      <c r="O12" s="23"/>
      <c r="P12" s="16"/>
      <c r="Q12" s="16">
        <f>(E12+D12)/C12</f>
        <v>0.509539842873176</v>
      </c>
      <c r="R12" s="16">
        <f>AVERAGE(Q9:Q12)</f>
        <v>0.509539842873176</v>
      </c>
      <c r="S12" s="15">
        <f>SUM(J9:K12)/4</f>
        <v>106.575</v>
      </c>
      <c r="T12" s="15">
        <f>J12+K12+T11</f>
        <v>1100.5</v>
      </c>
      <c r="U12" s="15">
        <f>-(L12+M12)+U11</f>
        <v>1074.75</v>
      </c>
      <c r="V12" s="15">
        <f>V11</f>
        <v>6246.08638208</v>
      </c>
      <c r="W12" s="15">
        <f>F12-G12</f>
        <v>-532</v>
      </c>
      <c r="X12" s="18"/>
      <c r="Y12" s="22"/>
      <c r="Z12" s="20">
        <v>14.24</v>
      </c>
    </row>
    <row r="13" ht="20.05" customHeight="1">
      <c r="B13" s="13"/>
      <c r="C13" s="14">
        <v>915</v>
      </c>
      <c r="D13" s="15">
        <v>187</v>
      </c>
      <c r="E13" s="15">
        <v>263</v>
      </c>
      <c r="F13" s="15">
        <v>295</v>
      </c>
      <c r="G13" s="15">
        <v>1620</v>
      </c>
      <c r="H13" s="15">
        <v>6102</v>
      </c>
      <c r="I13" s="15">
        <v>766.8</v>
      </c>
      <c r="J13" s="15">
        <v>236.3</v>
      </c>
      <c r="K13" s="15">
        <v>-319</v>
      </c>
      <c r="L13" s="15">
        <v>200</v>
      </c>
      <c r="M13" s="15">
        <v>-245.75</v>
      </c>
      <c r="N13" s="15">
        <f>SUM(C10:C13)/4</f>
        <v>921.7</v>
      </c>
      <c r="O13" s="23"/>
      <c r="P13" s="16">
        <f>C13/C12-1</f>
        <v>0.0269360269360269</v>
      </c>
      <c r="Q13" s="16">
        <f>(E13+D13)/C13</f>
        <v>0.491803278688525</v>
      </c>
      <c r="R13" s="16">
        <f>AVERAGE(Q10:Q13)</f>
        <v>0.500671560780851</v>
      </c>
      <c r="S13" s="15">
        <f>SUM(J10:K13)/4</f>
        <v>22.05</v>
      </c>
      <c r="T13" s="15">
        <f>J13+K13+T12</f>
        <v>1017.8</v>
      </c>
      <c r="U13" s="15">
        <f>-(L13+M13)+U12</f>
        <v>1120.5</v>
      </c>
      <c r="V13" s="15">
        <f>V12</f>
        <v>6246.08638208</v>
      </c>
      <c r="W13" s="15">
        <f>F13-G13</f>
        <v>-1325</v>
      </c>
      <c r="X13" s="18"/>
      <c r="Y13" s="24"/>
      <c r="Z13" s="15">
        <v>14.127</v>
      </c>
    </row>
    <row r="14" ht="20.05" customHeight="1">
      <c r="B14" s="13"/>
      <c r="C14" s="14">
        <v>961</v>
      </c>
      <c r="D14" s="15">
        <v>196</v>
      </c>
      <c r="E14" s="15">
        <v>246</v>
      </c>
      <c r="F14" s="15">
        <v>274</v>
      </c>
      <c r="G14" s="15">
        <v>1686</v>
      </c>
      <c r="H14" s="15">
        <v>6278</v>
      </c>
      <c r="I14" s="15">
        <v>975.9</v>
      </c>
      <c r="J14" s="15">
        <v>481.5</v>
      </c>
      <c r="K14" s="15">
        <v>-406</v>
      </c>
      <c r="L14" s="15">
        <v>200</v>
      </c>
      <c r="M14" s="15">
        <v>-245.75</v>
      </c>
      <c r="N14" s="15">
        <f>SUM(C11:C14)/4</f>
        <v>924.675</v>
      </c>
      <c r="O14" s="23"/>
      <c r="P14" s="16">
        <f>C14/C13-1</f>
        <v>0.0502732240437158</v>
      </c>
      <c r="Q14" s="16">
        <f>(E14+D14)/C14</f>
        <v>0.45993756503642</v>
      </c>
      <c r="R14" s="16">
        <f>AVERAGE(Q11:Q14)</f>
        <v>0.487093562199374</v>
      </c>
      <c r="S14" s="15">
        <f>SUM(J11:K14)/4</f>
        <v>35.5</v>
      </c>
      <c r="T14" s="15">
        <f>J14+K14+T13</f>
        <v>1093.3</v>
      </c>
      <c r="U14" s="15">
        <f>-(L14+M14)+U13</f>
        <v>1166.25</v>
      </c>
      <c r="V14" s="15">
        <f>V13</f>
        <v>6246.08638208</v>
      </c>
      <c r="W14" s="15">
        <f>F14-G14</f>
        <v>-1412</v>
      </c>
      <c r="X14" s="18"/>
      <c r="Y14" s="24"/>
      <c r="Z14" s="15">
        <v>14.195</v>
      </c>
    </row>
    <row r="15" ht="20.05" customHeight="1">
      <c r="B15" s="13"/>
      <c r="C15" s="14">
        <v>988</v>
      </c>
      <c r="D15" s="15">
        <v>202</v>
      </c>
      <c r="E15" s="15">
        <v>122</v>
      </c>
      <c r="F15" s="15">
        <v>298</v>
      </c>
      <c r="G15" s="15">
        <v>1997</v>
      </c>
      <c r="H15" s="15">
        <v>6653</v>
      </c>
      <c r="I15" s="15">
        <v>954.2</v>
      </c>
      <c r="J15" s="15">
        <v>574.9</v>
      </c>
      <c r="K15" s="15">
        <v>-659</v>
      </c>
      <c r="L15" s="15">
        <v>200</v>
      </c>
      <c r="M15" s="15">
        <v>-245.75</v>
      </c>
      <c r="N15" s="15">
        <f>SUM(C12:C15)/4</f>
        <v>938.75</v>
      </c>
      <c r="O15" s="15"/>
      <c r="P15" s="16">
        <f>C15/C14-1</f>
        <v>0.0280957336108221</v>
      </c>
      <c r="Q15" s="16">
        <f>(E15+D15)/C15</f>
        <v>0.327935222672065</v>
      </c>
      <c r="R15" s="16">
        <f>AVERAGE(Q12:Q15)</f>
        <v>0.447303977317547</v>
      </c>
      <c r="S15" s="15">
        <f>SUM(J12:K15)/4</f>
        <v>-18.15</v>
      </c>
      <c r="T15" s="15">
        <f>J15+K15+T14</f>
        <v>1009.2</v>
      </c>
      <c r="U15" s="15">
        <f>-(L15+M15)+U14</f>
        <v>1212</v>
      </c>
      <c r="V15" s="15">
        <f>V14</f>
        <v>6246.08638208</v>
      </c>
      <c r="W15" s="15">
        <f>F15-G15</f>
        <v>-1699</v>
      </c>
      <c r="X15" s="18"/>
      <c r="Y15" s="24"/>
      <c r="Z15" s="15">
        <v>13.882</v>
      </c>
    </row>
    <row r="16" ht="20.05" customHeight="1">
      <c r="B16" s="21">
        <v>2020</v>
      </c>
      <c r="C16" s="14">
        <v>958.9</v>
      </c>
      <c r="D16" s="15">
        <v>209</v>
      </c>
      <c r="E16" s="15">
        <v>197.7</v>
      </c>
      <c r="F16" s="15">
        <v>195</v>
      </c>
      <c r="G16" s="15">
        <v>2363</v>
      </c>
      <c r="H16" s="15">
        <v>6912</v>
      </c>
      <c r="I16" s="15">
        <v>949.5</v>
      </c>
      <c r="J16" s="15">
        <v>348.11</v>
      </c>
      <c r="K16" s="15">
        <v>-329.2</v>
      </c>
      <c r="L16" s="15">
        <v>175</v>
      </c>
      <c r="M16" s="15">
        <v>-199.5</v>
      </c>
      <c r="N16" s="15">
        <f>SUM(C13:C16)/4</f>
        <v>955.725</v>
      </c>
      <c r="O16" s="15"/>
      <c r="P16" s="16">
        <f>C16/C15-1</f>
        <v>-0.0294534412955466</v>
      </c>
      <c r="Q16" s="16">
        <f>(E16+D16)/C16</f>
        <v>0.42413181770779</v>
      </c>
      <c r="R16" s="16">
        <f>AVERAGE(Q13:Q16)</f>
        <v>0.4259519710262</v>
      </c>
      <c r="S16" s="15">
        <f>SUM(J13:K16)/4</f>
        <v>-18.0975</v>
      </c>
      <c r="T16" s="15">
        <f>J16+K16+T15</f>
        <v>1028.11</v>
      </c>
      <c r="U16" s="15">
        <f>-(L16+M16)+U15</f>
        <v>1236.5</v>
      </c>
      <c r="V16" s="15">
        <f>V15</f>
        <v>6246.08638208</v>
      </c>
      <c r="W16" s="15">
        <f>F16-G16</f>
        <v>-2168</v>
      </c>
      <c r="X16" s="18"/>
      <c r="Y16" s="24"/>
      <c r="Z16" s="15">
        <v>16.31</v>
      </c>
    </row>
    <row r="17" ht="20.05" customHeight="1">
      <c r="B17" s="13"/>
      <c r="C17" s="14">
        <v>971.1</v>
      </c>
      <c r="D17" s="15">
        <v>193</v>
      </c>
      <c r="E17" s="15">
        <v>258.3</v>
      </c>
      <c r="F17" s="15">
        <v>695</v>
      </c>
      <c r="G17" s="15">
        <v>3242</v>
      </c>
      <c r="H17" s="15">
        <v>7558</v>
      </c>
      <c r="I17" s="15">
        <v>916.1</v>
      </c>
      <c r="J17" s="15">
        <v>629.79</v>
      </c>
      <c r="K17" s="15">
        <v>-396.8</v>
      </c>
      <c r="L17" s="15">
        <v>175</v>
      </c>
      <c r="M17" s="15">
        <v>-199.5</v>
      </c>
      <c r="N17" s="15">
        <f>SUM(C14:C17)/4</f>
        <v>969.75</v>
      </c>
      <c r="O17" s="15"/>
      <c r="P17" s="16">
        <f>C17/C16-1</f>
        <v>0.0127229116696214</v>
      </c>
      <c r="Q17" s="16">
        <f>(E17+D17)/C17</f>
        <v>0.464730717742766</v>
      </c>
      <c r="R17" s="16">
        <f>AVERAGE(Q14:Q17)</f>
        <v>0.41918383078976</v>
      </c>
      <c r="S17" s="25">
        <f>SUM(J14:K17)/4</f>
        <v>60.825</v>
      </c>
      <c r="T17" s="15">
        <f>J17+K17+T16</f>
        <v>1261.1</v>
      </c>
      <c r="U17" s="15">
        <f>-(L17+M17)+U16</f>
        <v>1261</v>
      </c>
      <c r="V17" s="15">
        <f>V16</f>
        <v>6246.08638208</v>
      </c>
      <c r="W17" s="15">
        <f>F17-G17</f>
        <v>-2547</v>
      </c>
      <c r="X17" s="18"/>
      <c r="Y17" s="24"/>
      <c r="Z17" s="15">
        <v>14.255</v>
      </c>
    </row>
    <row r="18" ht="20.05" customHeight="1">
      <c r="B18" s="13"/>
      <c r="C18" s="14">
        <v>1024</v>
      </c>
      <c r="D18" s="15">
        <v>252</v>
      </c>
      <c r="E18" s="15">
        <v>242.9</v>
      </c>
      <c r="F18" s="15">
        <v>368</v>
      </c>
      <c r="G18" s="15">
        <v>3096</v>
      </c>
      <c r="H18" s="15">
        <v>7653</v>
      </c>
      <c r="I18" s="15">
        <v>998</v>
      </c>
      <c r="J18" s="15">
        <v>565.1</v>
      </c>
      <c r="K18" s="15">
        <v>-653</v>
      </c>
      <c r="L18" s="15">
        <v>175</v>
      </c>
      <c r="M18" s="15">
        <v>-199.5</v>
      </c>
      <c r="N18" s="15">
        <f>SUM(C15:C18)/4</f>
        <v>985.5</v>
      </c>
      <c r="O18" s="15"/>
      <c r="P18" s="16">
        <f>C18/C17-1</f>
        <v>0.0544743074863557</v>
      </c>
      <c r="Q18" s="16">
        <f>(E18+D18)/C18</f>
        <v>0.483300781250</v>
      </c>
      <c r="R18" s="16">
        <f>AVERAGE(Q15:Q18)</f>
        <v>0.425024634843155</v>
      </c>
      <c r="S18" s="25">
        <f>SUM(J15:K18)/4</f>
        <v>19.975</v>
      </c>
      <c r="T18" s="15">
        <f>J18+K18+T17</f>
        <v>1173.2</v>
      </c>
      <c r="U18" s="15">
        <f>-(L18+M18)+U17</f>
        <v>1285.5</v>
      </c>
      <c r="V18" s="15">
        <f>V17</f>
        <v>6246.08638208</v>
      </c>
      <c r="W18" s="15">
        <f>F18-G18</f>
        <v>-2728</v>
      </c>
      <c r="X18" s="18"/>
      <c r="Y18" s="24"/>
      <c r="Z18" s="15">
        <v>14.79</v>
      </c>
    </row>
    <row r="19" ht="20.05" customHeight="1">
      <c r="B19" s="13"/>
      <c r="C19" s="14">
        <v>1094</v>
      </c>
      <c r="D19" s="15">
        <v>277.1</v>
      </c>
      <c r="E19" s="15">
        <v>242.8</v>
      </c>
      <c r="F19" s="15">
        <v>360</v>
      </c>
      <c r="G19" s="15">
        <v>3177</v>
      </c>
      <c r="H19" s="15">
        <v>7800</v>
      </c>
      <c r="I19" s="15">
        <v>1094.8</v>
      </c>
      <c r="J19" s="15">
        <v>134.5</v>
      </c>
      <c r="K19" s="15">
        <v>-384.8</v>
      </c>
      <c r="L19" s="15">
        <v>175</v>
      </c>
      <c r="M19" s="15">
        <v>-199.5</v>
      </c>
      <c r="N19" s="15">
        <f>SUM(C16:C19)/4</f>
        <v>1012</v>
      </c>
      <c r="O19" s="15"/>
      <c r="P19" s="16">
        <f>C19/C18-1</f>
        <v>0.068359375</v>
      </c>
      <c r="Q19" s="16">
        <f>(E19+D19)/C19</f>
        <v>0.475228519195612</v>
      </c>
      <c r="R19" s="16">
        <f>AVERAGE(Q16:Q19)</f>
        <v>0.461847958974042</v>
      </c>
      <c r="S19" s="25">
        <f>SUM(J16:K19)/4</f>
        <v>-21.575</v>
      </c>
      <c r="T19" s="15">
        <f>J19+K19+T18</f>
        <v>922.9</v>
      </c>
      <c r="U19" s="15">
        <f>-(L19+M19)+U18</f>
        <v>1310</v>
      </c>
      <c r="V19" s="15">
        <f>V18</f>
        <v>6246.08638208</v>
      </c>
      <c r="W19" s="15">
        <f>F19-G19</f>
        <v>-2817</v>
      </c>
      <c r="X19" s="15"/>
      <c r="Y19" s="24"/>
      <c r="Z19" s="15">
        <v>14.1</v>
      </c>
    </row>
    <row r="20" ht="20.05" customHeight="1">
      <c r="B20" s="21">
        <v>2021</v>
      </c>
      <c r="C20" s="14">
        <v>1068.8</v>
      </c>
      <c r="D20" s="15">
        <v>320</v>
      </c>
      <c r="E20" s="15">
        <v>249</v>
      </c>
      <c r="F20" s="15">
        <v>1248</v>
      </c>
      <c r="G20" s="15">
        <v>4236</v>
      </c>
      <c r="H20" s="15">
        <v>9108</v>
      </c>
      <c r="I20" s="15">
        <v>1055</v>
      </c>
      <c r="J20" s="15">
        <v>609.9</v>
      </c>
      <c r="K20" s="15">
        <v>-722.3</v>
      </c>
      <c r="L20" s="15">
        <v>999.9</v>
      </c>
      <c r="M20" s="15">
        <v>0</v>
      </c>
      <c r="N20" s="15">
        <f>SUM(C17:C20)/4</f>
        <v>1039.475</v>
      </c>
      <c r="O20" s="15"/>
      <c r="P20" s="16">
        <f>C20/C19-1</f>
        <v>-0.0230347349177331</v>
      </c>
      <c r="Q20" s="16">
        <f>(E20+D20)/C20</f>
        <v>0.532372754491018</v>
      </c>
      <c r="R20" s="16">
        <f>AVERAGE(Q17:Q20)</f>
        <v>0.488908193169849</v>
      </c>
      <c r="S20" s="25">
        <f>SUM(J17:K20)/4</f>
        <v>-54.4025</v>
      </c>
      <c r="T20" s="15">
        <f>J20+K20+T19</f>
        <v>810.5</v>
      </c>
      <c r="U20" s="15">
        <f>-(L20+M20)+U19</f>
        <v>310.1</v>
      </c>
      <c r="V20" s="15">
        <f>V19</f>
        <v>6246.08638208</v>
      </c>
      <c r="W20" s="15">
        <f>F20-G20</f>
        <v>-2988</v>
      </c>
      <c r="X20" s="15"/>
      <c r="Y20" s="15"/>
      <c r="Z20" s="15">
        <v>14.606</v>
      </c>
    </row>
    <row r="21" ht="20.05" customHeight="1">
      <c r="B21" s="13"/>
      <c r="C21" s="14">
        <v>1087</v>
      </c>
      <c r="D21" s="15">
        <v>320</v>
      </c>
      <c r="E21" s="15">
        <v>222.8</v>
      </c>
      <c r="F21" s="15">
        <v>281</v>
      </c>
      <c r="G21" s="15">
        <v>3772</v>
      </c>
      <c r="H21" s="15">
        <v>8589</v>
      </c>
      <c r="I21" s="15">
        <v>982.5</v>
      </c>
      <c r="J21" s="15">
        <v>273.733</v>
      </c>
      <c r="K21" s="15">
        <v>-557.6</v>
      </c>
      <c r="L21" s="15">
        <v>-682.533</v>
      </c>
      <c r="M21" s="15">
        <v>0</v>
      </c>
      <c r="N21" s="15">
        <f>SUM(C18:C21)/4</f>
        <v>1068.45</v>
      </c>
      <c r="O21" s="15"/>
      <c r="P21" s="16">
        <f>C21/C20-1</f>
        <v>0.0170284431137725</v>
      </c>
      <c r="Q21" s="16">
        <f>(E21+D21)/C21</f>
        <v>0.49935602575897</v>
      </c>
      <c r="R21" s="16">
        <f>AVERAGE(Q18:Q21)</f>
        <v>0.4975645201739</v>
      </c>
      <c r="S21" s="25">
        <f>SUM(J18:K21)/4</f>
        <v>-183.61675</v>
      </c>
      <c r="T21" s="15">
        <f>J21+K21+T20</f>
        <v>526.633</v>
      </c>
      <c r="U21" s="15">
        <f>-(L21+M21)+U20</f>
        <v>992.633</v>
      </c>
      <c r="V21" s="15">
        <f>V20</f>
        <v>6246.08638208</v>
      </c>
      <c r="W21" s="15">
        <f>F21-G21</f>
        <v>-3491</v>
      </c>
      <c r="X21" s="15"/>
      <c r="Y21" s="15"/>
      <c r="Z21" s="15">
        <v>14.45</v>
      </c>
    </row>
    <row r="22" ht="20.05" customHeight="1">
      <c r="B22" s="13"/>
      <c r="C22" s="14">
        <v>1086</v>
      </c>
      <c r="D22" s="15">
        <v>320</v>
      </c>
      <c r="E22" s="15">
        <v>215.1</v>
      </c>
      <c r="F22" s="15">
        <v>426</v>
      </c>
      <c r="G22" s="15">
        <v>4256</v>
      </c>
      <c r="H22" s="15">
        <v>9288</v>
      </c>
      <c r="I22" s="15">
        <v>1107.2</v>
      </c>
      <c r="J22" s="15">
        <v>343.467</v>
      </c>
      <c r="K22" s="15">
        <v>-798.1</v>
      </c>
      <c r="L22" s="15">
        <v>882.5359999999999</v>
      </c>
      <c r="M22" s="15">
        <v>-282.587</v>
      </c>
      <c r="N22" s="15">
        <f>SUM(C19:C22)/4</f>
        <v>1083.95</v>
      </c>
      <c r="O22" s="15"/>
      <c r="P22" s="16">
        <f>C22/C21-1</f>
        <v>-0.000919963201471941</v>
      </c>
      <c r="Q22" s="16">
        <f>(E22+D22)/C22</f>
        <v>0.492725598526703</v>
      </c>
      <c r="R22" s="16">
        <f>AVERAGE(Q19:Q22)</f>
        <v>0.499920724493076</v>
      </c>
      <c r="S22" s="25">
        <f>SUM(J19:K22)/4</f>
        <v>-275.3</v>
      </c>
      <c r="T22" s="15">
        <f>J22+K22+T21</f>
        <v>72</v>
      </c>
      <c r="U22" s="15">
        <f>-(L22+M22)+U21</f>
        <v>392.684</v>
      </c>
      <c r="V22" s="15">
        <f>V21</f>
        <v>6246.08638208</v>
      </c>
      <c r="W22" s="15">
        <f>F22-G22</f>
        <v>-3830</v>
      </c>
      <c r="X22" s="15"/>
      <c r="Y22" s="15"/>
      <c r="Z22" s="15">
        <v>14.328</v>
      </c>
    </row>
    <row r="23" ht="20.05" customHeight="1">
      <c r="B23" s="13"/>
      <c r="C23" s="14">
        <v>1223.2</v>
      </c>
      <c r="D23" s="15">
        <v>320</v>
      </c>
      <c r="E23" s="15">
        <v>198.1</v>
      </c>
      <c r="F23" s="15">
        <v>270.1</v>
      </c>
      <c r="G23" s="15">
        <v>4498</v>
      </c>
      <c r="H23" s="15">
        <v>9747</v>
      </c>
      <c r="I23" s="15">
        <v>993.3</v>
      </c>
      <c r="J23" s="15">
        <v>624.9</v>
      </c>
      <c r="K23" s="15">
        <v>-1065</v>
      </c>
      <c r="L23" s="15">
        <v>300.097</v>
      </c>
      <c r="M23" s="15">
        <v>0</v>
      </c>
      <c r="N23" s="15">
        <f>SUM(C20:C23)/4</f>
        <v>1116.25</v>
      </c>
      <c r="O23" s="15"/>
      <c r="P23" s="16">
        <f>C23/C22-1</f>
        <v>0.126335174953959</v>
      </c>
      <c r="Q23" s="16">
        <f>(E23+D23)/C23</f>
        <v>0.423561151079137</v>
      </c>
      <c r="R23" s="16">
        <f>AVERAGE(Q20:Q23)</f>
        <v>0.487003882463957</v>
      </c>
      <c r="S23" s="25">
        <f>SUM(J20:K23)/4</f>
        <v>-322.75</v>
      </c>
      <c r="T23" s="15">
        <f>J23+K23+T22</f>
        <v>-368.1</v>
      </c>
      <c r="U23" s="15">
        <f>-(L23+M23)+U22</f>
        <v>92.587</v>
      </c>
      <c r="V23" s="15">
        <f>V22</f>
        <v>6246.08638208</v>
      </c>
      <c r="W23" s="15">
        <f>F23-G23</f>
        <v>-4227.9</v>
      </c>
      <c r="X23" s="15"/>
      <c r="Y23" s="15"/>
      <c r="Z23" s="15">
        <v>14.275</v>
      </c>
    </row>
    <row r="24" ht="20.05" customHeight="1">
      <c r="B24" s="21">
        <v>2022</v>
      </c>
      <c r="C24" s="14">
        <v>1055</v>
      </c>
      <c r="D24" s="15">
        <v>317</v>
      </c>
      <c r="E24" s="15">
        <v>128</v>
      </c>
      <c r="F24" s="15">
        <v>247</v>
      </c>
      <c r="G24" s="15">
        <v>4925</v>
      </c>
      <c r="H24" s="15">
        <v>10303</v>
      </c>
      <c r="I24" s="15">
        <v>981</v>
      </c>
      <c r="J24" s="15">
        <v>423.6</v>
      </c>
      <c r="K24" s="15">
        <v>-381.7</v>
      </c>
      <c r="L24" s="15">
        <v>-66</v>
      </c>
      <c r="M24" s="15">
        <v>0</v>
      </c>
      <c r="N24" s="15">
        <f>SUM(C21:C24)/4</f>
        <v>1112.8</v>
      </c>
      <c r="O24" s="15"/>
      <c r="P24" s="16">
        <f>C24/C23-1</f>
        <v>-0.137508175277959</v>
      </c>
      <c r="Q24" s="16">
        <f>(E24+D24)/C24</f>
        <v>0.421800947867299</v>
      </c>
      <c r="R24" s="16">
        <f>AVERAGE(Q21:Q24)</f>
        <v>0.459360930808027</v>
      </c>
      <c r="S24" s="25">
        <f>SUM(J21:K24)/4</f>
        <v>-284.175</v>
      </c>
      <c r="T24" s="15">
        <f>J24+K24+T23</f>
        <v>-326.2</v>
      </c>
      <c r="U24" s="15">
        <f>-(L24+M24)+U23</f>
        <v>158.587</v>
      </c>
      <c r="V24" s="15">
        <f>V23</f>
        <v>6246.08638208</v>
      </c>
      <c r="W24" s="15">
        <f>F24-G24</f>
        <v>-4678</v>
      </c>
      <c r="X24" s="15"/>
      <c r="Y24" s="15"/>
      <c r="Z24" s="15">
        <v>14.327</v>
      </c>
    </row>
    <row r="25" ht="20.05" customHeight="1">
      <c r="B25" s="13"/>
      <c r="C25" s="14">
        <v>1055</v>
      </c>
      <c r="D25" s="15">
        <v>405</v>
      </c>
      <c r="E25" s="15">
        <v>13</v>
      </c>
      <c r="F25" s="15">
        <v>163</v>
      </c>
      <c r="G25" s="15">
        <v>5324</v>
      </c>
      <c r="H25" s="15">
        <v>10721</v>
      </c>
      <c r="I25" s="15">
        <v>1013</v>
      </c>
      <c r="J25" s="15">
        <v>481.4</v>
      </c>
      <c r="K25" s="15">
        <v>-608.3</v>
      </c>
      <c r="L25" s="15">
        <v>41</v>
      </c>
      <c r="M25" s="15">
        <v>0</v>
      </c>
      <c r="N25" s="15">
        <f>SUM(C22:C25)/4</f>
        <v>1104.8</v>
      </c>
      <c r="O25" s="15"/>
      <c r="P25" s="16">
        <f>C25/C24-1</f>
        <v>0</v>
      </c>
      <c r="Q25" s="16">
        <f>(E25+D25)/C25</f>
        <v>0.396208530805687</v>
      </c>
      <c r="R25" s="16">
        <f>AVERAGE(Q22:Q25)</f>
        <v>0.433574057069707</v>
      </c>
      <c r="S25" s="25">
        <f>SUM(J22:K25)/4</f>
        <v>-244.93325</v>
      </c>
      <c r="T25" s="15">
        <f>J25+K25+T24</f>
        <v>-453.1</v>
      </c>
      <c r="U25" s="15">
        <f>-(L25+M25)+U24</f>
        <v>117.587</v>
      </c>
      <c r="V25" s="15">
        <f>V24</f>
        <v>6246.08638208</v>
      </c>
      <c r="W25" s="15">
        <f>F25-G25</f>
        <v>-5161</v>
      </c>
      <c r="X25" s="15"/>
      <c r="Y25" s="15"/>
      <c r="Z25" s="15">
        <v>14.66</v>
      </c>
    </row>
    <row r="26" ht="20.05" customHeight="1">
      <c r="B26" s="13"/>
      <c r="C26" s="14">
        <v>1080</v>
      </c>
      <c r="D26" s="15">
        <v>334</v>
      </c>
      <c r="E26" s="15">
        <v>105</v>
      </c>
      <c r="F26" s="15">
        <v>152</v>
      </c>
      <c r="G26" s="15">
        <v>5590</v>
      </c>
      <c r="H26" s="15">
        <v>11093</v>
      </c>
      <c r="I26" s="15">
        <v>1009</v>
      </c>
      <c r="J26" s="15">
        <v>280</v>
      </c>
      <c r="K26" s="15">
        <v>-1261</v>
      </c>
      <c r="L26" s="15">
        <v>1069</v>
      </c>
      <c r="M26" s="15">
        <v>0</v>
      </c>
      <c r="N26" s="15">
        <f>SUM(C23:C26)/4</f>
        <v>1103.3</v>
      </c>
      <c r="O26" s="15"/>
      <c r="P26" s="16">
        <f>C26/C25-1</f>
        <v>0.023696682464455</v>
      </c>
      <c r="Q26" s="16">
        <f>(E26+D26)/C26</f>
        <v>0.406481481481481</v>
      </c>
      <c r="R26" s="16">
        <f>AVERAGE(Q23:Q26)</f>
        <v>0.412013027808401</v>
      </c>
      <c r="S26" s="25">
        <f>SUM(J23:K26)/4</f>
        <v>-376.525</v>
      </c>
      <c r="T26" s="15">
        <f>J26+K26+T25</f>
        <v>-1434.1</v>
      </c>
      <c r="U26" s="15">
        <f>-(L26+M26)+U25</f>
        <v>-951.413</v>
      </c>
      <c r="V26" s="15">
        <f>V25</f>
        <v>6246.08638208</v>
      </c>
      <c r="W26" s="15">
        <f>F26-G26</f>
        <v>-5438</v>
      </c>
      <c r="X26" s="15"/>
      <c r="Y26" s="15"/>
      <c r="Z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AVERAGE(AC41:AF41)</f>
        <v>1101.6790938</v>
      </c>
      <c r="P27" s="17"/>
      <c r="Q27" s="17"/>
      <c r="R27" s="17"/>
      <c r="S27" s="25"/>
      <c r="T27" s="17"/>
      <c r="U27" s="17"/>
      <c r="V27" s="17"/>
      <c r="W27" s="26"/>
      <c r="X27" s="15">
        <v>2270</v>
      </c>
      <c r="Y27" s="15">
        <v>2477.746202942560</v>
      </c>
      <c r="Z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10596.275</v>
      </c>
      <c r="O28" s="15">
        <f>SUM(O17:O26)</f>
        <v>0</v>
      </c>
      <c r="P28" s="17"/>
      <c r="Q28" s="17"/>
      <c r="R28" s="17"/>
      <c r="S28" s="17"/>
      <c r="T28" s="17"/>
      <c r="U28" s="17"/>
      <c r="V28" s="17"/>
      <c r="W28" s="26"/>
      <c r="X28" s="15"/>
      <c r="Y28" s="15">
        <f>AF76</f>
        <v>-8307.387524490439</v>
      </c>
      <c r="Z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26"/>
      <c r="X29" s="15"/>
      <c r="Y29" s="15"/>
      <c r="Z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26"/>
      <c r="O31" s="17"/>
      <c r="P31" s="17"/>
      <c r="Q31" s="17"/>
      <c r="R31" s="17"/>
      <c r="S31" s="17"/>
      <c r="T31" s="17"/>
      <c r="U31" s="17"/>
      <c r="V31" s="17"/>
      <c r="W31" s="26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5" ht="27.65" customHeight="1">
      <c r="AA35" t="s" s="2">
        <v>21</v>
      </c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ht="20.25" customHeight="1">
      <c r="AA36" t="s" s="28">
        <f>B$3</f>
        <v>22</v>
      </c>
      <c r="AB36" t="s" s="29">
        <v>23</v>
      </c>
      <c r="AC36" t="s" s="29">
        <v>24</v>
      </c>
      <c r="AD36" t="s" s="29">
        <v>25</v>
      </c>
      <c r="AE36" t="s" s="29">
        <v>26</v>
      </c>
      <c r="AF36" t="s" s="29">
        <v>23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</row>
    <row r="37" ht="20.25" customHeight="1">
      <c r="AA37" t="s" s="31">
        <v>15</v>
      </c>
      <c r="AB37" s="32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</row>
    <row r="38" ht="20.05" customHeight="1">
      <c r="AA38" t="s" s="33">
        <v>27</v>
      </c>
      <c r="AB38" s="34"/>
      <c r="AC38" s="16">
        <f>AVERAGE(P23:P26)</f>
        <v>0.00313092053511375</v>
      </c>
      <c r="AD38" s="35"/>
      <c r="AE38" s="35"/>
      <c r="AF38" s="35">
        <f>AVERAGE(AC40:AF40)</f>
        <v>0.0125</v>
      </c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</row>
    <row r="39" ht="20.05" customHeight="1">
      <c r="AA39" s="36"/>
      <c r="AB39" s="37"/>
      <c r="AC39" s="35">
        <f>P23</f>
        <v>0.126335174953959</v>
      </c>
      <c r="AD39" s="35">
        <f>P24</f>
        <v>-0.137508175277959</v>
      </c>
      <c r="AE39" s="35">
        <f>P25</f>
        <v>0</v>
      </c>
      <c r="AF39" s="35">
        <f>P26</f>
        <v>0.023696682464455</v>
      </c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</row>
    <row r="40" ht="20.05" customHeight="1">
      <c r="AA40" t="s" s="33">
        <v>13</v>
      </c>
      <c r="AB40" s="37">
        <f>C26/C25-1</f>
        <v>0.023696682464455</v>
      </c>
      <c r="AC40" s="35">
        <v>0.01</v>
      </c>
      <c r="AD40" s="35">
        <v>-0.01</v>
      </c>
      <c r="AE40" s="35">
        <v>0.02</v>
      </c>
      <c r="AF40" s="35">
        <v>0.03</v>
      </c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</row>
    <row r="41" ht="20.05" customHeight="1">
      <c r="AA41" t="s" s="33">
        <v>28</v>
      </c>
      <c r="AB41" s="38">
        <f>C26</f>
        <v>1080</v>
      </c>
      <c r="AC41" s="23">
        <f>C26*(1+AC40)</f>
        <v>1090.8</v>
      </c>
      <c r="AD41" s="23">
        <f>AC41*(1+AD40)</f>
        <v>1079.892</v>
      </c>
      <c r="AE41" s="23">
        <f>AD41*(1+AE40)</f>
        <v>1101.48984</v>
      </c>
      <c r="AF41" s="23">
        <f>AE41*(1+AF40)</f>
        <v>1134.5345352</v>
      </c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</row>
    <row r="42" ht="20.05" customHeight="1">
      <c r="AA42" t="s" s="33">
        <v>14</v>
      </c>
      <c r="AB42" s="37">
        <f>(E26+D26)/C26</f>
        <v>0.406481481481481</v>
      </c>
      <c r="AC42" s="35">
        <f>AVERAGE(R23:R26)</f>
        <v>0.447987974537523</v>
      </c>
      <c r="AD42" s="35">
        <f>AC42</f>
        <v>0.447987974537523</v>
      </c>
      <c r="AE42" s="35">
        <f>AD42</f>
        <v>0.447987974537523</v>
      </c>
      <c r="AF42" s="35">
        <f>AE42</f>
        <v>0.447987974537523</v>
      </c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</row>
    <row r="43" ht="20.05" customHeight="1">
      <c r="AA43" t="s" s="33">
        <v>29</v>
      </c>
      <c r="AB43" s="14">
        <f>AVERAGE(K23:K26)</f>
        <v>-829</v>
      </c>
      <c r="AC43" s="15">
        <f>AVERAGE(K23)</f>
        <v>-1065</v>
      </c>
      <c r="AD43" s="15">
        <f>AC43</f>
        <v>-1065</v>
      </c>
      <c r="AE43" s="15">
        <f>AD43</f>
        <v>-1065</v>
      </c>
      <c r="AF43" s="15">
        <f>AE43</f>
        <v>-1065</v>
      </c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ht="20.05" customHeight="1">
      <c r="AA44" t="s" s="33">
        <v>30</v>
      </c>
      <c r="AB44" s="14"/>
      <c r="AC44" s="15">
        <f>(AC41*AC42)+AC43</f>
        <v>-576.334717374470</v>
      </c>
      <c r="AD44" s="15">
        <f>(AD41*AD42)+AD43</f>
        <v>-581.221370200725</v>
      </c>
      <c r="AE44" s="15">
        <f>(AE41*AE42)+AE43</f>
        <v>-571.545797604740</v>
      </c>
      <c r="AF44" s="15">
        <f>(AF41*AF42)+AF43</f>
        <v>-556.742171532882</v>
      </c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ht="20.05" customHeight="1">
      <c r="AA45" t="s" s="33">
        <v>31</v>
      </c>
      <c r="AB45" s="14"/>
      <c r="AC45" s="15">
        <f>-G26/20</f>
        <v>-279.5</v>
      </c>
      <c r="AD45" s="15">
        <f>-AC60/20</f>
        <v>-265.525</v>
      </c>
      <c r="AE45" s="15">
        <f>-AD60/20</f>
        <v>-252.24875</v>
      </c>
      <c r="AF45" s="15">
        <f>-AE60/20</f>
        <v>-239.6363125</v>
      </c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ht="20.05" customHeight="1">
      <c r="AA46" t="s" s="33">
        <v>32</v>
      </c>
      <c r="AB46" s="39"/>
      <c r="AC46" s="40">
        <v>0</v>
      </c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ht="20.05" customHeight="1">
      <c r="AA47" t="s" s="33">
        <v>33</v>
      </c>
      <c r="AB47" s="14"/>
      <c r="AC47" s="15">
        <f>IF(AC55&gt;0,AC55*$AC$46,0)</f>
        <v>0</v>
      </c>
      <c r="AD47" s="15">
        <f>IF(AD55&gt;0,AD55*$AC$46,0)</f>
        <v>0</v>
      </c>
      <c r="AE47" s="15">
        <f>IF(AE55&gt;0,AE55*$AC$46,0)</f>
        <v>0</v>
      </c>
      <c r="AF47" s="15">
        <f>IF(AF55&gt;0,AF55*$AC$46,0)</f>
        <v>0</v>
      </c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ht="20.05" customHeight="1">
      <c r="AA48" t="s" s="33">
        <v>34</v>
      </c>
      <c r="AB48" s="14"/>
      <c r="AC48" s="15">
        <f>AC44+AC45+AC47</f>
        <v>-855.834717374470</v>
      </c>
      <c r="AD48" s="15">
        <f>AD44+AD45+AD47</f>
        <v>-846.746370200725</v>
      </c>
      <c r="AE48" s="15">
        <f>AE44+AE45+AE47</f>
        <v>-823.794547604740</v>
      </c>
      <c r="AF48" s="15">
        <f>AF44+AF45+AF47</f>
        <v>-796.3784840328821</v>
      </c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ht="20.05" customHeight="1">
      <c r="AA49" t="s" s="33">
        <v>35</v>
      </c>
      <c r="AB49" s="14"/>
      <c r="AC49" s="15">
        <f>-MIN(0,AC48)</f>
        <v>855.834717374470</v>
      </c>
      <c r="AD49" s="15">
        <f>-MIN(AC61,AD48)</f>
        <v>846.746370200725</v>
      </c>
      <c r="AE49" s="15">
        <f>-MIN(AD61,AE48)</f>
        <v>823.794547604740</v>
      </c>
      <c r="AF49" s="15">
        <f>-MIN(AE61,AF48)</f>
        <v>796.3784840328821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ht="20.05" customHeight="1">
      <c r="AA50" t="s" s="33">
        <v>36</v>
      </c>
      <c r="AB50" s="14"/>
      <c r="AC50" s="15">
        <f>F26</f>
        <v>152</v>
      </c>
      <c r="AD50" s="15">
        <f>AC52</f>
        <v>152</v>
      </c>
      <c r="AE50" s="15">
        <f>AD52</f>
        <v>152</v>
      </c>
      <c r="AF50" s="15">
        <f>AE52</f>
        <v>152</v>
      </c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ht="20.05" customHeight="1">
      <c r="AA51" t="s" s="33">
        <v>37</v>
      </c>
      <c r="AB51" s="14"/>
      <c r="AC51" s="15">
        <f>AC44+AC45+AC47+AC49</f>
        <v>0</v>
      </c>
      <c r="AD51" s="15">
        <f>AD44+AD45+AD47+AD49</f>
        <v>0</v>
      </c>
      <c r="AE51" s="15">
        <f>AE44+AE45+AE47+AE49</f>
        <v>0</v>
      </c>
      <c r="AF51" s="15">
        <f>AF44+AF45+AF47+AF49</f>
        <v>0</v>
      </c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ht="20.05" customHeight="1">
      <c r="AA52" t="s" s="33">
        <v>38</v>
      </c>
      <c r="AB52" s="14"/>
      <c r="AC52" s="15">
        <f>AC50+AC51</f>
        <v>152</v>
      </c>
      <c r="AD52" s="15">
        <f>AD50+AD51</f>
        <v>152</v>
      </c>
      <c r="AE52" s="15">
        <f>AE50+AE51</f>
        <v>152</v>
      </c>
      <c r="AF52" s="15">
        <f>AF50+AF51</f>
        <v>152</v>
      </c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ht="20.05" customHeight="1">
      <c r="AA53" t="s" s="41">
        <v>4</v>
      </c>
      <c r="AB53" s="14"/>
      <c r="AC53" s="15"/>
      <c r="AD53" s="15"/>
      <c r="AE53" s="15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ht="20.05" customHeight="1">
      <c r="AA54" t="s" s="33">
        <v>3</v>
      </c>
      <c r="AB54" s="14"/>
      <c r="AC54" s="15">
        <f>-AVERAGE(D24:D26)</f>
        <v>-352</v>
      </c>
      <c r="AD54" s="15">
        <f>AC54</f>
        <v>-352</v>
      </c>
      <c r="AE54" s="15">
        <f>AD54</f>
        <v>-352</v>
      </c>
      <c r="AF54" s="15">
        <f>AE54</f>
        <v>-352</v>
      </c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ht="20.05" customHeight="1">
      <c r="AA55" t="s" s="33">
        <v>4</v>
      </c>
      <c r="AB55" s="14"/>
      <c r="AC55" s="15">
        <f>(AC41*AC42)+AC54</f>
        <v>136.665282625530</v>
      </c>
      <c r="AD55" s="15">
        <f>(AD41*AD42)+AD54</f>
        <v>131.778629799275</v>
      </c>
      <c r="AE55" s="15">
        <f>(AE41*AE42)+AE54</f>
        <v>141.454202395260</v>
      </c>
      <c r="AF55" s="15">
        <f>(AF41*AF42)+AF54</f>
        <v>156.257828467118</v>
      </c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ht="20.05" customHeight="1">
      <c r="AA57" t="s" s="33">
        <v>40</v>
      </c>
      <c r="AB57" s="14"/>
      <c r="AC57" s="15">
        <f>H26-F26-AC43</f>
        <v>12006</v>
      </c>
      <c r="AD57" s="15">
        <f>AC57-AD43</f>
        <v>13071</v>
      </c>
      <c r="AE57" s="15">
        <f>AD57-AE43</f>
        <v>14136</v>
      </c>
      <c r="AF57" s="15">
        <f>AE57-AF43</f>
        <v>15201</v>
      </c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ht="20.05" customHeight="1">
      <c r="AA58" t="s" s="33">
        <v>41</v>
      </c>
      <c r="AB58" s="14"/>
      <c r="AC58" s="15">
        <f>0-AC54</f>
        <v>352</v>
      </c>
      <c r="AD58" s="15">
        <f>AC58-AD54</f>
        <v>704</v>
      </c>
      <c r="AE58" s="15">
        <f>AD58-AE54</f>
        <v>1056</v>
      </c>
      <c r="AF58" s="15">
        <f>AE58-AF54</f>
        <v>1408</v>
      </c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ht="20.05" customHeight="1">
      <c r="AA59" t="s" s="33">
        <v>42</v>
      </c>
      <c r="AB59" s="14"/>
      <c r="AC59" s="15">
        <f>AC57-AC58</f>
        <v>11654</v>
      </c>
      <c r="AD59" s="15">
        <f>AD57-AD58</f>
        <v>12367</v>
      </c>
      <c r="AE59" s="15">
        <f>AE57-AE58</f>
        <v>13080</v>
      </c>
      <c r="AF59" s="15">
        <f>AF57-AF58</f>
        <v>13793</v>
      </c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ht="20.05" customHeight="1">
      <c r="AA60" t="s" s="33">
        <v>6</v>
      </c>
      <c r="AB60" s="14"/>
      <c r="AC60" s="15">
        <f>G26+AC45</f>
        <v>5310.5</v>
      </c>
      <c r="AD60" s="15">
        <f>AC60+AD45</f>
        <v>5044.975</v>
      </c>
      <c r="AE60" s="15">
        <f>AD60+AE45</f>
        <v>4792.72625</v>
      </c>
      <c r="AF60" s="15">
        <f>AE60+AF45</f>
        <v>4553.0899375</v>
      </c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ht="20.05" customHeight="1">
      <c r="AA61" t="s" s="33">
        <v>35</v>
      </c>
      <c r="AB61" s="14"/>
      <c r="AC61" s="15">
        <f>AC49</f>
        <v>855.834717374470</v>
      </c>
      <c r="AD61" s="15">
        <f>AC61+AD49</f>
        <v>1702.5810875752</v>
      </c>
      <c r="AE61" s="15">
        <f>AD61+AE49</f>
        <v>2526.375635179940</v>
      </c>
      <c r="AF61" s="15">
        <f>AE61+AF49</f>
        <v>3322.754119212820</v>
      </c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ht="20.05" customHeight="1">
      <c r="AA62" t="s" s="33">
        <v>11</v>
      </c>
      <c r="AB62" s="14"/>
      <c r="AC62" s="15">
        <f>(H26-G26)+AC55+AC47</f>
        <v>5639.665282625530</v>
      </c>
      <c r="AD62" s="15">
        <f>AC62+AD55+AD47</f>
        <v>5771.443912424810</v>
      </c>
      <c r="AE62" s="15">
        <f>AD62+AE55+AE47</f>
        <v>5912.898114820070</v>
      </c>
      <c r="AF62" s="15">
        <f>AE62+AF55+AF47</f>
        <v>6069.155943287190</v>
      </c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ht="20.05" customHeight="1">
      <c r="AA63" t="s" s="33">
        <v>43</v>
      </c>
      <c r="AB63" s="14"/>
      <c r="AC63" s="15">
        <f>AC60+AC61+AC62-AC52-AC59</f>
        <v>0</v>
      </c>
      <c r="AD63" s="15">
        <f>AD60+AD61+AD62-AD52-AD59</f>
        <v>9.999999999999999e-12</v>
      </c>
      <c r="AE63" s="15">
        <f>AE60+AE61+AE62-AE52-AE59</f>
        <v>9.999999999999999e-12</v>
      </c>
      <c r="AF63" s="15">
        <f>AF60+AF61+AF62-AF52-AF59</f>
        <v>9.999999999999999e-12</v>
      </c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ht="20.05" customHeight="1">
      <c r="AA64" t="s" s="33">
        <v>18</v>
      </c>
      <c r="AB64" s="14"/>
      <c r="AC64" s="15">
        <f>AC52-AC60-AC61</f>
        <v>-6014.334717374470</v>
      </c>
      <c r="AD64" s="15">
        <f>AD52-AD60-AD61</f>
        <v>-6595.5560875752</v>
      </c>
      <c r="AE64" s="15">
        <f>AE52-AE60-AE61</f>
        <v>-7167.101885179940</v>
      </c>
      <c r="AF64" s="15">
        <f>AF52-AF60-AF61</f>
        <v>-7723.844056712820</v>
      </c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ht="20.05" customHeight="1">
      <c r="AA65" t="s" s="33">
        <v>44</v>
      </c>
      <c r="AB65" s="14"/>
      <c r="AC65" s="15">
        <f>AC45+AC47+AC49</f>
        <v>576.334717374470</v>
      </c>
      <c r="AD65" s="15">
        <f>AD45+AD47+AD49</f>
        <v>581.221370200725</v>
      </c>
      <c r="AE65" s="15">
        <f>AE45+AE47+AE49</f>
        <v>571.545797604740</v>
      </c>
      <c r="AF65" s="15">
        <f>AF45+AF47+AF49</f>
        <v>556.742171532882</v>
      </c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ht="20.05" customHeight="1">
      <c r="AA67" t="s" s="33">
        <f>X$3</f>
        <v>657</v>
      </c>
      <c r="AB67" s="14"/>
      <c r="AC67" s="15"/>
      <c r="AD67" s="15"/>
      <c r="AE67" s="15"/>
      <c r="AF67" s="15">
        <v>2270</v>
      </c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ht="20.05" customHeight="1">
      <c r="AA68" t="s" s="33">
        <v>46</v>
      </c>
      <c r="AB68" s="14"/>
      <c r="AC68" s="15"/>
      <c r="AD68" s="15"/>
      <c r="AE68" s="15"/>
      <c r="AF68" s="15">
        <v>6246.08638208</v>
      </c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ht="20.05" customHeight="1">
      <c r="AA69" t="s" s="33">
        <v>47</v>
      </c>
      <c r="AB69" s="14"/>
      <c r="AC69" s="15"/>
      <c r="AD69" s="15"/>
      <c r="AE69" s="15"/>
      <c r="AF69" s="15">
        <f>AF68/AF67</f>
        <v>2.751579904</v>
      </c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ht="20.05" customHeight="1">
      <c r="AA70" t="s" s="33">
        <v>48</v>
      </c>
      <c r="AB70" s="14"/>
      <c r="AC70" s="15"/>
      <c r="AD70" s="15"/>
      <c r="AE70" s="15"/>
      <c r="AF70" s="43">
        <f>AF68/(AF52+AF59)</f>
        <v>0.447908668489064</v>
      </c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</row>
    <row r="71" ht="20.05" customHeight="1">
      <c r="AA71" t="s" s="33">
        <v>49</v>
      </c>
      <c r="AB71" s="14"/>
      <c r="AC71" s="15"/>
      <c r="AD71" s="15"/>
      <c r="AE71" s="15"/>
      <c r="AF71" s="16">
        <f>-(AC47+AD47+AE47+AF47)/AF68</f>
        <v>0</v>
      </c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</row>
    <row r="72" ht="20.05" customHeight="1">
      <c r="AA72" t="s" s="33">
        <v>50</v>
      </c>
      <c r="AB72" s="14"/>
      <c r="AC72" s="15"/>
      <c r="AD72" s="15"/>
      <c r="AE72" s="15">
        <f>SUM(J23:K26)</f>
        <v>-1506.1</v>
      </c>
      <c r="AF72" s="15">
        <f>SUM(AC44:AF44)</f>
        <v>-2285.844056712820</v>
      </c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ht="20.05" customHeight="1">
      <c r="AA73" t="s" s="33">
        <v>51</v>
      </c>
      <c r="AB73" s="14"/>
      <c r="AC73" s="15"/>
      <c r="AD73" s="15"/>
      <c r="AE73" s="15"/>
      <c r="AF73" s="15">
        <f>AF59/AF72</f>
        <v>-6.03409491539644</v>
      </c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ht="20.05" customHeight="1">
      <c r="AA74" t="s" s="33">
        <v>52</v>
      </c>
      <c r="AB74" s="14"/>
      <c r="AC74" s="15"/>
      <c r="AD74" s="15"/>
      <c r="AE74" s="15">
        <f>AF68/AF72</f>
        <v>-2.73250765455201</v>
      </c>
      <c r="AF74" s="15">
        <v>10</v>
      </c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ht="20.05" customHeight="1">
      <c r="AA75" t="s" s="33">
        <v>53</v>
      </c>
      <c r="AB75" s="14"/>
      <c r="AC75" s="15"/>
      <c r="AD75" s="15"/>
      <c r="AE75" s="15"/>
      <c r="AF75" s="15">
        <f>AF72*AF74</f>
        <v>-22858.4405671282</v>
      </c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ht="20.05" customHeight="1">
      <c r="AA76" t="s" s="33">
        <v>54</v>
      </c>
      <c r="AB76" s="14"/>
      <c r="AC76" s="15"/>
      <c r="AD76" s="15"/>
      <c r="AE76" s="15"/>
      <c r="AF76" s="15">
        <f>(AF75/AF69)</f>
        <v>-8307.387524490439</v>
      </c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ht="20.05" customHeight="1">
      <c r="AA77" t="s" s="33">
        <v>55</v>
      </c>
      <c r="AB77" s="38"/>
      <c r="AC77" s="23"/>
      <c r="AD77" s="23"/>
      <c r="AE77" s="23"/>
      <c r="AF77" s="16">
        <f>AF76/AF67-1</f>
        <v>-4.65964208127332</v>
      </c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</row>
    <row r="78" ht="20.05" customHeight="1">
      <c r="AA78" t="s" s="33">
        <v>56</v>
      </c>
      <c r="AB78" s="38"/>
      <c r="AC78" s="23"/>
      <c r="AD78" s="23"/>
      <c r="AE78" s="23"/>
      <c r="AF78" s="16">
        <f>C26/C22-1</f>
        <v>-0.00552486187845304</v>
      </c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</row>
    <row r="79" ht="20.05" customHeight="1">
      <c r="AA79" t="s" s="33">
        <v>57</v>
      </c>
      <c r="AB79" s="38"/>
      <c r="AC79" s="23"/>
      <c r="AD79" s="23"/>
      <c r="AE79" s="23"/>
      <c r="AF79" s="16">
        <f>O28/N28-1</f>
        <v>-1</v>
      </c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</row>
    <row r="80" ht="20.05" customHeight="1">
      <c r="AA80" s="36"/>
      <c r="AB80" s="38"/>
      <c r="AC80" s="23"/>
      <c r="AD80" s="23"/>
      <c r="AE80" s="23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</row>
    <row r="81" ht="20.05" customHeight="1">
      <c r="AA81" s="36"/>
      <c r="AB81" s="38"/>
      <c r="AC81" t="s" s="44">
        <f>$AA67</f>
        <v>657</v>
      </c>
      <c r="AD81" t="s" s="44">
        <f>AC103</f>
        <v>15</v>
      </c>
      <c r="AE81" t="s" s="44">
        <f>AD103</f>
        <v>360</v>
      </c>
      <c r="AF81" t="s" s="44">
        <f>AE103</f>
        <v>485</v>
      </c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</row>
    <row r="82" ht="20.05" customHeight="1">
      <c r="AA82" s="36"/>
      <c r="AB82" s="45"/>
      <c r="AC82" t="s" s="44">
        <v>60</v>
      </c>
      <c r="AD82" s="15">
        <f>AF67</f>
        <v>2270</v>
      </c>
      <c r="AE82" t="s" s="44">
        <v>61</v>
      </c>
      <c r="AF82" s="15">
        <f>AF76</f>
        <v>-8307.387524490439</v>
      </c>
      <c r="AG82" t="s" s="44">
        <f>IF(AH82&gt;0,"+","")</f>
      </c>
      <c r="AH82" s="16">
        <f>AF82/AD82-1</f>
        <v>-4.65964208127332</v>
      </c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ht="20.05" customHeight="1">
      <c r="AA83" s="36"/>
      <c r="AB83" s="46"/>
      <c r="AC83" s="47">
        <f>TODAY()</f>
        <v>44942</v>
      </c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ht="32.05" customHeight="1">
      <c r="AA84" s="36"/>
      <c r="AB84" s="34"/>
      <c r="AC84" t="s" s="44">
        <v>62</v>
      </c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ht="32.05" customHeight="1">
      <c r="AA85" s="36"/>
      <c r="AB85" s="34"/>
      <c r="AC85" t="s" s="44">
        <v>63</v>
      </c>
      <c r="AD85" t="s" s="44">
        <v>64</v>
      </c>
      <c r="AE85" t="s" s="44">
        <f>IF(AF85&gt;0,"+","")</f>
      </c>
      <c r="AF85" s="16">
        <f>AK92/AC92-1</f>
        <v>-0.00552486187845304</v>
      </c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ht="32.05" customHeight="1">
      <c r="AA86" s="36"/>
      <c r="AB86" s="34"/>
      <c r="AC86" t="s" s="44">
        <v>63</v>
      </c>
      <c r="AD86" t="s" s="44">
        <v>65</v>
      </c>
      <c r="AE86" t="s" s="44">
        <f>IF(AF86&gt;0,"+","")</f>
      </c>
      <c r="AF86" s="16">
        <f>(AE107+AE108+AG107+AG108+AI107+AI108+AK107+AK108)/AD124</f>
        <v>-0.241126988624588</v>
      </c>
      <c r="AG86" t="s" s="44">
        <v>66</v>
      </c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ht="68.05" customHeight="1">
      <c r="AA87" s="36"/>
      <c r="AB87" s="34"/>
      <c r="AC87" t="s" s="44">
        <v>63</v>
      </c>
      <c r="AD87" t="s" s="44">
        <v>67</v>
      </c>
      <c r="AE87" t="s" s="44">
        <f>IF(AF87&gt;0,"+","")</f>
      </c>
      <c r="AF87" s="16">
        <f>(AE121+AE122+AG121+AG122+AI121+AI122+AK121+AK122)/AD124</f>
        <v>-0.215190267597997</v>
      </c>
      <c r="AG87" t="s" s="44">
        <f>AG86</f>
        <v>66</v>
      </c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ht="44.05" customHeight="1">
      <c r="AA88" s="36"/>
      <c r="AB88" s="34"/>
      <c r="AC88" t="s" s="44">
        <v>68</v>
      </c>
      <c r="AD88" t="s" s="44">
        <v>69</v>
      </c>
      <c r="AE88" s="16">
        <f>AN117/AD124</f>
        <v>-0.870625167080879</v>
      </c>
      <c r="AF88" t="s" s="44">
        <f>AG87</f>
        <v>66</v>
      </c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ht="20.05" customHeight="1">
      <c r="AA89" s="36"/>
      <c r="AB89" s="34"/>
      <c r="AC89" t="s" s="44">
        <v>28</v>
      </c>
      <c r="AD89" t="s" s="44">
        <f>AD93</f>
        <v>362</v>
      </c>
      <c r="AE89" s="16">
        <f>AE93</f>
        <v>0.023696682464455</v>
      </c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ht="68.05" customHeight="1">
      <c r="AA90" s="36"/>
      <c r="AB90" s="34"/>
      <c r="AC90" t="s" s="44">
        <v>70</v>
      </c>
      <c r="AD90" t="s" s="44">
        <v>71</v>
      </c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ht="20.05" customHeight="1">
      <c r="AA91" s="36"/>
      <c r="AB91" s="34"/>
      <c r="AC91" s="16">
        <f>P22</f>
        <v>-0.000919963201471941</v>
      </c>
      <c r="AD91" s="16">
        <f>P23</f>
        <v>0.126335174953959</v>
      </c>
      <c r="AE91" s="16">
        <f>P24</f>
        <v>-0.137508175277959</v>
      </c>
      <c r="AF91" s="16">
        <f>P25</f>
        <v>0</v>
      </c>
      <c r="AG91" s="16">
        <f>P26</f>
        <v>0.023696682464455</v>
      </c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ht="32.05" customHeight="1">
      <c r="AA92" s="36"/>
      <c r="AB92" s="34"/>
      <c r="AC92" s="15">
        <f>C22</f>
        <v>1086</v>
      </c>
      <c r="AD92" t="s" s="44">
        <v>72</v>
      </c>
      <c r="AE92" s="15">
        <f>C23</f>
        <v>1223.2</v>
      </c>
      <c r="AF92" t="s" s="44">
        <v>72</v>
      </c>
      <c r="AG92" s="15">
        <f>C24</f>
        <v>1055</v>
      </c>
      <c r="AH92" t="s" s="44">
        <v>72</v>
      </c>
      <c r="AI92" s="15">
        <f>C25</f>
        <v>1055</v>
      </c>
      <c r="AJ92" t="s" s="44">
        <v>72</v>
      </c>
      <c r="AK92" s="15">
        <f>C26</f>
        <v>1080</v>
      </c>
      <c r="AL92" t="s" s="48">
        <f>AA$36</f>
        <v>22</v>
      </c>
      <c r="AM92" s="17"/>
      <c r="AN92" s="17"/>
      <c r="AO92" s="17"/>
      <c r="AP92" s="17"/>
      <c r="AQ92" s="17"/>
      <c r="AR92" s="17"/>
      <c r="AS92" s="17"/>
      <c r="AT92" s="17"/>
    </row>
    <row r="93" ht="56.05" customHeight="1">
      <c r="AA93" s="36"/>
      <c r="AB93" s="34"/>
      <c r="AC93" t="s" s="44">
        <v>2</v>
      </c>
      <c r="AD93" t="s" s="44">
        <f>IF(AE93&lt;0,"declined","grew")</f>
        <v>362</v>
      </c>
      <c r="AE93" s="16">
        <f>AK92/AI92-1</f>
        <v>0.023696682464455</v>
      </c>
      <c r="AF93" t="s" s="44">
        <v>73</v>
      </c>
      <c r="AG93" t="s" s="44">
        <v>74</v>
      </c>
      <c r="AH93" t="s" s="44">
        <v>75</v>
      </c>
      <c r="AI93" t="s" s="44">
        <v>76</v>
      </c>
      <c r="AJ93" s="15">
        <f>AK92</f>
        <v>1080</v>
      </c>
      <c r="AK93" t="s" s="48">
        <f>AL92</f>
        <v>22</v>
      </c>
      <c r="AL93" t="s" s="44">
        <v>77</v>
      </c>
      <c r="AM93" t="s" s="44">
        <f>IF(AN93&gt;0,"+","")</f>
      </c>
      <c r="AN93" s="16">
        <f>AF79</f>
        <v>-1</v>
      </c>
      <c r="AO93" t="s" s="44">
        <v>78</v>
      </c>
      <c r="AP93" s="17"/>
      <c r="AQ93" s="17"/>
      <c r="AR93" s="17"/>
      <c r="AS93" s="17"/>
      <c r="AT93" s="17"/>
    </row>
    <row r="94" ht="56.05" customHeight="1">
      <c r="AA94" s="36"/>
      <c r="AB94" s="34"/>
      <c r="AC94" t="s" s="44">
        <v>79</v>
      </c>
      <c r="AD94" s="16">
        <f>AVERAGE(AD91:AG91)</f>
        <v>0.00313092053511375</v>
      </c>
      <c r="AE94" t="s" s="44">
        <v>80</v>
      </c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ht="56.05" customHeight="1">
      <c r="AA95" s="36"/>
      <c r="AB95" s="34"/>
      <c r="AC95" t="s" s="44">
        <v>81</v>
      </c>
      <c r="AD95" s="35">
        <f>AF38</f>
        <v>0.0125</v>
      </c>
      <c r="AE95" t="s" s="44">
        <v>82</v>
      </c>
      <c r="AF95" t="s" s="44">
        <v>83</v>
      </c>
      <c r="AG95" s="23">
        <f>AF41</f>
        <v>1134.5345352</v>
      </c>
      <c r="AH95" t="s" s="48">
        <f>AL92</f>
        <v>22</v>
      </c>
      <c r="AI95" t="s" s="44">
        <v>84</v>
      </c>
      <c r="AJ95" t="s" s="44">
        <f>AG93</f>
        <v>74</v>
      </c>
      <c r="AK95" t="s" s="44">
        <f>AH93</f>
        <v>75</v>
      </c>
      <c r="AL95" t="s" s="44">
        <v>85</v>
      </c>
      <c r="AM95" s="17"/>
      <c r="AN95" s="17"/>
      <c r="AO95" s="17"/>
      <c r="AP95" s="17"/>
      <c r="AQ95" s="17"/>
      <c r="AR95" s="17"/>
      <c r="AS95" s="17"/>
      <c r="AT95" s="17"/>
    </row>
    <row r="96" ht="20.05" customHeight="1">
      <c r="AA96" s="36"/>
      <c r="AB96" s="34"/>
      <c r="AC96" t="s" s="44">
        <v>14</v>
      </c>
      <c r="AD96" t="s" s="44">
        <f>IF(AF100&lt;AD100,"down","up")</f>
        <v>108</v>
      </c>
      <c r="AE96" t="s" s="44">
        <v>86</v>
      </c>
      <c r="AF96" t="s" s="44">
        <f>IF(AJ100&gt;AH100,"up","down")</f>
        <v>108</v>
      </c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ht="44.05" customHeight="1">
      <c r="AA97" s="36"/>
      <c r="AB97" s="34"/>
      <c r="AC97" t="s" s="44">
        <f>AC90</f>
        <v>70</v>
      </c>
      <c r="AD97" t="s" s="44">
        <v>88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ht="20.05" customHeight="1">
      <c r="AA98" s="36"/>
      <c r="AB98" s="34"/>
      <c r="AC98" s="16">
        <f>(D22+E22)/C22</f>
        <v>0.492725598526703</v>
      </c>
      <c r="AD98" s="16">
        <f>(D23+E23)/C23</f>
        <v>0.423561151079137</v>
      </c>
      <c r="AE98" s="16">
        <f>((E24+D24)/C24)</f>
        <v>0.421800947867299</v>
      </c>
      <c r="AF98" s="16">
        <f>(D25+E25)/C25</f>
        <v>0.396208530805687</v>
      </c>
      <c r="AG98" s="16">
        <f>(D26+E26)/C26</f>
        <v>0.406481481481481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ht="32.05" customHeight="1">
      <c r="AA99" s="36"/>
      <c r="AB99" s="34"/>
      <c r="AC99" s="15">
        <f>E22</f>
        <v>215.1</v>
      </c>
      <c r="AD99" t="s" s="44">
        <v>72</v>
      </c>
      <c r="AE99" s="15">
        <f>E23</f>
        <v>198.1</v>
      </c>
      <c r="AF99" t="s" s="44">
        <v>72</v>
      </c>
      <c r="AG99" s="15">
        <f>E24</f>
        <v>128</v>
      </c>
      <c r="AH99" t="s" s="44">
        <v>72</v>
      </c>
      <c r="AI99" s="15">
        <f>E25</f>
        <v>13</v>
      </c>
      <c r="AJ99" t="s" s="44">
        <v>72</v>
      </c>
      <c r="AK99" s="15">
        <f>E26</f>
        <v>105</v>
      </c>
      <c r="AL99" t="s" s="48">
        <f>AL92</f>
        <v>22</v>
      </c>
      <c r="AM99" s="17"/>
      <c r="AN99" s="17"/>
      <c r="AO99" s="17"/>
      <c r="AP99" s="17"/>
      <c r="AQ99" s="17"/>
      <c r="AR99" s="17"/>
      <c r="AS99" s="17"/>
      <c r="AT99" s="17"/>
    </row>
    <row r="100" ht="44.05" customHeight="1">
      <c r="AA100" s="36"/>
      <c r="AB100" s="34"/>
      <c r="AC100" t="s" s="44">
        <v>89</v>
      </c>
      <c r="AD100" s="16">
        <f>AF98</f>
        <v>0.396208530805687</v>
      </c>
      <c r="AE100" t="s" s="44">
        <v>76</v>
      </c>
      <c r="AF100" s="16">
        <f>AG98</f>
        <v>0.406481481481481</v>
      </c>
      <c r="AG100" t="s" s="44">
        <v>90</v>
      </c>
      <c r="AH100" s="15">
        <f>AI99</f>
        <v>13</v>
      </c>
      <c r="AI100" t="s" s="44">
        <v>76</v>
      </c>
      <c r="AJ100" s="15">
        <f>AK99</f>
        <v>105</v>
      </c>
      <c r="AK100" t="s" s="48">
        <f>AH95</f>
        <v>22</v>
      </c>
      <c r="AL100" t="s" s="44">
        <v>73</v>
      </c>
      <c r="AM100" t="s" s="44">
        <f>AJ95</f>
        <v>74</v>
      </c>
      <c r="AN100" t="s" s="44">
        <v>91</v>
      </c>
      <c r="AO100" s="17"/>
      <c r="AP100" s="17"/>
      <c r="AQ100" s="17"/>
      <c r="AR100" s="17"/>
      <c r="AS100" s="17"/>
      <c r="AT100" s="17"/>
    </row>
    <row r="101" ht="68.05" customHeight="1">
      <c r="AA101" s="36"/>
      <c r="AB101" s="34"/>
      <c r="AC101" t="s" s="44">
        <v>92</v>
      </c>
      <c r="AD101" s="16">
        <f>AVERAGE(AD98:AG98)</f>
        <v>0.412013027808401</v>
      </c>
      <c r="AE101" t="s" s="44">
        <v>78</v>
      </c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ht="44.05" customHeight="1">
      <c r="AA102" s="36"/>
      <c r="AB102" s="34"/>
      <c r="AC102" t="s" s="44">
        <v>93</v>
      </c>
      <c r="AD102" s="35">
        <f>AC42</f>
        <v>0.447987974537523</v>
      </c>
      <c r="AE102" t="s" s="44">
        <v>94</v>
      </c>
      <c r="AF102" s="15">
        <f>AF55</f>
        <v>156.257828467118</v>
      </c>
      <c r="AG102" t="s" s="48">
        <f>AK100</f>
        <v>22</v>
      </c>
      <c r="AH102" t="s" s="44">
        <v>95</v>
      </c>
      <c r="AI102" t="s" s="44">
        <f>AM100</f>
        <v>74</v>
      </c>
      <c r="AJ102" t="s" s="44">
        <f>AH93</f>
        <v>75</v>
      </c>
      <c r="AK102" t="s" s="44">
        <f>AL95</f>
        <v>85</v>
      </c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ht="20.05" customHeight="1">
      <c r="AA103" s="36"/>
      <c r="AB103" s="34"/>
      <c r="AC103" t="s" s="44">
        <v>15</v>
      </c>
      <c r="AD103" t="s" s="44">
        <f>IF(AD105&gt;AC105,"more","less")</f>
        <v>360</v>
      </c>
      <c r="AE103" t="s" s="44">
        <f>IF(AF109&lt;0,"negative","positive")</f>
        <v>485</v>
      </c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ht="8.35" customHeight="1" hidden="1">
      <c r="AA104" s="36"/>
      <c r="AB104" s="34"/>
      <c r="AC104" s="17"/>
      <c r="AD104" s="15">
        <f>ABS(AD109)</f>
        <v>126.9</v>
      </c>
      <c r="AE104" s="15">
        <f>ABS(AF109)</f>
        <v>981</v>
      </c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ht="8.35" customHeight="1" hidden="1">
      <c r="AA105" s="36"/>
      <c r="AB105" s="34"/>
      <c r="AC105" s="15">
        <f>ABS(AD109)</f>
        <v>126.9</v>
      </c>
      <c r="AD105" s="15">
        <f>ABS(AF109)</f>
        <v>981</v>
      </c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ht="56.05" customHeight="1">
      <c r="AA106" s="36"/>
      <c r="AB106" s="34"/>
      <c r="AC106" t="s" s="44">
        <f>AC97</f>
        <v>70</v>
      </c>
      <c r="AD106" t="s" s="44">
        <v>96</v>
      </c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ht="32.05" customHeight="1">
      <c r="AA107" s="36"/>
      <c r="AB107" s="34"/>
      <c r="AC107" s="15">
        <f>J22</f>
        <v>343.467</v>
      </c>
      <c r="AD107" t="s" s="44">
        <v>72</v>
      </c>
      <c r="AE107" s="15">
        <f>J23</f>
        <v>624.9</v>
      </c>
      <c r="AF107" t="s" s="44">
        <v>72</v>
      </c>
      <c r="AG107" s="15">
        <f>J24</f>
        <v>423.6</v>
      </c>
      <c r="AH107" t="s" s="44">
        <v>72</v>
      </c>
      <c r="AI107" s="15">
        <f>J25</f>
        <v>481.4</v>
      </c>
      <c r="AJ107" t="s" s="44">
        <v>72</v>
      </c>
      <c r="AK107" s="15">
        <f>J26</f>
        <v>280</v>
      </c>
      <c r="AL107" t="s" s="48">
        <f>AL92</f>
        <v>22</v>
      </c>
      <c r="AM107" s="17"/>
      <c r="AN107" s="17"/>
      <c r="AO107" s="17"/>
      <c r="AP107" s="17"/>
      <c r="AQ107" s="17"/>
      <c r="AR107" s="17"/>
      <c r="AS107" s="17"/>
      <c r="AT107" s="17"/>
    </row>
    <row r="108" ht="32.05" customHeight="1">
      <c r="AA108" s="36"/>
      <c r="AB108" s="34"/>
      <c r="AC108" s="15">
        <f>K22</f>
        <v>-798.1</v>
      </c>
      <c r="AD108" t="s" s="44">
        <v>72</v>
      </c>
      <c r="AE108" s="15">
        <f>K23</f>
        <v>-1065</v>
      </c>
      <c r="AF108" t="s" s="44">
        <v>72</v>
      </c>
      <c r="AG108" s="15">
        <f>K24</f>
        <v>-381.7</v>
      </c>
      <c r="AH108" t="s" s="44">
        <v>72</v>
      </c>
      <c r="AI108" s="15">
        <f>K25</f>
        <v>-608.3</v>
      </c>
      <c r="AJ108" t="s" s="44">
        <v>72</v>
      </c>
      <c r="AK108" s="15">
        <f>K26</f>
        <v>-1261</v>
      </c>
      <c r="AL108" t="s" s="48">
        <f>AL107</f>
        <v>22</v>
      </c>
      <c r="AM108" s="17"/>
      <c r="AN108" s="17"/>
      <c r="AO108" s="17"/>
      <c r="AP108" s="17"/>
      <c r="AQ108" s="17"/>
      <c r="AR108" s="17"/>
      <c r="AS108" s="17"/>
      <c r="AT108" s="17"/>
    </row>
    <row r="109" ht="44.05" customHeight="1">
      <c r="AA109" s="36"/>
      <c r="AB109" s="34"/>
      <c r="AC109" t="s" s="44">
        <v>97</v>
      </c>
      <c r="AD109" s="15">
        <f>AI107+AI108</f>
        <v>-126.9</v>
      </c>
      <c r="AE109" t="s" s="44">
        <v>76</v>
      </c>
      <c r="AF109" s="15">
        <f>AK107+AK108</f>
        <v>-981</v>
      </c>
      <c r="AG109" t="s" s="48">
        <f>AG102</f>
        <v>22</v>
      </c>
      <c r="AH109" t="s" s="44">
        <v>84</v>
      </c>
      <c r="AI109" t="s" s="44">
        <f>AI102</f>
        <v>74</v>
      </c>
      <c r="AJ109" t="s" s="44">
        <v>98</v>
      </c>
      <c r="AK109" s="15">
        <f>AK108</f>
        <v>-1261</v>
      </c>
      <c r="AL109" t="s" s="48">
        <f>AL92</f>
        <v>22</v>
      </c>
      <c r="AM109" t="s" s="44">
        <v>99</v>
      </c>
      <c r="AN109" s="17"/>
      <c r="AO109" s="17"/>
      <c r="AP109" s="17"/>
      <c r="AQ109" s="17"/>
      <c r="AR109" s="17"/>
      <c r="AS109" s="17"/>
      <c r="AT109" s="17"/>
    </row>
    <row r="110" ht="56.05" customHeight="1">
      <c r="AA110" s="36"/>
      <c r="AB110" s="34"/>
      <c r="AC110" t="s" s="44">
        <v>100</v>
      </c>
      <c r="AD110" s="15">
        <f>(AE107+AE108+AG107+AG108+AI107+AI108+AK107+AK108)/4</f>
        <v>-376.525</v>
      </c>
      <c r="AE110" t="s" s="48">
        <f>AL92</f>
        <v>22</v>
      </c>
      <c r="AF110" t="s" s="44">
        <v>78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ht="44.05" customHeight="1">
      <c r="AA111" s="36"/>
      <c r="AB111" s="34"/>
      <c r="AC111" t="s" s="44">
        <v>101</v>
      </c>
      <c r="AD111" s="15">
        <f>AC43</f>
        <v>-1065</v>
      </c>
      <c r="AE111" t="s" s="48">
        <f>AE110</f>
        <v>22</v>
      </c>
      <c r="AF111" t="s" s="44">
        <v>102</v>
      </c>
      <c r="AG111" t="s" s="44">
        <v>103</v>
      </c>
      <c r="AH111" t="s" s="44">
        <f>IF(AG95&gt;AJ93,"higher","lower")</f>
        <v>363</v>
      </c>
      <c r="AI111" t="s" s="44">
        <v>105</v>
      </c>
      <c r="AJ111" s="15">
        <f>SUM(AC44:AF44)/4</f>
        <v>-571.461014178204</v>
      </c>
      <c r="AK111" t="s" s="48">
        <f>AE111</f>
        <v>22</v>
      </c>
      <c r="AL111" t="s" s="44">
        <v>106</v>
      </c>
      <c r="AM111" t="s" s="44">
        <v>107</v>
      </c>
      <c r="AN111" s="17"/>
      <c r="AO111" s="17"/>
      <c r="AP111" s="17"/>
      <c r="AQ111" s="17"/>
      <c r="AR111" s="17"/>
      <c r="AS111" s="17"/>
      <c r="AT111" s="17"/>
    </row>
    <row r="112" ht="20.05" customHeight="1">
      <c r="AA112" s="36"/>
      <c r="AB112" s="34"/>
      <c r="AC112" t="s" s="44">
        <v>18</v>
      </c>
      <c r="AD112" t="s" s="44">
        <f>AK117</f>
        <v>87</v>
      </c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ht="32.05" customHeight="1">
      <c r="AA113" s="36"/>
      <c r="AB113" s="34"/>
      <c r="AC113" t="s" s="44">
        <f>AC90</f>
        <v>70</v>
      </c>
      <c r="AD113" t="s" s="44">
        <v>109</v>
      </c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ht="32.05" customHeight="1">
      <c r="AA114" s="36"/>
      <c r="AB114" s="34"/>
      <c r="AC114" s="15">
        <f>F22</f>
        <v>426</v>
      </c>
      <c r="AD114" t="s" s="44">
        <v>72</v>
      </c>
      <c r="AE114" s="15">
        <f>F23</f>
        <v>270.1</v>
      </c>
      <c r="AF114" t="s" s="44">
        <v>72</v>
      </c>
      <c r="AG114" s="15">
        <f>F24</f>
        <v>247</v>
      </c>
      <c r="AH114" t="s" s="44">
        <v>72</v>
      </c>
      <c r="AI114" s="15">
        <f>F25</f>
        <v>163</v>
      </c>
      <c r="AJ114" t="s" s="44">
        <v>72</v>
      </c>
      <c r="AK114" s="15">
        <f>F26</f>
        <v>152</v>
      </c>
      <c r="AL114" t="s" s="48">
        <f>AL92</f>
        <v>22</v>
      </c>
      <c r="AM114" s="17"/>
      <c r="AN114" s="17"/>
      <c r="AO114" s="17"/>
      <c r="AP114" s="17"/>
      <c r="AQ114" s="17"/>
      <c r="AR114" s="17"/>
      <c r="AS114" s="17"/>
      <c r="AT114" s="17"/>
    </row>
    <row r="115" ht="32.05" customHeight="1">
      <c r="AA115" s="36"/>
      <c r="AB115" s="34"/>
      <c r="AC115" s="15">
        <f>G22</f>
        <v>4256</v>
      </c>
      <c r="AD115" t="s" s="44">
        <v>72</v>
      </c>
      <c r="AE115" s="15">
        <f>G23</f>
        <v>4498</v>
      </c>
      <c r="AF115" t="s" s="44">
        <v>72</v>
      </c>
      <c r="AG115" s="15">
        <f>G24</f>
        <v>4925</v>
      </c>
      <c r="AH115" t="s" s="44">
        <v>72</v>
      </c>
      <c r="AI115" s="15">
        <f>G25</f>
        <v>5324</v>
      </c>
      <c r="AJ115" t="s" s="44">
        <v>72</v>
      </c>
      <c r="AK115" s="15">
        <f>G26</f>
        <v>5590</v>
      </c>
      <c r="AL115" t="s" s="48">
        <f>AL114</f>
        <v>22</v>
      </c>
      <c r="AM115" s="17"/>
      <c r="AN115" s="17"/>
      <c r="AO115" s="17"/>
      <c r="AP115" s="17"/>
      <c r="AQ115" s="17"/>
      <c r="AR115" s="17"/>
      <c r="AS115" s="17"/>
      <c r="AT115" s="17"/>
    </row>
    <row r="116" ht="32.05" customHeight="1">
      <c r="AA116" s="36"/>
      <c r="AB116" s="34"/>
      <c r="AC116" t="s" s="44">
        <v>110</v>
      </c>
      <c r="AD116" t="s" s="44">
        <f>IF(AG116&lt;AE116,"declined","increased")</f>
        <v>370</v>
      </c>
      <c r="AE116" s="15">
        <f>AI114</f>
        <v>163</v>
      </c>
      <c r="AF116" t="s" s="44">
        <v>76</v>
      </c>
      <c r="AG116" s="15">
        <f>AK114</f>
        <v>152</v>
      </c>
      <c r="AH116" t="s" s="48">
        <f>AK111</f>
        <v>22</v>
      </c>
      <c r="AI116" t="s" s="44">
        <v>84</v>
      </c>
      <c r="AJ116" t="s" s="44">
        <f>AG93</f>
        <v>74</v>
      </c>
      <c r="AK116" t="s" s="44">
        <f>AN100</f>
        <v>91</v>
      </c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ht="32.05" customHeight="1">
      <c r="AA117" s="36"/>
      <c r="AB117" s="34"/>
      <c r="AC117" t="s" s="44">
        <v>112</v>
      </c>
      <c r="AD117" t="s" s="44">
        <f>IF(AG117&lt;AE117,"declined","increased")</f>
        <v>111</v>
      </c>
      <c r="AE117" s="15">
        <f>AI115</f>
        <v>5324</v>
      </c>
      <c r="AF117" t="s" s="44">
        <v>76</v>
      </c>
      <c r="AG117" s="15">
        <f>AK115</f>
        <v>5590</v>
      </c>
      <c r="AH117" t="s" s="48">
        <f>AH116</f>
        <v>22</v>
      </c>
      <c r="AI117" t="s" s="44">
        <v>113</v>
      </c>
      <c r="AJ117" t="s" s="44">
        <v>114</v>
      </c>
      <c r="AK117" t="s" s="44">
        <f>IF(AN117&lt;AL117,"down","up")</f>
        <v>87</v>
      </c>
      <c r="AL117" s="15">
        <f>AE116-AE117</f>
        <v>-5161</v>
      </c>
      <c r="AM117" t="s" s="44">
        <v>76</v>
      </c>
      <c r="AN117" s="15">
        <f>AG116-AG117</f>
        <v>-5438</v>
      </c>
      <c r="AO117" t="s" s="48">
        <f>AH117</f>
        <v>22</v>
      </c>
      <c r="AP117" t="s" s="44">
        <v>115</v>
      </c>
      <c r="AQ117" s="17"/>
      <c r="AR117" s="17"/>
      <c r="AS117" s="17"/>
      <c r="AT117" s="17"/>
    </row>
    <row r="118" ht="56.05" customHeight="1">
      <c r="AA118" s="36"/>
      <c r="AB118" s="34"/>
      <c r="AC118" t="s" s="44">
        <v>116</v>
      </c>
      <c r="AD118" s="15">
        <f>SUM(AC47:AF47)</f>
        <v>0</v>
      </c>
      <c r="AE118" t="s" s="48">
        <f>AH117</f>
        <v>22</v>
      </c>
      <c r="AF118" t="s" s="44">
        <v>117</v>
      </c>
      <c r="AG118" t="s" s="44">
        <f>IF(AH118&gt;0,"+","")</f>
        <v>361</v>
      </c>
      <c r="AH118" s="15">
        <f>AC45+AD45+AE45+AF45+AC49+AD49+AE49+AF49</f>
        <v>2285.844056712820</v>
      </c>
      <c r="AI118" t="s" s="48">
        <f>AO117</f>
        <v>22</v>
      </c>
      <c r="AJ118" t="s" s="44">
        <v>118</v>
      </c>
      <c r="AK118" t="s" s="44">
        <v>119</v>
      </c>
      <c r="AL118" s="15">
        <f>AF64</f>
        <v>-7723.844056712820</v>
      </c>
      <c r="AM118" t="s" s="48">
        <f>AH117</f>
        <v>22</v>
      </c>
      <c r="AN118" t="s" s="44">
        <v>120</v>
      </c>
      <c r="AO118" s="17"/>
      <c r="AP118" s="17"/>
      <c r="AQ118" s="17"/>
      <c r="AR118" s="17"/>
      <c r="AS118" s="17"/>
      <c r="AT118" s="17"/>
    </row>
    <row r="119" ht="20.05" customHeight="1">
      <c r="AA119" s="36"/>
      <c r="AB119" s="34"/>
      <c r="AC119" t="s" s="44">
        <v>17</v>
      </c>
      <c r="AD119" t="s" s="44">
        <f>AD123</f>
        <v>121</v>
      </c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ht="68.05" customHeight="1">
      <c r="AA120" s="36"/>
      <c r="AB120" s="34"/>
      <c r="AC120" t="s" s="44">
        <f>AC90</f>
        <v>70</v>
      </c>
      <c r="AD120" t="s" s="44">
        <v>122</v>
      </c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ht="32.05" customHeight="1">
      <c r="AA121" s="36"/>
      <c r="AB121" s="34"/>
      <c r="AC121" s="15">
        <f>-L22</f>
        <v>-882.5359999999999</v>
      </c>
      <c r="AD121" t="s" s="44">
        <v>72</v>
      </c>
      <c r="AE121" s="15">
        <f>-L23</f>
        <v>-300.097</v>
      </c>
      <c r="AF121" t="s" s="44">
        <v>72</v>
      </c>
      <c r="AG121" s="15">
        <f>-L24</f>
        <v>66</v>
      </c>
      <c r="AH121" t="s" s="44">
        <v>72</v>
      </c>
      <c r="AI121" s="15">
        <f>-L25</f>
        <v>-41</v>
      </c>
      <c r="AJ121" t="s" s="44">
        <v>72</v>
      </c>
      <c r="AK121" s="15">
        <f>-L26</f>
        <v>-1069</v>
      </c>
      <c r="AL121" t="s" s="48">
        <f>AL92</f>
        <v>22</v>
      </c>
      <c r="AM121" s="17"/>
      <c r="AN121" s="17"/>
      <c r="AO121" s="17"/>
      <c r="AP121" s="17"/>
      <c r="AQ121" s="17"/>
      <c r="AR121" s="17"/>
      <c r="AS121" s="17"/>
      <c r="AT121" s="17"/>
    </row>
    <row r="122" ht="32.05" customHeight="1">
      <c r="AA122" s="36"/>
      <c r="AB122" s="34"/>
      <c r="AC122" s="15">
        <f>-M22</f>
        <v>282.587</v>
      </c>
      <c r="AD122" t="s" s="44">
        <v>72</v>
      </c>
      <c r="AE122" s="15">
        <f>-M23</f>
        <v>0</v>
      </c>
      <c r="AF122" t="s" s="44">
        <v>72</v>
      </c>
      <c r="AG122" s="15">
        <f>-M24</f>
        <v>0</v>
      </c>
      <c r="AH122" t="s" s="44">
        <v>72</v>
      </c>
      <c r="AI122" s="15">
        <f>-M25</f>
        <v>0</v>
      </c>
      <c r="AJ122" t="s" s="44">
        <v>72</v>
      </c>
      <c r="AK122" s="15">
        <f>-M26</f>
        <v>0</v>
      </c>
      <c r="AL122" t="s" s="48">
        <f>AL121</f>
        <v>22</v>
      </c>
      <c r="AM122" s="17"/>
      <c r="AN122" s="17"/>
      <c r="AO122" s="17"/>
      <c r="AP122" s="17"/>
      <c r="AQ122" s="17"/>
      <c r="AR122" s="17"/>
      <c r="AS122" s="17"/>
      <c r="AT122" s="17"/>
    </row>
    <row r="123" ht="44.05" customHeight="1">
      <c r="AA123" s="36"/>
      <c r="AB123" s="34"/>
      <c r="AC123" t="s" s="44">
        <f>AC81</f>
        <v>657</v>
      </c>
      <c r="AD123" t="s" s="44">
        <f>IF(AE123&gt;0,"paid","(raised)")</f>
        <v>121</v>
      </c>
      <c r="AE123" s="15">
        <f>SUM(AK121:AK122)</f>
        <v>-1069</v>
      </c>
      <c r="AF123" t="s" s="48">
        <f>AL92</f>
        <v>22</v>
      </c>
      <c r="AG123" t="s" s="44">
        <f>AF93</f>
        <v>73</v>
      </c>
      <c r="AH123" t="s" s="44">
        <f>AG93</f>
        <v>74</v>
      </c>
      <c r="AI123" t="s" s="44">
        <f>AH93</f>
        <v>75</v>
      </c>
      <c r="AJ123" s="15">
        <f>AK121</f>
        <v>-1069</v>
      </c>
      <c r="AK123" t="s" s="48">
        <f>AL92</f>
        <v>22</v>
      </c>
      <c r="AL123" t="s" s="44">
        <v>123</v>
      </c>
      <c r="AM123" s="15">
        <f>AK122</f>
        <v>0</v>
      </c>
      <c r="AN123" t="s" s="48">
        <f>AL92</f>
        <v>22</v>
      </c>
      <c r="AO123" t="s" s="44">
        <v>124</v>
      </c>
      <c r="AP123" t="s" s="44">
        <v>125</v>
      </c>
      <c r="AQ123" t="s" s="44">
        <f>IF(AR123&gt;0,"pay","raise")</f>
        <v>383</v>
      </c>
      <c r="AR123" s="15">
        <f>-SUM(AC65:AF65)</f>
        <v>-2285.844056712820</v>
      </c>
      <c r="AS123" t="s" s="48">
        <f>AL92</f>
        <v>22</v>
      </c>
      <c r="AT123" t="s" s="44">
        <v>126</v>
      </c>
    </row>
    <row r="124" ht="56.05" customHeight="1">
      <c r="AA124" s="36"/>
      <c r="AB124" s="34"/>
      <c r="AC124" t="s" s="44">
        <v>127</v>
      </c>
      <c r="AD124" s="15">
        <f>AF68</f>
        <v>6246.08638208</v>
      </c>
      <c r="AE124" t="s" s="48">
        <f>AL92</f>
        <v>22</v>
      </c>
      <c r="AF124" t="s" s="44">
        <v>128</v>
      </c>
      <c r="AG124" t="s" s="44">
        <v>129</v>
      </c>
      <c r="AH124" s="43">
        <f>AF70</f>
        <v>0.447908668489064</v>
      </c>
      <c r="AI124" t="s" s="44">
        <v>130</v>
      </c>
      <c r="AJ124" t="s" s="44">
        <v>131</v>
      </c>
      <c r="AK124" t="s" s="44">
        <v>132</v>
      </c>
      <c r="AL124" s="15">
        <f>AF73</f>
        <v>-6.03409491539644</v>
      </c>
      <c r="AM124" t="s" s="44">
        <v>133</v>
      </c>
      <c r="AN124" s="16">
        <f>-AD118/AD124</f>
        <v>0</v>
      </c>
      <c r="AO124" t="s" s="44">
        <v>134</v>
      </c>
      <c r="AP124" s="17"/>
      <c r="AQ124" s="17"/>
      <c r="AR124" s="17"/>
      <c r="AS124" s="17"/>
      <c r="AT124" s="17"/>
    </row>
    <row r="125" ht="56.05" customHeight="1">
      <c r="AA125" s="36"/>
      <c r="AB125" s="34"/>
      <c r="AC125" t="s" s="44">
        <v>135</v>
      </c>
      <c r="AD125" s="15">
        <f>AF72</f>
        <v>-2285.844056712820</v>
      </c>
      <c r="AE125" t="s" s="48">
        <f>AE124</f>
        <v>22</v>
      </c>
      <c r="AF125" t="s" s="44">
        <v>136</v>
      </c>
      <c r="AG125" s="15">
        <f>AD124/AD125</f>
        <v>-2.73250765455201</v>
      </c>
      <c r="AH125" t="s" s="44">
        <v>130</v>
      </c>
      <c r="AI125" t="s" s="44">
        <v>137</v>
      </c>
      <c r="AJ125" t="s" s="44">
        <v>138</v>
      </c>
      <c r="AK125" s="15">
        <f>AF74</f>
        <v>10</v>
      </c>
      <c r="AL125" t="s" s="44">
        <v>139</v>
      </c>
      <c r="AM125" t="s" s="44">
        <v>140</v>
      </c>
      <c r="AN125" t="s" s="44">
        <v>141</v>
      </c>
      <c r="AO125" s="16">
        <f>AH82</f>
        <v>-4.65964208127332</v>
      </c>
      <c r="AP125" t="s" s="44">
        <f>IF(AO125&gt;0,"higher","lower")</f>
        <v>104</v>
      </c>
      <c r="AQ125" t="s" s="44">
        <v>142</v>
      </c>
      <c r="AR125" s="15">
        <f>AF82</f>
        <v>-8307.387524490439</v>
      </c>
      <c r="AS125" t="s" s="44">
        <v>143</v>
      </c>
      <c r="AT125" s="17"/>
    </row>
    <row r="126" ht="20.05" customHeight="1">
      <c r="AA126" s="36"/>
      <c r="AB126" s="34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ht="20.05" customHeight="1">
      <c r="AA127" t="s" s="33">
        <v>28</v>
      </c>
      <c r="AB127" s="14">
        <f>AC92</f>
        <v>1086</v>
      </c>
      <c r="AC127" s="15">
        <f>AE92</f>
        <v>1223.2</v>
      </c>
      <c r="AD127" s="15">
        <f>AG92</f>
        <v>1055</v>
      </c>
      <c r="AE127" s="15">
        <f>AI92</f>
        <v>1055</v>
      </c>
      <c r="AF127" s="15">
        <f>AK92</f>
        <v>1080</v>
      </c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ht="20.05" customHeight="1">
      <c r="AA128" t="s" s="33">
        <v>144</v>
      </c>
      <c r="AB128" s="14">
        <f>SUM(AC107:AC108)</f>
        <v>-454.633</v>
      </c>
      <c r="AC128" s="15">
        <f>SUM(AE107:AE108)</f>
        <v>-440.1</v>
      </c>
      <c r="AD128" s="15">
        <f>SUM(AG107:AG108)</f>
        <v>41.9</v>
      </c>
      <c r="AE128" s="15">
        <f>SUM(AI107:AI108)</f>
        <v>-126.9</v>
      </c>
      <c r="AF128" s="15">
        <f>SUM(AK107:AK108)</f>
        <v>-981</v>
      </c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ht="20.05" customHeight="1">
      <c r="AA129" t="s" s="33">
        <v>145</v>
      </c>
      <c r="AB129" s="14">
        <f>SUM(AC121:AC122)</f>
        <v>-599.949</v>
      </c>
      <c r="AC129" s="15">
        <f>SUM(AE121:AE122)</f>
        <v>-300.097</v>
      </c>
      <c r="AD129" s="15">
        <f>SUM(AG121:AG122)</f>
        <v>66</v>
      </c>
      <c r="AE129" s="15">
        <f>SUM(AI121:AI122)</f>
        <v>-41</v>
      </c>
      <c r="AF129" s="15">
        <f>SUM(AK121:AK122)</f>
        <v>-1069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ht="20.05" customHeight="1">
      <c r="AA130" t="s" s="33">
        <v>146</v>
      </c>
      <c r="AB130" s="14">
        <f>(AC114-AC115)</f>
        <v>-3830</v>
      </c>
      <c r="AC130" s="15">
        <f>(AE114-AE115)</f>
        <v>-4227.9</v>
      </c>
      <c r="AD130" s="15">
        <f>(AG114-AG115)</f>
        <v>-4678</v>
      </c>
      <c r="AE130" s="15">
        <f>(AI114-AI115)</f>
        <v>-5161</v>
      </c>
      <c r="AF130" s="15">
        <f>(AK114-AK115)</f>
        <v>-5438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ht="20.05" customHeight="1">
      <c r="AA131" s="36"/>
      <c r="AB131" s="34"/>
      <c r="AC131" s="17"/>
      <c r="AD131" s="17"/>
      <c r="AE131" s="17"/>
      <c r="AF131" s="15">
        <f>AR125</f>
        <v>-8307.387524490439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ht="20.05" customHeight="1">
      <c r="AA132" s="36"/>
      <c r="AB132" s="34"/>
      <c r="AC132" s="17"/>
      <c r="AD132" s="17"/>
      <c r="AE132" s="17"/>
      <c r="AF132" s="17"/>
      <c r="AG132" s="15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ht="20.05" customHeight="1">
      <c r="AA133" s="36"/>
      <c r="AB133" s="34"/>
      <c r="AC133" s="17"/>
      <c r="AD133" s="17"/>
      <c r="AE133" s="17"/>
      <c r="AF133" s="17"/>
      <c r="AG133" s="15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ht="20.05" customHeight="1">
      <c r="AA134" s="36"/>
      <c r="AB134" s="34"/>
      <c r="AC134" s="17"/>
      <c r="AD134" s="17"/>
      <c r="AE134" s="17"/>
      <c r="AF134" s="17"/>
      <c r="AG134" s="15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ht="20.05" customHeight="1">
      <c r="AA135" s="36"/>
      <c r="AB135" s="34"/>
      <c r="AC135" s="17"/>
      <c r="AD135" s="17"/>
      <c r="AE135" s="17"/>
      <c r="AF135" s="17"/>
      <c r="AG135" s="15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ht="20.05" customHeight="1">
      <c r="AA136" s="36"/>
      <c r="AB136" s="34"/>
      <c r="AC136" s="17"/>
      <c r="AD136" s="17"/>
      <c r="AE136" s="17"/>
      <c r="AF136" s="17"/>
      <c r="AG136" s="15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ht="20.05" customHeight="1">
      <c r="AA137" s="36"/>
      <c r="AB137" s="34"/>
      <c r="AC137" s="17"/>
      <c r="AD137" s="17"/>
      <c r="AE137" s="17"/>
      <c r="AF137" s="17"/>
      <c r="AG137" s="15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ht="20.05" customHeight="1">
      <c r="AA138" s="36"/>
      <c r="AB138" s="34"/>
      <c r="AC138" s="17"/>
      <c r="AD138" s="17"/>
      <c r="AE138" s="17"/>
      <c r="AF138" s="17"/>
      <c r="AG138" s="15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</sheetData>
  <mergeCells count="2">
    <mergeCell ref="B2:Z2"/>
    <mergeCell ref="AA35:AT35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7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01" customWidth="1"/>
    <col min="2" max="27" width="10.4844" style="301" customWidth="1"/>
    <col min="28" max="28" width="18.9766" style="302" customWidth="1"/>
    <col min="29" max="47" width="9" style="302" customWidth="1"/>
    <col min="48" max="16384" width="16.3516" style="302" customWidth="1"/>
  </cols>
  <sheetData>
    <row r="1" ht="11.65" customHeight="1"/>
    <row r="2" ht="27.65" customHeight="1">
      <c r="B2" t="s" s="2">
        <v>658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205</v>
      </c>
      <c r="AA3" t="s" s="3">
        <v>19</v>
      </c>
    </row>
    <row r="4" ht="20.25" customHeight="1">
      <c r="B4" s="6">
        <v>2017</v>
      </c>
      <c r="C4" s="7">
        <v>1464</v>
      </c>
      <c r="D4" s="8">
        <v>96</v>
      </c>
      <c r="E4" s="8">
        <v>375</v>
      </c>
      <c r="F4" s="8">
        <v>1667</v>
      </c>
      <c r="G4" s="8">
        <v>1823</v>
      </c>
      <c r="H4" s="8">
        <v>9842</v>
      </c>
      <c r="I4" s="8">
        <v>1293</v>
      </c>
      <c r="J4" s="8">
        <v>618</v>
      </c>
      <c r="K4" s="8">
        <v>-85</v>
      </c>
      <c r="L4" s="8">
        <v>-2.3455</v>
      </c>
      <c r="M4" s="8">
        <v>-59.65675</v>
      </c>
      <c r="N4" s="59"/>
      <c r="O4" s="9"/>
      <c r="P4" s="9"/>
      <c r="Q4" s="9"/>
      <c r="R4" s="9"/>
      <c r="S4" s="9"/>
      <c r="T4" s="9"/>
      <c r="U4" s="9"/>
      <c r="V4" s="8">
        <f>-(L4+M4)</f>
        <v>62.00225</v>
      </c>
      <c r="W4" s="9"/>
      <c r="X4" s="8">
        <f>F4-G4</f>
        <v>-156</v>
      </c>
      <c r="Y4" s="9"/>
      <c r="Z4" s="79"/>
      <c r="AA4" s="9"/>
    </row>
    <row r="5" ht="20.05" customHeight="1">
      <c r="B5" s="13"/>
      <c r="C5" s="14">
        <v>1004</v>
      </c>
      <c r="D5" s="15">
        <v>86</v>
      </c>
      <c r="E5" s="15">
        <v>85</v>
      </c>
      <c r="F5" s="15">
        <v>1451</v>
      </c>
      <c r="G5" s="15">
        <v>1790</v>
      </c>
      <c r="H5" s="15">
        <v>9655</v>
      </c>
      <c r="I5" s="15">
        <v>930</v>
      </c>
      <c r="J5" s="15">
        <v>-112</v>
      </c>
      <c r="K5" s="15">
        <v>-103</v>
      </c>
      <c r="L5" s="15">
        <v>-2.3455</v>
      </c>
      <c r="M5" s="15">
        <v>-59.65675</v>
      </c>
      <c r="N5" s="26"/>
      <c r="O5" s="17"/>
      <c r="P5" s="17"/>
      <c r="Q5" s="17"/>
      <c r="R5" s="17"/>
      <c r="S5" s="17"/>
      <c r="T5" s="17"/>
      <c r="U5" s="17"/>
      <c r="V5" s="15">
        <f>-(L5+M5)+V4</f>
        <v>124.0045</v>
      </c>
      <c r="W5" s="17"/>
      <c r="X5" s="15">
        <f>F5-G5</f>
        <v>-339</v>
      </c>
      <c r="Y5" s="17"/>
      <c r="Z5" s="80"/>
      <c r="AA5" s="17"/>
    </row>
    <row r="6" ht="20.05" customHeight="1">
      <c r="B6" s="13"/>
      <c r="C6" s="14">
        <v>1107</v>
      </c>
      <c r="D6" s="15">
        <v>109</v>
      </c>
      <c r="E6" s="15">
        <v>180</v>
      </c>
      <c r="F6" s="15">
        <v>1486</v>
      </c>
      <c r="G6" s="15">
        <v>1741</v>
      </c>
      <c r="H6" s="15">
        <v>9787</v>
      </c>
      <c r="I6" s="15">
        <v>1192</v>
      </c>
      <c r="J6" s="15">
        <v>537</v>
      </c>
      <c r="K6" s="15">
        <v>-266</v>
      </c>
      <c r="L6" s="15">
        <v>-2.3455</v>
      </c>
      <c r="M6" s="15">
        <v>-59.65675</v>
      </c>
      <c r="N6" s="26"/>
      <c r="O6" s="17"/>
      <c r="P6" s="17"/>
      <c r="Q6" s="17"/>
      <c r="R6" s="17"/>
      <c r="S6" s="17"/>
      <c r="T6" s="17"/>
      <c r="U6" s="17"/>
      <c r="V6" s="15">
        <f>-(L6+M6)+V5</f>
        <v>186.00675</v>
      </c>
      <c r="W6" s="17"/>
      <c r="X6" s="15">
        <f>F6-G6</f>
        <v>-255</v>
      </c>
      <c r="Y6" s="17"/>
      <c r="Z6" s="80"/>
      <c r="AA6" s="17"/>
    </row>
    <row r="7" ht="20.05" customHeight="1">
      <c r="B7" s="13"/>
      <c r="C7" s="14">
        <v>1163</v>
      </c>
      <c r="D7" s="15">
        <v>97</v>
      </c>
      <c r="E7" s="15">
        <v>123</v>
      </c>
      <c r="F7" s="15">
        <v>1633</v>
      </c>
      <c r="G7" s="15">
        <v>1622</v>
      </c>
      <c r="H7" s="15">
        <v>9744</v>
      </c>
      <c r="I7" s="15">
        <v>1159</v>
      </c>
      <c r="J7" s="15">
        <v>219</v>
      </c>
      <c r="K7" s="15">
        <v>-71</v>
      </c>
      <c r="L7" s="15">
        <v>-2.3455</v>
      </c>
      <c r="M7" s="15">
        <v>-59.65675</v>
      </c>
      <c r="N7" s="26"/>
      <c r="O7" s="17"/>
      <c r="P7" s="17"/>
      <c r="Q7" s="17"/>
      <c r="R7" s="17"/>
      <c r="S7" s="17"/>
      <c r="T7" s="17"/>
      <c r="U7" s="17"/>
      <c r="V7" s="15">
        <f>-(L7+M7)+V6</f>
        <v>248.009</v>
      </c>
      <c r="W7" s="17"/>
      <c r="X7" s="15">
        <f>F7-G7</f>
        <v>11</v>
      </c>
      <c r="Y7" s="17"/>
      <c r="Z7" s="80"/>
      <c r="AA7" s="17"/>
    </row>
    <row r="8" ht="20.05" customHeight="1">
      <c r="B8" s="21">
        <v>2018</v>
      </c>
      <c r="C8" s="14">
        <v>868</v>
      </c>
      <c r="D8" s="15">
        <v>97.40000000000001</v>
      </c>
      <c r="E8" s="15">
        <v>116</v>
      </c>
      <c r="F8" s="15">
        <v>1952</v>
      </c>
      <c r="G8" s="15">
        <v>1917</v>
      </c>
      <c r="H8" s="15">
        <v>10248</v>
      </c>
      <c r="I8" s="15">
        <v>995</v>
      </c>
      <c r="J8" s="15">
        <v>366</v>
      </c>
      <c r="K8" s="15">
        <v>-54</v>
      </c>
      <c r="L8" s="15">
        <v>-2.8725</v>
      </c>
      <c r="M8" s="15">
        <v>-76.705</v>
      </c>
      <c r="N8" s="15">
        <f>SUM(C5:C8)/4</f>
        <v>1035.5</v>
      </c>
      <c r="O8" s="17"/>
      <c r="P8" s="16"/>
      <c r="Q8" s="16">
        <f>((D8+E8)/C8)</f>
        <v>0.245852534562212</v>
      </c>
      <c r="R8" s="16"/>
      <c r="S8" s="17"/>
      <c r="T8" s="15">
        <f>SUM(J5:K8)/4</f>
        <v>129</v>
      </c>
      <c r="U8" s="17"/>
      <c r="V8" s="15">
        <f>-(L8+M8)+V7</f>
        <v>327.5865</v>
      </c>
      <c r="W8" s="17"/>
      <c r="X8" s="15">
        <f>F8-G8</f>
        <v>35</v>
      </c>
      <c r="Y8" s="24"/>
      <c r="Z8" s="15">
        <v>1295</v>
      </c>
      <c r="AA8" s="24"/>
    </row>
    <row r="9" ht="20.05" customHeight="1">
      <c r="B9" s="13"/>
      <c r="C9" s="14">
        <v>895</v>
      </c>
      <c r="D9" s="15">
        <v>94.59999999999999</v>
      </c>
      <c r="E9" s="15">
        <v>108</v>
      </c>
      <c r="F9" s="15">
        <v>1882</v>
      </c>
      <c r="G9" s="15">
        <v>2260</v>
      </c>
      <c r="H9" s="15">
        <v>10427</v>
      </c>
      <c r="I9" s="15">
        <v>1804</v>
      </c>
      <c r="J9" s="15">
        <v>-35</v>
      </c>
      <c r="K9" s="15">
        <v>-54</v>
      </c>
      <c r="L9" s="15">
        <v>-1.40625</v>
      </c>
      <c r="M9" s="15">
        <v>-32.3865</v>
      </c>
      <c r="N9" s="15">
        <f>SUM(C6:C9)/4</f>
        <v>1008.25</v>
      </c>
      <c r="O9" s="17"/>
      <c r="P9" s="16"/>
      <c r="Q9" s="16">
        <f>((D9+E9)/C9)</f>
        <v>0.226368715083799</v>
      </c>
      <c r="R9" s="16"/>
      <c r="S9" s="17"/>
      <c r="T9" s="15">
        <f>SUM(J6:K9)/4</f>
        <v>160.5</v>
      </c>
      <c r="U9" s="17"/>
      <c r="V9" s="15">
        <f>-(L9+M9)+V8</f>
        <v>361.37925</v>
      </c>
      <c r="W9" s="17"/>
      <c r="X9" s="15">
        <f>F9-G9</f>
        <v>-378</v>
      </c>
      <c r="Y9" s="24"/>
      <c r="Z9" s="26">
        <v>990</v>
      </c>
      <c r="AA9" s="24"/>
    </row>
    <row r="10" ht="20.05" customHeight="1">
      <c r="B10" s="13"/>
      <c r="C10" s="14">
        <v>1111</v>
      </c>
      <c r="D10" s="15">
        <v>102</v>
      </c>
      <c r="E10" s="15">
        <v>119</v>
      </c>
      <c r="F10" s="15">
        <v>1580</v>
      </c>
      <c r="G10" s="15">
        <v>1892</v>
      </c>
      <c r="H10" s="15">
        <v>10189</v>
      </c>
      <c r="I10" s="15">
        <v>1054</v>
      </c>
      <c r="J10" s="15">
        <v>120</v>
      </c>
      <c r="K10" s="15">
        <v>-122</v>
      </c>
      <c r="L10" s="15">
        <v>-2.65525</v>
      </c>
      <c r="M10" s="15">
        <v>-25.56825</v>
      </c>
      <c r="N10" s="15">
        <f>SUM(C7:C10)/4</f>
        <v>1009.25</v>
      </c>
      <c r="O10" s="17"/>
      <c r="P10" s="16"/>
      <c r="Q10" s="16">
        <f>((D10+E10)/C10)</f>
        <v>0.198919891989199</v>
      </c>
      <c r="R10" s="16"/>
      <c r="S10" s="17"/>
      <c r="T10" s="15">
        <f>SUM(J7:K10)/4</f>
        <v>92.25</v>
      </c>
      <c r="U10" s="17"/>
      <c r="V10" s="15">
        <f>-(L10+M10)+V9</f>
        <v>389.60275</v>
      </c>
      <c r="W10" s="17"/>
      <c r="X10" s="15">
        <f>F10-G10</f>
        <v>-312</v>
      </c>
      <c r="Y10" s="24"/>
      <c r="Z10" s="15">
        <v>1275</v>
      </c>
      <c r="AA10" s="24"/>
    </row>
    <row r="11" ht="20.05" customHeight="1">
      <c r="B11" s="13"/>
      <c r="C11" s="14">
        <v>1146</v>
      </c>
      <c r="D11" s="15">
        <v>91</v>
      </c>
      <c r="E11" s="15">
        <v>-14</v>
      </c>
      <c r="F11" s="15">
        <v>1663</v>
      </c>
      <c r="G11" s="15">
        <v>1705</v>
      </c>
      <c r="H11" s="15">
        <v>10037</v>
      </c>
      <c r="I11" s="15">
        <v>1179</v>
      </c>
      <c r="J11" s="15">
        <v>212</v>
      </c>
      <c r="K11" s="15">
        <v>-114</v>
      </c>
      <c r="L11" s="15">
        <v>-2.8725</v>
      </c>
      <c r="M11" s="15">
        <v>-76.705</v>
      </c>
      <c r="N11" s="15">
        <f>SUM(C8:C11)/4</f>
        <v>1005</v>
      </c>
      <c r="O11" s="17"/>
      <c r="P11" s="16"/>
      <c r="Q11" s="16">
        <f>((D11+E11)/C11)</f>
        <v>0.0671902268760908</v>
      </c>
      <c r="R11" s="16"/>
      <c r="S11" s="17"/>
      <c r="T11" s="15">
        <f>SUM(J8:K11)/4</f>
        <v>79.75</v>
      </c>
      <c r="U11" s="17"/>
      <c r="V11" s="15">
        <f>-(L11+M11)+V10</f>
        <v>469.18025</v>
      </c>
      <c r="W11" s="17"/>
      <c r="X11" s="15">
        <f>F11-G11</f>
        <v>-42</v>
      </c>
      <c r="Y11" s="24"/>
      <c r="Z11" s="15">
        <v>1250</v>
      </c>
      <c r="AA11" s="24"/>
    </row>
    <row r="12" ht="20.05" customHeight="1">
      <c r="B12" s="21">
        <v>2019</v>
      </c>
      <c r="C12" s="14">
        <v>928</v>
      </c>
      <c r="D12" s="15">
        <v>95</v>
      </c>
      <c r="E12" s="15">
        <v>38</v>
      </c>
      <c r="F12" s="15">
        <v>1586</v>
      </c>
      <c r="G12" s="15">
        <v>1956</v>
      </c>
      <c r="H12" s="15">
        <v>10325</v>
      </c>
      <c r="I12" s="15">
        <v>994</v>
      </c>
      <c r="J12" s="15">
        <v>372</v>
      </c>
      <c r="K12" s="15">
        <v>-443</v>
      </c>
      <c r="L12" s="15">
        <v>-1.40625</v>
      </c>
      <c r="M12" s="15">
        <v>-32.3865</v>
      </c>
      <c r="N12" s="15">
        <f>SUM(C9:C12)/4</f>
        <v>1020</v>
      </c>
      <c r="O12" s="23"/>
      <c r="P12" s="16"/>
      <c r="Q12" s="16">
        <f>((D12+E12)/C12)</f>
        <v>0.143318965517241</v>
      </c>
      <c r="R12" s="16">
        <f>AVERAGE(Q9:Q12)</f>
        <v>0.158949449866582</v>
      </c>
      <c r="S12" s="17"/>
      <c r="T12" s="15">
        <f>SUM(J9:K12)/4</f>
        <v>-16</v>
      </c>
      <c r="U12" s="17"/>
      <c r="V12" s="15">
        <f>-(L12+M12)+V11</f>
        <v>502.973</v>
      </c>
      <c r="W12" s="17"/>
      <c r="X12" s="15">
        <f>F12-G12</f>
        <v>-370</v>
      </c>
      <c r="Y12" s="24"/>
      <c r="Z12" s="15">
        <v>1220</v>
      </c>
      <c r="AA12" s="24"/>
    </row>
    <row r="13" ht="20.05" customHeight="1">
      <c r="B13" s="13"/>
      <c r="C13" s="14">
        <v>668</v>
      </c>
      <c r="D13" s="15">
        <v>93</v>
      </c>
      <c r="E13" s="15">
        <v>-28.4</v>
      </c>
      <c r="F13" s="15">
        <v>1330</v>
      </c>
      <c r="G13" s="15">
        <v>1987</v>
      </c>
      <c r="H13" s="15">
        <v>10197</v>
      </c>
      <c r="I13" s="15">
        <v>688</v>
      </c>
      <c r="J13" s="15">
        <v>-19</v>
      </c>
      <c r="K13" s="15">
        <v>-103</v>
      </c>
      <c r="L13" s="15">
        <v>-1.40625</v>
      </c>
      <c r="M13" s="15">
        <v>-32.3865</v>
      </c>
      <c r="N13" s="15">
        <f>SUM(C10:C13)/4</f>
        <v>963.25</v>
      </c>
      <c r="O13" s="23"/>
      <c r="P13" s="16"/>
      <c r="Q13" s="16">
        <f>((D13+E13)/C13)</f>
        <v>0.09670658682634729</v>
      </c>
      <c r="R13" s="16">
        <f>AVERAGE(Q10:Q13)</f>
        <v>0.12653391780222</v>
      </c>
      <c r="S13" s="17"/>
      <c r="T13" s="15">
        <f>SUM(J10:K13)/4</f>
        <v>-24.25</v>
      </c>
      <c r="U13" s="17"/>
      <c r="V13" s="15">
        <f>-(L13+M13)+V12</f>
        <v>536.76575</v>
      </c>
      <c r="W13" s="17"/>
      <c r="X13" s="15">
        <f>F13-G13</f>
        <v>-657</v>
      </c>
      <c r="Y13" s="24"/>
      <c r="Z13" s="15">
        <v>1120</v>
      </c>
      <c r="AA13" s="24"/>
    </row>
    <row r="14" ht="20.05" customHeight="1">
      <c r="B14" s="13"/>
      <c r="C14" s="14">
        <v>990</v>
      </c>
      <c r="D14" s="15">
        <v>94</v>
      </c>
      <c r="E14" s="15">
        <v>41.4</v>
      </c>
      <c r="F14" s="15">
        <v>1435</v>
      </c>
      <c r="G14" s="15">
        <v>1959</v>
      </c>
      <c r="H14" s="15">
        <v>10210</v>
      </c>
      <c r="I14" s="15">
        <v>981</v>
      </c>
      <c r="J14" s="15">
        <v>220</v>
      </c>
      <c r="K14" s="15">
        <v>-114</v>
      </c>
      <c r="L14" s="15">
        <v>-1.40625</v>
      </c>
      <c r="M14" s="15">
        <v>-32.3865</v>
      </c>
      <c r="N14" s="15">
        <f>SUM(C11:C14)/4</f>
        <v>933</v>
      </c>
      <c r="O14" s="23"/>
      <c r="P14" s="16"/>
      <c r="Q14" s="16">
        <f>((D14+E14)/C14)</f>
        <v>0.136767676767677</v>
      </c>
      <c r="R14" s="16">
        <f>AVERAGE(Q11:Q14)</f>
        <v>0.110995863996839</v>
      </c>
      <c r="S14" s="17"/>
      <c r="T14" s="15">
        <f>SUM(J11:K14)/4</f>
        <v>2.75</v>
      </c>
      <c r="U14" s="17"/>
      <c r="V14" s="15">
        <f>-(L14+M14)+V13</f>
        <v>570.5585</v>
      </c>
      <c r="W14" s="17"/>
      <c r="X14" s="15">
        <f>F14-G14</f>
        <v>-524</v>
      </c>
      <c r="Y14" s="24"/>
      <c r="Z14" s="15">
        <v>1285</v>
      </c>
      <c r="AA14" s="24"/>
    </row>
    <row r="15" ht="20.05" customHeight="1">
      <c r="B15" s="13"/>
      <c r="C15" s="14">
        <v>1113.4</v>
      </c>
      <c r="D15" s="15">
        <v>97</v>
      </c>
      <c r="E15" s="15">
        <v>201.6</v>
      </c>
      <c r="F15" s="15">
        <v>1132</v>
      </c>
      <c r="G15" s="15">
        <v>1727</v>
      </c>
      <c r="H15" s="15">
        <v>10225</v>
      </c>
      <c r="I15" s="15">
        <v>694</v>
      </c>
      <c r="J15" s="15">
        <v>-92.8</v>
      </c>
      <c r="K15" s="15">
        <v>-201.4</v>
      </c>
      <c r="L15" s="15">
        <v>-1.40625</v>
      </c>
      <c r="M15" s="15">
        <v>-32.3865</v>
      </c>
      <c r="N15" s="15">
        <f>SUM(C12:C15)/4</f>
        <v>924.85</v>
      </c>
      <c r="O15" s="15">
        <v>1128.5</v>
      </c>
      <c r="P15" s="16"/>
      <c r="Q15" s="16">
        <f>((D15+E15)/C15)</f>
        <v>0.268187533680618</v>
      </c>
      <c r="R15" s="16">
        <f>AVERAGE(Q12:Q15)</f>
        <v>0.161245190697971</v>
      </c>
      <c r="S15" s="17"/>
      <c r="T15" s="15">
        <f>SUM(J12:K15)/4</f>
        <v>-95.3</v>
      </c>
      <c r="U15" s="17"/>
      <c r="V15" s="15">
        <f>-(L15+M15)+V14</f>
        <v>604.3512500000001</v>
      </c>
      <c r="W15" s="17"/>
      <c r="X15" s="15">
        <f>F15-G15</f>
        <v>-595</v>
      </c>
      <c r="Y15" s="24"/>
      <c r="Z15" s="15">
        <v>1485</v>
      </c>
      <c r="AA15" s="24"/>
    </row>
    <row r="16" ht="20.05" customHeight="1">
      <c r="B16" s="21">
        <v>2020</v>
      </c>
      <c r="C16" s="14">
        <v>810</v>
      </c>
      <c r="D16" s="15">
        <v>95</v>
      </c>
      <c r="E16" s="15">
        <v>81</v>
      </c>
      <c r="F16" s="15">
        <v>1393</v>
      </c>
      <c r="G16" s="15">
        <v>1889</v>
      </c>
      <c r="H16" s="15">
        <v>10470</v>
      </c>
      <c r="I16" s="15">
        <v>830</v>
      </c>
      <c r="J16" s="15">
        <v>276</v>
      </c>
      <c r="K16" s="15">
        <v>-94</v>
      </c>
      <c r="L16" s="15">
        <v>-2.65525</v>
      </c>
      <c r="M16" s="15">
        <v>-25.56825</v>
      </c>
      <c r="N16" s="15">
        <f>SUM(C13:C16)/4</f>
        <v>895.35</v>
      </c>
      <c r="O16" s="15">
        <v>1108.066666666670</v>
      </c>
      <c r="P16" s="16"/>
      <c r="Q16" s="16">
        <f>((D16+E16)/C16)</f>
        <v>0.217283950617284</v>
      </c>
      <c r="R16" s="16">
        <f>AVERAGE(Q13:Q16)</f>
        <v>0.179736436972982</v>
      </c>
      <c r="S16" s="17"/>
      <c r="T16" s="15">
        <f>SUM(J13:K16)/4</f>
        <v>-32.05</v>
      </c>
      <c r="U16" s="17"/>
      <c r="V16" s="15">
        <f>-(L16+M16)+V15</f>
        <v>632.57475</v>
      </c>
      <c r="W16" s="17"/>
      <c r="X16" s="15">
        <f>F16-G16</f>
        <v>-496</v>
      </c>
      <c r="Y16" s="24"/>
      <c r="Z16" s="15">
        <v>840</v>
      </c>
      <c r="AA16" s="24"/>
    </row>
    <row r="17" ht="20.05" customHeight="1">
      <c r="B17" s="13"/>
      <c r="C17" s="14">
        <v>756</v>
      </c>
      <c r="D17" s="15">
        <v>92</v>
      </c>
      <c r="E17" s="15">
        <v>10.2</v>
      </c>
      <c r="F17" s="15">
        <v>1607</v>
      </c>
      <c r="G17" s="15">
        <v>1801</v>
      </c>
      <c r="H17" s="15">
        <v>10379</v>
      </c>
      <c r="I17" s="15">
        <v>1029</v>
      </c>
      <c r="J17" s="15">
        <v>366</v>
      </c>
      <c r="K17" s="15">
        <v>-83</v>
      </c>
      <c r="L17" s="15">
        <v>-2.65525</v>
      </c>
      <c r="M17" s="15">
        <v>-25.56825</v>
      </c>
      <c r="N17" s="15">
        <f>SUM(C14:C17)/4</f>
        <v>917.35</v>
      </c>
      <c r="O17" s="15">
        <v>1039.8</v>
      </c>
      <c r="P17" s="16"/>
      <c r="Q17" s="16">
        <f>((D17+E17)/C17)</f>
        <v>0.135185185185185</v>
      </c>
      <c r="R17" s="16">
        <f>AVERAGE(Q14:Q17)</f>
        <v>0.189356086562691</v>
      </c>
      <c r="S17" s="17"/>
      <c r="T17" s="15">
        <f>SUM(J14:K17)/4</f>
        <v>69.2</v>
      </c>
      <c r="U17" s="17"/>
      <c r="V17" s="15">
        <f>-(L17+M17)+V16</f>
        <v>660.7982500000001</v>
      </c>
      <c r="W17" s="17"/>
      <c r="X17" s="15">
        <f>F17-G17</f>
        <v>-194</v>
      </c>
      <c r="Y17" s="24"/>
      <c r="Z17" s="15">
        <v>830</v>
      </c>
      <c r="AA17" s="24"/>
    </row>
    <row r="18" ht="20.05" customHeight="1">
      <c r="B18" s="13"/>
      <c r="C18" s="14">
        <v>712</v>
      </c>
      <c r="D18" s="15">
        <v>129</v>
      </c>
      <c r="E18" s="15">
        <v>185.8</v>
      </c>
      <c r="F18" s="15">
        <v>1686</v>
      </c>
      <c r="G18" s="15">
        <v>1880</v>
      </c>
      <c r="H18" s="15">
        <v>10541</v>
      </c>
      <c r="I18" s="15">
        <v>716</v>
      </c>
      <c r="J18" s="15">
        <v>257</v>
      </c>
      <c r="K18" s="15">
        <v>-93</v>
      </c>
      <c r="L18" s="15">
        <v>-2.65525</v>
      </c>
      <c r="M18" s="15">
        <v>-25.56825</v>
      </c>
      <c r="N18" s="15">
        <f>SUM(C15:C18)/4</f>
        <v>847.85</v>
      </c>
      <c r="O18" s="15">
        <v>984.8</v>
      </c>
      <c r="P18" s="16"/>
      <c r="Q18" s="16">
        <f>((D18+E18)/C18)</f>
        <v>0.442134831460674</v>
      </c>
      <c r="R18" s="16">
        <f>AVERAGE(Q15:Q18)</f>
        <v>0.26569787523594</v>
      </c>
      <c r="S18" s="17"/>
      <c r="T18" s="15">
        <f>SUM(J15:K18)/4</f>
        <v>83.7</v>
      </c>
      <c r="U18" s="17"/>
      <c r="V18" s="15">
        <f>-(L18+M18)+V17</f>
        <v>689.02175</v>
      </c>
      <c r="W18" s="17"/>
      <c r="X18" s="15">
        <f>F18-G18</f>
        <v>-194</v>
      </c>
      <c r="Y18" s="24"/>
      <c r="Z18" s="15">
        <v>905</v>
      </c>
      <c r="AA18" s="24"/>
    </row>
    <row r="19" ht="20.05" customHeight="1">
      <c r="B19" s="13"/>
      <c r="C19" s="14">
        <v>1259</v>
      </c>
      <c r="D19" s="15">
        <v>92.2</v>
      </c>
      <c r="E19" s="15">
        <v>418.49</v>
      </c>
      <c r="F19" s="15">
        <v>1959</v>
      </c>
      <c r="G19" s="15">
        <v>1637</v>
      </c>
      <c r="H19" s="15">
        <v>10923</v>
      </c>
      <c r="I19" s="15">
        <v>1115</v>
      </c>
      <c r="J19" s="15">
        <v>439</v>
      </c>
      <c r="K19" s="15">
        <v>-131</v>
      </c>
      <c r="L19" s="15">
        <v>-2.65525</v>
      </c>
      <c r="M19" s="15">
        <v>-25.56825</v>
      </c>
      <c r="N19" s="15">
        <f>SUM(C16:C19)/4</f>
        <v>884.25</v>
      </c>
      <c r="O19" s="15">
        <v>983.1</v>
      </c>
      <c r="P19" s="16"/>
      <c r="Q19" s="16">
        <f>((D19+E19)/C19)</f>
        <v>0.405631453534551</v>
      </c>
      <c r="R19" s="16">
        <f>AVERAGE(Q16:Q19)</f>
        <v>0.300058855199424</v>
      </c>
      <c r="S19" s="17"/>
      <c r="T19" s="15">
        <f>SUM(J16:K19)/4</f>
        <v>234.25</v>
      </c>
      <c r="U19" s="17"/>
      <c r="V19" s="15">
        <f>-(L19+M19)+V18</f>
        <v>717.2452500000001</v>
      </c>
      <c r="W19" s="17"/>
      <c r="X19" s="15">
        <f>F19-G19</f>
        <v>322</v>
      </c>
      <c r="Y19" s="24"/>
      <c r="Z19" s="15">
        <v>1375</v>
      </c>
      <c r="AA19" s="24"/>
    </row>
    <row r="20" ht="20.05" customHeight="1">
      <c r="B20" s="21">
        <v>2021</v>
      </c>
      <c r="C20" s="14">
        <v>1195.7</v>
      </c>
      <c r="D20" s="15">
        <v>100.7</v>
      </c>
      <c r="E20" s="15">
        <v>297</v>
      </c>
      <c r="F20" s="15">
        <v>2401</v>
      </c>
      <c r="G20" s="15">
        <v>1858</v>
      </c>
      <c r="H20" s="15">
        <v>11442</v>
      </c>
      <c r="I20" s="15">
        <v>1079.3</v>
      </c>
      <c r="J20" s="15">
        <v>492.8</v>
      </c>
      <c r="K20" s="15">
        <v>-68.7</v>
      </c>
      <c r="L20" s="15">
        <v>-1.3</v>
      </c>
      <c r="M20" s="15">
        <v>0</v>
      </c>
      <c r="N20" s="15">
        <f>SUM(C17:C20)/4</f>
        <v>980.675</v>
      </c>
      <c r="O20" s="15">
        <v>1046.7875</v>
      </c>
      <c r="P20" s="16"/>
      <c r="Q20" s="16">
        <f>((D20+E20)/C20)</f>
        <v>0.332608513841265</v>
      </c>
      <c r="R20" s="16">
        <f>AVERAGE(Q17:Q20)</f>
        <v>0.328889996005419</v>
      </c>
      <c r="S20" s="17"/>
      <c r="T20" s="15">
        <f>SUM(J17:K20)/4</f>
        <v>294.775</v>
      </c>
      <c r="U20" s="17"/>
      <c r="V20" s="15">
        <f>-(L20+M20)+V19</f>
        <v>718.54525</v>
      </c>
      <c r="W20" s="17"/>
      <c r="X20" s="15">
        <f>F20-G20</f>
        <v>543</v>
      </c>
      <c r="Y20" s="15"/>
      <c r="Z20" s="15">
        <v>1280</v>
      </c>
      <c r="AA20" s="17"/>
    </row>
    <row r="21" ht="20.05" customHeight="1">
      <c r="B21" s="13"/>
      <c r="C21" s="14">
        <v>981.3</v>
      </c>
      <c r="D21" s="15">
        <v>80</v>
      </c>
      <c r="E21" s="15">
        <v>204</v>
      </c>
      <c r="F21" s="15">
        <v>2685</v>
      </c>
      <c r="G21" s="15">
        <v>1816</v>
      </c>
      <c r="H21" s="15">
        <v>11608</v>
      </c>
      <c r="I21" s="15">
        <v>1165.7</v>
      </c>
      <c r="J21" s="15">
        <v>361.2</v>
      </c>
      <c r="K21" s="15">
        <v>-72.3</v>
      </c>
      <c r="L21" s="15">
        <v>-1.3</v>
      </c>
      <c r="M21" s="15">
        <v>0</v>
      </c>
      <c r="N21" s="15">
        <f>SUM(C18:C21)/4</f>
        <v>1037</v>
      </c>
      <c r="O21" s="15">
        <v>1166.855</v>
      </c>
      <c r="P21" s="16">
        <f>C21/C20-1</f>
        <v>-0.179309191268713</v>
      </c>
      <c r="Q21" s="16">
        <f>((D21+E21)/C21)</f>
        <v>0.289412004483848</v>
      </c>
      <c r="R21" s="16">
        <f>AVERAGE(Q18:Q21)</f>
        <v>0.367446700830085</v>
      </c>
      <c r="S21" s="17"/>
      <c r="T21" s="15">
        <f>SUM(J18:K21)/4</f>
        <v>296.25</v>
      </c>
      <c r="U21" s="17"/>
      <c r="V21" s="15">
        <f>-(L21+M21)+V20</f>
        <v>719.84525</v>
      </c>
      <c r="W21" s="17"/>
      <c r="X21" s="15">
        <f>F21-G21</f>
        <v>869</v>
      </c>
      <c r="Y21" s="15"/>
      <c r="Z21" s="15">
        <v>1025</v>
      </c>
      <c r="AA21" s="17"/>
    </row>
    <row r="22" ht="20.05" customHeight="1">
      <c r="B22" s="13"/>
      <c r="C22" s="14">
        <v>1162.1</v>
      </c>
      <c r="D22" s="15">
        <v>107</v>
      </c>
      <c r="E22" s="15">
        <v>250.7</v>
      </c>
      <c r="F22" s="15">
        <v>2848</v>
      </c>
      <c r="G22" s="15">
        <v>1851</v>
      </c>
      <c r="H22" s="15">
        <v>11760</v>
      </c>
      <c r="I22" s="15">
        <v>1137.2</v>
      </c>
      <c r="J22" s="15">
        <v>391.2</v>
      </c>
      <c r="K22" s="15">
        <v>-82.8</v>
      </c>
      <c r="L22" s="15">
        <v>-0.8</v>
      </c>
      <c r="M22" s="15">
        <v>-136.36</v>
      </c>
      <c r="N22" s="15">
        <f>SUM(C19:C22)/4</f>
        <v>1149.525</v>
      </c>
      <c r="O22" s="23">
        <v>1238.495</v>
      </c>
      <c r="P22" s="16">
        <f>C22/C21-1</f>
        <v>0.184245388769999</v>
      </c>
      <c r="Q22" s="16">
        <f>((D22+E22)/C22)</f>
        <v>0.307804836072627</v>
      </c>
      <c r="R22" s="16">
        <f>AVERAGE(Q19:Q22)</f>
        <v>0.333864201983073</v>
      </c>
      <c r="S22" s="17"/>
      <c r="T22" s="15">
        <f>SUM(J19:K22)/4</f>
        <v>332.35</v>
      </c>
      <c r="U22" s="17"/>
      <c r="V22" s="15">
        <f>-(L22+M22)+V21</f>
        <v>857.00525</v>
      </c>
      <c r="W22" s="17"/>
      <c r="X22" s="15">
        <f>F22-G22</f>
        <v>997</v>
      </c>
      <c r="Y22" s="15"/>
      <c r="Z22" s="15">
        <v>1220</v>
      </c>
      <c r="AA22" s="17"/>
    </row>
    <row r="23" ht="20.05" customHeight="1">
      <c r="B23" s="13"/>
      <c r="C23" s="14">
        <v>1186.9</v>
      </c>
      <c r="D23" s="15">
        <v>94.3</v>
      </c>
      <c r="E23" s="15">
        <v>239.3</v>
      </c>
      <c r="F23" s="15">
        <v>3368</v>
      </c>
      <c r="G23" s="15">
        <v>1679</v>
      </c>
      <c r="H23" s="15">
        <v>11851</v>
      </c>
      <c r="I23" s="15">
        <v>1202.8</v>
      </c>
      <c r="J23" s="15">
        <v>633.7</v>
      </c>
      <c r="K23" s="15">
        <v>-111</v>
      </c>
      <c r="L23" s="15">
        <v>-1</v>
      </c>
      <c r="M23" s="15">
        <v>0</v>
      </c>
      <c r="N23" s="15">
        <f>SUM(C20:C23)/4</f>
        <v>1131.5</v>
      </c>
      <c r="O23" s="23">
        <v>1273.2725</v>
      </c>
      <c r="P23" s="16">
        <f>C23/C22-1</f>
        <v>0.0213406763617589</v>
      </c>
      <c r="Q23" s="16">
        <f>((D23+E23)/C23)</f>
        <v>0.2810683292611</v>
      </c>
      <c r="R23" s="16">
        <f>AVERAGE(Q20:Q23)</f>
        <v>0.30272342091471</v>
      </c>
      <c r="S23" s="17"/>
      <c r="T23" s="15">
        <f>SUM(J20:K23)/4</f>
        <v>386.025</v>
      </c>
      <c r="U23" s="17"/>
      <c r="V23" s="15">
        <f>-(L23+M23)+V22</f>
        <v>858.00525</v>
      </c>
      <c r="W23" s="17"/>
      <c r="X23" s="15">
        <f>F23-G23</f>
        <v>1689</v>
      </c>
      <c r="Y23" s="15"/>
      <c r="Z23" s="15">
        <v>1175</v>
      </c>
      <c r="AA23" s="17"/>
    </row>
    <row r="24" ht="20.05" customHeight="1">
      <c r="B24" s="21">
        <v>2022</v>
      </c>
      <c r="C24" s="14">
        <v>765</v>
      </c>
      <c r="D24" s="15">
        <v>104</v>
      </c>
      <c r="E24" s="15">
        <v>304</v>
      </c>
      <c r="F24" s="15">
        <v>3461</v>
      </c>
      <c r="G24" s="15">
        <v>1730</v>
      </c>
      <c r="H24" s="15">
        <v>12207</v>
      </c>
      <c r="I24" s="15">
        <v>824</v>
      </c>
      <c r="J24" s="15">
        <v>139.8</v>
      </c>
      <c r="K24" s="15">
        <v>-51.1</v>
      </c>
      <c r="L24" s="15">
        <v>0</v>
      </c>
      <c r="M24" s="15">
        <v>0</v>
      </c>
      <c r="N24" s="15">
        <f>SUM(C21:C24)/4</f>
        <v>1023.825</v>
      </c>
      <c r="O24" s="23">
        <v>1239.51</v>
      </c>
      <c r="P24" s="16">
        <f>C24/C23-1</f>
        <v>-0.355463813295139</v>
      </c>
      <c r="Q24" s="16">
        <f>((D24+E24)/C24)</f>
        <v>0.533333333333333</v>
      </c>
      <c r="R24" s="16">
        <f>AVERAGE(Q21:Q24)</f>
        <v>0.352904625787727</v>
      </c>
      <c r="S24" s="35"/>
      <c r="T24" s="15">
        <f>SUM(J21:K24)/4</f>
        <v>302.175</v>
      </c>
      <c r="U24" s="15">
        <v>335.033617649072</v>
      </c>
      <c r="V24" s="15">
        <f>-(L24+M24)+V23</f>
        <v>858.00525</v>
      </c>
      <c r="W24" s="15"/>
      <c r="X24" s="15">
        <f>F24-G24</f>
        <v>1731</v>
      </c>
      <c r="Y24" s="15">
        <v>2162.346368949190</v>
      </c>
      <c r="Z24" s="15">
        <v>1415</v>
      </c>
      <c r="AA24" s="15">
        <v>2612.7562456403</v>
      </c>
    </row>
    <row r="25" ht="20.05" customHeight="1">
      <c r="B25" s="13"/>
      <c r="C25" s="14">
        <v>1282.3</v>
      </c>
      <c r="D25" s="15">
        <v>104</v>
      </c>
      <c r="E25" s="15">
        <v>244.1</v>
      </c>
      <c r="F25" s="15">
        <v>3750</v>
      </c>
      <c r="G25" s="15">
        <v>1786</v>
      </c>
      <c r="H25" s="15">
        <v>12507</v>
      </c>
      <c r="I25" s="15">
        <v>1136.3</v>
      </c>
      <c r="J25" s="15">
        <v>350.9</v>
      </c>
      <c r="K25" s="15">
        <v>-86.59999999999999</v>
      </c>
      <c r="L25" s="15">
        <v>0</v>
      </c>
      <c r="M25" s="15">
        <v>0</v>
      </c>
      <c r="N25" s="15">
        <f>SUM(C22:C25)/4</f>
        <v>1099.075</v>
      </c>
      <c r="O25" s="23">
        <v>1159.3175</v>
      </c>
      <c r="P25" s="16">
        <f>C25/C24-1</f>
        <v>0.676209150326797</v>
      </c>
      <c r="Q25" s="16">
        <f>((D25+E25)/C25)</f>
        <v>0.271465335724869</v>
      </c>
      <c r="R25" s="16">
        <f>AVERAGE(Q22:Q25)</f>
        <v>0.348417958597982</v>
      </c>
      <c r="S25" s="35"/>
      <c r="T25" s="15">
        <f>SUM(J22:K25)/4</f>
        <v>296.025</v>
      </c>
      <c r="U25" s="15">
        <v>361.969771127975</v>
      </c>
      <c r="V25" s="15">
        <f>-(L25+M25)+V24</f>
        <v>858.00525</v>
      </c>
      <c r="W25" s="15"/>
      <c r="X25" s="15">
        <f>F25-G25</f>
        <v>1964</v>
      </c>
      <c r="Y25" s="15">
        <v>2463.643281324590</v>
      </c>
      <c r="Z25" s="15">
        <v>1160</v>
      </c>
      <c r="AA25" s="15">
        <v>2795.948259929610</v>
      </c>
    </row>
    <row r="26" ht="20.05" customHeight="1">
      <c r="B26" s="13"/>
      <c r="C26" s="14">
        <f>C42-C25-C24</f>
        <v>997.7</v>
      </c>
      <c r="D26" s="15">
        <f>D42-D25-D24</f>
        <v>93</v>
      </c>
      <c r="E26" s="15">
        <f>E42-E25-E24</f>
        <v>214.9</v>
      </c>
      <c r="F26" s="15">
        <f>741+2866</f>
        <v>3607</v>
      </c>
      <c r="G26" s="15">
        <v>1814</v>
      </c>
      <c r="H26" s="15">
        <v>12404</v>
      </c>
      <c r="I26" s="15">
        <f>I42-I25-I24</f>
        <v>1227.7</v>
      </c>
      <c r="J26" s="15">
        <f>J42-J25-J24</f>
        <v>266.3</v>
      </c>
      <c r="K26" s="15">
        <f>K42-K25-K24</f>
        <v>-84.3</v>
      </c>
      <c r="L26" s="15">
        <f>L42-L25-L24</f>
        <v>0</v>
      </c>
      <c r="M26" s="15">
        <f>M42-M25-M24</f>
        <v>-348</v>
      </c>
      <c r="N26" s="15">
        <f>AVERAGE(C26)</f>
        <v>997.7</v>
      </c>
      <c r="O26" s="23">
        <v>1185.5025</v>
      </c>
      <c r="P26" s="16">
        <f>C26/C25-1</f>
        <v>-0.22194494268112</v>
      </c>
      <c r="Q26" s="16">
        <f>((D26+E26)/C26)</f>
        <v>0.308609802545855</v>
      </c>
      <c r="R26" s="16">
        <f>AVERAGE(Q23:Q26)</f>
        <v>0.348619200216289</v>
      </c>
      <c r="S26" s="35">
        <f>S27</f>
        <v>0.348619200216289</v>
      </c>
      <c r="T26" s="15">
        <f>SUM(J23:K26)/4</f>
        <v>264.425</v>
      </c>
      <c r="U26" s="15">
        <v>387.886333443071</v>
      </c>
      <c r="V26" s="15">
        <f>-(L26+M26)+V25</f>
        <v>1206.00525</v>
      </c>
      <c r="W26" s="15">
        <f>W27</f>
        <v>2114.654177676280</v>
      </c>
      <c r="X26" s="15">
        <f>F26-G26</f>
        <v>1793</v>
      </c>
      <c r="Y26" s="15">
        <v>2527.883600131690</v>
      </c>
      <c r="Z26" s="15">
        <v>1080</v>
      </c>
      <c r="AA26" s="15">
        <v>2957.508534783410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AVERAGE(AD53:AG53)</f>
        <v>1108.415617045</v>
      </c>
      <c r="P27" s="17"/>
      <c r="Q27" s="17"/>
      <c r="R27" s="17"/>
      <c r="S27" s="35">
        <f>AD54</f>
        <v>0.348619200216289</v>
      </c>
      <c r="T27" s="17"/>
      <c r="U27" s="15">
        <f>SUM(AD56:AG56)/4</f>
        <v>302.114965921473</v>
      </c>
      <c r="V27" s="17"/>
      <c r="W27" s="15">
        <f>-SUM(AD77:AG77)+V26</f>
        <v>2114.654177676280</v>
      </c>
      <c r="X27" s="17"/>
      <c r="Y27" s="15">
        <f>AG76</f>
        <v>2429.296598509610</v>
      </c>
      <c r="Z27" s="15">
        <v>1010</v>
      </c>
      <c r="AA27" s="15">
        <v>2795.948259929610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SUM(N15:N26)</f>
        <v>11888.95</v>
      </c>
      <c r="O28" s="15">
        <f>SUM(O15:O26)</f>
        <v>13554.0066666667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AG89</f>
        <v>2303.5294444827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>
        <v>3045</v>
      </c>
      <c r="D42" s="15">
        <f>261+14+26</f>
        <v>301</v>
      </c>
      <c r="E42" s="15">
        <v>763</v>
      </c>
      <c r="F42" s="15"/>
      <c r="G42" s="15"/>
      <c r="H42" s="15"/>
      <c r="I42" s="15">
        <v>3188</v>
      </c>
      <c r="J42" s="15">
        <v>757</v>
      </c>
      <c r="K42" s="15">
        <v>-222</v>
      </c>
      <c r="L42" s="15">
        <v>0</v>
      </c>
      <c r="M42" s="15">
        <v>-348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5"/>
      <c r="Z45" s="15"/>
      <c r="AA45" s="15"/>
    </row>
    <row r="47" ht="27.65" customHeight="1">
      <c r="AB47" t="s" s="2">
        <v>205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ht="20.25" customHeight="1">
      <c r="AB48" t="s" s="28">
        <v>366</v>
      </c>
      <c r="AC48" t="s" s="29">
        <v>23</v>
      </c>
      <c r="AD48" t="s" s="29">
        <v>24</v>
      </c>
      <c r="AE48" t="s" s="29">
        <v>25</v>
      </c>
      <c r="AF48" t="s" s="29">
        <v>26</v>
      </c>
      <c r="AG48" t="s" s="29">
        <v>23</v>
      </c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ht="20.25" customHeight="1">
      <c r="AB49" t="s" s="31">
        <v>15</v>
      </c>
      <c r="AC49" s="32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</row>
    <row r="50" ht="20.05" customHeight="1">
      <c r="AB50" t="s" s="33">
        <v>27</v>
      </c>
      <c r="AC50" s="34"/>
      <c r="AD50" s="16">
        <f>AVERAGE(P23:P26)</f>
        <v>0.0300352676780742</v>
      </c>
      <c r="AE50" s="35"/>
      <c r="AF50" s="35"/>
      <c r="AG50" s="35">
        <f>AVERAGE(AD52:AG52)</f>
        <v>0.035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s="36"/>
      <c r="AC51" s="37"/>
      <c r="AD51" s="35">
        <f>P23</f>
        <v>0.0213406763617589</v>
      </c>
      <c r="AE51" s="35">
        <f>P24</f>
        <v>-0.355463813295139</v>
      </c>
      <c r="AF51" s="35">
        <f>P25</f>
        <v>0.676209150326797</v>
      </c>
      <c r="AG51" s="35">
        <f>P26</f>
        <v>-0.22194494268112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13</v>
      </c>
      <c r="AC52" s="37"/>
      <c r="AD52" s="35">
        <v>0.1</v>
      </c>
      <c r="AE52" s="35">
        <v>-0.01</v>
      </c>
      <c r="AF52" s="35">
        <v>0.02</v>
      </c>
      <c r="AG52" s="35">
        <v>0.03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20.05" customHeight="1">
      <c r="AB53" t="s" s="33">
        <v>28</v>
      </c>
      <c r="AC53" s="38">
        <f>C26</f>
        <v>997.7</v>
      </c>
      <c r="AD53" s="23">
        <f>C26*(1+AD52)</f>
        <v>1097.47</v>
      </c>
      <c r="AE53" s="23">
        <f>AD53*(1+AE52)</f>
        <v>1086.4953</v>
      </c>
      <c r="AF53" s="23">
        <f>AE53*(1+AF52)</f>
        <v>1108.225206</v>
      </c>
      <c r="AG53" s="23">
        <f>AF53*(1+AG52)</f>
        <v>1141.47196218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ht="20.05" customHeight="1">
      <c r="AB54" t="s" s="33">
        <v>14</v>
      </c>
      <c r="AC54" s="37"/>
      <c r="AD54" s="35">
        <f>AVERAGE(R26)</f>
        <v>0.348619200216289</v>
      </c>
      <c r="AE54" s="35">
        <f>AD54</f>
        <v>0.348619200216289</v>
      </c>
      <c r="AF54" s="35">
        <f>AE54</f>
        <v>0.348619200216289</v>
      </c>
      <c r="AG54" s="35">
        <f>AF54</f>
        <v>0.348619200216289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</row>
    <row r="55" ht="20.05" customHeight="1">
      <c r="AB55" t="s" s="33">
        <v>29</v>
      </c>
      <c r="AC55" s="14"/>
      <c r="AD55" s="15">
        <f>AVERAGE(K26)</f>
        <v>-84.3</v>
      </c>
      <c r="AE55" s="15">
        <f>AD55</f>
        <v>-84.3</v>
      </c>
      <c r="AF55" s="15">
        <f>AE55</f>
        <v>-84.3</v>
      </c>
      <c r="AG55" s="15">
        <f>AF55</f>
        <v>-84.3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30</v>
      </c>
      <c r="AC56" s="14"/>
      <c r="AD56" s="15">
        <f>(AD53*AD54)+AD55</f>
        <v>298.299113661371</v>
      </c>
      <c r="AE56" s="15">
        <f>(AE53*AE54)+AE55</f>
        <v>294.473122524757</v>
      </c>
      <c r="AF56" s="15">
        <f>(AF53*AF54)+AF55</f>
        <v>302.048584975252</v>
      </c>
      <c r="AG56" s="15">
        <f>(AG53*AG54)+AG55</f>
        <v>313.639042524510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31</v>
      </c>
      <c r="AC57" s="14"/>
      <c r="AD57" s="15">
        <f>-G26/20</f>
        <v>-90.7</v>
      </c>
      <c r="AE57" s="15">
        <f>-AD72/20</f>
        <v>-86.16500000000001</v>
      </c>
      <c r="AF57" s="15">
        <f>-AE72/20</f>
        <v>-81.85675000000001</v>
      </c>
      <c r="AG57" s="15">
        <f>-AF72/20</f>
        <v>-77.7639125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32</v>
      </c>
      <c r="AC58" s="39"/>
      <c r="AD58" s="40">
        <v>-0.5</v>
      </c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33</v>
      </c>
      <c r="AC59" s="14"/>
      <c r="AD59" s="15">
        <f>IF(AD67&gt;0,AD67*$AD$58,0)</f>
        <v>-141.132890164019</v>
      </c>
      <c r="AE59" s="15">
        <f>IF(AE67&gt;0,AE67*$AD$58,0)</f>
        <v>-139.219894595712</v>
      </c>
      <c r="AF59" s="15">
        <f>IF(AF67&gt;0,AF67*$AD$58,0)</f>
        <v>-143.007625820960</v>
      </c>
      <c r="AG59" s="15">
        <f>IF(AG67&gt;0,AG67*$AD$58,0)</f>
        <v>-148.802854595589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34</v>
      </c>
      <c r="AC60" s="14"/>
      <c r="AD60" s="15">
        <f>AD56+AD57+AD59</f>
        <v>66.466223497352</v>
      </c>
      <c r="AE60" s="15">
        <f>AE56+AE57+AE59</f>
        <v>69.088227929045</v>
      </c>
      <c r="AF60" s="15">
        <f>AF56+AF57+AF59</f>
        <v>77.18420915429201</v>
      </c>
      <c r="AG60" s="15">
        <f>AG56+AG57+AG59</f>
        <v>87.072275428921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35</v>
      </c>
      <c r="AC61" s="14"/>
      <c r="AD61" s="15">
        <f>-MIN(0,AD60)</f>
        <v>0</v>
      </c>
      <c r="AE61" s="15">
        <f>-MIN(AD73,AE60)</f>
        <v>0</v>
      </c>
      <c r="AF61" s="15">
        <f>-MIN(AE73,AF60)</f>
        <v>0</v>
      </c>
      <c r="AG61" s="15">
        <f>-MIN(AF73,AG60)</f>
        <v>0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36</v>
      </c>
      <c r="AC62" s="14"/>
      <c r="AD62" s="15">
        <f>F26</f>
        <v>3607</v>
      </c>
      <c r="AE62" s="15">
        <f>AD64</f>
        <v>3673.466223497350</v>
      </c>
      <c r="AF62" s="15">
        <f>AE64</f>
        <v>3742.5544514264</v>
      </c>
      <c r="AG62" s="15">
        <f>AF64</f>
        <v>3819.738660580690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37</v>
      </c>
      <c r="AC63" s="14"/>
      <c r="AD63" s="15">
        <f>AD56+AD57+AD59+AD61</f>
        <v>66.466223497352</v>
      </c>
      <c r="AE63" s="15">
        <f>AE56+AE57+AE59+AE61</f>
        <v>69.088227929045</v>
      </c>
      <c r="AF63" s="15">
        <f>AF56+AF57+AF59+AF61</f>
        <v>77.18420915429201</v>
      </c>
      <c r="AG63" s="15">
        <f>AG56+AG57+AG59+AG61</f>
        <v>87.072275428921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38</v>
      </c>
      <c r="AC64" s="14"/>
      <c r="AD64" s="15">
        <f>AD62+AD63</f>
        <v>3673.466223497350</v>
      </c>
      <c r="AE64" s="15">
        <f>AE62+AE63</f>
        <v>3742.5544514264</v>
      </c>
      <c r="AF64" s="15">
        <f>AF62+AF63</f>
        <v>3819.738660580690</v>
      </c>
      <c r="AG64" s="15">
        <f>AG62+AG63</f>
        <v>3906.810936009610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4</v>
      </c>
      <c r="AC65" s="14"/>
      <c r="AD65" s="15"/>
      <c r="AE65" s="15"/>
      <c r="AF65" s="15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ht="20.05" customHeight="1">
      <c r="AB66" t="s" s="33">
        <v>3</v>
      </c>
      <c r="AC66" s="14"/>
      <c r="AD66" s="15">
        <f>-AVERAGE(D24:D26)</f>
        <v>-100.333333333333</v>
      </c>
      <c r="AE66" s="15">
        <f>AD66</f>
        <v>-100.333333333333</v>
      </c>
      <c r="AF66" s="15">
        <f>AE66</f>
        <v>-100.333333333333</v>
      </c>
      <c r="AG66" s="15">
        <f>AF66</f>
        <v>-100.333333333333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</v>
      </c>
      <c r="AC67" s="14"/>
      <c r="AD67" s="15">
        <f>(AD53*AD54)+AD66</f>
        <v>282.265780328038</v>
      </c>
      <c r="AE67" s="15">
        <f>(AE53*AE54)+AE66</f>
        <v>278.439789191424</v>
      </c>
      <c r="AF67" s="15">
        <f>(AF53*AF54)+AF66</f>
        <v>286.015251641919</v>
      </c>
      <c r="AG67" s="15">
        <f>(AG53*AG54)+AG66</f>
        <v>297.605709191177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41">
        <v>39</v>
      </c>
      <c r="AC68" s="14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40</v>
      </c>
      <c r="AC69" s="14"/>
      <c r="AD69" s="15">
        <f>H26-F26-AD55</f>
        <v>8881.299999999999</v>
      </c>
      <c r="AE69" s="15">
        <f>AD69-AE55</f>
        <v>8965.6</v>
      </c>
      <c r="AF69" s="15">
        <f>AE69-AF55</f>
        <v>9049.9</v>
      </c>
      <c r="AG69" s="15">
        <f>AF69-AG55</f>
        <v>9134.200000000001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41</v>
      </c>
      <c r="AC70" s="14"/>
      <c r="AD70" s="15">
        <f>0-AD66</f>
        <v>100.333333333333</v>
      </c>
      <c r="AE70" s="15">
        <f>AD70-AE66</f>
        <v>200.666666666666</v>
      </c>
      <c r="AF70" s="15">
        <f>AE70-AF66</f>
        <v>300.999999999999</v>
      </c>
      <c r="AG70" s="15">
        <f>AF70-AG66</f>
        <v>401.333333333332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42</v>
      </c>
      <c r="AC71" s="14"/>
      <c r="AD71" s="15">
        <f>AD69-AD70</f>
        <v>8780.966666666671</v>
      </c>
      <c r="AE71" s="15">
        <f>AE69-AE70</f>
        <v>8764.933333333331</v>
      </c>
      <c r="AF71" s="15">
        <f>AF69-AF70</f>
        <v>8748.9</v>
      </c>
      <c r="AG71" s="15">
        <f>AG69-AG70</f>
        <v>8732.866666666670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6</v>
      </c>
      <c r="AC72" s="14"/>
      <c r="AD72" s="15">
        <f>G26+AD57</f>
        <v>1723.3</v>
      </c>
      <c r="AE72" s="15">
        <f>AD72+AE57</f>
        <v>1637.135</v>
      </c>
      <c r="AF72" s="15">
        <f>AE72+AF57</f>
        <v>1555.27825</v>
      </c>
      <c r="AG72" s="15">
        <f>AF72+AG57</f>
        <v>1477.5143375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35</v>
      </c>
      <c r="AC73" s="14"/>
      <c r="AD73" s="15">
        <f>AD61</f>
        <v>0</v>
      </c>
      <c r="AE73" s="15">
        <f>AD73+AE61</f>
        <v>0</v>
      </c>
      <c r="AF73" s="15">
        <f>AE73+AF61</f>
        <v>0</v>
      </c>
      <c r="AG73" s="15">
        <f>AF73+AG61</f>
        <v>0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11</v>
      </c>
      <c r="AC74" s="14"/>
      <c r="AD74" s="15">
        <f>(H26-G26)+AD67+AD59</f>
        <v>10731.132890164</v>
      </c>
      <c r="AE74" s="15">
        <f>AD74+AE67+AE59</f>
        <v>10870.3527847597</v>
      </c>
      <c r="AF74" s="15">
        <f>AE74+AF67+AF59</f>
        <v>11013.3604105807</v>
      </c>
      <c r="AG74" s="15">
        <f>AF74+AG67+AG59</f>
        <v>11162.1632651763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43</v>
      </c>
      <c r="AC75" s="14"/>
      <c r="AD75" s="15">
        <f>AD72+AD73+AD74-AD64-AD71</f>
        <v>-2e-11</v>
      </c>
      <c r="AE75" s="15">
        <f>AE72+AE73+AE74-AE64-AE71</f>
        <v>-3e-11</v>
      </c>
      <c r="AF75" s="15">
        <f>AF72+AF73+AF74-AF64-AF71</f>
        <v>9.999999999999999e-12</v>
      </c>
      <c r="AG75" s="15">
        <f>AG72+AG73+AG74-AG64-AG71</f>
        <v>2e-11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18</v>
      </c>
      <c r="AC76" s="14"/>
      <c r="AD76" s="15">
        <f>AD64-AD72-AD73</f>
        <v>1950.166223497350</v>
      </c>
      <c r="AE76" s="15">
        <f>AE64-AE72-AE73</f>
        <v>2105.4194514264</v>
      </c>
      <c r="AF76" s="15">
        <f>AF64-AF72-AF73</f>
        <v>2264.460410580690</v>
      </c>
      <c r="AG76" s="15">
        <f>AG64-AG72-AG73</f>
        <v>2429.296598509610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44</v>
      </c>
      <c r="AC77" s="14"/>
      <c r="AD77" s="15">
        <f>AD57+AD59+AD61</f>
        <v>-231.832890164019</v>
      </c>
      <c r="AE77" s="15">
        <f>AE57+AE59+AE61</f>
        <v>-225.384894595712</v>
      </c>
      <c r="AF77" s="15">
        <f>AF57+AF59+AF61</f>
        <v>-224.864375820960</v>
      </c>
      <c r="AG77" s="15">
        <f>AG57+AG59+AG61</f>
        <v>-226.566767095589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45</v>
      </c>
      <c r="AC78" s="14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Z$3</f>
        <v>659</v>
      </c>
      <c r="AC79" s="14"/>
      <c r="AD79" s="15"/>
      <c r="AE79" s="15"/>
      <c r="AF79" s="15"/>
      <c r="AG79" s="15">
        <v>1010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f>$AB79</f>
        <v>659</v>
      </c>
      <c r="AC80" s="14"/>
      <c r="AD80" s="15"/>
      <c r="AE80" s="15"/>
      <c r="AF80" s="15"/>
      <c r="AG80" s="15">
        <v>6888159406080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46</v>
      </c>
      <c r="AC81" s="14"/>
      <c r="AD81" s="15"/>
      <c r="AE81" s="15"/>
      <c r="AF81" s="15"/>
      <c r="AG81" s="15">
        <f>AG80/1000000000</f>
        <v>6888.15940608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47</v>
      </c>
      <c r="AC82" s="14"/>
      <c r="AD82" s="15"/>
      <c r="AE82" s="15"/>
      <c r="AF82" s="15"/>
      <c r="AG82" s="15">
        <f>AG81/AG79</f>
        <v>6.819959808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48</v>
      </c>
      <c r="AC83" s="14"/>
      <c r="AD83" s="15"/>
      <c r="AE83" s="15"/>
      <c r="AF83" s="15"/>
      <c r="AG83" s="43">
        <f>AG81/(AG64+AG71)</f>
        <v>0.544963219997124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ht="20.05" customHeight="1">
      <c r="AB84" t="s" s="33">
        <v>49</v>
      </c>
      <c r="AC84" s="14"/>
      <c r="AD84" s="15"/>
      <c r="AE84" s="15"/>
      <c r="AF84" s="15"/>
      <c r="AG84" s="16">
        <f>-(AD59+AE59+AF59+AG59)/AG81</f>
        <v>0.0830647537963837</v>
      </c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ht="20.05" customHeight="1">
      <c r="AB85" t="s" s="33">
        <v>50</v>
      </c>
      <c r="AC85" s="14"/>
      <c r="AD85" s="15"/>
      <c r="AE85" s="15"/>
      <c r="AF85" s="15"/>
      <c r="AG85" s="15">
        <f>SUM(AD56:AG56)</f>
        <v>1208.459863685890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51</v>
      </c>
      <c r="AC86" s="14"/>
      <c r="AD86" s="15"/>
      <c r="AE86" s="15"/>
      <c r="AF86" s="15"/>
      <c r="AG86" s="15">
        <f>(AG64+AG71)/AG85</f>
        <v>10.4593275974631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52</v>
      </c>
      <c r="AC87" s="14"/>
      <c r="AD87" s="15"/>
      <c r="AE87" s="15"/>
      <c r="AF87" s="15">
        <f>AG81/AG85</f>
        <v>5.69994884651826</v>
      </c>
      <c r="AG87" s="15">
        <v>13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53</v>
      </c>
      <c r="AC88" s="14"/>
      <c r="AD88" s="15"/>
      <c r="AE88" s="15"/>
      <c r="AF88" s="15"/>
      <c r="AG88" s="15">
        <f>AG85*AG87</f>
        <v>15709.9782279166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54</v>
      </c>
      <c r="AC89" s="14"/>
      <c r="AD89" s="15"/>
      <c r="AE89" s="15"/>
      <c r="AF89" s="15"/>
      <c r="AG89" s="15">
        <f>(AG88/AG82)</f>
        <v>2303.5294444827</v>
      </c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ht="20.05" customHeight="1">
      <c r="AB90" t="s" s="33">
        <v>55</v>
      </c>
      <c r="AC90" s="38"/>
      <c r="AD90" s="23"/>
      <c r="AE90" s="23"/>
      <c r="AF90" s="23"/>
      <c r="AG90" s="16">
        <f>AG89/AG79-1</f>
        <v>1.2807222222601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56</v>
      </c>
      <c r="AC91" s="38"/>
      <c r="AD91" s="23"/>
      <c r="AE91" s="23"/>
      <c r="AF91" s="23"/>
      <c r="AG91" s="16">
        <f>C26/C22-1</f>
        <v>-0.141468032011015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t="s" s="33">
        <v>57</v>
      </c>
      <c r="AC92" s="38"/>
      <c r="AD92" s="23"/>
      <c r="AE92" s="23"/>
      <c r="AF92" s="23"/>
      <c r="AG92" s="16">
        <f>O28/N28-1</f>
        <v>0.140050775439942</v>
      </c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38"/>
      <c r="AD94" s="23"/>
      <c r="AE94" s="23"/>
      <c r="AF94" s="23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ht="20.05" customHeight="1">
      <c r="AB95" s="36"/>
      <c r="AC95" s="45"/>
      <c r="AD95" t="s" s="44">
        <f>$AB79</f>
        <v>659</v>
      </c>
      <c r="AE95" t="s" s="44">
        <v>60</v>
      </c>
      <c r="AF95" s="15">
        <f>AG79</f>
        <v>1010</v>
      </c>
      <c r="AG95" t="s" s="44">
        <v>61</v>
      </c>
      <c r="AH95" s="15">
        <f>AG89</f>
        <v>2303.5294444827</v>
      </c>
      <c r="AI95" t="s" s="44">
        <f>IF(AJ95&gt;0,"+","")</f>
        <v>361</v>
      </c>
      <c r="AJ95" s="16">
        <f>AH95/AF95-1</f>
        <v>1.2807222222601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20.05" customHeight="1">
      <c r="AB96" s="36"/>
      <c r="AC96" s="46"/>
      <c r="AD96" s="47">
        <f>TODAY()</f>
        <v>44942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62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64</v>
      </c>
      <c r="AF98" t="s" s="44">
        <f>IF(AG98&gt;0,"+","")</f>
      </c>
      <c r="AG98" s="16">
        <f>AH105/AD105-1</f>
        <v>-0.141468032011015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65</v>
      </c>
      <c r="AF99" t="s" s="44">
        <f>IF(AG99&gt;0,"+","")</f>
        <v>361</v>
      </c>
      <c r="AG99" s="16">
        <f>SUM(AE118:AH119)/AE135</f>
        <v>0.153553356948504</v>
      </c>
      <c r="AH99" t="s" s="44"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63</v>
      </c>
      <c r="AE100" t="s" s="44">
        <v>17</v>
      </c>
      <c r="AF100" t="s" s="44">
        <f>IF(AG100&gt;0,"+","")</f>
        <v>361</v>
      </c>
      <c r="AG100" s="16">
        <f>SUM(AE132:AH133)/AE135</f>
        <v>0.0506666555498043</v>
      </c>
      <c r="AH100" t="s" s="44">
        <f>AH99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32.05" customHeight="1">
      <c r="AB101" s="36"/>
      <c r="AC101" s="34"/>
      <c r="AD101" t="s" s="44">
        <v>68</v>
      </c>
      <c r="AE101" t="s" s="44">
        <v>369</v>
      </c>
      <c r="AF101" s="16">
        <f>AO128/AE135</f>
        <v>0.260301757595413</v>
      </c>
      <c r="AG101" t="s" s="44">
        <f>AH100</f>
        <v>66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t="s" s="44">
        <v>28</v>
      </c>
      <c r="AE102" t="s" s="44">
        <f>AE106</f>
        <v>370</v>
      </c>
      <c r="AF102" s="16">
        <f>AF106</f>
        <v>-0.22194494268112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32.05" customHeight="1">
      <c r="AB103" s="36"/>
      <c r="AC103" s="34"/>
      <c r="AD103" t="s" s="44">
        <v>70</v>
      </c>
      <c r="AE103" t="s" s="44">
        <v>371</v>
      </c>
      <c r="AF103" t="s" s="44">
        <f>AL106</f>
        <v>372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71"/>
      <c r="AD104" s="16">
        <f>P22</f>
        <v>0.184245388769999</v>
      </c>
      <c r="AE104" s="16">
        <f>P23</f>
        <v>0.0213406763617589</v>
      </c>
      <c r="AF104" s="16">
        <f>P24</f>
        <v>-0.355463813295139</v>
      </c>
      <c r="AG104" s="16">
        <f>P25</f>
        <v>0.676209150326797</v>
      </c>
      <c r="AH104" s="16">
        <f>P26</f>
        <v>-0.22194494268112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20.05" customHeight="1">
      <c r="AB105" s="36"/>
      <c r="AC105" s="34"/>
      <c r="AD105" s="15">
        <f>C22</f>
        <v>1162.1</v>
      </c>
      <c r="AE105" s="15">
        <f>C23</f>
        <v>1186.9</v>
      </c>
      <c r="AF105" s="15">
        <f>C24</f>
        <v>765</v>
      </c>
      <c r="AG105" s="15">
        <f>C25</f>
        <v>1282.3</v>
      </c>
      <c r="AH105" s="15">
        <f>C26</f>
        <v>997.7</v>
      </c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44.05" customHeight="1">
      <c r="AB106" s="36"/>
      <c r="AC106" s="34"/>
      <c r="AD106" t="s" s="44">
        <v>2</v>
      </c>
      <c r="AE106" t="s" s="44">
        <f>IF(AF106&lt;0,"declined","grew")</f>
        <v>370</v>
      </c>
      <c r="AF106" s="16">
        <f>AH105/AG105-1</f>
        <v>-0.22194494268112</v>
      </c>
      <c r="AG106" t="s" s="44">
        <v>73</v>
      </c>
      <c r="AH106" t="s" s="44">
        <v>74</v>
      </c>
      <c r="AI106" t="s" s="44">
        <v>75</v>
      </c>
      <c r="AJ106" t="s" s="44">
        <v>76</v>
      </c>
      <c r="AK106" s="15">
        <f>AH105</f>
        <v>997.7</v>
      </c>
      <c r="AL106" t="s" s="44">
        <v>372</v>
      </c>
      <c r="AM106" t="s" s="44">
        <v>378</v>
      </c>
      <c r="AN106" s="16">
        <v>0.0297063450445726</v>
      </c>
      <c r="AO106" t="s" s="44">
        <v>78</v>
      </c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79</v>
      </c>
      <c r="AE107" s="16">
        <f>AVERAGE(AE104:AH104)</f>
        <v>0.0300352676780742</v>
      </c>
      <c r="AF107" t="s" s="44">
        <v>80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56.05" customHeight="1">
      <c r="AB108" s="36"/>
      <c r="AC108" s="34"/>
      <c r="AD108" t="s" s="44">
        <v>81</v>
      </c>
      <c r="AE108" s="35">
        <f>AG50</f>
        <v>0.035</v>
      </c>
      <c r="AF108" t="s" s="44">
        <v>82</v>
      </c>
      <c r="AG108" t="s" s="44">
        <v>83</v>
      </c>
      <c r="AH108" s="23">
        <f>AG53</f>
        <v>1141.47196218</v>
      </c>
      <c r="AI108" t="s" s="44">
        <f>AL106</f>
        <v>372</v>
      </c>
      <c r="AJ108" t="s" s="44">
        <v>84</v>
      </c>
      <c r="AK108" t="s" s="44">
        <f>AH106</f>
        <v>74</v>
      </c>
      <c r="AL108" t="s" s="44">
        <f>AI106</f>
        <v>75</v>
      </c>
      <c r="AM108" t="s" s="44">
        <v>85</v>
      </c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t="s" s="44">
        <v>14</v>
      </c>
      <c r="AE109" t="s" s="44">
        <f>IF(AG113&lt;AE113,"down","up")</f>
        <v>108</v>
      </c>
      <c r="AF109" t="s" s="44">
        <v>86</v>
      </c>
      <c r="AG109" t="s" s="44">
        <f>IF(AK113&gt;AI113,"up","down")</f>
        <v>87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44.05" customHeight="1">
      <c r="AB110" s="36"/>
      <c r="AC110" s="34"/>
      <c r="AD110" t="s" s="44">
        <f>AD103</f>
        <v>70</v>
      </c>
      <c r="AE110" t="s" s="44">
        <v>88</v>
      </c>
      <c r="AF110" t="s" s="44">
        <f>AL106</f>
        <v>372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71"/>
      <c r="AD111" s="16">
        <f>(D22+E22)/C22</f>
        <v>0.307804836072627</v>
      </c>
      <c r="AE111" s="16">
        <f>(D23+E23)/C23</f>
        <v>0.2810683292611</v>
      </c>
      <c r="AF111" s="16">
        <f>((E24+D24)/C24)</f>
        <v>0.533333333333333</v>
      </c>
      <c r="AG111" s="16">
        <f>(D25+E25)/C25</f>
        <v>0.271465335724869</v>
      </c>
      <c r="AH111" s="16">
        <f>(D26+E26)/C26</f>
        <v>0.308609802545855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20.05" customHeight="1">
      <c r="AB112" s="36"/>
      <c r="AC112" s="34"/>
      <c r="AD112" s="15">
        <f>E22</f>
        <v>250.7</v>
      </c>
      <c r="AE112" s="15">
        <f>E23</f>
        <v>239.3</v>
      </c>
      <c r="AF112" s="15">
        <f>E24</f>
        <v>304</v>
      </c>
      <c r="AG112" s="15">
        <f>E25</f>
        <v>244.1</v>
      </c>
      <c r="AH112" s="15">
        <f>E26</f>
        <v>214.9</v>
      </c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44.05" customHeight="1">
      <c r="AB113" s="36"/>
      <c r="AC113" s="34"/>
      <c r="AD113" t="s" s="44">
        <v>89</v>
      </c>
      <c r="AE113" s="16">
        <f>AG111</f>
        <v>0.271465335724869</v>
      </c>
      <c r="AF113" t="s" s="44">
        <v>76</v>
      </c>
      <c r="AG113" s="16">
        <f>AH111</f>
        <v>0.308609802545855</v>
      </c>
      <c r="AH113" t="s" s="44">
        <v>90</v>
      </c>
      <c r="AI113" s="15">
        <f>AG112</f>
        <v>244.1</v>
      </c>
      <c r="AJ113" t="s" s="44">
        <v>76</v>
      </c>
      <c r="AK113" s="15">
        <f>AH112</f>
        <v>214.9</v>
      </c>
      <c r="AL113" t="s" s="44">
        <f>AI108</f>
        <v>372</v>
      </c>
      <c r="AM113" t="s" s="44">
        <v>73</v>
      </c>
      <c r="AN113" t="s" s="44">
        <f>AK108</f>
        <v>74</v>
      </c>
      <c r="AO113" t="s" s="44">
        <v>91</v>
      </c>
      <c r="AP113" s="17"/>
      <c r="AQ113" s="17"/>
      <c r="AR113" s="17"/>
      <c r="AS113" s="17"/>
      <c r="AT113" s="17"/>
      <c r="AU113" s="17"/>
    </row>
    <row r="114" ht="68.05" customHeight="1">
      <c r="AB114" s="36"/>
      <c r="AC114" s="34"/>
      <c r="AD114" t="s" s="44">
        <v>92</v>
      </c>
      <c r="AE114" s="16">
        <f>AVERAGE(AE111:AH111)</f>
        <v>0.348619200216289</v>
      </c>
      <c r="AF114" t="s" s="44">
        <v>78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44.05" customHeight="1">
      <c r="AB115" s="36"/>
      <c r="AC115" s="34"/>
      <c r="AD115" t="s" s="44">
        <v>93</v>
      </c>
      <c r="AE115" s="35">
        <f>AD54</f>
        <v>0.348619200216289</v>
      </c>
      <c r="AF115" t="s" s="44">
        <v>94</v>
      </c>
      <c r="AG115" s="15">
        <f>AG67</f>
        <v>297.605709191177</v>
      </c>
      <c r="AH115" t="s" s="44">
        <f>AL113</f>
        <v>372</v>
      </c>
      <c r="AI115" t="s" s="44">
        <v>95</v>
      </c>
      <c r="AJ115" t="s" s="44">
        <f>AN113</f>
        <v>74</v>
      </c>
      <c r="AK115" t="s" s="44">
        <f>AI106</f>
        <v>75</v>
      </c>
      <c r="AL115" t="s" s="44">
        <f>AM108</f>
        <v>85</v>
      </c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t="s" s="44">
        <v>15</v>
      </c>
      <c r="AE116" t="s" s="44">
        <f>IF(AG120&lt;AE120,"lower","higher")</f>
        <v>104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56.05" customHeight="1">
      <c r="AB117" s="36"/>
      <c r="AC117" s="34"/>
      <c r="AD117" t="s" s="44">
        <f>AD110</f>
        <v>70</v>
      </c>
      <c r="AE117" t="s" s="44">
        <v>96</v>
      </c>
      <c r="AF117" t="s" s="44">
        <f>AL106</f>
        <v>372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J22</f>
        <v>391.2</v>
      </c>
      <c r="AE118" s="15">
        <f>J23</f>
        <v>633.7</v>
      </c>
      <c r="AF118" s="15">
        <f>J24</f>
        <v>139.8</v>
      </c>
      <c r="AG118" s="15">
        <f>J25</f>
        <v>350.9</v>
      </c>
      <c r="AH118" s="15">
        <f>J26</f>
        <v>266.3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20.05" customHeight="1">
      <c r="AB119" s="36"/>
      <c r="AC119" s="34"/>
      <c r="AD119" s="15">
        <f>K22</f>
        <v>-82.8</v>
      </c>
      <c r="AE119" s="15">
        <f>K23</f>
        <v>-111</v>
      </c>
      <c r="AF119" s="15">
        <f>K24</f>
        <v>-51.1</v>
      </c>
      <c r="AG119" s="15">
        <f>K25</f>
        <v>-86.59999999999999</v>
      </c>
      <c r="AH119" s="15">
        <f>K26</f>
        <v>-84.3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44.05" customHeight="1">
      <c r="AB120" s="36"/>
      <c r="AC120" s="34"/>
      <c r="AD120" t="s" s="44">
        <v>97</v>
      </c>
      <c r="AE120" s="15">
        <f>AG118+AG119</f>
        <v>264.3</v>
      </c>
      <c r="AF120" t="s" s="44">
        <v>76</v>
      </c>
      <c r="AG120" s="15">
        <f>AH118+AH119</f>
        <v>182</v>
      </c>
      <c r="AH120" t="s" s="44">
        <f>AH115</f>
        <v>372</v>
      </c>
      <c r="AI120" t="s" s="44">
        <v>84</v>
      </c>
      <c r="AJ120" t="s" s="44">
        <f>AJ115</f>
        <v>74</v>
      </c>
      <c r="AK120" t="s" s="44">
        <v>98</v>
      </c>
      <c r="AL120" s="15">
        <f>AH119</f>
        <v>-84.3</v>
      </c>
      <c r="AM120" t="s" s="44">
        <f>AL106</f>
        <v>372</v>
      </c>
      <c r="AN120" t="s" s="44">
        <v>99</v>
      </c>
      <c r="AO120" s="17"/>
      <c r="AP120" s="17"/>
      <c r="AQ120" s="17"/>
      <c r="AR120" s="17"/>
      <c r="AS120" s="17"/>
      <c r="AT120" s="17"/>
      <c r="AU120" s="17"/>
    </row>
    <row r="121" ht="56.05" customHeight="1">
      <c r="AB121" s="36"/>
      <c r="AC121" s="34"/>
      <c r="AD121" t="s" s="44">
        <v>100</v>
      </c>
      <c r="AE121" s="15">
        <f>SUM(AE118:AH119)/4</f>
        <v>264.425</v>
      </c>
      <c r="AF121" t="s" s="44">
        <f>AL106</f>
        <v>372</v>
      </c>
      <c r="AG121" t="s" s="44">
        <v>78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44.05" customHeight="1">
      <c r="AB122" s="36"/>
      <c r="AC122" s="34"/>
      <c r="AD122" t="s" s="44">
        <v>101</v>
      </c>
      <c r="AE122" s="15">
        <f>AD55</f>
        <v>-84.3</v>
      </c>
      <c r="AF122" t="s" s="44">
        <f>AF121</f>
        <v>372</v>
      </c>
      <c r="AG122" t="s" s="44">
        <v>102</v>
      </c>
      <c r="AH122" t="s" s="44">
        <v>103</v>
      </c>
      <c r="AI122" t="s" s="44">
        <f>IF(AH108&gt;AK106,"higher","lower")</f>
        <v>363</v>
      </c>
      <c r="AJ122" t="s" s="44">
        <v>105</v>
      </c>
      <c r="AK122" s="15">
        <f>SUM(AD56:AG56)/4</f>
        <v>302.114965921473</v>
      </c>
      <c r="AL122" t="s" s="44">
        <f>AF122</f>
        <v>372</v>
      </c>
      <c r="AM122" t="s" s="44">
        <v>106</v>
      </c>
      <c r="AN122" t="s" s="44">
        <v>107</v>
      </c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t="s" s="44">
        <v>18</v>
      </c>
      <c r="AE123" t="s" s="44">
        <f>AL128</f>
        <v>87</v>
      </c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32.05" customHeight="1">
      <c r="AB124" s="36"/>
      <c r="AC124" s="34"/>
      <c r="AD124" t="s" s="44">
        <f>AD103</f>
        <v>70</v>
      </c>
      <c r="AE124" t="s" s="44">
        <v>109</v>
      </c>
      <c r="AF124" t="s" s="44">
        <f>AL106</f>
        <v>372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F22</f>
        <v>2848</v>
      </c>
      <c r="AE125" s="15">
        <f>F23</f>
        <v>3368</v>
      </c>
      <c r="AF125" s="15">
        <f>F24</f>
        <v>3461</v>
      </c>
      <c r="AG125" s="15">
        <f>F25</f>
        <v>3750</v>
      </c>
      <c r="AH125" s="15">
        <f>F26</f>
        <v>3607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20.05" customHeight="1">
      <c r="AB126" s="36"/>
      <c r="AC126" s="34"/>
      <c r="AD126" s="15">
        <f>G22</f>
        <v>1851</v>
      </c>
      <c r="AE126" s="15">
        <f>G23</f>
        <v>1679</v>
      </c>
      <c r="AF126" s="15">
        <f>G24</f>
        <v>1730</v>
      </c>
      <c r="AG126" s="15">
        <f>G25</f>
        <v>1786</v>
      </c>
      <c r="AH126" s="15">
        <f>G26</f>
        <v>1814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110</v>
      </c>
      <c r="AE127" t="s" s="44">
        <f>IF(AH127&lt;AF127,"declined","increased")</f>
        <v>370</v>
      </c>
      <c r="AF127" s="15">
        <f>AG125</f>
        <v>3750</v>
      </c>
      <c r="AG127" t="s" s="44">
        <v>76</v>
      </c>
      <c r="AH127" s="15">
        <f>AH125</f>
        <v>3607</v>
      </c>
      <c r="AI127" t="s" s="44">
        <f>AL122</f>
        <v>372</v>
      </c>
      <c r="AJ127" t="s" s="44">
        <v>84</v>
      </c>
      <c r="AK127" t="s" s="44">
        <f>AH106</f>
        <v>74</v>
      </c>
      <c r="AL127" t="s" s="44">
        <f>AO113</f>
        <v>91</v>
      </c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32.05" customHeight="1">
      <c r="AB128" s="36"/>
      <c r="AC128" s="34"/>
      <c r="AD128" t="s" s="44">
        <v>112</v>
      </c>
      <c r="AE128" t="s" s="44">
        <f>IF(AH128&lt;AF128,"declined","increased")</f>
        <v>111</v>
      </c>
      <c r="AF128" s="15">
        <f>AG126</f>
        <v>1786</v>
      </c>
      <c r="AG128" t="s" s="44">
        <v>76</v>
      </c>
      <c r="AH128" s="15">
        <f>AH126</f>
        <v>1814</v>
      </c>
      <c r="AI128" t="s" s="44">
        <f>AI127</f>
        <v>372</v>
      </c>
      <c r="AJ128" t="s" s="44">
        <v>113</v>
      </c>
      <c r="AK128" t="s" s="44">
        <v>114</v>
      </c>
      <c r="AL128" t="s" s="44">
        <f>IF(AO128&lt;AM128,"down","up")</f>
        <v>87</v>
      </c>
      <c r="AM128" s="15">
        <f>AF127-AF128</f>
        <v>1964</v>
      </c>
      <c r="AN128" t="s" s="44">
        <v>76</v>
      </c>
      <c r="AO128" s="15">
        <f>AH127-AH128</f>
        <v>1793</v>
      </c>
      <c r="AP128" t="s" s="44">
        <f>AI128</f>
        <v>372</v>
      </c>
      <c r="AQ128" t="s" s="44">
        <v>115</v>
      </c>
      <c r="AR128" s="17"/>
      <c r="AS128" s="17"/>
      <c r="AT128" s="17"/>
      <c r="AU128" s="17"/>
    </row>
    <row r="129" ht="56.05" customHeight="1">
      <c r="AB129" s="36"/>
      <c r="AC129" s="34"/>
      <c r="AD129" t="s" s="44">
        <v>116</v>
      </c>
      <c r="AE129" s="15">
        <f>SUM(AD59:AG59)</f>
        <v>-572.163265176280</v>
      </c>
      <c r="AF129" t="s" s="44">
        <f>AI128</f>
        <v>372</v>
      </c>
      <c r="AG129" t="s" s="44">
        <v>117</v>
      </c>
      <c r="AH129" t="s" s="44">
        <f>IF(AI129&gt;0,"+","")</f>
      </c>
      <c r="AI129" s="15">
        <f>AD57+AE57+AF57+AG57+AD61+AE61+AF61+AG61</f>
        <v>-336.4856625</v>
      </c>
      <c r="AJ129" t="s" s="44">
        <f>AP128</f>
        <v>372</v>
      </c>
      <c r="AK129" t="s" s="44">
        <v>118</v>
      </c>
      <c r="AL129" t="s" s="44">
        <v>119</v>
      </c>
      <c r="AM129" s="15">
        <f>AG76</f>
        <v>2429.296598509610</v>
      </c>
      <c r="AN129" t="s" s="44">
        <f>AI128</f>
        <v>372</v>
      </c>
      <c r="AO129" t="s" s="44">
        <v>120</v>
      </c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t="s" s="44">
        <v>17</v>
      </c>
      <c r="AE130" t="s" s="44">
        <f>AE134</f>
        <v>374</v>
      </c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56.05" customHeight="1">
      <c r="AB131" s="36"/>
      <c r="AC131" s="34"/>
      <c r="AD131" t="s" s="44">
        <f>AD103</f>
        <v>70</v>
      </c>
      <c r="AE131" t="s" s="44">
        <v>379</v>
      </c>
      <c r="AF131" t="s" s="44">
        <f>AL106</f>
        <v>372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-L22</f>
        <v>0.8</v>
      </c>
      <c r="AE132" s="15">
        <f>-L23</f>
        <v>1</v>
      </c>
      <c r="AF132" s="15">
        <f>-L24</f>
        <v>0</v>
      </c>
      <c r="AG132" s="15">
        <f>-L25</f>
        <v>0</v>
      </c>
      <c r="AH132" s="15">
        <f>-L26</f>
        <v>0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20.05" customHeight="1">
      <c r="AB133" s="36"/>
      <c r="AC133" s="34"/>
      <c r="AD133" s="15">
        <f>-M22</f>
        <v>136.36</v>
      </c>
      <c r="AE133" s="15">
        <f>-M23</f>
        <v>0</v>
      </c>
      <c r="AF133" s="15">
        <f>-M24</f>
        <v>0</v>
      </c>
      <c r="AG133" s="15">
        <f>-M25</f>
        <v>0</v>
      </c>
      <c r="AH133" s="15">
        <f>-M26</f>
        <v>348</v>
      </c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ht="44.05" customHeight="1">
      <c r="AB134" s="36"/>
      <c r="AC134" s="34"/>
      <c r="AD134" t="s" s="44">
        <f>AD95</f>
        <v>659</v>
      </c>
      <c r="AE134" t="s" s="44">
        <f>IF(AF134&gt;0,"paid","(raised)")</f>
        <v>374</v>
      </c>
      <c r="AF134" s="15">
        <f>SUM(AH132:AH133)</f>
        <v>348</v>
      </c>
      <c r="AG134" t="s" s="44">
        <f>AL106</f>
        <v>372</v>
      </c>
      <c r="AH134" t="s" s="44">
        <f>AG106</f>
        <v>73</v>
      </c>
      <c r="AI134" t="s" s="44">
        <f>AH106</f>
        <v>74</v>
      </c>
      <c r="AJ134" t="s" s="44">
        <f>AI106</f>
        <v>75</v>
      </c>
      <c r="AK134" s="15">
        <f>AH132</f>
        <v>0</v>
      </c>
      <c r="AL134" t="s" s="44">
        <f>AL106</f>
        <v>372</v>
      </c>
      <c r="AM134" t="s" s="44">
        <v>123</v>
      </c>
      <c r="AN134" s="15">
        <f>AH133</f>
        <v>348</v>
      </c>
      <c r="AO134" t="s" s="44">
        <f>AL106</f>
        <v>372</v>
      </c>
      <c r="AP134" t="s" s="44">
        <v>389</v>
      </c>
      <c r="AQ134" t="s" s="44">
        <v>390</v>
      </c>
      <c r="AR134" t="s" s="44">
        <f>IF(AS134&gt;0,"pay","raise")</f>
        <v>364</v>
      </c>
      <c r="AS134" s="15">
        <f>-SUM(AD77:AG77)</f>
        <v>908.648927676280</v>
      </c>
      <c r="AT134" t="s" s="44">
        <f>AL106</f>
        <v>372</v>
      </c>
      <c r="AU134" t="s" s="44">
        <v>126</v>
      </c>
    </row>
    <row r="135" ht="56.05" customHeight="1">
      <c r="AB135" s="36"/>
      <c r="AC135" s="34"/>
      <c r="AD135" t="s" s="44">
        <v>375</v>
      </c>
      <c r="AE135" s="15">
        <f>AG81</f>
        <v>6888.15940608</v>
      </c>
      <c r="AF135" t="s" s="44">
        <f>AL106</f>
        <v>372</v>
      </c>
      <c r="AG135" t="s" s="44">
        <v>128</v>
      </c>
      <c r="AH135" t="s" s="44">
        <v>129</v>
      </c>
      <c r="AI135" s="43">
        <f>AG83</f>
        <v>0.544963219997124</v>
      </c>
      <c r="AJ135" t="s" s="44">
        <v>130</v>
      </c>
      <c r="AK135" t="s" s="44">
        <v>131</v>
      </c>
      <c r="AL135" t="s" s="44">
        <v>132</v>
      </c>
      <c r="AM135" s="15">
        <f>AG86</f>
        <v>10.4593275974631</v>
      </c>
      <c r="AN135" t="s" s="44">
        <v>133</v>
      </c>
      <c r="AO135" s="16">
        <f>-AE129/AE135</f>
        <v>0.0830647537963837</v>
      </c>
      <c r="AP135" t="s" s="44">
        <v>134</v>
      </c>
      <c r="AQ135" s="17"/>
      <c r="AR135" s="17"/>
      <c r="AS135" s="17"/>
      <c r="AT135" s="17"/>
      <c r="AU135" s="17"/>
    </row>
    <row r="136" ht="56.05" customHeight="1">
      <c r="AB136" s="36"/>
      <c r="AC136" s="34"/>
      <c r="AD136" t="s" s="44">
        <v>135</v>
      </c>
      <c r="AE136" s="15">
        <f>AG85</f>
        <v>1208.459863685890</v>
      </c>
      <c r="AF136" t="s" s="44">
        <f>AF135</f>
        <v>372</v>
      </c>
      <c r="AG136" t="s" s="44">
        <v>136</v>
      </c>
      <c r="AH136" s="15">
        <f>AE135/AE136</f>
        <v>5.69994884651826</v>
      </c>
      <c r="AI136" t="s" s="44">
        <v>130</v>
      </c>
      <c r="AJ136" t="s" s="44">
        <v>137</v>
      </c>
      <c r="AK136" t="s" s="44">
        <v>138</v>
      </c>
      <c r="AL136" s="15">
        <f>AG87</f>
        <v>13</v>
      </c>
      <c r="AM136" t="s" s="44">
        <v>139</v>
      </c>
      <c r="AN136" t="s" s="44">
        <v>140</v>
      </c>
      <c r="AO136" t="s" s="44">
        <v>141</v>
      </c>
      <c r="AP136" s="16">
        <f>AJ95</f>
        <v>1.2807222222601</v>
      </c>
      <c r="AQ136" t="s" s="44">
        <f>IF(AP136&gt;0,"higher","lower")</f>
        <v>363</v>
      </c>
      <c r="AR136" t="s" s="44">
        <v>142</v>
      </c>
      <c r="AS136" s="15">
        <f>AH95</f>
        <v>2303.5294444827</v>
      </c>
      <c r="AT136" t="s" s="44">
        <v>143</v>
      </c>
      <c r="AU136" s="17"/>
    </row>
    <row r="137" ht="20.05" customHeight="1">
      <c r="AB137" s="36"/>
      <c r="AC137" s="34"/>
      <c r="AD137" s="17"/>
      <c r="AE137" s="17"/>
      <c r="AF137" s="17"/>
      <c r="AG137" s="17"/>
      <c r="AH137" s="15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28</v>
      </c>
      <c r="AC138" s="14">
        <f>AD105</f>
        <v>1162.1</v>
      </c>
      <c r="AD138" s="15">
        <f>AE105</f>
        <v>1186.9</v>
      </c>
      <c r="AE138" s="15">
        <f>AF105</f>
        <v>765</v>
      </c>
      <c r="AF138" s="15">
        <f>AG105</f>
        <v>1282.3</v>
      </c>
      <c r="AG138" s="15">
        <f>AH105</f>
        <v>997.7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144</v>
      </c>
      <c r="AC139" s="14">
        <f>SUM(AD118:AD119)</f>
        <v>308.4</v>
      </c>
      <c r="AD139" s="15">
        <f>SUM(AE118:AE119)</f>
        <v>522.7</v>
      </c>
      <c r="AE139" s="15">
        <f>SUM(AF118:AF119)</f>
        <v>88.7</v>
      </c>
      <c r="AF139" s="15">
        <f>SUM(AG118:AG119)</f>
        <v>264.3</v>
      </c>
      <c r="AG139" s="15">
        <f>SUM(AH118:AH119)</f>
        <v>182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145</v>
      </c>
      <c r="AC140" s="14">
        <f>SUM(AD132:AD133)</f>
        <v>137.16</v>
      </c>
      <c r="AD140" s="15">
        <f>SUM(AE132:AE133)</f>
        <v>1</v>
      </c>
      <c r="AE140" s="15">
        <f>SUM(AF132:AF133)</f>
        <v>0</v>
      </c>
      <c r="AF140" s="15">
        <f>SUM(AG132:AG133)</f>
        <v>0</v>
      </c>
      <c r="AG140" s="15">
        <f>SUM(AH132:AH133)</f>
        <v>348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t="s" s="33">
        <v>146</v>
      </c>
      <c r="AC141" s="14">
        <f>(AD125-AD126)</f>
        <v>997</v>
      </c>
      <c r="AD141" s="15">
        <f>(AE125-AE126)</f>
        <v>1689</v>
      </c>
      <c r="AE141" s="15">
        <f>(AF125-AF126)</f>
        <v>1731</v>
      </c>
      <c r="AF141" s="15">
        <f>(AG125-AG126)</f>
        <v>1964</v>
      </c>
      <c r="AG141" s="15">
        <f>(AH125-AH126)</f>
        <v>1793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5">
        <f>AS136</f>
        <v>2303.5294444827</v>
      </c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ht="20.05" customHeight="1">
      <c r="AB149" s="36"/>
      <c r="AC149" s="34"/>
      <c r="AD149" s="17"/>
      <c r="AE149" s="17"/>
      <c r="AF149" s="17"/>
      <c r="AG149" s="17"/>
      <c r="AH149" s="15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</sheetData>
  <mergeCells count="2">
    <mergeCell ref="B2:AA2"/>
    <mergeCell ref="AB47:AU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3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03" customWidth="1"/>
    <col min="2" max="26" width="10.4844" style="303" customWidth="1"/>
    <col min="27" max="27" width="18.9766" style="304" customWidth="1"/>
    <col min="28" max="31" width="9" style="304" customWidth="1"/>
    <col min="32" max="45" hidden="1" width="16.3333" style="304" customWidth="1"/>
    <col min="46" max="16384" width="16.3516" style="304" customWidth="1"/>
  </cols>
  <sheetData>
    <row r="1" ht="11.65" customHeight="1"/>
    <row r="2" ht="27.65" customHeight="1">
      <c r="B2" t="s" s="2">
        <v>660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316</v>
      </c>
      <c r="Z3" t="s" s="3">
        <v>19</v>
      </c>
    </row>
    <row r="4" ht="20.25" customHeight="1">
      <c r="B4" s="6">
        <v>2017</v>
      </c>
      <c r="C4" s="7">
        <v>1265.6</v>
      </c>
      <c r="D4" s="8">
        <v>53.3</v>
      </c>
      <c r="E4" s="8">
        <v>0</v>
      </c>
      <c r="F4" s="8">
        <v>136</v>
      </c>
      <c r="G4" s="8">
        <v>2175</v>
      </c>
      <c r="H4" s="8">
        <v>4037</v>
      </c>
      <c r="I4" s="8">
        <v>1248.85</v>
      </c>
      <c r="J4" s="8">
        <v>49.79</v>
      </c>
      <c r="K4" s="8">
        <v>-78.90000000000001</v>
      </c>
      <c r="L4" s="8">
        <v>64.25</v>
      </c>
      <c r="M4" s="8">
        <v>-21.25</v>
      </c>
      <c r="N4" s="9"/>
      <c r="O4" s="9"/>
      <c r="P4" s="55"/>
      <c r="Q4" s="55"/>
      <c r="R4" s="9"/>
      <c r="S4" s="9"/>
      <c r="T4" s="9"/>
      <c r="U4" s="8">
        <f>-(L4+M4)</f>
        <v>-43</v>
      </c>
      <c r="V4" s="9"/>
      <c r="W4" s="8">
        <f>F4-G4</f>
        <v>-2039</v>
      </c>
      <c r="X4" s="73"/>
      <c r="Y4" s="8"/>
      <c r="Z4" s="73"/>
    </row>
    <row r="5" ht="20.05" customHeight="1">
      <c r="B5" s="13"/>
      <c r="C5" s="14">
        <v>1435</v>
      </c>
      <c r="D5" s="15">
        <v>54.8</v>
      </c>
      <c r="E5" s="15">
        <v>0</v>
      </c>
      <c r="F5" s="15">
        <v>95</v>
      </c>
      <c r="G5" s="15">
        <v>2273</v>
      </c>
      <c r="H5" s="15">
        <v>4053</v>
      </c>
      <c r="I5" s="15">
        <v>1374.55</v>
      </c>
      <c r="J5" s="15">
        <v>120.81</v>
      </c>
      <c r="K5" s="15">
        <v>-79.5</v>
      </c>
      <c r="L5" s="15">
        <v>64.25</v>
      </c>
      <c r="M5" s="15">
        <v>-21.25</v>
      </c>
      <c r="N5" s="17"/>
      <c r="O5" s="17"/>
      <c r="P5" s="16"/>
      <c r="Q5" s="16"/>
      <c r="R5" s="17"/>
      <c r="S5" s="17"/>
      <c r="T5" s="17"/>
      <c r="U5" s="15">
        <f>-(L5+M5)+U4</f>
        <v>-86</v>
      </c>
      <c r="V5" s="17"/>
      <c r="W5" s="15">
        <f>F5-G5</f>
        <v>-2178</v>
      </c>
      <c r="X5" s="24"/>
      <c r="Y5" s="15"/>
      <c r="Z5" s="24"/>
    </row>
    <row r="6" ht="20.05" customHeight="1">
      <c r="B6" s="13"/>
      <c r="C6" s="14">
        <v>1346.7</v>
      </c>
      <c r="D6" s="15">
        <v>55</v>
      </c>
      <c r="E6" s="15">
        <v>0</v>
      </c>
      <c r="F6" s="15">
        <v>146</v>
      </c>
      <c r="G6" s="15">
        <v>2270</v>
      </c>
      <c r="H6" s="15">
        <v>4026</v>
      </c>
      <c r="I6" s="15">
        <v>1447.4</v>
      </c>
      <c r="J6" s="15">
        <v>-69.59999999999999</v>
      </c>
      <c r="K6" s="15">
        <v>-92.7</v>
      </c>
      <c r="L6" s="15">
        <v>64.25</v>
      </c>
      <c r="M6" s="15">
        <v>-21.25</v>
      </c>
      <c r="N6" s="17"/>
      <c r="O6" s="17"/>
      <c r="P6" s="16"/>
      <c r="Q6" s="16"/>
      <c r="R6" s="17"/>
      <c r="S6" s="17"/>
      <c r="T6" s="17"/>
      <c r="U6" s="15">
        <f>-(L6+M6)+U5</f>
        <v>-129</v>
      </c>
      <c r="V6" s="17"/>
      <c r="W6" s="15">
        <f>F6-G6</f>
        <v>-2124</v>
      </c>
      <c r="X6" s="24"/>
      <c r="Y6" s="15"/>
      <c r="Z6" s="24"/>
    </row>
    <row r="7" ht="20.05" customHeight="1">
      <c r="B7" s="13"/>
      <c r="C7" s="14">
        <v>1394.1</v>
      </c>
      <c r="D7" s="15">
        <v>55.6</v>
      </c>
      <c r="E7" s="15">
        <v>0</v>
      </c>
      <c r="F7" s="15">
        <v>176</v>
      </c>
      <c r="G7" s="15">
        <v>2371</v>
      </c>
      <c r="H7" s="15">
        <v>4009</v>
      </c>
      <c r="I7" s="15">
        <v>1332</v>
      </c>
      <c r="J7" s="15">
        <v>164.9</v>
      </c>
      <c r="K7" s="15">
        <v>-84.40000000000001</v>
      </c>
      <c r="L7" s="15">
        <v>64.25</v>
      </c>
      <c r="M7" s="15">
        <v>-21.25</v>
      </c>
      <c r="N7" s="17"/>
      <c r="O7" s="17"/>
      <c r="P7" s="16"/>
      <c r="Q7" s="16"/>
      <c r="R7" s="17"/>
      <c r="S7" s="17"/>
      <c r="T7" s="17"/>
      <c r="U7" s="15">
        <f>-(L7+M7)+U6</f>
        <v>-172</v>
      </c>
      <c r="V7" s="17"/>
      <c r="W7" s="15">
        <f>F7-G7</f>
        <v>-2195</v>
      </c>
      <c r="X7" s="24"/>
      <c r="Y7" s="15"/>
      <c r="Z7" s="24"/>
    </row>
    <row r="8" ht="20.05" customHeight="1">
      <c r="B8" s="21">
        <v>2018</v>
      </c>
      <c r="C8" s="14">
        <v>1473.8</v>
      </c>
      <c r="D8" s="15">
        <v>57.5</v>
      </c>
      <c r="E8" s="15">
        <v>3.7</v>
      </c>
      <c r="F8" s="15">
        <v>129</v>
      </c>
      <c r="G8" s="15">
        <v>2345</v>
      </c>
      <c r="H8" s="15">
        <v>4096</v>
      </c>
      <c r="I8" s="15">
        <v>1474.4</v>
      </c>
      <c r="J8" s="15">
        <v>110.25</v>
      </c>
      <c r="K8" s="15">
        <v>-17</v>
      </c>
      <c r="L8" s="15">
        <v>5.25</v>
      </c>
      <c r="M8" s="15">
        <v>-9</v>
      </c>
      <c r="N8" s="15">
        <f>SUM(C5:C8)/4</f>
        <v>1412.4</v>
      </c>
      <c r="O8" s="17"/>
      <c r="P8" s="16"/>
      <c r="Q8" s="16">
        <f>(D8+E8+D7+E7+D6+E6+D5+E5)/(C5+C6+C7+C8)</f>
        <v>0.0401090342679128</v>
      </c>
      <c r="R8" s="17"/>
      <c r="S8" s="15">
        <f>SUM(J5:K8)/4</f>
        <v>13.19</v>
      </c>
      <c r="T8" s="17"/>
      <c r="U8" s="15">
        <f>-(L8+M8)+U7</f>
        <v>-168.25</v>
      </c>
      <c r="V8" s="17"/>
      <c r="W8" s="15">
        <f>F8-G8</f>
        <v>-2216</v>
      </c>
      <c r="X8" s="24"/>
      <c r="Y8" s="15">
        <v>705</v>
      </c>
      <c r="Z8" s="24"/>
    </row>
    <row r="9" ht="20.05" customHeight="1">
      <c r="B9" s="13"/>
      <c r="C9" s="14">
        <v>1598.8</v>
      </c>
      <c r="D9" s="15">
        <v>59.2</v>
      </c>
      <c r="E9" s="15">
        <v>37.1</v>
      </c>
      <c r="F9" s="15">
        <v>138</v>
      </c>
      <c r="G9" s="15">
        <v>2274</v>
      </c>
      <c r="H9" s="15">
        <v>4099</v>
      </c>
      <c r="I9" s="15">
        <v>1697.5</v>
      </c>
      <c r="J9" s="15">
        <v>173.25</v>
      </c>
      <c r="K9" s="15">
        <v>-151.29</v>
      </c>
      <c r="L9" s="15">
        <v>5.25</v>
      </c>
      <c r="M9" s="15">
        <v>-9</v>
      </c>
      <c r="N9" s="15">
        <f>SUM(C6:C9)/4</f>
        <v>1453.35</v>
      </c>
      <c r="O9" s="17"/>
      <c r="P9" s="16">
        <f>C9/C8-1</f>
        <v>0.08481476455421361</v>
      </c>
      <c r="Q9" s="16">
        <f>(D9+E9+D8+E8+D7+E7+D6+E6)/(C6+C7+C8+C9)</f>
        <v>0.0461175903946056</v>
      </c>
      <c r="R9" s="17"/>
      <c r="S9" s="15">
        <f>SUM(J6:K9)/4</f>
        <v>8.352499999999999</v>
      </c>
      <c r="T9" s="17"/>
      <c r="U9" s="15">
        <f>-(L9+M9)+U8</f>
        <v>-164.5</v>
      </c>
      <c r="V9" s="17"/>
      <c r="W9" s="15">
        <f>F9-G9</f>
        <v>-2136</v>
      </c>
      <c r="X9" s="24"/>
      <c r="Y9" s="15">
        <v>685</v>
      </c>
      <c r="Z9" s="24"/>
    </row>
    <row r="10" ht="20.05" customHeight="1">
      <c r="B10" s="13"/>
      <c r="C10" s="14">
        <v>1765.9</v>
      </c>
      <c r="D10" s="15">
        <v>59.1</v>
      </c>
      <c r="E10" s="15">
        <v>32.1</v>
      </c>
      <c r="F10" s="15">
        <v>265</v>
      </c>
      <c r="G10" s="15">
        <v>2459</v>
      </c>
      <c r="H10" s="15">
        <v>4349</v>
      </c>
      <c r="I10" s="15">
        <v>1725.59</v>
      </c>
      <c r="J10" s="15">
        <v>73.5</v>
      </c>
      <c r="K10" s="15">
        <v>-75.17</v>
      </c>
      <c r="L10" s="15">
        <v>5.25</v>
      </c>
      <c r="M10" s="15">
        <v>-9</v>
      </c>
      <c r="N10" s="15">
        <f>SUM(C7:C10)/4</f>
        <v>1558.15</v>
      </c>
      <c r="O10" s="17"/>
      <c r="P10" s="16">
        <f>C10/C9-1</f>
        <v>0.104515886915186</v>
      </c>
      <c r="Q10" s="16">
        <f>(D10+E10+D9+E9+D8+E8+D7+E7)/(C7+C8+C9+C10)</f>
        <v>0.0488239258094535</v>
      </c>
      <c r="R10" s="17"/>
      <c r="S10" s="15">
        <f>SUM(J7:K10)/4</f>
        <v>48.51</v>
      </c>
      <c r="T10" s="17"/>
      <c r="U10" s="15">
        <f>-(L10+M10)+U9</f>
        <v>-160.75</v>
      </c>
      <c r="V10" s="17"/>
      <c r="W10" s="15">
        <f>F10-G10</f>
        <v>-2194</v>
      </c>
      <c r="X10" s="24"/>
      <c r="Y10" s="15">
        <v>1270</v>
      </c>
      <c r="Z10" s="24"/>
    </row>
    <row r="11" ht="20.05" customHeight="1">
      <c r="B11" s="13"/>
      <c r="C11" s="14">
        <v>1867.3</v>
      </c>
      <c r="D11" s="15">
        <v>63.6</v>
      </c>
      <c r="E11" s="15">
        <v>44.3</v>
      </c>
      <c r="F11" s="15">
        <v>144</v>
      </c>
      <c r="G11" s="15">
        <v>2344</v>
      </c>
      <c r="H11" s="15">
        <v>4336</v>
      </c>
      <c r="I11" s="15">
        <v>1863.91</v>
      </c>
      <c r="J11" s="15">
        <v>10.9</v>
      </c>
      <c r="K11" s="15">
        <v>-74.04000000000001</v>
      </c>
      <c r="L11" s="15">
        <v>5.25</v>
      </c>
      <c r="M11" s="15">
        <v>-9</v>
      </c>
      <c r="N11" s="15">
        <f>SUM(C8:C11)/4</f>
        <v>1676.45</v>
      </c>
      <c r="O11" s="17"/>
      <c r="P11" s="16">
        <f>C11/C10-1</f>
        <v>0.0574211450251996</v>
      </c>
      <c r="Q11" s="16">
        <f>(D11+E11+D10+E10+D9+E9+D8+E8)/(C8+C9+C10+C11)</f>
        <v>0.0531778460437233</v>
      </c>
      <c r="R11" s="17"/>
      <c r="S11" s="15">
        <f>SUM(J8:K11)/4</f>
        <v>12.6</v>
      </c>
      <c r="T11" s="17"/>
      <c r="U11" s="15">
        <f>-(L11+M11)+U10</f>
        <v>-157</v>
      </c>
      <c r="V11" s="17"/>
      <c r="W11" s="15">
        <f>F11-G11</f>
        <v>-2200</v>
      </c>
      <c r="X11" s="24"/>
      <c r="Y11" s="15">
        <v>1395</v>
      </c>
      <c r="Z11" s="24"/>
    </row>
    <row r="12" ht="20.05" customHeight="1">
      <c r="B12" s="21">
        <v>2019</v>
      </c>
      <c r="C12" s="14">
        <v>1944.8</v>
      </c>
      <c r="D12" s="15">
        <v>60.1</v>
      </c>
      <c r="E12" s="15">
        <v>31.5</v>
      </c>
      <c r="F12" s="15">
        <v>216</v>
      </c>
      <c r="G12" s="15">
        <v>2373</v>
      </c>
      <c r="H12" s="15">
        <v>4456</v>
      </c>
      <c r="I12" s="15">
        <v>1855.2</v>
      </c>
      <c r="J12" s="15">
        <v>207.8</v>
      </c>
      <c r="K12" s="15">
        <v>-74.2</v>
      </c>
      <c r="L12" s="15">
        <v>58.25</v>
      </c>
      <c r="M12" s="15">
        <v>-12.25</v>
      </c>
      <c r="N12" s="15">
        <f>SUM(C9:C12)/4</f>
        <v>1794.2</v>
      </c>
      <c r="O12" s="17"/>
      <c r="P12" s="16">
        <f>C12/C11-1</f>
        <v>0.0415037755047395</v>
      </c>
      <c r="Q12" s="16">
        <f>(D12+E12+D11+E11+D10+E10+D9+E9)/(C9+C10+C11+C12)</f>
        <v>0.0539237543194739</v>
      </c>
      <c r="R12" s="17"/>
      <c r="S12" s="15">
        <f>SUM(J9:K12)/4</f>
        <v>22.6875</v>
      </c>
      <c r="T12" s="17"/>
      <c r="U12" s="15">
        <f>-(L12+M12)+U11</f>
        <v>-203</v>
      </c>
      <c r="V12" s="17"/>
      <c r="W12" s="15">
        <f>F12-G12</f>
        <v>-2157</v>
      </c>
      <c r="X12" s="24"/>
      <c r="Y12" s="15">
        <v>1330</v>
      </c>
      <c r="Z12" s="24"/>
    </row>
    <row r="13" ht="20.05" customHeight="1">
      <c r="B13" s="13"/>
      <c r="C13" s="14">
        <v>1927.36</v>
      </c>
      <c r="D13" s="15">
        <v>59.9</v>
      </c>
      <c r="E13" s="15">
        <v>17.9</v>
      </c>
      <c r="F13" s="15">
        <v>127</v>
      </c>
      <c r="G13" s="15">
        <v>2513</v>
      </c>
      <c r="H13" s="15">
        <v>4600</v>
      </c>
      <c r="I13" s="15">
        <v>1882.17</v>
      </c>
      <c r="J13" s="15">
        <v>-211.5</v>
      </c>
      <c r="K13" s="15">
        <v>-91.79000000000001</v>
      </c>
      <c r="L13" s="15">
        <v>58.25</v>
      </c>
      <c r="M13" s="15">
        <v>-12.25</v>
      </c>
      <c r="N13" s="15">
        <f>SUM(C10:C13)/4</f>
        <v>1876.34</v>
      </c>
      <c r="O13" s="17"/>
      <c r="P13" s="16">
        <f>C13/C12-1</f>
        <v>-0.00896750308515014</v>
      </c>
      <c r="Q13" s="16">
        <f>(D13+E13+D12+E12+D11+E11+D10+E10)/(C10+C11+C12+C13)</f>
        <v>0.0490982444546298</v>
      </c>
      <c r="R13" s="17"/>
      <c r="S13" s="15">
        <f>SUM(J10:K13)/4</f>
        <v>-58.625</v>
      </c>
      <c r="T13" s="17"/>
      <c r="U13" s="15">
        <f>-(L13+M13)+U12</f>
        <v>-249</v>
      </c>
      <c r="V13" s="17"/>
      <c r="W13" s="15">
        <f>F13-G13</f>
        <v>-2386</v>
      </c>
      <c r="X13" s="24"/>
      <c r="Y13" s="15">
        <v>1100</v>
      </c>
      <c r="Z13" s="24"/>
    </row>
    <row r="14" ht="20.05" customHeight="1">
      <c r="B14" s="13"/>
      <c r="C14" s="14">
        <v>1797.34</v>
      </c>
      <c r="D14" s="15">
        <v>58.8</v>
      </c>
      <c r="E14" s="15">
        <v>16.5</v>
      </c>
      <c r="F14" s="15">
        <v>84</v>
      </c>
      <c r="G14" s="15">
        <v>2635</v>
      </c>
      <c r="H14" s="15">
        <v>4765</v>
      </c>
      <c r="I14" s="15">
        <v>1775.73</v>
      </c>
      <c r="J14" s="15">
        <v>25.6</v>
      </c>
      <c r="K14" s="15">
        <v>-170.81</v>
      </c>
      <c r="L14" s="15">
        <v>58.25</v>
      </c>
      <c r="M14" s="15">
        <v>-12.25</v>
      </c>
      <c r="N14" s="15">
        <f>SUM(C11:C14)/4</f>
        <v>1884.2</v>
      </c>
      <c r="O14" s="17"/>
      <c r="P14" s="16">
        <f>C14/C13-1</f>
        <v>-0.0674601527478001</v>
      </c>
      <c r="Q14" s="16">
        <f>(D14+E14+D13+E13+D12+E12+D11+E11)/(C11+C12+C13+C14)</f>
        <v>0.0467837809149772</v>
      </c>
      <c r="R14" s="17"/>
      <c r="S14" s="15">
        <f>SUM(J11:K14)/4</f>
        <v>-94.51000000000001</v>
      </c>
      <c r="T14" s="17"/>
      <c r="U14" s="15">
        <f>-(L14+M14)+U13</f>
        <v>-295</v>
      </c>
      <c r="V14" s="17"/>
      <c r="W14" s="15">
        <f>F14-G14</f>
        <v>-2551</v>
      </c>
      <c r="X14" s="24"/>
      <c r="Y14" s="15">
        <v>915</v>
      </c>
      <c r="Z14" s="24"/>
    </row>
    <row r="15" ht="20.05" customHeight="1">
      <c r="B15" s="13"/>
      <c r="C15" s="14">
        <v>1785.4</v>
      </c>
      <c r="D15" s="15">
        <v>85.5</v>
      </c>
      <c r="E15" s="15">
        <v>-7.7</v>
      </c>
      <c r="F15" s="15">
        <v>120</v>
      </c>
      <c r="G15" s="15">
        <v>2537</v>
      </c>
      <c r="H15" s="15">
        <v>4649</v>
      </c>
      <c r="I15" s="15">
        <v>1837.29</v>
      </c>
      <c r="J15" s="15">
        <v>291</v>
      </c>
      <c r="K15" s="15">
        <v>-171.68</v>
      </c>
      <c r="L15" s="15">
        <v>58.25</v>
      </c>
      <c r="M15" s="15">
        <v>-12.25</v>
      </c>
      <c r="N15" s="15">
        <f>SUM(C12:C15)/4</f>
        <v>1863.725</v>
      </c>
      <c r="O15" s="17"/>
      <c r="P15" s="16">
        <f>C15/C14-1</f>
        <v>-0.00664315043341827</v>
      </c>
      <c r="Q15" s="16">
        <f>(D15+E15+D14+E14+D13+E13+D12+E12)/(C12+C13+C14+C15)</f>
        <v>0.0432601376276006</v>
      </c>
      <c r="R15" s="17"/>
      <c r="S15" s="15">
        <f>SUM(J12:K15)/4</f>
        <v>-48.895</v>
      </c>
      <c r="T15" s="17"/>
      <c r="U15" s="15">
        <f>-(L15+M15)+U14</f>
        <v>-341</v>
      </c>
      <c r="V15" s="17"/>
      <c r="W15" s="15">
        <f>F15-G15</f>
        <v>-2417</v>
      </c>
      <c r="X15" s="24"/>
      <c r="Y15" s="15">
        <v>1005</v>
      </c>
      <c r="Z15" s="24"/>
    </row>
    <row r="16" ht="20.05" customHeight="1">
      <c r="B16" s="21">
        <v>2020</v>
      </c>
      <c r="C16" s="14">
        <v>1692.6</v>
      </c>
      <c r="D16" s="15">
        <v>63.5</v>
      </c>
      <c r="E16" s="15">
        <v>4.2</v>
      </c>
      <c r="F16" s="15">
        <v>190</v>
      </c>
      <c r="G16" s="15">
        <v>2764</v>
      </c>
      <c r="H16" s="15">
        <v>4885</v>
      </c>
      <c r="I16" s="15">
        <v>1680</v>
      </c>
      <c r="J16" s="15">
        <v>65.59999999999999</v>
      </c>
      <c r="K16" s="15">
        <v>-112.8</v>
      </c>
      <c r="L16" s="15">
        <v>20</v>
      </c>
      <c r="M16" s="15">
        <v>0</v>
      </c>
      <c r="N16" s="15">
        <f>SUM(C13:C16)/4</f>
        <v>1800.675</v>
      </c>
      <c r="O16" s="15"/>
      <c r="P16" s="16">
        <f>C16/C15-1</f>
        <v>-0.0519771479780441</v>
      </c>
      <c r="Q16" s="16">
        <f>(D16+E16+D15+E15+D14+E14+D13+E13)/(C13+C14+C15+C16)</f>
        <v>0.0414566759687339</v>
      </c>
      <c r="R16" s="17"/>
      <c r="S16" s="15">
        <f>SUM(J13:K16)/4</f>
        <v>-94.095</v>
      </c>
      <c r="T16" s="17"/>
      <c r="U16" s="15">
        <f>-(L16+M16)+U15</f>
        <v>-361</v>
      </c>
      <c r="V16" s="17"/>
      <c r="W16" s="15">
        <f>F16-G16</f>
        <v>-2574</v>
      </c>
      <c r="X16" s="24"/>
      <c r="Y16" s="15">
        <v>406</v>
      </c>
      <c r="Z16" s="24"/>
    </row>
    <row r="17" ht="20.05" customHeight="1">
      <c r="B17" s="13"/>
      <c r="C17" s="14">
        <v>1500.22</v>
      </c>
      <c r="D17" s="15">
        <v>65.8</v>
      </c>
      <c r="E17" s="15">
        <v>34.3</v>
      </c>
      <c r="F17" s="15">
        <v>100</v>
      </c>
      <c r="G17" s="15">
        <v>2935</v>
      </c>
      <c r="H17" s="15">
        <v>4992.7</v>
      </c>
      <c r="I17" s="15">
        <v>1563.08</v>
      </c>
      <c r="J17" s="15">
        <v>-219.39</v>
      </c>
      <c r="K17" s="15">
        <v>-101.2</v>
      </c>
      <c r="L17" s="15">
        <v>20</v>
      </c>
      <c r="M17" s="15">
        <v>0</v>
      </c>
      <c r="N17" s="15">
        <f>SUM(C14:C17)/4</f>
        <v>1693.89</v>
      </c>
      <c r="O17" s="15"/>
      <c r="P17" s="16">
        <f>C17/C16-1</f>
        <v>-0.113659458820749</v>
      </c>
      <c r="Q17" s="16">
        <f>(D17+E17+D16+E16+D15+E15+D14+E14)/(C14+C15+C16+C17)</f>
        <v>0.0473613989102008</v>
      </c>
      <c r="R17" s="17"/>
      <c r="S17" s="15">
        <f>SUM(J14:K17)/4</f>
        <v>-98.42</v>
      </c>
      <c r="T17" s="17"/>
      <c r="U17" s="15">
        <f>-(L17+M17)+U16</f>
        <v>-381</v>
      </c>
      <c r="V17" s="17"/>
      <c r="W17" s="15">
        <f>F17-G17</f>
        <v>-2835</v>
      </c>
      <c r="X17" s="24"/>
      <c r="Y17" s="15">
        <v>585</v>
      </c>
      <c r="Z17" s="24"/>
    </row>
    <row r="18" ht="20.05" customHeight="1">
      <c r="B18" s="13"/>
      <c r="C18" s="14">
        <v>1816.58</v>
      </c>
      <c r="D18" s="15">
        <v>66.8</v>
      </c>
      <c r="E18" s="15">
        <v>-8</v>
      </c>
      <c r="F18" s="15">
        <v>134</v>
      </c>
      <c r="G18" s="15">
        <v>2919</v>
      </c>
      <c r="H18" s="15">
        <v>4944</v>
      </c>
      <c r="I18" s="15">
        <v>1756.92</v>
      </c>
      <c r="J18" s="15">
        <v>83.89</v>
      </c>
      <c r="K18" s="15">
        <v>-49.7</v>
      </c>
      <c r="L18" s="15">
        <v>20</v>
      </c>
      <c r="M18" s="15">
        <v>0</v>
      </c>
      <c r="N18" s="15">
        <f>SUM(C15:C18)/4</f>
        <v>1698.7</v>
      </c>
      <c r="O18" s="15"/>
      <c r="P18" s="16">
        <f>C18/C17-1</f>
        <v>0.21087573822506</v>
      </c>
      <c r="Q18" s="16">
        <f>(D18+E18+D17+E17+D16+E16+D15+E15)/(C15+C16+C17+C18)</f>
        <v>0.044798963913581</v>
      </c>
      <c r="R18" s="17"/>
      <c r="S18" s="15">
        <f>SUM(J15:K18)/4</f>
        <v>-53.57</v>
      </c>
      <c r="T18" s="17"/>
      <c r="U18" s="15">
        <f>-(L18+M18)+U17</f>
        <v>-401</v>
      </c>
      <c r="V18" s="17"/>
      <c r="W18" s="15">
        <f>F18-G18</f>
        <v>-2785</v>
      </c>
      <c r="X18" s="24"/>
      <c r="Y18" s="15">
        <v>510</v>
      </c>
      <c r="Z18" s="24"/>
    </row>
    <row r="19" ht="20.05" customHeight="1">
      <c r="B19" s="13"/>
      <c r="C19" s="14">
        <v>1991.2</v>
      </c>
      <c r="D19" s="15">
        <v>68.2</v>
      </c>
      <c r="E19" s="15">
        <v>-33.1</v>
      </c>
      <c r="F19" s="15">
        <v>178</v>
      </c>
      <c r="G19" s="15">
        <v>2529</v>
      </c>
      <c r="H19" s="15">
        <v>4674</v>
      </c>
      <c r="I19" s="15">
        <v>2019</v>
      </c>
      <c r="J19" s="15">
        <v>354.4</v>
      </c>
      <c r="K19" s="15">
        <v>-49.7</v>
      </c>
      <c r="L19" s="15">
        <v>20</v>
      </c>
      <c r="M19" s="15">
        <v>0</v>
      </c>
      <c r="N19" s="15">
        <f>SUM(C16:C19)/4</f>
        <v>1750.15</v>
      </c>
      <c r="O19" s="15"/>
      <c r="P19" s="16">
        <f>C19/C18-1</f>
        <v>0.0961256867300091</v>
      </c>
      <c r="Q19" s="16">
        <f>(D19+E19+D18+E18+D17+E17+D16+E16)/(C16+C17+C18+C19)</f>
        <v>0.0373825100705654</v>
      </c>
      <c r="R19" s="17"/>
      <c r="S19" s="15">
        <f>SUM(J16:K19)/4</f>
        <v>-7.225</v>
      </c>
      <c r="T19" s="17"/>
      <c r="U19" s="15">
        <f>-(L19+M19)+U18</f>
        <v>-421</v>
      </c>
      <c r="V19" s="17"/>
      <c r="W19" s="15">
        <f>F19-G19</f>
        <v>-2351</v>
      </c>
      <c r="X19" s="24"/>
      <c r="Y19" s="15">
        <v>740</v>
      </c>
      <c r="Z19" s="24"/>
    </row>
    <row r="20" ht="20.05" customHeight="1">
      <c r="B20" s="21">
        <v>2021</v>
      </c>
      <c r="C20" s="14">
        <v>2145.9</v>
      </c>
      <c r="D20" s="15">
        <v>66.5</v>
      </c>
      <c r="E20" s="15">
        <v>27.3</v>
      </c>
      <c r="F20" s="15">
        <v>226</v>
      </c>
      <c r="G20" s="15">
        <v>2865</v>
      </c>
      <c r="H20" s="15">
        <v>4995</v>
      </c>
      <c r="I20" s="15">
        <v>2090.8</v>
      </c>
      <c r="J20" s="15">
        <v>1.6</v>
      </c>
      <c r="K20" s="15">
        <v>-35</v>
      </c>
      <c r="L20" s="15">
        <v>78.553</v>
      </c>
      <c r="M20" s="15">
        <v>0</v>
      </c>
      <c r="N20" s="15">
        <f>SUM(C17:C20)/4</f>
        <v>1863.475</v>
      </c>
      <c r="O20" s="15"/>
      <c r="P20" s="16">
        <f>C20/C19-1</f>
        <v>0.077691844114102</v>
      </c>
      <c r="Q20" s="16">
        <f>(D20+E20+D19+E19+D18+E18+D17+E17)/(C17+C18+C19+C20)</f>
        <v>0.0386106601913092</v>
      </c>
      <c r="R20" s="17"/>
      <c r="S20" s="15">
        <f>SUM(J17:K20)/4</f>
        <v>-3.775</v>
      </c>
      <c r="T20" s="17"/>
      <c r="U20" s="15">
        <f>-(L20+M20)+U19</f>
        <v>-499.553</v>
      </c>
      <c r="V20" s="17"/>
      <c r="W20" s="15">
        <f>F20-G20</f>
        <v>-2639</v>
      </c>
      <c r="X20" s="15"/>
      <c r="Y20" s="15">
        <v>745</v>
      </c>
      <c r="Z20" s="15"/>
    </row>
    <row r="21" ht="20.05" customHeight="1">
      <c r="B21" s="13"/>
      <c r="C21" s="14">
        <v>2433.2</v>
      </c>
      <c r="D21" s="15">
        <v>66.40000000000001</v>
      </c>
      <c r="E21" s="15">
        <v>23.7</v>
      </c>
      <c r="F21" s="15">
        <v>125</v>
      </c>
      <c r="G21" s="15">
        <v>2936</v>
      </c>
      <c r="H21" s="15">
        <v>5100</v>
      </c>
      <c r="I21" s="15">
        <v>2486.1</v>
      </c>
      <c r="J21" s="15">
        <v>-12</v>
      </c>
      <c r="K21" s="15">
        <v>-83.2</v>
      </c>
      <c r="L21" s="15">
        <v>-39.389</v>
      </c>
      <c r="M21" s="15">
        <v>0</v>
      </c>
      <c r="N21" s="15">
        <f>SUM(C18:C21)/4</f>
        <v>2096.72</v>
      </c>
      <c r="O21" s="15">
        <v>2112.2415</v>
      </c>
      <c r="P21" s="16">
        <f>C21/C20-1</f>
        <v>0.133883219162123</v>
      </c>
      <c r="Q21" s="16">
        <f>(D21+E21+D20+E20+D19+E19+D18+E18)/(C18+C19+C20+C21)</f>
        <v>0.0331231637986951</v>
      </c>
      <c r="R21" s="17"/>
      <c r="S21" s="15">
        <f>SUM(J18:K21)/4</f>
        <v>52.5725</v>
      </c>
      <c r="T21" s="17"/>
      <c r="U21" s="15">
        <f>-(L21+M21)+U20</f>
        <v>-460.164</v>
      </c>
      <c r="V21" s="17"/>
      <c r="W21" s="15">
        <f>F21-G21</f>
        <v>-2811</v>
      </c>
      <c r="X21" s="15"/>
      <c r="Y21" s="15">
        <v>710</v>
      </c>
      <c r="Z21" s="15"/>
    </row>
    <row r="22" ht="20.05" customHeight="1">
      <c r="B22" s="13"/>
      <c r="C22" s="14">
        <v>2135.9</v>
      </c>
      <c r="D22" s="15">
        <v>66.7</v>
      </c>
      <c r="E22" s="15">
        <v>32.9</v>
      </c>
      <c r="F22" s="15">
        <v>167</v>
      </c>
      <c r="G22" s="15">
        <v>3336</v>
      </c>
      <c r="H22" s="15">
        <v>5385</v>
      </c>
      <c r="I22" s="15">
        <v>2089</v>
      </c>
      <c r="J22" s="15">
        <v>-314.4</v>
      </c>
      <c r="K22" s="15">
        <v>-106.3</v>
      </c>
      <c r="L22" s="15">
        <v>438.209</v>
      </c>
      <c r="M22" s="15">
        <v>0</v>
      </c>
      <c r="N22" s="15">
        <f>SUM(C19:C22)/4</f>
        <v>2176.55</v>
      </c>
      <c r="O22" s="15">
        <v>2194.895666666670</v>
      </c>
      <c r="P22" s="16">
        <f>C22/C21-1</f>
        <v>-0.122184777248068</v>
      </c>
      <c r="Q22" s="16">
        <f>(D22+E22+D21+E21+D20+E20+D19+E19)/(C19+C20+C21+C22)</f>
        <v>0.0365946107371758</v>
      </c>
      <c r="R22" s="17"/>
      <c r="S22" s="15">
        <f>SUM(J19:K22)/4</f>
        <v>-61.15</v>
      </c>
      <c r="T22" s="17"/>
      <c r="U22" s="15">
        <f>-(L22+M22)+U21</f>
        <v>-898.373</v>
      </c>
      <c r="V22" s="17"/>
      <c r="W22" s="15">
        <f>F22-G22</f>
        <v>-3169</v>
      </c>
      <c r="X22" s="15"/>
      <c r="Y22" s="15">
        <v>800</v>
      </c>
      <c r="Z22" s="15"/>
    </row>
    <row r="23" ht="20.05" customHeight="1">
      <c r="B23" s="13"/>
      <c r="C23" s="14">
        <v>2415.6</v>
      </c>
      <c r="D23" s="15">
        <v>67.5</v>
      </c>
      <c r="E23" s="15">
        <v>52.8</v>
      </c>
      <c r="F23" s="15">
        <v>180</v>
      </c>
      <c r="G23" s="15">
        <v>3048</v>
      </c>
      <c r="H23" s="15">
        <v>5437</v>
      </c>
      <c r="I23" s="15">
        <v>2357.1</v>
      </c>
      <c r="J23" s="15">
        <v>47.5</v>
      </c>
      <c r="K23" s="15">
        <v>-108.5</v>
      </c>
      <c r="L23" s="15">
        <v>118.5</v>
      </c>
      <c r="M23" s="15">
        <v>0</v>
      </c>
      <c r="N23" s="15">
        <f>SUM(C20:C23)/4</f>
        <v>2282.65</v>
      </c>
      <c r="O23" s="15">
        <v>2217.525</v>
      </c>
      <c r="P23" s="16">
        <f>C23/C22-1</f>
        <v>0.130951823587247</v>
      </c>
      <c r="Q23" s="16">
        <f>(D23+E23+D22+E22+D21+E21+D20+E20)/(C20+C21+C22+C23)</f>
        <v>0.0442249140253653</v>
      </c>
      <c r="R23" s="17"/>
      <c r="S23" s="15">
        <f>SUM(J20:K23)/4</f>
        <v>-152.575</v>
      </c>
      <c r="T23" s="17"/>
      <c r="U23" s="15">
        <f>-(L23+M23)+U22</f>
        <v>-1016.873</v>
      </c>
      <c r="V23" s="17"/>
      <c r="W23" s="15">
        <f>F23-G23</f>
        <v>-2868</v>
      </c>
      <c r="X23" s="15"/>
      <c r="Y23" s="15">
        <v>670</v>
      </c>
      <c r="Z23" s="15"/>
    </row>
    <row r="24" ht="20.05" customHeight="1">
      <c r="B24" s="21">
        <v>2022</v>
      </c>
      <c r="C24" s="14">
        <v>2754</v>
      </c>
      <c r="D24" s="15">
        <v>68</v>
      </c>
      <c r="E24" s="15">
        <v>-9.5</v>
      </c>
      <c r="F24" s="15">
        <v>122</v>
      </c>
      <c r="G24" s="15">
        <v>3007</v>
      </c>
      <c r="H24" s="15">
        <v>5401</v>
      </c>
      <c r="I24" s="15">
        <v>2776.3</v>
      </c>
      <c r="J24" s="15">
        <v>204.7</v>
      </c>
      <c r="K24" s="15">
        <v>-58</v>
      </c>
      <c r="L24" s="15">
        <v>-205.8</v>
      </c>
      <c r="M24" s="15">
        <v>0</v>
      </c>
      <c r="N24" s="15">
        <f>SUM(C21:C24)/4</f>
        <v>2434.675</v>
      </c>
      <c r="O24" s="15">
        <v>2296.05625</v>
      </c>
      <c r="P24" s="16">
        <f>C24/C23-1</f>
        <v>0.140089418777943</v>
      </c>
      <c r="Q24" s="16">
        <f>(D24+E24+D23+E23+D22+E22+D21+E21)/(C21+C22+C23+C24)</f>
        <v>0.0378387259079754</v>
      </c>
      <c r="R24" s="35"/>
      <c r="S24" s="15">
        <f>SUM(J21:K24)/4</f>
        <v>-107.55</v>
      </c>
      <c r="T24" s="15">
        <v>30.083986097590</v>
      </c>
      <c r="U24" s="15">
        <f>-(L24+M24)+U23</f>
        <v>-811.073</v>
      </c>
      <c r="V24" s="15"/>
      <c r="W24" s="15">
        <f>F24-G24</f>
        <v>-2885</v>
      </c>
      <c r="X24" s="15">
        <v>-3082.173052217180</v>
      </c>
      <c r="Y24" s="15">
        <v>695</v>
      </c>
      <c r="Z24" s="17"/>
    </row>
    <row r="25" ht="20.05" customHeight="1">
      <c r="B25" s="13"/>
      <c r="C25" s="14">
        <v>2754.9</v>
      </c>
      <c r="D25" s="15">
        <v>66.7</v>
      </c>
      <c r="E25" s="15">
        <v>-58.1</v>
      </c>
      <c r="F25" s="15">
        <v>273</v>
      </c>
      <c r="G25" s="15">
        <v>2843</v>
      </c>
      <c r="H25" s="15">
        <v>5655</v>
      </c>
      <c r="I25" s="15">
        <v>2799.7</v>
      </c>
      <c r="J25" s="15">
        <v>-131</v>
      </c>
      <c r="K25" s="15">
        <v>-77.2</v>
      </c>
      <c r="L25" s="15">
        <v>342.4</v>
      </c>
      <c r="M25" s="15">
        <v>0</v>
      </c>
      <c r="N25" s="15">
        <f>SUM(C22:C25)/4</f>
        <v>2515.1</v>
      </c>
      <c r="O25" s="15">
        <v>2455.6825</v>
      </c>
      <c r="P25" s="16">
        <f>C25/C24-1</f>
        <v>0.000326797385620915</v>
      </c>
      <c r="Q25" s="16">
        <f>(D25+E25+D24+E24+D23+E23+D22+E22)/(C22+C23+C24+C25)</f>
        <v>0.0285276927358753</v>
      </c>
      <c r="R25" s="35"/>
      <c r="S25" s="15">
        <f>SUM(J22:K25)/4</f>
        <v>-135.8</v>
      </c>
      <c r="T25" s="15">
        <v>30.083986097590</v>
      </c>
      <c r="U25" s="15">
        <f>-(L25+M25)+U24</f>
        <v>-1153.473</v>
      </c>
      <c r="V25" s="15"/>
      <c r="W25" s="15">
        <f>F25-G25</f>
        <v>-2570</v>
      </c>
      <c r="X25" s="15">
        <v>-3082.173052217180</v>
      </c>
      <c r="Y25" s="15">
        <v>610</v>
      </c>
      <c r="Z25" s="17"/>
    </row>
    <row r="26" ht="20.05" customHeight="1">
      <c r="B26" s="13"/>
      <c r="C26" s="14">
        <v>2862</v>
      </c>
      <c r="D26" s="15">
        <v>65.59999999999999</v>
      </c>
      <c r="E26" s="15">
        <v>4.9</v>
      </c>
      <c r="F26" s="15">
        <v>270</v>
      </c>
      <c r="G26" s="15">
        <v>3217</v>
      </c>
      <c r="H26" s="15">
        <v>5539</v>
      </c>
      <c r="I26" s="15">
        <v>2823.5</v>
      </c>
      <c r="J26" s="15">
        <v>116.9</v>
      </c>
      <c r="K26" s="15">
        <v>-85.7</v>
      </c>
      <c r="L26" s="15">
        <v>-37.2</v>
      </c>
      <c r="M26" s="15">
        <v>0</v>
      </c>
      <c r="N26" s="15">
        <f>SUM(C23:C26)/4</f>
        <v>2696.625</v>
      </c>
      <c r="O26" s="15">
        <v>2588.5565</v>
      </c>
      <c r="P26" s="16">
        <f>C26/C25-1</f>
        <v>0.0388761842535119</v>
      </c>
      <c r="Q26" s="16">
        <f>(D26+E26+D25+E25+D24+E24+D23+E23)/(C23+C24+C25+C26)</f>
        <v>0.0239095165252862</v>
      </c>
      <c r="R26" s="35">
        <f>Q26</f>
        <v>0.0239095165252862</v>
      </c>
      <c r="S26" s="15">
        <f>SUM(J23:K26)/4</f>
        <v>-22.825</v>
      </c>
      <c r="T26" s="15">
        <v>41.584376</v>
      </c>
      <c r="U26" s="15">
        <f>-(L26+M26)+U25</f>
        <v>-1116.273</v>
      </c>
      <c r="V26" s="15">
        <f>U26</f>
        <v>-1116.273</v>
      </c>
      <c r="W26" s="15">
        <f>F26-G26</f>
        <v>-2947</v>
      </c>
      <c r="X26" s="15">
        <v>-2723.030424</v>
      </c>
      <c r="Y26" s="15">
        <v>605</v>
      </c>
      <c r="Z26" s="17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3">
        <f>AVERAGE(AB41:AE41)</f>
        <v>2998.65179952</v>
      </c>
      <c r="P27" s="17"/>
      <c r="Q27" s="17"/>
      <c r="R27" s="35">
        <f>AB42</f>
        <v>0.0336252122986256</v>
      </c>
      <c r="S27" s="17"/>
      <c r="T27" s="15">
        <f>SUM(AB44:AE44)/4</f>
        <v>27.1969700351824</v>
      </c>
      <c r="U27" s="17"/>
      <c r="V27" s="15">
        <f>-SUM(AB65:AE65)+U26</f>
        <v>-1007.485119859270</v>
      </c>
      <c r="W27" s="17"/>
      <c r="X27" s="15">
        <f>AE64</f>
        <v>-2838.212119859270</v>
      </c>
      <c r="Y27" s="15">
        <v>474</v>
      </c>
      <c r="Z27" s="15">
        <v>226.498881997520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SUM(N21:N26)</f>
        <v>14202.32</v>
      </c>
      <c r="O28" s="15">
        <f>SUM(O21:O26)</f>
        <v>13864.9574166667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AE77</f>
        <v>534.5244923306331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20.05" customHeight="1">
      <c r="B30" t="s" s="56">
        <v>477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6" ht="27.65" customHeight="1">
      <c r="AA36" t="s" s="2">
        <v>316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20.25" customHeight="1">
      <c r="AA37" t="s" s="28">
        <v>366</v>
      </c>
      <c r="AB37" t="s" s="29">
        <v>24</v>
      </c>
      <c r="AC37" t="s" s="29">
        <v>25</v>
      </c>
      <c r="AD37" t="s" s="29">
        <v>26</v>
      </c>
      <c r="AE37" t="s" s="29">
        <v>23</v>
      </c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</row>
    <row r="38" ht="20.25" customHeight="1">
      <c r="AA38" t="s" s="31">
        <v>15</v>
      </c>
      <c r="AB38" s="32"/>
      <c r="AC38" s="9"/>
      <c r="AD38" s="9"/>
      <c r="AE38" s="9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</row>
    <row r="39" ht="20.05" customHeight="1">
      <c r="AA39" t="s" s="33">
        <v>27</v>
      </c>
      <c r="AB39" s="71">
        <f>AVERAGE(P23:P26)</f>
        <v>0.07756105600108069</v>
      </c>
      <c r="AC39" s="35"/>
      <c r="AD39" s="35"/>
      <c r="AE39" s="35">
        <f>AVERAGE(AB40:AE40)</f>
        <v>0.0175</v>
      </c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ht="20.05" customHeight="1">
      <c r="AA40" t="s" s="33">
        <v>13</v>
      </c>
      <c r="AB40" s="37">
        <v>0.04</v>
      </c>
      <c r="AC40" s="35">
        <v>-0.01</v>
      </c>
      <c r="AD40" s="35">
        <v>0.02</v>
      </c>
      <c r="AE40" s="35">
        <v>0.02</v>
      </c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ht="20.05" customHeight="1">
      <c r="AA41" t="s" s="33">
        <v>28</v>
      </c>
      <c r="AB41" s="38">
        <f>C26*(1+AB40)</f>
        <v>2976.48</v>
      </c>
      <c r="AC41" s="23">
        <f>AB41*(1+AC40)</f>
        <v>2946.7152</v>
      </c>
      <c r="AD41" s="23">
        <f>AC41*(1+AD40)</f>
        <v>3005.649504</v>
      </c>
      <c r="AE41" s="23">
        <f>AD41*(1+AE40)</f>
        <v>3065.76249408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ht="20.05" customHeight="1">
      <c r="AA42" t="s" s="33">
        <v>14</v>
      </c>
      <c r="AB42" s="37">
        <f>AVERAGE(Q23:Q26)</f>
        <v>0.0336252122986256</v>
      </c>
      <c r="AC42" s="35">
        <f>AB42</f>
        <v>0.0336252122986256</v>
      </c>
      <c r="AD42" s="35">
        <f>AC42</f>
        <v>0.0336252122986256</v>
      </c>
      <c r="AE42" s="35">
        <f>AD42</f>
        <v>0.0336252122986256</v>
      </c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ht="20.05" customHeight="1">
      <c r="AA43" t="s" s="33">
        <v>29</v>
      </c>
      <c r="AB43" s="14">
        <f>AVERAGE(K24:K26)</f>
        <v>-73.6333333333333</v>
      </c>
      <c r="AC43" s="15">
        <f>AB43</f>
        <v>-73.6333333333333</v>
      </c>
      <c r="AD43" s="15">
        <f>AC43</f>
        <v>-73.6333333333333</v>
      </c>
      <c r="AE43" s="15">
        <f>AD43</f>
        <v>-73.6333333333333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30</v>
      </c>
      <c r="AB44" s="14">
        <f>(AB41*AB42)+AB43</f>
        <v>26.4514385692798</v>
      </c>
      <c r="AC44" s="15">
        <f>(AC41*AC42)+AC43</f>
        <v>25.4505908502537</v>
      </c>
      <c r="AD44" s="15">
        <f>(AD41*AD42)+AD43</f>
        <v>27.4322693339254</v>
      </c>
      <c r="AE44" s="15">
        <f>(AE41*AE42)+AE43</f>
        <v>29.4535813872706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33">
        <v>31</v>
      </c>
      <c r="AB45" s="14">
        <f>-G26/20</f>
        <v>-160.85</v>
      </c>
      <c r="AC45" s="15">
        <f>-AB60/20</f>
        <v>-152.8075</v>
      </c>
      <c r="AD45" s="15">
        <f>-AC60/20</f>
        <v>-145.167125</v>
      </c>
      <c r="AE45" s="15">
        <f>-AD60/20</f>
        <v>-137.90876875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ht="20.05" customHeight="1">
      <c r="AA46" t="s" s="33">
        <v>32</v>
      </c>
      <c r="AB46" s="39">
        <v>0</v>
      </c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ht="20.05" customHeight="1">
      <c r="AA47" t="s" s="33">
        <v>33</v>
      </c>
      <c r="AB47" s="14">
        <f>IF(AB55&gt;0,AB55*$AB$46,0)</f>
        <v>0</v>
      </c>
      <c r="AC47" s="15">
        <f>IF(AC55&gt;0,AC55*$AB$46,0)</f>
        <v>0</v>
      </c>
      <c r="AD47" s="15">
        <f>IF(AD55&gt;0,AD55*$AB$46,0)</f>
        <v>0</v>
      </c>
      <c r="AE47" s="15">
        <f>IF(AE55&gt;0,AE55*$AB$46,0)</f>
        <v>0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33">
        <v>34</v>
      </c>
      <c r="AB48" s="14">
        <f>AB44+AB45+AB47</f>
        <v>-134.398561430720</v>
      </c>
      <c r="AC48" s="15">
        <f>AC44+AC45+AC47</f>
        <v>-127.356909149746</v>
      </c>
      <c r="AD48" s="15">
        <f>AD44+AD45+AD47</f>
        <v>-117.734855666075</v>
      </c>
      <c r="AE48" s="15">
        <f>AE44+AE45+AE47</f>
        <v>-108.455187362729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33">
        <v>35</v>
      </c>
      <c r="AB49" s="14">
        <f>-MIN(0,AB48)</f>
        <v>134.398561430720</v>
      </c>
      <c r="AC49" s="15">
        <f>-MIN(AB61,AC48)</f>
        <v>127.356909149746</v>
      </c>
      <c r="AD49" s="15">
        <f>-MIN(AC61,AD48)</f>
        <v>117.734855666075</v>
      </c>
      <c r="AE49" s="15">
        <f>-MIN(AD61,AE48)</f>
        <v>108.455187362729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36</v>
      </c>
      <c r="AB50" s="14">
        <f>F26</f>
        <v>270</v>
      </c>
      <c r="AC50" s="15">
        <f>AB52</f>
        <v>270</v>
      </c>
      <c r="AD50" s="15">
        <f>AC52</f>
        <v>270</v>
      </c>
      <c r="AE50" s="15">
        <f>AD52</f>
        <v>270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37</v>
      </c>
      <c r="AB51" s="14">
        <f>AB44+AB45+AB47+AB49</f>
        <v>-2e-13</v>
      </c>
      <c r="AC51" s="15">
        <f>AC44+AC45+AC47+AC49</f>
        <v>-3e-13</v>
      </c>
      <c r="AD51" s="15">
        <f>AD44+AD45+AD47+AD49</f>
        <v>4e-13</v>
      </c>
      <c r="AE51" s="15">
        <f>AE44+AE45+AE47+AE49</f>
        <v>-4e-13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38</v>
      </c>
      <c r="AB52" s="14">
        <f>AB50+AB51</f>
        <v>270</v>
      </c>
      <c r="AC52" s="15">
        <f>AC50+AC51</f>
        <v>270</v>
      </c>
      <c r="AD52" s="15">
        <f>AD50+AD51</f>
        <v>270</v>
      </c>
      <c r="AE52" s="15">
        <f>AE50+AE51</f>
        <v>270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41">
        <v>4</v>
      </c>
      <c r="AB53" s="14"/>
      <c r="AC53" s="15"/>
      <c r="AD53" s="15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</row>
    <row r="54" ht="20.05" customHeight="1">
      <c r="AA54" t="s" s="33">
        <v>3</v>
      </c>
      <c r="AB54" s="14">
        <f>-AVERAGE(D24:D26)</f>
        <v>-66.76666666666669</v>
      </c>
      <c r="AC54" s="15">
        <f>AB54</f>
        <v>-66.76666666666669</v>
      </c>
      <c r="AD54" s="15">
        <f>AC54</f>
        <v>-66.76666666666669</v>
      </c>
      <c r="AE54" s="15">
        <f>AD54</f>
        <v>-66.76666666666669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</row>
    <row r="55" ht="20.05" customHeight="1">
      <c r="AA55" t="s" s="33">
        <v>4</v>
      </c>
      <c r="AB55" s="14">
        <f>(AB41*AB42)+AB54</f>
        <v>33.3181052359464</v>
      </c>
      <c r="AC55" s="15">
        <f>(AC41*AC42)+AC54</f>
        <v>32.3172575169203</v>
      </c>
      <c r="AD55" s="15">
        <f>(AD41*AD42)+AD54</f>
        <v>34.298936000592</v>
      </c>
      <c r="AE55" s="15">
        <f>(AE41*AE42)+AE54</f>
        <v>36.3202480539372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33">
        <v>40</v>
      </c>
      <c r="AB57" s="14">
        <f>H26-F26-AB43</f>
        <v>5342.633333333330</v>
      </c>
      <c r="AC57" s="15">
        <f>AB57-AC43</f>
        <v>5416.266666666660</v>
      </c>
      <c r="AD57" s="15">
        <f>AC57-AD43</f>
        <v>5489.899999999990</v>
      </c>
      <c r="AE57" s="15">
        <f>AD57-AE43</f>
        <v>5563.533333333320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41</v>
      </c>
      <c r="AB58" s="14">
        <f>0-AB54</f>
        <v>66.76666666666669</v>
      </c>
      <c r="AC58" s="15">
        <f>AB58-AC54</f>
        <v>133.533333333333</v>
      </c>
      <c r="AD58" s="15">
        <f>AC58-AD54</f>
        <v>200.3</v>
      </c>
      <c r="AE58" s="15">
        <f>AD58-AE54</f>
        <v>267.066666666667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42</v>
      </c>
      <c r="AB59" s="14">
        <f>AB57-AB58</f>
        <v>5275.866666666660</v>
      </c>
      <c r="AC59" s="15">
        <f>AC57-AC58</f>
        <v>5282.733333333330</v>
      </c>
      <c r="AD59" s="15">
        <f>AD57-AD58</f>
        <v>5289.599999999990</v>
      </c>
      <c r="AE59" s="15">
        <f>AE57-AE58</f>
        <v>5296.466666666650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33">
        <v>6</v>
      </c>
      <c r="AB60" s="14">
        <f>G26+AB45</f>
        <v>3056.15</v>
      </c>
      <c r="AC60" s="15">
        <f>AB60+AC45</f>
        <v>2903.3425</v>
      </c>
      <c r="AD60" s="15">
        <f>AC60+AD45</f>
        <v>2758.175375</v>
      </c>
      <c r="AE60" s="15">
        <f>AD60+AE45</f>
        <v>2620.26660625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20.05" customHeight="1">
      <c r="AA61" t="s" s="33">
        <v>35</v>
      </c>
      <c r="AB61" s="14">
        <f>AB49</f>
        <v>134.398561430720</v>
      </c>
      <c r="AC61" s="15">
        <f>AB61+AC49</f>
        <v>261.755470580466</v>
      </c>
      <c r="AD61" s="15">
        <f>AC61+AD49</f>
        <v>379.490326246541</v>
      </c>
      <c r="AE61" s="15">
        <f>AD61+AE49</f>
        <v>487.945513609270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11</v>
      </c>
      <c r="AB62" s="14">
        <f>(H26-G26)+AB55+AB47</f>
        <v>2355.318105235950</v>
      </c>
      <c r="AC62" s="15">
        <f>AB62+AC55+AC47</f>
        <v>2387.635362752870</v>
      </c>
      <c r="AD62" s="15">
        <f>AC62+AD55+AD47</f>
        <v>2421.934298753460</v>
      </c>
      <c r="AE62" s="15">
        <f>AD62+AE55+AE47</f>
        <v>2458.2545468074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43</v>
      </c>
      <c r="AB63" s="14">
        <f>AB60+AB61+AB62-AB52-AB59</f>
        <v>9.999999999999999e-12</v>
      </c>
      <c r="AC63" s="15">
        <f>AC60+AC61+AC62-AC52-AC59</f>
        <v>6e-12</v>
      </c>
      <c r="AD63" s="15">
        <f>AD60+AD61+AD62-AD52-AD59</f>
        <v>1.1e-11</v>
      </c>
      <c r="AE63" s="15">
        <f>AE60+AE61+AE62-AE52-AE59</f>
        <v>2e-11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</row>
    <row r="64" ht="20.05" customHeight="1">
      <c r="AA64" t="s" s="33">
        <v>18</v>
      </c>
      <c r="AB64" s="14">
        <f>AB52-AB60-AB61</f>
        <v>-2920.548561430720</v>
      </c>
      <c r="AC64" s="15">
        <f>AC52-AC60-AC61</f>
        <v>-2895.097970580470</v>
      </c>
      <c r="AD64" s="15">
        <f>AD52-AD60-AD61</f>
        <v>-2867.665701246540</v>
      </c>
      <c r="AE64" s="15">
        <f>AE52-AE60-AE61</f>
        <v>-2838.212119859270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</row>
    <row r="65" ht="20.05" customHeight="1">
      <c r="AA65" t="s" s="33">
        <v>44</v>
      </c>
      <c r="AB65" s="14">
        <f>AB45+AB47+AB49</f>
        <v>-26.451438569280</v>
      </c>
      <c r="AC65" s="15">
        <f>AC45+AC47+AC49</f>
        <v>-25.450590850254</v>
      </c>
      <c r="AD65" s="15">
        <f>AD45+AD47+AD49</f>
        <v>-27.432269333925</v>
      </c>
      <c r="AE65" s="15">
        <f>AE45+AE47+AE49</f>
        <v>-29.453581387271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96">
        <v>316</v>
      </c>
      <c r="AB67" s="14"/>
      <c r="AC67" s="15"/>
      <c r="AD67" s="15"/>
      <c r="AE67" s="15">
        <v>474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8.35" customHeight="1" hidden="1">
      <c r="AA68" t="s" s="33">
        <f>$AA67</f>
        <v>661</v>
      </c>
      <c r="AB68" s="14"/>
      <c r="AC68" s="15"/>
      <c r="AD68" s="15"/>
      <c r="AE68" s="15">
        <v>1061167477248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20.05" customHeight="1">
      <c r="AA69" t="s" s="33">
        <v>46</v>
      </c>
      <c r="AB69" s="14"/>
      <c r="AC69" s="15"/>
      <c r="AD69" s="15"/>
      <c r="AE69" s="15">
        <f>AE68/1000000000</f>
        <v>1061.167477248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47</v>
      </c>
      <c r="AB70" s="14"/>
      <c r="AC70" s="15"/>
      <c r="AD70" s="15"/>
      <c r="AE70" s="15">
        <f>AE69/AE67</f>
        <v>2.238749952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</row>
    <row r="71" ht="20.05" customHeight="1">
      <c r="AA71" t="s" s="33">
        <v>48</v>
      </c>
      <c r="AB71" s="14"/>
      <c r="AC71" s="15"/>
      <c r="AD71" s="15"/>
      <c r="AE71" s="43">
        <f>AE69/(AE52+AE59)</f>
        <v>0.190635737316551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</row>
    <row r="72" ht="20.05" customHeight="1">
      <c r="AA72" t="s" s="33">
        <v>49</v>
      </c>
      <c r="AB72" s="14"/>
      <c r="AC72" s="15"/>
      <c r="AD72" s="15"/>
      <c r="AE72" s="16">
        <f>-(AB47+AC47+AD47+AE47)/AE69</f>
        <v>0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</row>
    <row r="73" ht="20.05" customHeight="1">
      <c r="AA73" t="s" s="33">
        <v>50</v>
      </c>
      <c r="AB73" s="14"/>
      <c r="AC73" s="15"/>
      <c r="AD73" s="15"/>
      <c r="AE73" s="15">
        <f>SUM(AB44:AE44)</f>
        <v>108.787880140730</v>
      </c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</row>
    <row r="74" ht="20.05" customHeight="1">
      <c r="AA74" t="s" s="33">
        <v>51</v>
      </c>
      <c r="AB74" s="14"/>
      <c r="AC74" s="15"/>
      <c r="AD74" s="15"/>
      <c r="AE74" s="15">
        <f>(H26+F26)/AE73</f>
        <v>53.3974923721776</v>
      </c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</row>
    <row r="75" ht="20.05" customHeight="1">
      <c r="AA75" t="s" s="33">
        <v>52</v>
      </c>
      <c r="AB75" s="14"/>
      <c r="AC75" s="15"/>
      <c r="AD75" s="40">
        <f>AE69/AE73</f>
        <v>9.754464154235331</v>
      </c>
      <c r="AE75" s="40">
        <v>11</v>
      </c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</row>
    <row r="76" ht="20.05" customHeight="1">
      <c r="AA76" t="s" s="33">
        <v>53</v>
      </c>
      <c r="AB76" s="14"/>
      <c r="AC76" s="15"/>
      <c r="AD76" s="15"/>
      <c r="AE76" s="15">
        <f>AE73*AE75</f>
        <v>1196.666681548030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</row>
    <row r="77" ht="20.05" customHeight="1">
      <c r="AA77" t="s" s="33">
        <v>54</v>
      </c>
      <c r="AB77" s="14"/>
      <c r="AC77" s="15"/>
      <c r="AD77" s="15"/>
      <c r="AE77" s="15">
        <f>AE76/AE70</f>
        <v>534.5244923306331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</row>
    <row r="78" ht="20.05" customHeight="1">
      <c r="AA78" t="s" s="33">
        <v>55</v>
      </c>
      <c r="AB78" s="38"/>
      <c r="AC78" s="23"/>
      <c r="AD78" s="23"/>
      <c r="AE78" s="16">
        <f>AE77/AE67-1</f>
        <v>0.127688802385302</v>
      </c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</row>
    <row r="79" ht="20.05" customHeight="1">
      <c r="AA79" t="s" s="33">
        <v>56</v>
      </c>
      <c r="AB79" s="38"/>
      <c r="AC79" s="23"/>
      <c r="AD79" s="23"/>
      <c r="AE79" s="16">
        <f>C26/C22-1</f>
        <v>0.339950372208437</v>
      </c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</row>
    <row r="80" ht="20.05" customHeight="1">
      <c r="AA80" t="s" s="33">
        <v>57</v>
      </c>
      <c r="AB80" s="38"/>
      <c r="AC80" s="23"/>
      <c r="AD80" s="23"/>
      <c r="AE80" s="16">
        <f>O28/N28-1</f>
        <v>-0.0237540474607881</v>
      </c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</row>
    <row r="81" ht="8.35" customHeight="1" hidden="1">
      <c r="AA81" s="98"/>
      <c r="AB81" s="38"/>
      <c r="AC81" s="23"/>
      <c r="AD81" s="23"/>
      <c r="AE81" s="16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</row>
    <row r="82" ht="8.35" customHeight="1" hidden="1">
      <c r="AA82" s="36"/>
      <c r="AB82" t="s" s="100">
        <f>$AA67</f>
        <v>662</v>
      </c>
      <c r="AC82" t="s" s="44">
        <v>60</v>
      </c>
      <c r="AD82" s="26">
        <f>AE67</f>
        <v>474</v>
      </c>
      <c r="AE82" t="s" s="44">
        <v>61</v>
      </c>
      <c r="AF82" s="101">
        <f>AE77</f>
        <v>534.5244923306331</v>
      </c>
      <c r="AG82" t="s" s="102">
        <f>IF(AH82&gt;0,"+","")</f>
        <v>361</v>
      </c>
      <c r="AH82" s="99">
        <f>AF82/AD82-1</f>
        <v>0.127688802385302</v>
      </c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</row>
    <row r="83" ht="8.35" customHeight="1" hidden="1">
      <c r="AA83" s="36"/>
      <c r="AB83" s="46">
        <f>TODAY()</f>
        <v>44942</v>
      </c>
      <c r="AC83" s="17"/>
      <c r="AD83" s="17"/>
      <c r="AE83" s="17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</row>
    <row r="84" ht="8.35" customHeight="1" hidden="1">
      <c r="AA84" s="36"/>
      <c r="AB84" t="s" s="45">
        <v>62</v>
      </c>
      <c r="AC84" s="17"/>
      <c r="AD84" s="17"/>
      <c r="AE84" s="17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</row>
    <row r="85" ht="8.35" customHeight="1" hidden="1">
      <c r="AA85" s="36"/>
      <c r="AB85" t="s" s="45">
        <v>63</v>
      </c>
      <c r="AC85" t="s" s="44">
        <v>64</v>
      </c>
      <c r="AD85" t="s" s="44">
        <f>IF(AE85&gt;0,"+","")</f>
        <v>361</v>
      </c>
      <c r="AE85" s="16">
        <f>AF92/AB92-1</f>
        <v>0.339950372208437</v>
      </c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</row>
    <row r="86" ht="8.35" customHeight="1" hidden="1">
      <c r="AA86" s="36"/>
      <c r="AB86" t="s" s="45">
        <v>63</v>
      </c>
      <c r="AC86" t="s" s="44">
        <v>65</v>
      </c>
      <c r="AD86" t="s" s="44">
        <f>IF(AE86&gt;0,"+","")</f>
      </c>
      <c r="AE86" s="16">
        <f>SUM(AC105:AF106)/AC122</f>
        <v>-0.0860373145215256</v>
      </c>
      <c r="AF86" t="s" s="102">
        <v>66</v>
      </c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</row>
    <row r="87" ht="8.35" customHeight="1" hidden="1">
      <c r="AA87" s="36"/>
      <c r="AB87" t="s" s="45">
        <v>63</v>
      </c>
      <c r="AC87" t="s" s="44">
        <v>17</v>
      </c>
      <c r="AD87" t="s" s="44">
        <f>IF(AE87&gt;0,"+","")</f>
      </c>
      <c r="AE87" s="16">
        <f>SUM(AC119:AF120)/AC122</f>
        <v>-0.205339877702524</v>
      </c>
      <c r="AF87" t="s" s="102">
        <f>AF86</f>
        <v>66</v>
      </c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</row>
    <row r="88" ht="8.35" customHeight="1" hidden="1">
      <c r="AA88" s="36"/>
      <c r="AB88" t="s" s="45">
        <v>68</v>
      </c>
      <c r="AC88" t="s" s="44">
        <v>369</v>
      </c>
      <c r="AD88" s="16">
        <f>AM115/AC122</f>
        <v>-2.77712996599053</v>
      </c>
      <c r="AE88" t="s" s="44">
        <f>AF87</f>
        <v>66</v>
      </c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</row>
    <row r="89" ht="8.35" customHeight="1" hidden="1">
      <c r="AA89" s="36"/>
      <c r="AB89" t="s" s="45">
        <v>28</v>
      </c>
      <c r="AC89" t="s" s="44">
        <f>AC93</f>
        <v>362</v>
      </c>
      <c r="AD89" s="16">
        <f>AD93</f>
        <v>0.0388761842535119</v>
      </c>
      <c r="AE89" s="17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</row>
    <row r="90" ht="8.35" customHeight="1" hidden="1">
      <c r="AA90" s="36"/>
      <c r="AB90" t="s" s="45">
        <v>70</v>
      </c>
      <c r="AC90" t="s" s="44">
        <v>371</v>
      </c>
      <c r="AD90" t="s" s="44">
        <f>AJ93</f>
        <v>372</v>
      </c>
      <c r="AE90" s="17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</row>
    <row r="91" ht="8.35" customHeight="1" hidden="1">
      <c r="AA91" s="36"/>
      <c r="AB91" s="71">
        <f>P22</f>
        <v>-0.122184777248068</v>
      </c>
      <c r="AC91" s="16">
        <f>P23</f>
        <v>0.130951823587247</v>
      </c>
      <c r="AD91" s="16">
        <f>P24</f>
        <v>0.140089418777943</v>
      </c>
      <c r="AE91" s="16">
        <f>P25</f>
        <v>0.000326797385620915</v>
      </c>
      <c r="AF91" s="99">
        <f>P26</f>
        <v>0.0388761842535119</v>
      </c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</row>
    <row r="92" ht="8.35" customHeight="1" hidden="1">
      <c r="AA92" s="36"/>
      <c r="AB92" s="14">
        <f>C22</f>
        <v>2135.9</v>
      </c>
      <c r="AC92" s="26">
        <f>C23</f>
        <v>2415.6</v>
      </c>
      <c r="AD92" s="26">
        <f>C24</f>
        <v>2754</v>
      </c>
      <c r="AE92" s="15">
        <f>C25</f>
        <v>2754.9</v>
      </c>
      <c r="AF92" s="101">
        <f>C26</f>
        <v>2862</v>
      </c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</row>
    <row r="93" ht="8.35" customHeight="1" hidden="1">
      <c r="AA93" s="36"/>
      <c r="AB93" t="s" s="45">
        <v>2</v>
      </c>
      <c r="AC93" t="s" s="44">
        <f>IF(AD93&lt;0,"declined","grew")</f>
        <v>362</v>
      </c>
      <c r="AD93" s="16">
        <f>AF92/AE92-1</f>
        <v>0.0388761842535119</v>
      </c>
      <c r="AE93" t="s" s="44">
        <v>73</v>
      </c>
      <c r="AF93" t="s" s="102">
        <v>74</v>
      </c>
      <c r="AG93" t="s" s="102">
        <v>75</v>
      </c>
      <c r="AH93" t="s" s="102">
        <v>76</v>
      </c>
      <c r="AI93" s="101">
        <f>AF92</f>
        <v>2862</v>
      </c>
      <c r="AJ93" t="s" s="102">
        <v>372</v>
      </c>
      <c r="AK93" t="s" s="102">
        <v>378</v>
      </c>
      <c r="AL93" s="99">
        <v>0.0297063450445726</v>
      </c>
      <c r="AM93" t="s" s="102">
        <v>78</v>
      </c>
      <c r="AN93" s="103"/>
      <c r="AO93" s="103"/>
      <c r="AP93" s="103"/>
      <c r="AQ93" s="103"/>
      <c r="AR93" s="103"/>
      <c r="AS93" s="103"/>
    </row>
    <row r="94" ht="8.35" customHeight="1" hidden="1">
      <c r="AA94" s="36"/>
      <c r="AB94" t="s" s="45">
        <v>79</v>
      </c>
      <c r="AC94" s="16">
        <f>AVERAGE(AC91:AF91)</f>
        <v>0.07756105600108069</v>
      </c>
      <c r="AD94" t="s" s="44">
        <v>80</v>
      </c>
      <c r="AE94" s="17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</row>
    <row r="95" ht="8.35" customHeight="1" hidden="1">
      <c r="AA95" s="36"/>
      <c r="AB95" t="s" s="45">
        <v>81</v>
      </c>
      <c r="AC95" s="35">
        <f>AE39</f>
        <v>0.0175</v>
      </c>
      <c r="AD95" t="s" s="44">
        <v>82</v>
      </c>
      <c r="AE95" t="s" s="44">
        <v>83</v>
      </c>
      <c r="AF95" s="199">
        <f>AE41</f>
        <v>3065.76249408</v>
      </c>
      <c r="AG95" t="s" s="102">
        <f>AJ93</f>
        <v>372</v>
      </c>
      <c r="AH95" t="s" s="102">
        <v>84</v>
      </c>
      <c r="AI95" t="s" s="102">
        <f>AF93</f>
        <v>74</v>
      </c>
      <c r="AJ95" t="s" s="102">
        <f>AG93</f>
        <v>75</v>
      </c>
      <c r="AK95" t="s" s="102">
        <v>85</v>
      </c>
      <c r="AL95" s="103"/>
      <c r="AM95" s="103"/>
      <c r="AN95" s="103"/>
      <c r="AO95" s="103"/>
      <c r="AP95" s="103"/>
      <c r="AQ95" s="103"/>
      <c r="AR95" s="103"/>
      <c r="AS95" s="103"/>
    </row>
    <row r="96" ht="8.35" customHeight="1" hidden="1">
      <c r="AA96" s="36"/>
      <c r="AB96" t="s" s="45">
        <v>663</v>
      </c>
      <c r="AC96" t="s" s="44">
        <f>IF(AE100&lt;AC100,"down","up")</f>
        <v>108</v>
      </c>
      <c r="AD96" t="s" s="44">
        <v>86</v>
      </c>
      <c r="AE96" t="s" s="44">
        <f>IF(AI100&gt;AG100,"up","down")</f>
        <v>108</v>
      </c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</row>
    <row r="97" ht="8.35" customHeight="1" hidden="1">
      <c r="AA97" s="36"/>
      <c r="AB97" t="s" s="45">
        <f>AB90</f>
        <v>70</v>
      </c>
      <c r="AC97" t="s" s="44">
        <v>474</v>
      </c>
      <c r="AD97" t="s" s="44">
        <f>AJ93</f>
        <v>372</v>
      </c>
      <c r="AE97" s="17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</row>
    <row r="98" ht="8.35" customHeight="1" hidden="1">
      <c r="AA98" s="36"/>
      <c r="AB98" s="71">
        <f>(D22+E22)/C22</f>
        <v>0.0466313966009645</v>
      </c>
      <c r="AC98" s="16">
        <f>(D23+E23)/C23</f>
        <v>0.0498012916045703</v>
      </c>
      <c r="AD98" s="16">
        <f>(D24+E24)/C24</f>
        <v>0.0212418300653595</v>
      </c>
      <c r="AE98" s="16">
        <f>(D25+E25)/C25</f>
        <v>0.00312171040691132</v>
      </c>
      <c r="AF98" s="99">
        <f>(D26+E26)/C26</f>
        <v>0.0246331236897275</v>
      </c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</row>
    <row r="99" ht="8.35" customHeight="1" hidden="1">
      <c r="AA99" s="36"/>
      <c r="AB99" s="14">
        <f>E22</f>
        <v>32.9</v>
      </c>
      <c r="AC99" s="26">
        <f>E23</f>
        <v>52.8</v>
      </c>
      <c r="AD99" s="26">
        <f>E24</f>
        <v>-9.5</v>
      </c>
      <c r="AE99" s="15">
        <f>E25</f>
        <v>-58.1</v>
      </c>
      <c r="AF99" s="101">
        <f>E26</f>
        <v>4.9</v>
      </c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</row>
    <row r="100" ht="8.35" customHeight="1" hidden="1">
      <c r="AA100" s="36"/>
      <c r="AB100" t="s" s="45">
        <v>89</v>
      </c>
      <c r="AC100" s="16">
        <f>AE98</f>
        <v>0.00312171040691132</v>
      </c>
      <c r="AD100" t="s" s="44">
        <v>76</v>
      </c>
      <c r="AE100" s="16">
        <f>AF98</f>
        <v>0.0246331236897275</v>
      </c>
      <c r="AF100" t="s" s="102">
        <v>90</v>
      </c>
      <c r="AG100" s="101">
        <f>AE99</f>
        <v>-58.1</v>
      </c>
      <c r="AH100" t="s" s="102">
        <v>76</v>
      </c>
      <c r="AI100" s="101">
        <f>AF99</f>
        <v>4.9</v>
      </c>
      <c r="AJ100" t="s" s="102">
        <f>AG95</f>
        <v>372</v>
      </c>
      <c r="AK100" t="s" s="102">
        <v>73</v>
      </c>
      <c r="AL100" t="s" s="102">
        <f>AI95</f>
        <v>74</v>
      </c>
      <c r="AM100" t="s" s="102">
        <v>91</v>
      </c>
      <c r="AN100" s="103"/>
      <c r="AO100" s="103"/>
      <c r="AP100" s="103"/>
      <c r="AQ100" s="103"/>
      <c r="AR100" s="103"/>
      <c r="AS100" s="103"/>
    </row>
    <row r="101" ht="8.35" customHeight="1" hidden="1">
      <c r="AA101" s="36"/>
      <c r="AB101" t="s" s="45">
        <v>92</v>
      </c>
      <c r="AC101" s="16">
        <f>AVERAGE(AC98:AF98)</f>
        <v>0.0246994889416422</v>
      </c>
      <c r="AD101" t="s" s="44">
        <v>78</v>
      </c>
      <c r="AE101" s="17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</row>
    <row r="102" ht="8.35" customHeight="1" hidden="1">
      <c r="AA102" s="36"/>
      <c r="AB102" t="s" s="45">
        <v>93</v>
      </c>
      <c r="AC102" s="35">
        <f>AB42</f>
        <v>0.0336252122986256</v>
      </c>
      <c r="AD102" t="s" s="44">
        <v>94</v>
      </c>
      <c r="AE102" s="15">
        <f>AE55</f>
        <v>36.3202480539372</v>
      </c>
      <c r="AF102" t="s" s="102">
        <f>AJ100</f>
        <v>372</v>
      </c>
      <c r="AG102" t="s" s="102">
        <v>95</v>
      </c>
      <c r="AH102" t="s" s="102">
        <f>AL100</f>
        <v>74</v>
      </c>
      <c r="AI102" t="s" s="102">
        <f>AG93</f>
        <v>75</v>
      </c>
      <c r="AJ102" t="s" s="102">
        <f>AK95</f>
        <v>85</v>
      </c>
      <c r="AK102" s="103"/>
      <c r="AL102" s="103"/>
      <c r="AM102" s="103"/>
      <c r="AN102" s="103"/>
      <c r="AO102" s="103"/>
      <c r="AP102" s="103"/>
      <c r="AQ102" s="103"/>
      <c r="AR102" s="103"/>
      <c r="AS102" s="103"/>
    </row>
    <row r="103" ht="8.35" customHeight="1" hidden="1">
      <c r="AA103" s="36"/>
      <c r="AB103" t="s" s="45">
        <v>15</v>
      </c>
      <c r="AC103" t="s" s="44">
        <f>IF(AE107&lt;AC107,"lower","higher")</f>
        <v>363</v>
      </c>
      <c r="AD103" s="17"/>
      <c r="AE103" s="17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</row>
    <row r="104" ht="8.35" customHeight="1" hidden="1">
      <c r="AA104" s="36"/>
      <c r="AB104" t="s" s="45">
        <f>AB97</f>
        <v>70</v>
      </c>
      <c r="AC104" t="s" s="44">
        <v>96</v>
      </c>
      <c r="AD104" t="s" s="44">
        <f>AJ93</f>
        <v>372</v>
      </c>
      <c r="AE104" s="17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</row>
    <row r="105" ht="8.35" customHeight="1" hidden="1">
      <c r="AA105" s="36"/>
      <c r="AB105" s="14">
        <f>J22</f>
        <v>-314.4</v>
      </c>
      <c r="AC105" s="26">
        <f>J23</f>
        <v>47.5</v>
      </c>
      <c r="AD105" s="26">
        <f>J24</f>
        <v>204.7</v>
      </c>
      <c r="AE105" s="15">
        <f>J25</f>
        <v>-131</v>
      </c>
      <c r="AF105" s="101">
        <f>J26</f>
        <v>116.9</v>
      </c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</row>
    <row r="106" ht="8.35" customHeight="1" hidden="1">
      <c r="AA106" s="36"/>
      <c r="AB106" s="14">
        <f>K22</f>
        <v>-106.3</v>
      </c>
      <c r="AC106" s="26">
        <f>K23</f>
        <v>-108.5</v>
      </c>
      <c r="AD106" s="26">
        <f>K24</f>
        <v>-58</v>
      </c>
      <c r="AE106" s="15">
        <f>K25</f>
        <v>-77.2</v>
      </c>
      <c r="AF106" s="101">
        <f>K26</f>
        <v>-85.7</v>
      </c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</row>
    <row r="107" ht="8.35" customHeight="1" hidden="1">
      <c r="AA107" s="36"/>
      <c r="AB107" t="s" s="45">
        <v>97</v>
      </c>
      <c r="AC107" s="26">
        <f>AE105+AE106</f>
        <v>-208.2</v>
      </c>
      <c r="AD107" t="s" s="44">
        <v>76</v>
      </c>
      <c r="AE107" s="15">
        <f>AF105+AF106</f>
        <v>31.2</v>
      </c>
      <c r="AF107" t="s" s="102">
        <f>AF102</f>
        <v>372</v>
      </c>
      <c r="AG107" t="s" s="102">
        <v>84</v>
      </c>
      <c r="AH107" t="s" s="102">
        <f>AH102</f>
        <v>74</v>
      </c>
      <c r="AI107" t="s" s="102">
        <v>98</v>
      </c>
      <c r="AJ107" s="101">
        <f>AF106</f>
        <v>-85.7</v>
      </c>
      <c r="AK107" t="s" s="102">
        <f>AJ93</f>
        <v>372</v>
      </c>
      <c r="AL107" t="s" s="102">
        <v>99</v>
      </c>
      <c r="AM107" s="103"/>
      <c r="AN107" s="103"/>
      <c r="AO107" s="103"/>
      <c r="AP107" s="103"/>
      <c r="AQ107" s="103"/>
      <c r="AR107" s="103"/>
      <c r="AS107" s="103"/>
    </row>
    <row r="108" ht="8.35" customHeight="1" hidden="1">
      <c r="AA108" s="36"/>
      <c r="AB108" t="s" s="45">
        <v>100</v>
      </c>
      <c r="AC108" s="26">
        <f>SUM(AC105:AF106)/4</f>
        <v>-22.825</v>
      </c>
      <c r="AD108" t="s" s="44">
        <f>AJ93</f>
        <v>372</v>
      </c>
      <c r="AE108" t="s" s="44">
        <v>78</v>
      </c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</row>
    <row r="109" ht="8.35" customHeight="1" hidden="1">
      <c r="AA109" s="36"/>
      <c r="AB109" t="s" s="45">
        <v>101</v>
      </c>
      <c r="AC109" s="26">
        <f>AB43</f>
        <v>-73.6333333333333</v>
      </c>
      <c r="AD109" t="s" s="44">
        <f>AD108</f>
        <v>372</v>
      </c>
      <c r="AE109" t="s" s="44">
        <v>102</v>
      </c>
      <c r="AF109" t="s" s="102">
        <v>103</v>
      </c>
      <c r="AG109" t="s" s="102">
        <f>IF(AF95&gt;AI93,"higher","lower")</f>
        <v>363</v>
      </c>
      <c r="AH109" t="s" s="102">
        <v>105</v>
      </c>
      <c r="AI109" s="101">
        <f>SUM(AB44:AE44)/4</f>
        <v>27.1969700351824</v>
      </c>
      <c r="AJ109" t="s" s="102">
        <f>AD109</f>
        <v>372</v>
      </c>
      <c r="AK109" t="s" s="102">
        <v>106</v>
      </c>
      <c r="AL109" t="s" s="102">
        <v>107</v>
      </c>
      <c r="AM109" s="103"/>
      <c r="AN109" s="103"/>
      <c r="AO109" s="103"/>
      <c r="AP109" s="103"/>
      <c r="AQ109" s="103"/>
      <c r="AR109" s="103"/>
      <c r="AS109" s="103"/>
    </row>
    <row r="110" ht="8.35" customHeight="1" hidden="1">
      <c r="AA110" s="36"/>
      <c r="AB110" t="s" s="45">
        <v>18</v>
      </c>
      <c r="AC110" t="s" s="44">
        <f>AJ115</f>
        <v>87</v>
      </c>
      <c r="AD110" s="17"/>
      <c r="AE110" s="17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</row>
    <row r="111" ht="8.35" customHeight="1" hidden="1">
      <c r="AA111" s="36"/>
      <c r="AB111" t="s" s="45">
        <f>AB90</f>
        <v>70</v>
      </c>
      <c r="AC111" t="s" s="44">
        <v>109</v>
      </c>
      <c r="AD111" t="s" s="44">
        <f>AJ93</f>
        <v>372</v>
      </c>
      <c r="AE111" s="17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</row>
    <row r="112" ht="8.35" customHeight="1" hidden="1">
      <c r="AA112" s="36"/>
      <c r="AB112" s="14">
        <f>F22</f>
        <v>167</v>
      </c>
      <c r="AC112" s="26">
        <f>F23</f>
        <v>180</v>
      </c>
      <c r="AD112" s="26">
        <f>F24</f>
        <v>122</v>
      </c>
      <c r="AE112" s="15">
        <f>F25</f>
        <v>273</v>
      </c>
      <c r="AF112" s="101">
        <f>F26</f>
        <v>270</v>
      </c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</row>
    <row r="113" ht="8.35" customHeight="1" hidden="1">
      <c r="AA113" s="36"/>
      <c r="AB113" s="14">
        <f>G22</f>
        <v>3336</v>
      </c>
      <c r="AC113" s="26">
        <f>G23</f>
        <v>3048</v>
      </c>
      <c r="AD113" s="26">
        <f>G24</f>
        <v>3007</v>
      </c>
      <c r="AE113" s="15">
        <f>G25</f>
        <v>2843</v>
      </c>
      <c r="AF113" s="101">
        <f>G26</f>
        <v>3217</v>
      </c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</row>
    <row r="114" ht="8.35" customHeight="1" hidden="1">
      <c r="AA114" s="36"/>
      <c r="AB114" t="s" s="45">
        <v>110</v>
      </c>
      <c r="AC114" t="s" s="44">
        <f>IF(AF114&lt;AD114,"declined","increased")</f>
        <v>370</v>
      </c>
      <c r="AD114" s="26">
        <f>AE112</f>
        <v>273</v>
      </c>
      <c r="AE114" t="s" s="44">
        <v>76</v>
      </c>
      <c r="AF114" s="101">
        <f>AF112</f>
        <v>270</v>
      </c>
      <c r="AG114" t="s" s="102">
        <f>AJ109</f>
        <v>372</v>
      </c>
      <c r="AH114" t="s" s="102">
        <v>84</v>
      </c>
      <c r="AI114" t="s" s="102">
        <f>AF93</f>
        <v>74</v>
      </c>
      <c r="AJ114" t="s" s="102">
        <f>AM100</f>
        <v>91</v>
      </c>
      <c r="AK114" s="103"/>
      <c r="AL114" s="103"/>
      <c r="AM114" s="103"/>
      <c r="AN114" s="103"/>
      <c r="AO114" s="103"/>
      <c r="AP114" s="103"/>
      <c r="AQ114" s="103"/>
      <c r="AR114" s="103"/>
      <c r="AS114" s="103"/>
    </row>
    <row r="115" ht="8.35" customHeight="1" hidden="1">
      <c r="AA115" s="36"/>
      <c r="AB115" t="s" s="45">
        <v>112</v>
      </c>
      <c r="AC115" t="s" s="44">
        <f>IF(AF115&lt;AD115,"declined","increased")</f>
        <v>111</v>
      </c>
      <c r="AD115" s="26">
        <f>AE113</f>
        <v>2843</v>
      </c>
      <c r="AE115" t="s" s="44">
        <v>76</v>
      </c>
      <c r="AF115" s="101">
        <f>AF113</f>
        <v>3217</v>
      </c>
      <c r="AG115" t="s" s="102">
        <f>AG114</f>
        <v>372</v>
      </c>
      <c r="AH115" t="s" s="102">
        <v>113</v>
      </c>
      <c r="AI115" t="s" s="102">
        <v>114</v>
      </c>
      <c r="AJ115" t="s" s="102">
        <f>IF(AM115&lt;AK115,"down","up")</f>
        <v>87</v>
      </c>
      <c r="AK115" s="101">
        <f>AD114-AD115</f>
        <v>-2570</v>
      </c>
      <c r="AL115" t="s" s="102">
        <v>76</v>
      </c>
      <c r="AM115" s="101">
        <f>AF114-AF115</f>
        <v>-2947</v>
      </c>
      <c r="AN115" t="s" s="102">
        <f>AG115</f>
        <v>372</v>
      </c>
      <c r="AO115" t="s" s="102">
        <v>115</v>
      </c>
      <c r="AP115" s="103"/>
      <c r="AQ115" s="103"/>
      <c r="AR115" s="103"/>
      <c r="AS115" s="103"/>
    </row>
    <row r="116" ht="8.35" customHeight="1" hidden="1">
      <c r="AA116" s="36"/>
      <c r="AB116" t="s" s="45">
        <v>116</v>
      </c>
      <c r="AC116" s="26">
        <f>SUM(AB47:AE47)</f>
        <v>0</v>
      </c>
      <c r="AD116" t="s" s="44">
        <f>AG115</f>
        <v>372</v>
      </c>
      <c r="AE116" t="s" s="44">
        <v>117</v>
      </c>
      <c r="AF116" t="s" s="102">
        <f>IF(AG116&gt;0,"+","")</f>
      </c>
      <c r="AG116" s="101">
        <f>AB45+AC45+AD45+AE45+AB49+AC49+AD49+AE49</f>
        <v>-108.787880140730</v>
      </c>
      <c r="AH116" t="s" s="102">
        <f>AN115</f>
        <v>372</v>
      </c>
      <c r="AI116" t="s" s="102">
        <v>118</v>
      </c>
      <c r="AJ116" t="s" s="102">
        <v>119</v>
      </c>
      <c r="AK116" s="101">
        <f>AE64</f>
        <v>-2838.212119859270</v>
      </c>
      <c r="AL116" t="s" s="102">
        <f>AG115</f>
        <v>372</v>
      </c>
      <c r="AM116" t="s" s="102">
        <v>120</v>
      </c>
      <c r="AN116" s="103"/>
      <c r="AO116" s="103"/>
      <c r="AP116" s="103"/>
      <c r="AQ116" s="103"/>
      <c r="AR116" s="103"/>
      <c r="AS116" s="103"/>
    </row>
    <row r="117" ht="8.35" customHeight="1" hidden="1">
      <c r="AA117" s="36"/>
      <c r="AB117" t="s" s="45">
        <v>17</v>
      </c>
      <c r="AC117" t="s" s="44">
        <f>AC121</f>
        <v>374</v>
      </c>
      <c r="AD117" s="17"/>
      <c r="AE117" s="17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</row>
    <row r="118" ht="8.35" customHeight="1" hidden="1">
      <c r="AA118" s="36"/>
      <c r="AB118" t="s" s="45">
        <f>AB90</f>
        <v>70</v>
      </c>
      <c r="AC118" t="s" s="44">
        <v>379</v>
      </c>
      <c r="AD118" t="s" s="44">
        <f>AJ93</f>
        <v>372</v>
      </c>
      <c r="AE118" s="17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</row>
    <row r="119" ht="8.35" customHeight="1" hidden="1">
      <c r="AA119" s="36"/>
      <c r="AB119" s="14">
        <f>-L22</f>
        <v>-438.209</v>
      </c>
      <c r="AC119" s="26">
        <f>-L23</f>
        <v>-118.5</v>
      </c>
      <c r="AD119" s="26">
        <f>-L24</f>
        <v>205.8</v>
      </c>
      <c r="AE119" s="15">
        <f>-L25</f>
        <v>-342.4</v>
      </c>
      <c r="AF119" s="101">
        <f>-L26</f>
        <v>37.2</v>
      </c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</row>
    <row r="120" ht="8.35" customHeight="1" hidden="1">
      <c r="AA120" s="36"/>
      <c r="AB120" s="14">
        <f>-M22</f>
        <v>0</v>
      </c>
      <c r="AC120" s="26">
        <f>-M23</f>
        <v>0</v>
      </c>
      <c r="AD120" s="26">
        <f>-M24</f>
        <v>0</v>
      </c>
      <c r="AE120" s="15">
        <f>-M25</f>
        <v>0</v>
      </c>
      <c r="AF120" s="101">
        <f>-M26</f>
        <v>0</v>
      </c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</row>
    <row r="121" ht="8.35" customHeight="1" hidden="1">
      <c r="AA121" s="36"/>
      <c r="AB121" t="s" s="100">
        <f>AB82</f>
        <v>662</v>
      </c>
      <c r="AC121" t="s" s="44">
        <f>IF(AD121&gt;0,"paid","(raised)")</f>
        <v>374</v>
      </c>
      <c r="AD121" s="26">
        <f>SUM(AF119:AF120)</f>
        <v>37.2</v>
      </c>
      <c r="AE121" t="s" s="44">
        <f>AJ93</f>
        <v>372</v>
      </c>
      <c r="AF121" t="s" s="102">
        <f>AE93</f>
        <v>73</v>
      </c>
      <c r="AG121" t="s" s="102">
        <f>AF93</f>
        <v>74</v>
      </c>
      <c r="AH121" t="s" s="102">
        <f>AG93</f>
        <v>75</v>
      </c>
      <c r="AI121" s="101">
        <f>AF119</f>
        <v>37.2</v>
      </c>
      <c r="AJ121" t="s" s="102">
        <f>AJ93</f>
        <v>372</v>
      </c>
      <c r="AK121" t="s" s="102">
        <v>123</v>
      </c>
      <c r="AL121" s="101">
        <f>AF120</f>
        <v>0</v>
      </c>
      <c r="AM121" t="s" s="102">
        <f>AJ93</f>
        <v>372</v>
      </c>
      <c r="AN121" t="s" s="102">
        <v>389</v>
      </c>
      <c r="AO121" t="s" s="102">
        <v>475</v>
      </c>
      <c r="AP121" t="s" s="102">
        <f>IF(AQ121&gt;0,"pay","raise")</f>
        <v>364</v>
      </c>
      <c r="AQ121" s="101">
        <f>-SUM(AB65:AE65)</f>
        <v>108.787880140730</v>
      </c>
      <c r="AR121" t="s" s="102">
        <f>AJ93</f>
        <v>372</v>
      </c>
      <c r="AS121" t="s" s="102">
        <v>126</v>
      </c>
    </row>
    <row r="122" ht="8.35" customHeight="1" hidden="1">
      <c r="AA122" s="36"/>
      <c r="AB122" t="s" s="45">
        <v>375</v>
      </c>
      <c r="AC122" s="26">
        <f>AE69</f>
        <v>1061.167477248</v>
      </c>
      <c r="AD122" t="s" s="44">
        <f>AJ93</f>
        <v>372</v>
      </c>
      <c r="AE122" t="s" s="44">
        <v>128</v>
      </c>
      <c r="AF122" t="s" s="102">
        <v>129</v>
      </c>
      <c r="AG122" s="101">
        <f>AE71</f>
        <v>0.190635737316551</v>
      </c>
      <c r="AH122" t="s" s="102">
        <v>130</v>
      </c>
      <c r="AI122" t="s" s="102">
        <v>131</v>
      </c>
      <c r="AJ122" t="s" s="102">
        <v>132</v>
      </c>
      <c r="AK122" s="101">
        <f>AE74</f>
        <v>53.3974923721776</v>
      </c>
      <c r="AL122" t="s" s="102">
        <v>133</v>
      </c>
      <c r="AM122" s="99">
        <f>-AC116/AC122</f>
        <v>0</v>
      </c>
      <c r="AN122" t="s" s="102">
        <v>134</v>
      </c>
      <c r="AO122" s="103"/>
      <c r="AP122" s="103"/>
      <c r="AQ122" s="103"/>
      <c r="AR122" s="103"/>
      <c r="AS122" s="103"/>
    </row>
    <row r="123" ht="8.35" customHeight="1" hidden="1">
      <c r="AA123" s="36"/>
      <c r="AB123" t="s" s="45">
        <v>135</v>
      </c>
      <c r="AC123" s="26">
        <f>AE73</f>
        <v>108.787880140730</v>
      </c>
      <c r="AD123" t="s" s="44">
        <f>AD122</f>
        <v>372</v>
      </c>
      <c r="AE123" t="s" s="44">
        <v>136</v>
      </c>
      <c r="AF123" s="101">
        <f>AC122/AC123</f>
        <v>9.754464154235331</v>
      </c>
      <c r="AG123" t="s" s="102">
        <v>130</v>
      </c>
      <c r="AH123" t="s" s="102">
        <v>137</v>
      </c>
      <c r="AI123" t="s" s="102">
        <v>138</v>
      </c>
      <c r="AJ123" s="101">
        <f>AE75</f>
        <v>11</v>
      </c>
      <c r="AK123" t="s" s="102">
        <v>139</v>
      </c>
      <c r="AL123" t="s" s="102">
        <v>140</v>
      </c>
      <c r="AM123" t="s" s="102">
        <v>141</v>
      </c>
      <c r="AN123" s="99">
        <f>AH82</f>
        <v>0.127688802385302</v>
      </c>
      <c r="AO123" t="s" s="102">
        <f>IF(AN123&gt;0,"higher","lower")</f>
        <v>363</v>
      </c>
      <c r="AP123" t="s" s="102">
        <v>142</v>
      </c>
      <c r="AQ123" s="101">
        <f>AF82</f>
        <v>534.5244923306331</v>
      </c>
      <c r="AR123" t="s" s="102">
        <v>143</v>
      </c>
      <c r="AS123" s="103"/>
    </row>
    <row r="124" ht="8.35" customHeight="1" hidden="1">
      <c r="AA124" s="36"/>
      <c r="AB124" s="34"/>
      <c r="AC124" s="17"/>
      <c r="AD124" s="17"/>
      <c r="AE124" s="17"/>
      <c r="AF124" s="101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</row>
    <row r="125" ht="8.35" customHeight="1" hidden="1">
      <c r="AA125" s="36"/>
      <c r="AB125" s="14">
        <f>AB92</f>
        <v>2135.9</v>
      </c>
      <c r="AC125" s="26">
        <f>AC92</f>
        <v>2415.6</v>
      </c>
      <c r="AD125" s="26">
        <f>AD92</f>
        <v>2754</v>
      </c>
      <c r="AE125" s="15">
        <f>AE92</f>
        <v>2754.9</v>
      </c>
      <c r="AF125" s="101">
        <f>AF92</f>
        <v>2862</v>
      </c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</row>
    <row r="126" ht="8.35" customHeight="1" hidden="1">
      <c r="AA126" s="36"/>
      <c r="AB126" s="14">
        <f>SUM(AB105:AB106)</f>
        <v>-420.7</v>
      </c>
      <c r="AC126" s="26">
        <f>SUM(AC105:AC106)</f>
        <v>-61</v>
      </c>
      <c r="AD126" s="26">
        <f>SUM(AD105:AD106)</f>
        <v>146.7</v>
      </c>
      <c r="AE126" s="15">
        <f>SUM(AE105:AE106)</f>
        <v>-208.2</v>
      </c>
      <c r="AF126" s="101">
        <f>SUM(AF105:AF106)</f>
        <v>31.2</v>
      </c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</row>
    <row r="127" ht="8.35" customHeight="1" hidden="1">
      <c r="AA127" s="36"/>
      <c r="AB127" s="14">
        <f>SUM(AB119:AB120)</f>
        <v>-438.209</v>
      </c>
      <c r="AC127" s="26">
        <f>SUM(AC119:AC120)</f>
        <v>-118.5</v>
      </c>
      <c r="AD127" s="26">
        <f>SUM(AD119:AD120)</f>
        <v>205.8</v>
      </c>
      <c r="AE127" s="15">
        <f>SUM(AE119:AE120)</f>
        <v>-342.4</v>
      </c>
      <c r="AF127" s="101">
        <f>SUM(AF119:AF120)</f>
        <v>37.2</v>
      </c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</row>
    <row r="128" ht="8.35" customHeight="1" hidden="1">
      <c r="AA128" s="36"/>
      <c r="AB128" s="14">
        <f>AB112-AB113</f>
        <v>-3169</v>
      </c>
      <c r="AC128" s="26">
        <f>AC112-AC113</f>
        <v>-2868</v>
      </c>
      <c r="AD128" s="26">
        <f>AD112-AD113</f>
        <v>-2885</v>
      </c>
      <c r="AE128" s="15">
        <f>AE112-AE113</f>
        <v>-2570</v>
      </c>
      <c r="AF128" s="101">
        <f>AF112-AF113</f>
        <v>-2947</v>
      </c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</row>
    <row r="129" ht="8.35" customHeight="1" hidden="1">
      <c r="AA129" s="36"/>
      <c r="AB129" s="34"/>
      <c r="AC129" s="17"/>
      <c r="AD129" s="17"/>
      <c r="AE129" s="17"/>
      <c r="AF129" s="101">
        <f>AQ123</f>
        <v>534.5244923306331</v>
      </c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</row>
    <row r="130" ht="8.35" customHeight="1" hidden="1">
      <c r="AA130" s="36"/>
      <c r="AB130" s="34"/>
      <c r="AC130" s="17"/>
      <c r="AD130" s="17"/>
      <c r="AE130" s="17"/>
      <c r="AF130" s="101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</row>
    <row r="131" ht="8.35" customHeight="1" hidden="1">
      <c r="AA131" s="36"/>
      <c r="AB131" s="34"/>
      <c r="AC131" s="17"/>
      <c r="AD131" s="17"/>
      <c r="AE131" s="17"/>
      <c r="AF131" s="101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</row>
    <row r="132" ht="8.35" customHeight="1" hidden="1">
      <c r="AA132" s="36"/>
      <c r="AB132" s="34"/>
      <c r="AC132" s="17"/>
      <c r="AD132" s="17"/>
      <c r="AE132" s="17"/>
      <c r="AF132" s="101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</row>
    <row r="133" ht="8.35" customHeight="1" hidden="1">
      <c r="AA133" s="36"/>
      <c r="AB133" s="34"/>
      <c r="AC133" s="17"/>
      <c r="AD133" s="17"/>
      <c r="AE133" s="17"/>
      <c r="AF133" s="101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</row>
    <row r="134" ht="8.35" customHeight="1" hidden="1">
      <c r="AA134" s="36"/>
      <c r="AB134" s="34"/>
      <c r="AC134" s="17"/>
      <c r="AD134" s="17"/>
      <c r="AE134" s="17"/>
      <c r="AF134" s="101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</row>
    <row r="135" ht="8.35" customHeight="1" hidden="1">
      <c r="AA135" s="36"/>
      <c r="AB135" s="34"/>
      <c r="AC135" s="17"/>
      <c r="AD135" s="17"/>
      <c r="AE135" s="17"/>
      <c r="AF135" s="101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</row>
    <row r="136" ht="8.35" customHeight="1" hidden="1">
      <c r="AA136" s="36"/>
      <c r="AB136" s="34"/>
      <c r="AC136" s="17"/>
      <c r="AD136" s="17"/>
      <c r="AE136" s="17"/>
      <c r="AF136" s="101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</row>
  </sheetData>
  <mergeCells count="2">
    <mergeCell ref="B2:Z2"/>
    <mergeCell ref="AA36:AS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8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05" customWidth="1"/>
    <col min="2" max="28" width="10.4844" style="305" customWidth="1"/>
    <col min="29" max="29" width="18.9766" style="306" customWidth="1"/>
    <col min="30" max="48" width="9" style="306" customWidth="1"/>
    <col min="49" max="16384" width="16.3516" style="306" customWidth="1"/>
  </cols>
  <sheetData>
    <row r="1" ht="11.65" customHeight="1"/>
    <row r="2" ht="27.65" customHeight="1">
      <c r="B2" t="s" s="2">
        <v>664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255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8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15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15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15"/>
      <c r="AA7" s="19"/>
      <c r="AB7" s="20">
        <v>13.557</v>
      </c>
    </row>
    <row r="8" ht="20.05" customHeight="1">
      <c r="B8" s="21">
        <v>2018</v>
      </c>
      <c r="C8" s="14">
        <v>1087.119</v>
      </c>
      <c r="D8" s="15">
        <v>99.423225</v>
      </c>
      <c r="E8" s="15">
        <v>0.357786</v>
      </c>
      <c r="F8" s="15">
        <v>238.0653</v>
      </c>
      <c r="G8" s="15">
        <v>4604.4306</v>
      </c>
      <c r="H8" s="15">
        <v>9228.1266</v>
      </c>
      <c r="I8" s="15">
        <v>1001.8008</v>
      </c>
      <c r="J8" s="15">
        <v>48.1635</v>
      </c>
      <c r="K8" s="15">
        <v>-97.70310000000001</v>
      </c>
      <c r="L8" s="15">
        <v>-6.8805</v>
      </c>
      <c r="M8" s="15">
        <v>10.664775</v>
      </c>
      <c r="N8" s="15">
        <f>SUM(C5:C8)/4</f>
        <v>271.77975</v>
      </c>
      <c r="O8" s="15"/>
      <c r="P8" s="16"/>
      <c r="Q8" s="16">
        <f>(E8+D8)/C8</f>
        <v>0.09178481012658229</v>
      </c>
      <c r="R8" s="16"/>
      <c r="S8" s="17"/>
      <c r="T8" s="15">
        <f>SUM(J5:K8)/4</f>
        <v>-12.3849</v>
      </c>
      <c r="U8" s="25"/>
      <c r="V8" s="15">
        <f>-(L8+M8)+V7</f>
        <v>-3.784275</v>
      </c>
      <c r="W8" s="17"/>
      <c r="X8" s="15">
        <f>F8-G8</f>
        <v>-4366.3653</v>
      </c>
      <c r="Y8" s="24"/>
      <c r="Z8" s="15">
        <v>312</v>
      </c>
      <c r="AA8" s="22"/>
      <c r="AB8" s="20">
        <v>13.761</v>
      </c>
    </row>
    <row r="9" ht="20.05" customHeight="1">
      <c r="B9" s="13"/>
      <c r="C9" s="14">
        <v>1037.4</v>
      </c>
      <c r="D9" s="15">
        <v>101.15</v>
      </c>
      <c r="E9" s="15">
        <v>7</v>
      </c>
      <c r="F9" s="15">
        <v>292.6</v>
      </c>
      <c r="G9" s="15">
        <v>4657.8</v>
      </c>
      <c r="H9" s="15">
        <v>9332.4</v>
      </c>
      <c r="I9" s="15">
        <v>1076.6</v>
      </c>
      <c r="J9" s="15">
        <v>92.40000000000001</v>
      </c>
      <c r="K9" s="15">
        <v>-109.2</v>
      </c>
      <c r="L9" s="15">
        <v>-7</v>
      </c>
      <c r="M9" s="15">
        <v>10.85</v>
      </c>
      <c r="N9" s="15">
        <f>SUM(C6:C9)/4</f>
        <v>531.1297499999999</v>
      </c>
      <c r="O9" s="15"/>
      <c r="P9" s="16"/>
      <c r="Q9" s="16">
        <f>(E9+D9)/C9</f>
        <v>0.104251012145749</v>
      </c>
      <c r="R9" s="16"/>
      <c r="S9" s="17"/>
      <c r="T9" s="15">
        <f>SUM(J6:K9)/4</f>
        <v>-16.5849</v>
      </c>
      <c r="U9" s="25"/>
      <c r="V9" s="15">
        <f>-(L9+M9)+V8</f>
        <v>-7.634275</v>
      </c>
      <c r="W9" s="17"/>
      <c r="X9" s="15">
        <f>F13-G9</f>
        <v>-4543.3713</v>
      </c>
      <c r="Y9" s="24"/>
      <c r="Z9" s="15">
        <v>318</v>
      </c>
      <c r="AA9" s="22"/>
      <c r="AB9" s="20">
        <v>14</v>
      </c>
    </row>
    <row r="10" ht="20.05" customHeight="1">
      <c r="B10" s="13"/>
      <c r="C10" s="14">
        <v>1315.8466</v>
      </c>
      <c r="D10" s="15">
        <v>107.66695</v>
      </c>
      <c r="E10" s="15">
        <v>8.9412</v>
      </c>
      <c r="F10" s="15">
        <v>178.824</v>
      </c>
      <c r="G10" s="15">
        <v>4910.209</v>
      </c>
      <c r="H10" s="15">
        <v>9905.359399999999</v>
      </c>
      <c r="I10" s="15">
        <v>1119.1402</v>
      </c>
      <c r="J10" s="15">
        <v>-4.4706</v>
      </c>
      <c r="K10" s="15">
        <v>-116.2356</v>
      </c>
      <c r="L10" s="15">
        <v>-7.451</v>
      </c>
      <c r="M10" s="15">
        <v>11.54905</v>
      </c>
      <c r="N10" s="15">
        <f>SUM(C7:C10)/4</f>
        <v>860.0914</v>
      </c>
      <c r="O10" s="15"/>
      <c r="P10" s="16">
        <f>C10/C9-1</f>
        <v>0.268408135723925</v>
      </c>
      <c r="Q10" s="16">
        <f>(E10+D10)/C10</f>
        <v>0.08861834654586639</v>
      </c>
      <c r="R10" s="16"/>
      <c r="S10" s="17"/>
      <c r="T10" s="15">
        <f>SUM(J7:K10)/4</f>
        <v>-46.76145</v>
      </c>
      <c r="U10" s="25"/>
      <c r="V10" s="15">
        <f>-(L10+M10)+V9</f>
        <v>-11.732325</v>
      </c>
      <c r="W10" s="17"/>
      <c r="X10" s="15">
        <f>F10-G10</f>
        <v>-4731.385</v>
      </c>
      <c r="Y10" s="24"/>
      <c r="Z10" s="15">
        <v>590</v>
      </c>
      <c r="AA10" s="22"/>
      <c r="AB10" s="20">
        <v>14.902</v>
      </c>
    </row>
    <row r="11" ht="20.05" customHeight="1">
      <c r="B11" s="13"/>
      <c r="C11" s="14">
        <v>869.271</v>
      </c>
      <c r="D11" s="15">
        <v>103.8955</v>
      </c>
      <c r="E11" s="15">
        <v>-257.402</v>
      </c>
      <c r="F11" s="15">
        <v>102.098</v>
      </c>
      <c r="G11" s="15">
        <v>4680.69</v>
      </c>
      <c r="H11" s="15">
        <v>9252.092000000001</v>
      </c>
      <c r="I11" s="15">
        <v>1043.988</v>
      </c>
      <c r="J11" s="15">
        <v>103.536</v>
      </c>
      <c r="K11" s="15">
        <v>142.362</v>
      </c>
      <c r="L11" s="15">
        <v>-7.19</v>
      </c>
      <c r="M11" s="15">
        <v>11.1445</v>
      </c>
      <c r="N11" s="15">
        <f>SUM(C8:C11)/4</f>
        <v>1077.40915</v>
      </c>
      <c r="O11" s="15"/>
      <c r="P11" s="16">
        <f>C11/C10-1</f>
        <v>-0.339382721359769</v>
      </c>
      <c r="Q11" s="16">
        <f>(E11+D11)/C11</f>
        <v>-0.176592224979322</v>
      </c>
      <c r="R11" s="16"/>
      <c r="S11" s="17"/>
      <c r="T11" s="15">
        <f>SUM(J8:K11)/4</f>
        <v>14.71305</v>
      </c>
      <c r="U11" s="25"/>
      <c r="V11" s="15">
        <f>-(L11+M11)+V10</f>
        <v>-15.686825</v>
      </c>
      <c r="W11" s="17"/>
      <c r="X11" s="15">
        <f>F11-G11</f>
        <v>-4578.592</v>
      </c>
      <c r="Y11" s="24"/>
      <c r="Z11" s="15">
        <v>760</v>
      </c>
      <c r="AA11" s="22"/>
      <c r="AB11" s="20">
        <v>14.38</v>
      </c>
    </row>
    <row r="12" ht="20.05" customHeight="1">
      <c r="B12" s="21">
        <v>2019</v>
      </c>
      <c r="C12" s="14">
        <v>1246</v>
      </c>
      <c r="D12" s="15">
        <v>93.27200000000001</v>
      </c>
      <c r="E12" s="15">
        <v>-56.96</v>
      </c>
      <c r="F12" s="15">
        <v>505.52</v>
      </c>
      <c r="G12" s="15">
        <v>3927.392</v>
      </c>
      <c r="H12" s="15">
        <v>8452.864</v>
      </c>
      <c r="I12" s="15">
        <v>1073.696</v>
      </c>
      <c r="J12" s="15">
        <v>-136.704</v>
      </c>
      <c r="K12" s="15">
        <v>901.3920000000001</v>
      </c>
      <c r="L12" s="15">
        <v>-121.04</v>
      </c>
      <c r="M12" s="15">
        <v>0</v>
      </c>
      <c r="N12" s="15">
        <f>SUM(C9:C12)/4</f>
        <v>1117.1294</v>
      </c>
      <c r="O12" s="23"/>
      <c r="P12" s="16">
        <f>C12/C11-1</f>
        <v>0.433384985809949</v>
      </c>
      <c r="Q12" s="16">
        <f>(E12+D12)/C12</f>
        <v>0.0291428571428571</v>
      </c>
      <c r="R12" s="16">
        <f>AVERAGE(Q9:Q12)</f>
        <v>0.0113549977137876</v>
      </c>
      <c r="S12" s="17"/>
      <c r="T12" s="15">
        <f>SUM(J9:K12)/4</f>
        <v>218.26995</v>
      </c>
      <c r="U12" s="25"/>
      <c r="V12" s="15">
        <f>-(L12+M12)+V11</f>
        <v>105.353175</v>
      </c>
      <c r="W12" s="17"/>
      <c r="X12" s="15">
        <f>F12-G12</f>
        <v>-3421.872</v>
      </c>
      <c r="Y12" s="24"/>
      <c r="Z12" s="15">
        <v>835</v>
      </c>
      <c r="AA12" s="22"/>
      <c r="AB12" s="20">
        <v>14.24</v>
      </c>
    </row>
    <row r="13" ht="20.05" customHeight="1">
      <c r="B13" s="13"/>
      <c r="C13" s="14">
        <v>1059.525</v>
      </c>
      <c r="D13" s="15">
        <v>92.53185000000001</v>
      </c>
      <c r="E13" s="15">
        <v>-156.8097</v>
      </c>
      <c r="F13" s="15">
        <v>114.4287</v>
      </c>
      <c r="G13" s="15">
        <v>3538.8135</v>
      </c>
      <c r="H13" s="15">
        <v>7919.5962</v>
      </c>
      <c r="I13" s="15">
        <v>1099.0806</v>
      </c>
      <c r="J13" s="15">
        <v>-142.6827</v>
      </c>
      <c r="K13" s="15">
        <v>-55.0953</v>
      </c>
      <c r="L13" s="15">
        <v>-120.0795</v>
      </c>
      <c r="M13" s="15">
        <v>0</v>
      </c>
      <c r="N13" s="15">
        <f>SUM(C10:C13)/4</f>
        <v>1122.66065</v>
      </c>
      <c r="O13" s="23"/>
      <c r="P13" s="16">
        <f>C13/C12-1</f>
        <v>-0.149658908507223</v>
      </c>
      <c r="Q13" s="16">
        <f>(E13+D13)/C13</f>
        <v>-0.0606666666666667</v>
      </c>
      <c r="R13" s="16">
        <f>AVERAGE(Q10:Q13)</f>
        <v>-0.0298744219893163</v>
      </c>
      <c r="S13" s="17"/>
      <c r="T13" s="15">
        <f>SUM(J10:K13)/4</f>
        <v>173.02545</v>
      </c>
      <c r="U13" s="25"/>
      <c r="V13" s="15">
        <f>-(L13+M13)+V12</f>
        <v>225.432675</v>
      </c>
      <c r="W13" s="17"/>
      <c r="X13" s="15">
        <f>F13-G13</f>
        <v>-3424.3848</v>
      </c>
      <c r="Y13" s="24"/>
      <c r="Z13" s="15">
        <v>620</v>
      </c>
      <c r="AA13" s="24"/>
      <c r="AB13" s="15">
        <v>14.127</v>
      </c>
    </row>
    <row r="14" ht="20.05" customHeight="1">
      <c r="B14" s="13"/>
      <c r="C14" s="14">
        <v>1242.0625</v>
      </c>
      <c r="D14" s="15">
        <v>92.97725</v>
      </c>
      <c r="E14" s="15">
        <v>-191.6325</v>
      </c>
      <c r="F14" s="15">
        <v>109.3015</v>
      </c>
      <c r="G14" s="15">
        <v>3531.716</v>
      </c>
      <c r="H14" s="15">
        <v>7898.098</v>
      </c>
      <c r="I14" s="15">
        <v>1093.015</v>
      </c>
      <c r="J14" s="15">
        <v>-105.043</v>
      </c>
      <c r="K14" s="15">
        <v>-44.0045</v>
      </c>
      <c r="L14" s="15">
        <v>-120.6575</v>
      </c>
      <c r="M14" s="15">
        <v>0</v>
      </c>
      <c r="N14" s="15">
        <f>SUM(C11:C14)/4</f>
        <v>1104.214625</v>
      </c>
      <c r="O14" s="23"/>
      <c r="P14" s="16">
        <f>C14/C13-1</f>
        <v>0.172282390693943</v>
      </c>
      <c r="Q14" s="16">
        <f>(E14+D14)/C14</f>
        <v>-0.0794285714285714</v>
      </c>
      <c r="R14" s="16">
        <f>AVERAGE(Q11:Q14)</f>
        <v>-0.07188615148292581</v>
      </c>
      <c r="S14" s="17"/>
      <c r="T14" s="15">
        <f>SUM(J11:K14)/4</f>
        <v>165.940125</v>
      </c>
      <c r="U14" s="25"/>
      <c r="V14" s="15">
        <f>-(L14+M14)+V13</f>
        <v>346.090175</v>
      </c>
      <c r="W14" s="17"/>
      <c r="X14" s="15">
        <f>F14-G14</f>
        <v>-3422.4145</v>
      </c>
      <c r="Y14" s="24"/>
      <c r="Z14" s="15">
        <v>530</v>
      </c>
      <c r="AA14" s="24"/>
      <c r="AB14" s="15">
        <v>14.195</v>
      </c>
    </row>
    <row r="15" ht="20.05" customHeight="1">
      <c r="B15" s="13"/>
      <c r="C15" s="14">
        <v>948.1405999999999</v>
      </c>
      <c r="D15" s="15">
        <v>90.9271</v>
      </c>
      <c r="E15" s="15">
        <v>-155.4784</v>
      </c>
      <c r="F15" s="15">
        <v>61.0808</v>
      </c>
      <c r="G15" s="15">
        <v>3549.6274</v>
      </c>
      <c r="H15" s="15">
        <v>6262.1702</v>
      </c>
      <c r="I15" s="15">
        <v>1052.2556</v>
      </c>
      <c r="J15" s="15">
        <v>-33.3168</v>
      </c>
      <c r="K15" s="15">
        <v>108.2796</v>
      </c>
      <c r="L15" s="15">
        <v>-117.997</v>
      </c>
      <c r="M15" s="15">
        <v>0</v>
      </c>
      <c r="N15" s="15">
        <f>SUM(C12:C15)/4</f>
        <v>1123.932025</v>
      </c>
      <c r="O15" s="15"/>
      <c r="P15" s="16">
        <f>C15/C14-1</f>
        <v>-0.236640185175867</v>
      </c>
      <c r="Q15" s="16">
        <f>(E15+D15)/C15</f>
        <v>-0.0680819912152269</v>
      </c>
      <c r="R15" s="16">
        <f>AVERAGE(Q12:Q15)</f>
        <v>-0.044758593041902</v>
      </c>
      <c r="S15" s="17"/>
      <c r="T15" s="15">
        <f>SUM(J12:K15)/4</f>
        <v>123.206325</v>
      </c>
      <c r="U15" s="25"/>
      <c r="V15" s="15">
        <f>-(L15+M15)+V14</f>
        <v>464.087175</v>
      </c>
      <c r="W15" s="17"/>
      <c r="X15" s="15">
        <f>F15-G15</f>
        <v>-3488.5466</v>
      </c>
      <c r="Y15" s="24"/>
      <c r="Z15" s="15">
        <v>458</v>
      </c>
      <c r="AA15" s="24"/>
      <c r="AB15" s="15">
        <v>13.882</v>
      </c>
    </row>
    <row r="16" ht="20.05" customHeight="1">
      <c r="B16" s="21">
        <v>2020</v>
      </c>
      <c r="C16" s="14">
        <v>975.338</v>
      </c>
      <c r="D16" s="15">
        <v>114.9855</v>
      </c>
      <c r="E16" s="15">
        <v>22.5078</v>
      </c>
      <c r="F16" s="15">
        <v>128.849</v>
      </c>
      <c r="G16" s="15">
        <v>3775.765</v>
      </c>
      <c r="H16" s="15">
        <v>6980.68</v>
      </c>
      <c r="I16" s="15">
        <v>1146.593</v>
      </c>
      <c r="J16" s="15">
        <v>26.9115</v>
      </c>
      <c r="K16" s="15">
        <v>-6.524</v>
      </c>
      <c r="L16" s="15">
        <v>-150.8675</v>
      </c>
      <c r="M16" s="15">
        <v>-24.465</v>
      </c>
      <c r="N16" s="15">
        <f>SUM(C13:C16)/4</f>
        <v>1056.266525</v>
      </c>
      <c r="O16" s="23"/>
      <c r="P16" s="16">
        <f>C16/C15-1</f>
        <v>0.0286849861718821</v>
      </c>
      <c r="Q16" s="16">
        <f>(E16+D16)/C16</f>
        <v>0.140969899665552</v>
      </c>
      <c r="R16" s="16">
        <f>AVERAGE(Q13:Q16)</f>
        <v>-0.0168018324112283</v>
      </c>
      <c r="S16" s="17"/>
      <c r="T16" s="15">
        <f>SUM(J13:K16)/4</f>
        <v>-62.8688</v>
      </c>
      <c r="U16" s="25"/>
      <c r="V16" s="15">
        <f>-(L16+M16)+V15</f>
        <v>639.419675</v>
      </c>
      <c r="W16" s="17"/>
      <c r="X16" s="15">
        <f>F16-G16</f>
        <v>-3646.916</v>
      </c>
      <c r="Y16" s="24"/>
      <c r="Z16" s="15">
        <v>392</v>
      </c>
      <c r="AA16" s="15"/>
      <c r="AB16" s="15">
        <v>16.31</v>
      </c>
    </row>
    <row r="17" ht="20.05" customHeight="1">
      <c r="B17" s="13"/>
      <c r="C17" s="14">
        <v>689.942</v>
      </c>
      <c r="D17" s="15">
        <v>100.49775</v>
      </c>
      <c r="E17" s="15">
        <v>-34.212</v>
      </c>
      <c r="F17" s="15">
        <v>132.5715</v>
      </c>
      <c r="G17" s="15">
        <v>3274.3735</v>
      </c>
      <c r="H17" s="15">
        <v>6025.5885</v>
      </c>
      <c r="I17" s="15">
        <v>811.1095</v>
      </c>
      <c r="J17" s="15">
        <v>318.59925</v>
      </c>
      <c r="K17" s="15">
        <v>-38.4885</v>
      </c>
      <c r="L17" s="15">
        <v>-131.85875</v>
      </c>
      <c r="M17" s="15">
        <v>-21.3825</v>
      </c>
      <c r="N17" s="15">
        <f>SUM(C14:C17)/4</f>
        <v>963.870775</v>
      </c>
      <c r="O17" s="15"/>
      <c r="P17" s="16">
        <f>C17/C16-1</f>
        <v>-0.292612407186022</v>
      </c>
      <c r="Q17" s="16">
        <f>(E17+D17)/C17</f>
        <v>0.0960743801652893</v>
      </c>
      <c r="R17" s="16">
        <f>AVERAGE(Q14:Q17)</f>
        <v>0.0223834292967608</v>
      </c>
      <c r="S17" s="17"/>
      <c r="T17" s="25">
        <f>SUM(J14:K17)/4</f>
        <v>56.6033875</v>
      </c>
      <c r="U17" s="25"/>
      <c r="V17" s="15">
        <f>-(L17+M17)+V16</f>
        <v>792.660925</v>
      </c>
      <c r="W17" s="17"/>
      <c r="X17" s="15">
        <f>F17-G17</f>
        <v>-3141.802</v>
      </c>
      <c r="Y17" s="24"/>
      <c r="Z17" s="15">
        <v>585</v>
      </c>
      <c r="AA17" s="15"/>
      <c r="AB17" s="15">
        <v>14.255</v>
      </c>
    </row>
    <row r="18" ht="20.05" customHeight="1">
      <c r="B18" s="13"/>
      <c r="C18" s="14">
        <v>1301.52</v>
      </c>
      <c r="D18" s="15">
        <v>104.2695</v>
      </c>
      <c r="E18" s="15">
        <v>193.749</v>
      </c>
      <c r="F18" s="15">
        <v>47.328</v>
      </c>
      <c r="G18" s="15">
        <v>3317.397</v>
      </c>
      <c r="H18" s="15">
        <v>6398.154</v>
      </c>
      <c r="I18" s="15">
        <v>976.14</v>
      </c>
      <c r="J18" s="15">
        <v>125.715</v>
      </c>
      <c r="K18" s="15">
        <v>-73.95</v>
      </c>
      <c r="L18" s="15">
        <v>-136.8075</v>
      </c>
      <c r="M18" s="15">
        <v>-22.185</v>
      </c>
      <c r="N18" s="15">
        <f>SUM(C15:C18)/4</f>
        <v>978.73515</v>
      </c>
      <c r="O18" s="15"/>
      <c r="P18" s="16">
        <f>C18/C17-1</f>
        <v>0.886419438155671</v>
      </c>
      <c r="Q18" s="16">
        <f>(E18+D18)/C18</f>
        <v>0.228977272727273</v>
      </c>
      <c r="R18" s="16">
        <f>AVERAGE(Q15:Q18)</f>
        <v>0.0994848903357219</v>
      </c>
      <c r="S18" s="17"/>
      <c r="T18" s="25">
        <f>SUM(J15:K18)/4</f>
        <v>106.8065125</v>
      </c>
      <c r="U18" s="25"/>
      <c r="V18" s="15">
        <f>-(L18+M18)+V17</f>
        <v>951.653425</v>
      </c>
      <c r="W18" s="17"/>
      <c r="X18" s="15">
        <f>F18-G18</f>
        <v>-3270.069</v>
      </c>
      <c r="Y18" s="24"/>
      <c r="Z18" s="15">
        <v>645</v>
      </c>
      <c r="AA18" s="15"/>
      <c r="AB18" s="15">
        <v>14.79</v>
      </c>
    </row>
    <row r="19" ht="20.05" customHeight="1">
      <c r="B19" s="13"/>
      <c r="C19" s="14">
        <v>1316.94</v>
      </c>
      <c r="D19" s="15">
        <v>99.405</v>
      </c>
      <c r="E19" s="15">
        <v>468.12</v>
      </c>
      <c r="F19" s="15">
        <v>23.97</v>
      </c>
      <c r="G19" s="15">
        <v>3100.59</v>
      </c>
      <c r="H19" s="15">
        <v>6305.52</v>
      </c>
      <c r="I19" s="15">
        <v>1095.57</v>
      </c>
      <c r="J19" s="15">
        <v>345.45</v>
      </c>
      <c r="K19" s="15">
        <v>-143.82</v>
      </c>
      <c r="L19" s="15">
        <v>-130.425</v>
      </c>
      <c r="M19" s="15">
        <v>-21.15</v>
      </c>
      <c r="N19" s="15">
        <f>SUM(C16:C19)/4</f>
        <v>1070.935</v>
      </c>
      <c r="O19" s="15"/>
      <c r="P19" s="16">
        <f>C19/C18-1</f>
        <v>0.0118476857827771</v>
      </c>
      <c r="Q19" s="16">
        <f>(E19+D19)/C19</f>
        <v>0.430942184154176</v>
      </c>
      <c r="R19" s="16">
        <f>AVERAGE(Q16:Q19)</f>
        <v>0.224240934178073</v>
      </c>
      <c r="S19" s="17"/>
      <c r="T19" s="25">
        <f>SUM(J16:K19)/4</f>
        <v>138.4733125</v>
      </c>
      <c r="U19" s="25"/>
      <c r="V19" s="15">
        <f>-(L19+M19)+V18</f>
        <v>1103.228425</v>
      </c>
      <c r="W19" s="17"/>
      <c r="X19" s="15">
        <f>F19-G19</f>
        <v>-3076.62</v>
      </c>
      <c r="Y19" s="24"/>
      <c r="Z19" s="15">
        <v>1025</v>
      </c>
      <c r="AA19" s="17"/>
      <c r="AB19" s="15">
        <v>14.1</v>
      </c>
    </row>
    <row r="20" ht="20.05" customHeight="1">
      <c r="B20" s="21">
        <v>2021</v>
      </c>
      <c r="C20" s="14">
        <v>1608.1206</v>
      </c>
      <c r="D20" s="15">
        <v>113.1965</v>
      </c>
      <c r="E20" s="15">
        <v>360.7682</v>
      </c>
      <c r="F20" s="15">
        <v>32.1332</v>
      </c>
      <c r="G20" s="15">
        <v>3239.6108</v>
      </c>
      <c r="H20" s="15">
        <v>6920.3228</v>
      </c>
      <c r="I20" s="15">
        <v>1273.6432</v>
      </c>
      <c r="J20" s="15">
        <v>107.86531</v>
      </c>
      <c r="K20" s="15">
        <v>-16.0666</v>
      </c>
      <c r="L20" s="15">
        <v>-87.19781999999999</v>
      </c>
      <c r="M20" s="15">
        <v>0</v>
      </c>
      <c r="N20" s="15">
        <f>SUM(C17:C20)/4</f>
        <v>1229.13065</v>
      </c>
      <c r="O20" s="15"/>
      <c r="P20" s="16">
        <f>C20/C19-1</f>
        <v>0.221103922729965</v>
      </c>
      <c r="Q20" s="16">
        <f>(E20+D20)/C20</f>
        <v>0.294732061762035</v>
      </c>
      <c r="R20" s="16">
        <f>AVERAGE(Q17:Q20)</f>
        <v>0.262681474702193</v>
      </c>
      <c r="S20" s="17"/>
      <c r="T20" s="25">
        <f>SUM(J17:K20)/4</f>
        <v>156.326115</v>
      </c>
      <c r="U20" s="25"/>
      <c r="V20" s="15">
        <f>-(L20+M20)+V19</f>
        <v>1190.426245</v>
      </c>
      <c r="W20" s="17"/>
      <c r="X20" s="15">
        <f>F20-G20</f>
        <v>-3207.4776</v>
      </c>
      <c r="Y20" s="15"/>
      <c r="Z20" s="15">
        <v>1360</v>
      </c>
      <c r="AA20" s="15"/>
      <c r="AB20" s="15">
        <v>14.606</v>
      </c>
    </row>
    <row r="21" ht="20.05" customHeight="1">
      <c r="B21" s="13"/>
      <c r="C21" s="14">
        <v>1286.05</v>
      </c>
      <c r="D21" s="15">
        <v>111.9875</v>
      </c>
      <c r="E21" s="15">
        <v>567.885</v>
      </c>
      <c r="F21" s="15">
        <v>39.882</v>
      </c>
      <c r="G21" s="15">
        <v>3051.84</v>
      </c>
      <c r="H21" s="15">
        <v>6917.215</v>
      </c>
      <c r="I21" s="15">
        <v>1447.4565</v>
      </c>
      <c r="J21" s="15">
        <v>97.26295</v>
      </c>
      <c r="K21" s="15">
        <v>-8.67</v>
      </c>
      <c r="L21" s="15">
        <v>-83.49209999999999</v>
      </c>
      <c r="M21" s="15">
        <v>0</v>
      </c>
      <c r="N21" s="15">
        <f>SUM(C18:C21)/4</f>
        <v>1378.15765</v>
      </c>
      <c r="O21" s="15"/>
      <c r="P21" s="16">
        <f>C21/C20-1</f>
        <v>-0.200277640868477</v>
      </c>
      <c r="Q21" s="16">
        <f>(E21+D21)/C21</f>
        <v>0.528651685393258</v>
      </c>
      <c r="R21" s="16">
        <f>AVERAGE(Q18:Q21)</f>
        <v>0.370825801009186</v>
      </c>
      <c r="S21" s="17"/>
      <c r="T21" s="25">
        <f>SUM(J18:K21)/4</f>
        <v>108.446665</v>
      </c>
      <c r="U21" s="25"/>
      <c r="V21" s="15">
        <f>-(L21+M21)+V20</f>
        <v>1273.918345</v>
      </c>
      <c r="W21" s="17"/>
      <c r="X21" s="15">
        <f>F21-G21</f>
        <v>-3011.958</v>
      </c>
      <c r="Y21" s="15"/>
      <c r="Z21" s="15">
        <v>1600</v>
      </c>
      <c r="AA21" s="15"/>
      <c r="AB21" s="15">
        <v>14.45</v>
      </c>
    </row>
    <row r="22" ht="20.05" customHeight="1">
      <c r="B22" s="13"/>
      <c r="C22" s="14">
        <v>1313.8776</v>
      </c>
      <c r="D22" s="15">
        <v>111.042</v>
      </c>
      <c r="E22" s="15">
        <v>-247.8744</v>
      </c>
      <c r="F22" s="15">
        <v>28.656</v>
      </c>
      <c r="G22" s="15">
        <v>3037.536</v>
      </c>
      <c r="H22" s="15">
        <v>6992.064</v>
      </c>
      <c r="I22" s="15">
        <v>1090.79064</v>
      </c>
      <c r="J22" s="15">
        <v>186.264</v>
      </c>
      <c r="K22" s="15">
        <v>-58.7448</v>
      </c>
      <c r="L22" s="15">
        <v>-137.69208</v>
      </c>
      <c r="M22" s="15">
        <v>0</v>
      </c>
      <c r="N22" s="15">
        <f>SUM(C19:C22)/4</f>
        <v>1381.24705</v>
      </c>
      <c r="O22" s="15"/>
      <c r="P22" s="16">
        <f>C22/C21-1</f>
        <v>0.0216380389564947</v>
      </c>
      <c r="Q22" s="16">
        <f>(E22+D22)/C22</f>
        <v>-0.104143947655398</v>
      </c>
      <c r="R22" s="16">
        <f>AVERAGE(Q19:Q22)</f>
        <v>0.287545495913518</v>
      </c>
      <c r="S22" s="17"/>
      <c r="T22" s="25">
        <f>SUM(J19:K22)/4</f>
        <v>127.385215</v>
      </c>
      <c r="U22" s="25"/>
      <c r="V22" s="15">
        <f>-(L22+M22)+V21</f>
        <v>1411.610425</v>
      </c>
      <c r="W22" s="17"/>
      <c r="X22" s="15">
        <f>F22-G22</f>
        <v>-3008.88</v>
      </c>
      <c r="Y22" s="15"/>
      <c r="Z22" s="15">
        <v>6475</v>
      </c>
      <c r="AA22" s="15"/>
      <c r="AB22" s="15">
        <v>14.328</v>
      </c>
    </row>
    <row r="23" ht="20.05" customHeight="1">
      <c r="B23" s="13"/>
      <c r="C23" s="14">
        <v>2461.01</v>
      </c>
      <c r="D23" s="15">
        <v>110.63125</v>
      </c>
      <c r="E23" s="15">
        <v>332.6075</v>
      </c>
      <c r="F23" s="15">
        <v>107.0625</v>
      </c>
      <c r="G23" s="15">
        <v>3685.805</v>
      </c>
      <c r="H23" s="15">
        <v>7657.11</v>
      </c>
      <c r="I23" s="15">
        <v>2333.9625</v>
      </c>
      <c r="J23" s="15">
        <v>472.2741</v>
      </c>
      <c r="K23" s="15">
        <v>-422.54</v>
      </c>
      <c r="L23" s="15">
        <v>5.11045</v>
      </c>
      <c r="M23" s="15">
        <v>0</v>
      </c>
      <c r="N23" s="15">
        <f>SUM(C20:C23)/4</f>
        <v>1667.26455</v>
      </c>
      <c r="O23" s="15">
        <v>1362.477375</v>
      </c>
      <c r="P23" s="16">
        <f>C23/C22-1</f>
        <v>0.873089243625129</v>
      </c>
      <c r="Q23" s="16">
        <f>(E23+D23)/C23</f>
        <v>0.180104408352668</v>
      </c>
      <c r="R23" s="16">
        <f>AVERAGE(Q20:Q23)</f>
        <v>0.224836051963141</v>
      </c>
      <c r="S23" s="17"/>
      <c r="T23" s="25">
        <f>SUM(J20:K23)/4</f>
        <v>89.41124000000001</v>
      </c>
      <c r="U23" s="25"/>
      <c r="V23" s="15">
        <f>-(L23+M23)+V22</f>
        <v>1406.499975</v>
      </c>
      <c r="W23" s="17"/>
      <c r="X23" s="15">
        <f>F23-G23</f>
        <v>-3578.7425</v>
      </c>
      <c r="Y23" s="15"/>
      <c r="Z23" s="15">
        <v>5875</v>
      </c>
      <c r="AA23" s="15"/>
      <c r="AB23" s="15">
        <v>14.275</v>
      </c>
    </row>
    <row r="24" ht="20.05" customHeight="1">
      <c r="B24" s="21">
        <v>2022</v>
      </c>
      <c r="C24" s="14">
        <v>2153.3481</v>
      </c>
      <c r="D24" s="15">
        <v>101.7217</v>
      </c>
      <c r="E24" s="15">
        <v>416.9157</v>
      </c>
      <c r="F24" s="15">
        <v>105.675952</v>
      </c>
      <c r="G24" s="15">
        <v>3839.636</v>
      </c>
      <c r="H24" s="15">
        <v>8236.320087</v>
      </c>
      <c r="I24" s="15">
        <v>1709.2111</v>
      </c>
      <c r="J24" s="15">
        <v>161.794811</v>
      </c>
      <c r="K24" s="15">
        <v>-88.8274</v>
      </c>
      <c r="L24" s="15">
        <v>20.158089</v>
      </c>
      <c r="M24" s="15">
        <v>0</v>
      </c>
      <c r="N24" s="15">
        <f>SUM(C21:C24)/4</f>
        <v>1803.571425</v>
      </c>
      <c r="O24" s="15">
        <v>1817.284436666660</v>
      </c>
      <c r="P24" s="16">
        <f>C24/C23-1</f>
        <v>-0.125014485922446</v>
      </c>
      <c r="Q24" s="16">
        <f>(E24+D24)/C24</f>
        <v>0.240851630073187</v>
      </c>
      <c r="R24" s="16">
        <f>AVERAGE(Q21:Q24)</f>
        <v>0.211365944040929</v>
      </c>
      <c r="S24" s="35"/>
      <c r="T24" s="25">
        <f>SUM(J21:K24)/4</f>
        <v>84.70341525000001</v>
      </c>
      <c r="U24" s="15">
        <v>445.547642825229</v>
      </c>
      <c r="V24" s="15">
        <f>-(L24+M24)+V23</f>
        <v>1386.341886</v>
      </c>
      <c r="W24" s="15"/>
      <c r="X24" s="15">
        <f>F24-G24</f>
        <v>-3733.960048</v>
      </c>
      <c r="Y24" s="15">
        <v>-2195.3546755227</v>
      </c>
      <c r="Z24" s="15">
        <v>4100</v>
      </c>
      <c r="AA24" s="15"/>
      <c r="AB24" s="15">
        <v>14.327</v>
      </c>
    </row>
    <row r="25" ht="20.05" customHeight="1">
      <c r="B25" s="13"/>
      <c r="C25" s="14">
        <v>1827.67686</v>
      </c>
      <c r="D25" s="15">
        <v>105.21482</v>
      </c>
      <c r="E25" s="15">
        <v>378.8877</v>
      </c>
      <c r="F25" s="15">
        <v>55.15092</v>
      </c>
      <c r="G25" s="15">
        <v>3267.74332</v>
      </c>
      <c r="H25" s="15">
        <v>8140.63936</v>
      </c>
      <c r="I25" s="15">
        <v>2273.56076</v>
      </c>
      <c r="J25" s="15">
        <v>342.70682</v>
      </c>
      <c r="K25" s="15">
        <v>-59.0065</v>
      </c>
      <c r="L25" s="15">
        <v>-433.30562</v>
      </c>
      <c r="M25" s="15">
        <v>0</v>
      </c>
      <c r="N25" s="15">
        <f>SUM(C22:C25)/4</f>
        <v>1938.97814</v>
      </c>
      <c r="O25" s="15">
        <v>2011.59389</v>
      </c>
      <c r="P25" s="16">
        <f>C25/C24-1</f>
        <v>-0.1512394767943</v>
      </c>
      <c r="Q25" s="16">
        <f>(E25+D25)/C25</f>
        <v>0.264873146120589</v>
      </c>
      <c r="R25" s="16">
        <f>AVERAGE(Q22:Q25)</f>
        <v>0.145421309222762</v>
      </c>
      <c r="S25" s="35"/>
      <c r="T25" s="25">
        <f>SUM(J22:K25)/4</f>
        <v>133.48025775</v>
      </c>
      <c r="U25" s="15">
        <v>290.643966749667</v>
      </c>
      <c r="V25" s="15">
        <f>-(L25+M25)+V24</f>
        <v>1819.647506</v>
      </c>
      <c r="W25" s="15"/>
      <c r="X25" s="15">
        <f>F25-G25</f>
        <v>-3212.5924</v>
      </c>
      <c r="Y25" s="15">
        <v>-2879.950148948090</v>
      </c>
      <c r="Z25" s="15">
        <v>3400</v>
      </c>
      <c r="AA25" s="15">
        <v>4741.160817541120</v>
      </c>
      <c r="AB25" s="15">
        <v>14.66</v>
      </c>
    </row>
    <row r="26" ht="20.05" customHeight="1">
      <c r="B26" s="13"/>
      <c r="C26" s="14">
        <v>1636.916445</v>
      </c>
      <c r="D26" s="15">
        <v>122.860215</v>
      </c>
      <c r="E26" s="15">
        <v>170.477775</v>
      </c>
      <c r="F26" s="15">
        <v>31.41</v>
      </c>
      <c r="G26" s="15">
        <v>2842.605</v>
      </c>
      <c r="H26" s="15">
        <v>8229.42</v>
      </c>
      <c r="I26" s="15">
        <v>1972.76787</v>
      </c>
      <c r="J26" s="15">
        <v>383.971545</v>
      </c>
      <c r="K26" s="15">
        <v>-81.273375</v>
      </c>
      <c r="L26" s="15">
        <v>-322.73775</v>
      </c>
      <c r="M26" s="15">
        <v>0</v>
      </c>
      <c r="N26" s="15">
        <f>SUM(C23:C26)/4</f>
        <v>2019.73785125</v>
      </c>
      <c r="O26" s="15">
        <v>2325.8082997125</v>
      </c>
      <c r="P26" s="16">
        <f>C26/C25-1</f>
        <v>-0.104373163098426</v>
      </c>
      <c r="Q26" s="16">
        <f>(E26+D26)/C26</f>
        <v>0.179201565783035</v>
      </c>
      <c r="R26" s="16">
        <f>AVERAGE(Q23:Q26)</f>
        <v>0.21625768758237</v>
      </c>
      <c r="S26" s="35">
        <f>S27</f>
        <v>0.21625768758237</v>
      </c>
      <c r="T26" s="25">
        <f>SUM(J23:K26)/4</f>
        <v>177.27500025</v>
      </c>
      <c r="U26" s="15">
        <v>496.004290304319</v>
      </c>
      <c r="V26" s="15">
        <f>-(L26+M26)+V25</f>
        <v>2142.385256</v>
      </c>
      <c r="W26" s="15">
        <f>W27</f>
        <v>3187.921013017830</v>
      </c>
      <c r="X26" s="15">
        <f>F26-G26</f>
        <v>-2811.195</v>
      </c>
      <c r="Y26" s="15">
        <v>-1884.752941410870</v>
      </c>
      <c r="Z26" s="15">
        <v>2790</v>
      </c>
      <c r="AA26" s="15">
        <v>2231.939626228780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1706.563114705310</v>
      </c>
      <c r="P27" s="17"/>
      <c r="Q27" s="17"/>
      <c r="R27" s="17"/>
      <c r="S27" s="35">
        <f>AE53</f>
        <v>0.21625768758237</v>
      </c>
      <c r="T27" s="25"/>
      <c r="U27" s="15">
        <f>SUM(AE55:AH55)/4</f>
        <v>287.784017899537</v>
      </c>
      <c r="V27" s="17"/>
      <c r="W27" s="15">
        <f>-SUM(AE76:AH76)+V26</f>
        <v>3187.921013017830</v>
      </c>
      <c r="X27" s="26"/>
      <c r="Y27" s="15">
        <f>AH75</f>
        <v>-2178.309224200930</v>
      </c>
      <c r="Z27" s="15">
        <v>2230</v>
      </c>
      <c r="AA27" s="15">
        <v>4741.160817541120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SUM(N23:N26)</f>
        <v>7429.55196625</v>
      </c>
      <c r="O28" s="15">
        <f>SUM(O23:O26)</f>
        <v>7517.164001379160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2507.115951749340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255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0.123115529452489</v>
      </c>
      <c r="AF49" s="35"/>
      <c r="AG49" s="35"/>
      <c r="AH49" s="35">
        <f>AVERAGE(AE51:AH51)</f>
        <v>0.015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0.873089243625129</v>
      </c>
      <c r="AF50" s="35">
        <f>P24</f>
        <v>-0.125014485922446</v>
      </c>
      <c r="AG50" s="35">
        <f>P25</f>
        <v>-0.1512394767943</v>
      </c>
      <c r="AH50" s="35">
        <f>P26</f>
        <v>-0.104373163098426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0.04</v>
      </c>
      <c r="AF51" s="35">
        <v>-0.01</v>
      </c>
      <c r="AG51" s="35">
        <v>0.01</v>
      </c>
      <c r="AH51" s="35">
        <v>0.02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1636.916445</v>
      </c>
      <c r="AE52" s="23">
        <f>C26*(1+AE51)</f>
        <v>1702.3931028</v>
      </c>
      <c r="AF52" s="23">
        <f>AE52*(1+AF51)</f>
        <v>1685.369171772</v>
      </c>
      <c r="AG52" s="23">
        <f>AF52*(1+AG51)</f>
        <v>1702.222863489720</v>
      </c>
      <c r="AH52" s="23">
        <f>AG52*(1+AH51)</f>
        <v>1736.267320759510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AVERAGE(R26)</f>
        <v>0.21625768758237</v>
      </c>
      <c r="AF53" s="35">
        <f>AE53</f>
        <v>0.21625768758237</v>
      </c>
      <c r="AG53" s="35">
        <f>AF53</f>
        <v>0.21625768758237</v>
      </c>
      <c r="AH53" s="35">
        <f>AG53</f>
        <v>0.21625768758237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-81.273375</v>
      </c>
      <c r="AF54" s="15">
        <f>AE54</f>
        <v>-81.273375</v>
      </c>
      <c r="AG54" s="15">
        <f>AF54</f>
        <v>-81.273375</v>
      </c>
      <c r="AH54" s="15">
        <f>AG54</f>
        <v>-81.273375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286.882220767704</v>
      </c>
      <c r="AF55" s="15">
        <f>(AF52*AF53)+AF54</f>
        <v>283.200664810027</v>
      </c>
      <c r="AG55" s="15">
        <f>(AG52*AG53)+AG54</f>
        <v>286.845405208127</v>
      </c>
      <c r="AH55" s="15">
        <f>(AH52*AH53)+AH54</f>
        <v>294.207780812289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-142.13025</v>
      </c>
      <c r="AF56" s="15">
        <f>-AE71/20</f>
        <v>-135.0237375</v>
      </c>
      <c r="AG56" s="15">
        <f>-AF71/20</f>
        <v>-128.272550625</v>
      </c>
      <c r="AH56" s="15">
        <f>-AG71/20</f>
        <v>-121.858923093750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-0.5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-129.111675383852</v>
      </c>
      <c r="AF58" s="15">
        <f>IF(AF66&gt;0,AF66*$AE$57,0)</f>
        <v>-127.270897405014</v>
      </c>
      <c r="AG58" s="15">
        <f>IF(AG66&gt;0,AG66*$AE$57,0)</f>
        <v>-129.093267604064</v>
      </c>
      <c r="AH58" s="15">
        <f>IF(AH66&gt;0,AH66*$AE$57,0)</f>
        <v>-132.774455406145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15.640295383852</v>
      </c>
      <c r="AF59" s="15">
        <f>AF55+AF56+AF58</f>
        <v>20.906029905013</v>
      </c>
      <c r="AG59" s="15">
        <f>AG55+AG56+AG58</f>
        <v>29.479586979063</v>
      </c>
      <c r="AH59" s="15">
        <f>AH55+AH56+AH58</f>
        <v>39.574402312394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0</v>
      </c>
      <c r="AF60" s="15">
        <f>-MIN(AE72,AF59)</f>
        <v>0</v>
      </c>
      <c r="AG60" s="15">
        <f>-MIN(AF72,AG59)</f>
        <v>0</v>
      </c>
      <c r="AH60" s="15">
        <f>-MIN(AG72,AH59)</f>
        <v>0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31.41</v>
      </c>
      <c r="AF61" s="15">
        <f>AE63</f>
        <v>47.050295383852</v>
      </c>
      <c r="AG61" s="15">
        <f>AF63</f>
        <v>67.956325288865</v>
      </c>
      <c r="AH61" s="15">
        <f>AG63</f>
        <v>97.435912267928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15.640295383852</v>
      </c>
      <c r="AF62" s="15">
        <f>AF55+AF56+AF58+AF60</f>
        <v>20.906029905013</v>
      </c>
      <c r="AG62" s="15">
        <f>AG55+AG56+AG58+AG60</f>
        <v>29.479586979063</v>
      </c>
      <c r="AH62" s="15">
        <f>AH55+AH56+AH58+AH60</f>
        <v>39.574402312394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47.050295383852</v>
      </c>
      <c r="AF63" s="15">
        <f>AF61+AF62</f>
        <v>67.956325288865</v>
      </c>
      <c r="AG63" s="15">
        <f>AG61+AG62</f>
        <v>97.435912267928</v>
      </c>
      <c r="AH63" s="15">
        <f>AH61+AH62</f>
        <v>137.010314580322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-109.932245</v>
      </c>
      <c r="AF65" s="15">
        <f>AE65</f>
        <v>-109.932245</v>
      </c>
      <c r="AG65" s="15">
        <f>AF65</f>
        <v>-109.932245</v>
      </c>
      <c r="AH65" s="15">
        <f>AG65</f>
        <v>-109.932245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258.223350767704</v>
      </c>
      <c r="AF66" s="15">
        <f>(AF52*AF53)+AF65</f>
        <v>254.541794810027</v>
      </c>
      <c r="AG66" s="15">
        <f>(AG52*AG53)+AG65</f>
        <v>258.186535208127</v>
      </c>
      <c r="AH66" s="15">
        <f>(AH52*AH53)+AH65</f>
        <v>265.548910812289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8279.283375000001</v>
      </c>
      <c r="AF68" s="15">
        <f>AE68-AF54</f>
        <v>8360.55675</v>
      </c>
      <c r="AG68" s="15">
        <f>AF68-AG54</f>
        <v>8441.830125</v>
      </c>
      <c r="AH68" s="15">
        <f>AG68-AH54</f>
        <v>8523.103499999999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109.932245</v>
      </c>
      <c r="AF69" s="15">
        <f>AE69-AF65</f>
        <v>219.86449</v>
      </c>
      <c r="AG69" s="15">
        <f>AF69-AG65</f>
        <v>329.796735</v>
      </c>
      <c r="AH69" s="15">
        <f>AG69-AH65</f>
        <v>439.72898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8169.35113</v>
      </c>
      <c r="AF70" s="15">
        <f>AF68-AF69</f>
        <v>8140.69226</v>
      </c>
      <c r="AG70" s="15">
        <f>AG68-AG69</f>
        <v>8112.03339</v>
      </c>
      <c r="AH70" s="15">
        <f>AH68-AH69</f>
        <v>8083.37452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2700.47475</v>
      </c>
      <c r="AF71" s="15">
        <f>AE71+AF56</f>
        <v>2565.4510125</v>
      </c>
      <c r="AG71" s="15">
        <f>AF71+AG56</f>
        <v>2437.178461875</v>
      </c>
      <c r="AH71" s="15">
        <f>AG71+AH56</f>
        <v>2315.319538781250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0</v>
      </c>
      <c r="AF72" s="15">
        <f>AE72+AF60</f>
        <v>0</v>
      </c>
      <c r="AG72" s="15">
        <f>AF72+AG60</f>
        <v>0</v>
      </c>
      <c r="AH72" s="15">
        <f>AG72+AH60</f>
        <v>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5515.926675383850</v>
      </c>
      <c r="AF73" s="15">
        <f>AE73+AF66+AF58</f>
        <v>5643.197572788860</v>
      </c>
      <c r="AG73" s="15">
        <f>AF73+AG66+AG58</f>
        <v>5772.290840392920</v>
      </c>
      <c r="AH73" s="15">
        <f>AG73+AH66+AH58</f>
        <v>5905.065295799060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-2e-12</v>
      </c>
      <c r="AF74" s="15">
        <f>AF71+AF72+AF73-AF63-AF70</f>
        <v>-5e-12</v>
      </c>
      <c r="AG74" s="15">
        <f>AG71+AG72+AG73-AG63-AG70</f>
        <v>-8e-12</v>
      </c>
      <c r="AH74" s="15">
        <f>AH71+AH72+AH73-AH63-AH70</f>
        <v>-1.2e-11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-2653.424454616150</v>
      </c>
      <c r="AF75" s="15">
        <f>AF63-AF71-AF72</f>
        <v>-2497.494687211140</v>
      </c>
      <c r="AG75" s="15">
        <f>AG63-AG71-AG72</f>
        <v>-2339.742549607070</v>
      </c>
      <c r="AH75" s="15">
        <f>AH63-AH71-AH72</f>
        <v>-2178.309224200930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-271.241925383852</v>
      </c>
      <c r="AF76" s="15">
        <f>AF56+AF58+AF60</f>
        <v>-262.294634905014</v>
      </c>
      <c r="AG76" s="15">
        <f>AG56+AG58+AG60</f>
        <v>-257.365818229064</v>
      </c>
      <c r="AH76" s="15">
        <f>AH56+AH58+AH60</f>
        <v>-254.633378499895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665</v>
      </c>
      <c r="AD78" s="14"/>
      <c r="AE78" s="15"/>
      <c r="AF78" s="15"/>
      <c r="AG78" s="15"/>
      <c r="AH78" s="15">
        <v>2230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665</v>
      </c>
      <c r="AD79" s="14"/>
      <c r="AE79" s="15"/>
      <c r="AF79" s="15"/>
      <c r="AG79" s="15"/>
      <c r="AH79" s="15">
        <v>20477979392000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20477.979392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9.182950399999999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2.49112174236128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0.0253076871442471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1151.136071598150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7.02208428650633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17.7893646956697</v>
      </c>
      <c r="AH86" s="15">
        <v>20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23022.721431963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2507.115951749340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0.124267242936924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0.245866772521276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0.0117923712664172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665</v>
      </c>
      <c r="AF94" t="s" s="44">
        <v>60</v>
      </c>
      <c r="AG94" s="15">
        <f>AH78</f>
        <v>2230</v>
      </c>
      <c r="AH94" t="s" s="44">
        <v>61</v>
      </c>
      <c r="AI94" s="15">
        <f>AH88</f>
        <v>2507.115951749340</v>
      </c>
      <c r="AJ94" t="s" s="44">
        <f>IF(AK94&gt;0,"+","")</f>
        <v>361</v>
      </c>
      <c r="AK94" s="16">
        <f>AI94/AG94-1</f>
        <v>0.124267242936924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0.245866772521276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  <v>361</v>
      </c>
      <c r="AH98" s="16">
        <f>(AG117+AG118+AI117+AI118+AK117+AK118+AM117+AM118)/AF134</f>
        <v>0.0346274399161188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0.0356858856536152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-0.137278925141327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-0.104373163098426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0.0216380389564947</v>
      </c>
      <c r="AF103" s="16">
        <f>P23</f>
        <v>0.873089243625129</v>
      </c>
      <c r="AG103" s="16">
        <f>P24</f>
        <v>-0.125014485922446</v>
      </c>
      <c r="AH103" s="16">
        <f>P25</f>
        <v>-0.1512394767943</v>
      </c>
      <c r="AI103" s="16">
        <f>P26</f>
        <v>-0.104373163098426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1313.8776</v>
      </c>
      <c r="AF104" t="s" s="44">
        <v>72</v>
      </c>
      <c r="AG104" s="15">
        <f>C23</f>
        <v>2461.01</v>
      </c>
      <c r="AH104" t="s" s="44">
        <v>72</v>
      </c>
      <c r="AI104" s="15">
        <f>C24</f>
        <v>2153.3481</v>
      </c>
      <c r="AJ104" t="s" s="44">
        <v>72</v>
      </c>
      <c r="AK104" s="15">
        <f>C25</f>
        <v>1827.67686</v>
      </c>
      <c r="AL104" t="s" s="44">
        <v>72</v>
      </c>
      <c r="AM104" s="15">
        <f>C26</f>
        <v>1636.916445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-0.104373163098426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1636.916445</v>
      </c>
      <c r="AM105" t="s" s="44">
        <v>372</v>
      </c>
      <c r="AN105" t="s" s="44">
        <v>373</v>
      </c>
      <c r="AO105" s="16">
        <f>AH91</f>
        <v>0.0117923712664172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0.123115529452489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0.015</v>
      </c>
      <c r="AG107" t="s" s="44">
        <v>82</v>
      </c>
      <c r="AH107" t="s" s="44">
        <v>83</v>
      </c>
      <c r="AI107" s="23">
        <f>AH52</f>
        <v>1736.267320759510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-0.104143947655398</v>
      </c>
      <c r="AF110" s="16">
        <f>(D23+E23)/C23</f>
        <v>0.180104408352668</v>
      </c>
      <c r="AG110" s="16">
        <f>((E24+D24)/C24)</f>
        <v>0.240851630073187</v>
      </c>
      <c r="AH110" s="16">
        <f>(D25+E25)/C25</f>
        <v>0.264873146120589</v>
      </c>
      <c r="AI110" s="16">
        <f>(D26+E26)/C26</f>
        <v>0.179201565783035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-247.8744</v>
      </c>
      <c r="AF111" t="s" s="44">
        <v>72</v>
      </c>
      <c r="AG111" s="15">
        <f>E23</f>
        <v>332.6075</v>
      </c>
      <c r="AH111" t="s" s="44">
        <v>72</v>
      </c>
      <c r="AI111" s="15">
        <f>E24</f>
        <v>416.9157</v>
      </c>
      <c r="AJ111" t="s" s="44">
        <v>72</v>
      </c>
      <c r="AK111" s="15">
        <f>E25</f>
        <v>378.8877</v>
      </c>
      <c r="AL111" t="s" s="44">
        <v>72</v>
      </c>
      <c r="AM111" s="15">
        <f>E26</f>
        <v>170.477775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0.264873146120589</v>
      </c>
      <c r="AG112" t="s" s="44">
        <v>76</v>
      </c>
      <c r="AH112" s="16">
        <f>AI110</f>
        <v>0.179201565783035</v>
      </c>
      <c r="AI112" t="s" s="44">
        <v>90</v>
      </c>
      <c r="AJ112" s="15">
        <f>AK111</f>
        <v>378.8877</v>
      </c>
      <c r="AK112" t="s" s="44">
        <v>76</v>
      </c>
      <c r="AL112" s="15">
        <f>AM111</f>
        <v>170.477775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0.21625768758237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0.21625768758237</v>
      </c>
      <c r="AG114" t="s" s="44">
        <v>94</v>
      </c>
      <c r="AH114" s="15">
        <f>AH66</f>
        <v>265.548910812289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186.264</v>
      </c>
      <c r="AF117" t="s" s="44">
        <v>72</v>
      </c>
      <c r="AG117" s="15">
        <f>J23</f>
        <v>472.2741</v>
      </c>
      <c r="AH117" t="s" s="44">
        <v>72</v>
      </c>
      <c r="AI117" s="15">
        <f>J24</f>
        <v>161.794811</v>
      </c>
      <c r="AJ117" t="s" s="44">
        <v>72</v>
      </c>
      <c r="AK117" s="15">
        <f>J25</f>
        <v>342.70682</v>
      </c>
      <c r="AL117" t="s" s="44">
        <v>72</v>
      </c>
      <c r="AM117" s="15">
        <f>J26</f>
        <v>383.971545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-58.7448</v>
      </c>
      <c r="AF118" t="s" s="44">
        <v>72</v>
      </c>
      <c r="AG118" s="15">
        <f>K23</f>
        <v>-422.54</v>
      </c>
      <c r="AH118" t="s" s="44">
        <v>72</v>
      </c>
      <c r="AI118" s="15">
        <f>K24</f>
        <v>-88.8274</v>
      </c>
      <c r="AJ118" t="s" s="44">
        <v>72</v>
      </c>
      <c r="AK118" s="15">
        <f>K25</f>
        <v>-59.0065</v>
      </c>
      <c r="AL118" t="s" s="44">
        <v>72</v>
      </c>
      <c r="AM118" s="15">
        <f>K26</f>
        <v>-81.273375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283.70032</v>
      </c>
      <c r="AG119" t="s" s="44">
        <v>76</v>
      </c>
      <c r="AH119" s="15">
        <f>AM117+AM118</f>
        <v>302.69817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-81.273375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177.27500025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-81.273375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287.784017899537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28.656</v>
      </c>
      <c r="AF124" t="s" s="44">
        <v>72</v>
      </c>
      <c r="AG124" s="15">
        <f>F23</f>
        <v>107.0625</v>
      </c>
      <c r="AH124" t="s" s="44">
        <v>72</v>
      </c>
      <c r="AI124" s="15">
        <f>F24</f>
        <v>105.675952</v>
      </c>
      <c r="AJ124" t="s" s="44">
        <v>72</v>
      </c>
      <c r="AK124" s="15">
        <f>F25</f>
        <v>55.15092</v>
      </c>
      <c r="AL124" t="s" s="44">
        <v>72</v>
      </c>
      <c r="AM124" s="15">
        <f>F26</f>
        <v>31.41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3037.536</v>
      </c>
      <c r="AF125" t="s" s="44">
        <v>72</v>
      </c>
      <c r="AG125" s="15">
        <f>G23</f>
        <v>3685.805</v>
      </c>
      <c r="AH125" t="s" s="44">
        <v>72</v>
      </c>
      <c r="AI125" s="15">
        <f>G24</f>
        <v>3839.636</v>
      </c>
      <c r="AJ125" t="s" s="44">
        <v>72</v>
      </c>
      <c r="AK125" s="15">
        <f>G25</f>
        <v>3267.74332</v>
      </c>
      <c r="AL125" t="s" s="44">
        <v>72</v>
      </c>
      <c r="AM125" s="15">
        <f>G26</f>
        <v>2842.605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55.15092</v>
      </c>
      <c r="AH126" t="s" s="44">
        <v>76</v>
      </c>
      <c r="AI126" s="15">
        <f>AM124</f>
        <v>31.41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370</v>
      </c>
      <c r="AG127" s="15">
        <f>AK125</f>
        <v>3267.74332</v>
      </c>
      <c r="AH127" t="s" s="44">
        <v>76</v>
      </c>
      <c r="AI127" s="15">
        <f>AM125</f>
        <v>2842.605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-3212.5924</v>
      </c>
      <c r="AO127" t="s" s="44">
        <v>76</v>
      </c>
      <c r="AP127" s="15">
        <f>AI126-AI127</f>
        <v>-2811.195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-518.250295799075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-527.285461218750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-2178.309224200930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137.69208</v>
      </c>
      <c r="AF131" t="s" s="44">
        <v>72</v>
      </c>
      <c r="AG131" s="15">
        <f>-L23</f>
        <v>-5.11045</v>
      </c>
      <c r="AH131" t="s" s="44">
        <v>72</v>
      </c>
      <c r="AI131" s="15">
        <f>-L24</f>
        <v>-20.158089</v>
      </c>
      <c r="AJ131" t="s" s="44">
        <v>72</v>
      </c>
      <c r="AK131" s="15">
        <f>-L25</f>
        <v>433.30562</v>
      </c>
      <c r="AL131" t="s" s="44">
        <v>72</v>
      </c>
      <c r="AM131" s="15">
        <f>-L26</f>
        <v>322.73775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0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665</v>
      </c>
      <c r="AF133" t="s" s="44">
        <f>IF(AG133&gt;0,"paid","(raised)")</f>
        <v>374</v>
      </c>
      <c r="AG133" s="15">
        <f>SUM(AM131:AM132)</f>
        <v>322.73775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322.73775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1045.535757017830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20477.979392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2.49112174236128</v>
      </c>
      <c r="AK134" t="s" s="44">
        <v>130</v>
      </c>
      <c r="AL134" t="s" s="44">
        <v>131</v>
      </c>
      <c r="AM134" t="s" s="44">
        <v>132</v>
      </c>
      <c r="AN134" s="15">
        <f>AH85</f>
        <v>7.02208428650633</v>
      </c>
      <c r="AO134" t="s" s="44">
        <v>133</v>
      </c>
      <c r="AP134" s="16">
        <f>-AF128/AF134</f>
        <v>0.0253076871442471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1151.136071598150</v>
      </c>
      <c r="AG135" t="s" s="44">
        <f>AG134</f>
        <v>372</v>
      </c>
      <c r="AH135" t="s" s="44">
        <v>136</v>
      </c>
      <c r="AI135" s="15">
        <f>AF134/AF135</f>
        <v>17.7893646956697</v>
      </c>
      <c r="AJ135" t="s" s="44">
        <v>130</v>
      </c>
      <c r="AK135" t="s" s="44">
        <v>137</v>
      </c>
      <c r="AL135" t="s" s="44">
        <v>138</v>
      </c>
      <c r="AM135" s="15">
        <f>AH86</f>
        <v>20</v>
      </c>
      <c r="AN135" t="s" s="44">
        <v>139</v>
      </c>
      <c r="AO135" t="s" s="44">
        <v>140</v>
      </c>
      <c r="AP135" t="s" s="44">
        <v>141</v>
      </c>
      <c r="AQ135" s="16">
        <f>AK94</f>
        <v>0.124267242936924</v>
      </c>
      <c r="AR135" t="s" s="44">
        <f>IF(AQ135&gt;0,"higher","lower")</f>
        <v>363</v>
      </c>
      <c r="AS135" t="s" s="44">
        <v>142</v>
      </c>
      <c r="AT135" s="15">
        <f>AI94</f>
        <v>2507.115951749340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1313.8776</v>
      </c>
      <c r="AE137" s="15">
        <f>AG104</f>
        <v>2461.01</v>
      </c>
      <c r="AF137" s="15">
        <f>AI104</f>
        <v>2153.3481</v>
      </c>
      <c r="AG137" s="15">
        <f>AK104</f>
        <v>1827.67686</v>
      </c>
      <c r="AH137" s="15">
        <f>AM104</f>
        <v>1636.916445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127.5192</v>
      </c>
      <c r="AE138" s="15">
        <f>SUM(AG117:AG118)</f>
        <v>49.7341</v>
      </c>
      <c r="AF138" s="15">
        <f>SUM(AI117:AI118)</f>
        <v>72.967411</v>
      </c>
      <c r="AG138" s="15">
        <f>SUM(AK117:AK118)</f>
        <v>283.70032</v>
      </c>
      <c r="AH138" s="15">
        <f>SUM(AM117:AM118)</f>
        <v>302.69817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137.69208</v>
      </c>
      <c r="AE139" s="15">
        <f>SUM(AG131:AG132)</f>
        <v>-5.11045</v>
      </c>
      <c r="AF139" s="15">
        <f>SUM(AI131:AI132)</f>
        <v>-20.158089</v>
      </c>
      <c r="AG139" s="15">
        <f>SUM(AK131:AK132)</f>
        <v>433.30562</v>
      </c>
      <c r="AH139" s="15">
        <f>SUM(AM131:AM132)</f>
        <v>322.73775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-3008.88</v>
      </c>
      <c r="AE140" s="15">
        <f>(AG124-AG125)</f>
        <v>-3578.7425</v>
      </c>
      <c r="AF140" s="15">
        <f>(AI124-AI125)</f>
        <v>-3733.960048</v>
      </c>
      <c r="AG140" s="15">
        <f>(AK124-AK125)</f>
        <v>-3212.5924</v>
      </c>
      <c r="AH140" s="15">
        <f>(AM124-AM125)</f>
        <v>-2811.195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2507.115951749340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78" customWidth="1"/>
    <col min="2" max="27" width="10.4844" style="78" customWidth="1"/>
    <col min="28" max="28" width="18.9766" style="81" customWidth="1"/>
    <col min="29" max="47" width="9" style="81" customWidth="1"/>
    <col min="48" max="16384" width="16.3516" style="81" customWidth="1"/>
  </cols>
  <sheetData>
    <row r="1" ht="11.65" customHeight="1"/>
    <row r="2" ht="27.65" customHeight="1">
      <c r="B2" t="s" s="2">
        <v>387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273</v>
      </c>
      <c r="AA3" t="s" s="3">
        <v>19</v>
      </c>
    </row>
    <row r="4" ht="20.25" customHeight="1">
      <c r="B4" s="6">
        <v>2017</v>
      </c>
      <c r="C4" s="7">
        <v>13762.6</v>
      </c>
      <c r="D4" s="8">
        <v>656.9</v>
      </c>
      <c r="E4" s="8">
        <v>46.3</v>
      </c>
      <c r="F4" s="8">
        <v>578</v>
      </c>
      <c r="G4" s="8">
        <v>15038</v>
      </c>
      <c r="H4" s="8">
        <v>20399</v>
      </c>
      <c r="I4" s="8">
        <v>13765</v>
      </c>
      <c r="J4" s="8">
        <v>151.5</v>
      </c>
      <c r="K4" s="8">
        <v>-946.7</v>
      </c>
      <c r="L4" s="8">
        <v>278.61025</v>
      </c>
      <c r="M4" s="8">
        <v>-39.77275</v>
      </c>
      <c r="N4" s="59"/>
      <c r="O4" s="9"/>
      <c r="P4" s="9"/>
      <c r="Q4" s="9"/>
      <c r="R4" s="9"/>
      <c r="S4" s="9"/>
      <c r="T4" s="9"/>
      <c r="U4" s="9"/>
      <c r="V4" s="8">
        <f>-(L4+M4)</f>
        <v>-238.8375</v>
      </c>
      <c r="W4" s="9"/>
      <c r="X4" s="8">
        <f>F4-G4</f>
        <v>-14460</v>
      </c>
      <c r="Y4" s="9"/>
      <c r="Z4" s="79"/>
      <c r="AA4" s="9"/>
    </row>
    <row r="5" ht="20.05" customHeight="1">
      <c r="B5" s="13"/>
      <c r="C5" s="14">
        <v>16756.1</v>
      </c>
      <c r="D5" s="15">
        <v>672.4</v>
      </c>
      <c r="E5" s="15">
        <v>-7.5</v>
      </c>
      <c r="F5" s="15">
        <v>2120</v>
      </c>
      <c r="G5" s="15">
        <v>18503</v>
      </c>
      <c r="H5" s="15">
        <v>23678</v>
      </c>
      <c r="I5" s="15">
        <v>16315</v>
      </c>
      <c r="J5" s="15">
        <v>1112.5</v>
      </c>
      <c r="K5" s="15">
        <v>-1096.9</v>
      </c>
      <c r="L5" s="15">
        <v>278.61025</v>
      </c>
      <c r="M5" s="15">
        <v>-39.77275</v>
      </c>
      <c r="N5" s="26"/>
      <c r="O5" s="17"/>
      <c r="P5" s="17"/>
      <c r="Q5" s="17"/>
      <c r="R5" s="17"/>
      <c r="S5" s="17"/>
      <c r="T5" s="17"/>
      <c r="U5" s="17"/>
      <c r="V5" s="15">
        <f>-(L5+M5)+V4</f>
        <v>-477.675</v>
      </c>
      <c r="W5" s="17"/>
      <c r="X5" s="15">
        <f>F5-G5</f>
        <v>-16383</v>
      </c>
      <c r="Y5" s="17"/>
      <c r="Z5" s="80"/>
      <c r="AA5" s="17"/>
    </row>
    <row r="6" ht="20.05" customHeight="1">
      <c r="B6" s="13"/>
      <c r="C6" s="14">
        <v>15086.5</v>
      </c>
      <c r="D6" s="15">
        <v>698.7</v>
      </c>
      <c r="E6" s="15">
        <v>8.9</v>
      </c>
      <c r="F6" s="15">
        <v>717</v>
      </c>
      <c r="G6" s="15">
        <v>16377</v>
      </c>
      <c r="H6" s="15">
        <v>21561</v>
      </c>
      <c r="I6" s="15">
        <v>15511.7</v>
      </c>
      <c r="J6" s="15">
        <v>-249</v>
      </c>
      <c r="K6" s="15">
        <v>-847.4</v>
      </c>
      <c r="L6" s="15">
        <v>278.61025</v>
      </c>
      <c r="M6" s="15">
        <v>-39.77275</v>
      </c>
      <c r="N6" s="26"/>
      <c r="O6" s="17"/>
      <c r="P6" s="17"/>
      <c r="Q6" s="17"/>
      <c r="R6" s="17"/>
      <c r="S6" s="17"/>
      <c r="T6" s="17"/>
      <c r="U6" s="17"/>
      <c r="V6" s="15">
        <f>-(L6+M6)+V5</f>
        <v>-716.5125</v>
      </c>
      <c r="W6" s="17"/>
      <c r="X6" s="15">
        <f>F6-G6</f>
        <v>-15660</v>
      </c>
      <c r="Y6" s="17"/>
      <c r="Z6" s="80"/>
      <c r="AA6" s="17"/>
    </row>
    <row r="7" ht="20.05" customHeight="1">
      <c r="B7" s="13"/>
      <c r="C7" s="14">
        <v>15859.7</v>
      </c>
      <c r="D7" s="15">
        <v>717.9</v>
      </c>
      <c r="E7" s="15">
        <v>210</v>
      </c>
      <c r="F7" s="15">
        <v>947</v>
      </c>
      <c r="G7" s="15">
        <v>16652</v>
      </c>
      <c r="H7" s="15">
        <v>21902</v>
      </c>
      <c r="I7" s="15">
        <v>15694.8</v>
      </c>
      <c r="J7" s="15">
        <v>1660.6</v>
      </c>
      <c r="K7" s="15">
        <v>-734</v>
      </c>
      <c r="L7" s="15">
        <v>278.61025</v>
      </c>
      <c r="M7" s="15">
        <v>-39.77275</v>
      </c>
      <c r="N7" s="26"/>
      <c r="O7" s="17"/>
      <c r="P7" s="17"/>
      <c r="Q7" s="17"/>
      <c r="R7" s="17"/>
      <c r="S7" s="17"/>
      <c r="T7" s="17"/>
      <c r="U7" s="17"/>
      <c r="V7" s="15">
        <f>-(L7+M7)+V6</f>
        <v>-955.35</v>
      </c>
      <c r="W7" s="17"/>
      <c r="X7" s="15">
        <f>F7-G7</f>
        <v>-15705</v>
      </c>
      <c r="Y7" s="17"/>
      <c r="Z7" s="80"/>
      <c r="AA7" s="17"/>
    </row>
    <row r="8" ht="20.05" customHeight="1">
      <c r="B8" s="21">
        <v>2018</v>
      </c>
      <c r="C8" s="14">
        <v>14675.4</v>
      </c>
      <c r="D8" s="15">
        <v>1075.1</v>
      </c>
      <c r="E8" s="15">
        <v>122.7</v>
      </c>
      <c r="F8" s="15">
        <v>918</v>
      </c>
      <c r="G8" s="15">
        <v>17098</v>
      </c>
      <c r="H8" s="15">
        <v>22471</v>
      </c>
      <c r="I8" s="15">
        <v>14317.5</v>
      </c>
      <c r="J8" s="15">
        <v>561</v>
      </c>
      <c r="K8" s="15">
        <v>-493</v>
      </c>
      <c r="L8" s="15">
        <v>-539.0805</v>
      </c>
      <c r="M8" s="15">
        <v>-60.92275</v>
      </c>
      <c r="N8" s="15">
        <f>SUM(C5:C8)/4</f>
        <v>15594.425</v>
      </c>
      <c r="O8" s="17"/>
      <c r="P8" s="16"/>
      <c r="Q8" s="16">
        <f>((D8+E8)/C8)</f>
        <v>0.081619581067637</v>
      </c>
      <c r="R8" s="16"/>
      <c r="S8" s="17"/>
      <c r="T8" s="15">
        <f>SUM(J5:K8)/4</f>
        <v>-21.55</v>
      </c>
      <c r="U8" s="17"/>
      <c r="V8" s="15">
        <f>-(L8+M8)+V7</f>
        <v>-355.34675</v>
      </c>
      <c r="W8" s="17"/>
      <c r="X8" s="15">
        <f>F8-G8</f>
        <v>-16180</v>
      </c>
      <c r="Y8" s="24"/>
      <c r="Z8" s="15">
        <v>610</v>
      </c>
      <c r="AA8" s="24"/>
    </row>
    <row r="9" ht="20.05" customHeight="1">
      <c r="B9" s="13"/>
      <c r="C9" s="14">
        <v>18138.1</v>
      </c>
      <c r="D9" s="15">
        <v>1088</v>
      </c>
      <c r="E9" s="15">
        <v>101.3</v>
      </c>
      <c r="F9" s="15">
        <v>1303</v>
      </c>
      <c r="G9" s="15">
        <v>17191</v>
      </c>
      <c r="H9" s="15">
        <v>22578</v>
      </c>
      <c r="I9" s="15">
        <v>18544.2</v>
      </c>
      <c r="J9" s="15">
        <v>1906.5</v>
      </c>
      <c r="K9" s="15">
        <v>-411.9</v>
      </c>
      <c r="L9" s="15">
        <v>-94.57525</v>
      </c>
      <c r="M9" s="15">
        <v>-28.99575</v>
      </c>
      <c r="N9" s="15">
        <f>SUM(C6:C9)/4</f>
        <v>15939.925</v>
      </c>
      <c r="O9" s="17"/>
      <c r="P9" s="16"/>
      <c r="Q9" s="16">
        <f>((D9+E9)/C9)</f>
        <v>0.0655691610477393</v>
      </c>
      <c r="R9" s="16"/>
      <c r="S9" s="17"/>
      <c r="T9" s="15">
        <f>SUM(J6:K9)/4</f>
        <v>348.2</v>
      </c>
      <c r="U9" s="17"/>
      <c r="V9" s="15">
        <f>-(L9+M9)+V8</f>
        <v>-231.77575</v>
      </c>
      <c r="W9" s="17"/>
      <c r="X9" s="15">
        <f>F9-G9</f>
        <v>-15888</v>
      </c>
      <c r="Y9" s="24"/>
      <c r="Z9" s="15">
        <v>750</v>
      </c>
      <c r="AA9" s="24"/>
    </row>
    <row r="10" ht="20.05" customHeight="1">
      <c r="B10" s="13"/>
      <c r="C10" s="14">
        <v>16791.5</v>
      </c>
      <c r="D10" s="15">
        <v>1084.8</v>
      </c>
      <c r="E10" s="15">
        <v>120.5</v>
      </c>
      <c r="F10" s="15">
        <v>1175</v>
      </c>
      <c r="G10" s="15">
        <v>15838</v>
      </c>
      <c r="H10" s="15">
        <v>21350</v>
      </c>
      <c r="I10" s="15">
        <v>16913</v>
      </c>
      <c r="J10" s="15">
        <v>1073.3</v>
      </c>
      <c r="K10" s="15">
        <v>-420.1</v>
      </c>
      <c r="L10" s="15">
        <v>-315.1665</v>
      </c>
      <c r="M10" s="15">
        <v>-203.5265</v>
      </c>
      <c r="N10" s="15">
        <f>SUM(C7:C10)/4</f>
        <v>16366.175</v>
      </c>
      <c r="O10" s="17"/>
      <c r="P10" s="16"/>
      <c r="Q10" s="16">
        <f>((D10+E10)/C10)</f>
        <v>0.0717803650656582</v>
      </c>
      <c r="R10" s="16"/>
      <c r="S10" s="17"/>
      <c r="T10" s="15">
        <f>SUM(J7:K10)/4</f>
        <v>785.6</v>
      </c>
      <c r="U10" s="17"/>
      <c r="V10" s="15">
        <f>-(L10+M10)+V9</f>
        <v>286.91725</v>
      </c>
      <c r="W10" s="17"/>
      <c r="X10" s="15">
        <f>F10-G10</f>
        <v>-14663</v>
      </c>
      <c r="Y10" s="24"/>
      <c r="Z10" s="15">
        <v>930</v>
      </c>
      <c r="AA10" s="24"/>
    </row>
    <row r="11" ht="20.05" customHeight="1">
      <c r="B11" s="13"/>
      <c r="C11" s="14">
        <v>17212</v>
      </c>
      <c r="D11" s="15">
        <v>1127.2</v>
      </c>
      <c r="E11" s="15">
        <v>323.5</v>
      </c>
      <c r="F11" s="15">
        <v>2070</v>
      </c>
      <c r="G11" s="15">
        <v>16148</v>
      </c>
      <c r="H11" s="15">
        <v>22166</v>
      </c>
      <c r="I11" s="15">
        <v>18771.3</v>
      </c>
      <c r="J11" s="15">
        <v>1888.2</v>
      </c>
      <c r="K11" s="15">
        <v>-561</v>
      </c>
      <c r="L11" s="15">
        <v>-539.0805</v>
      </c>
      <c r="M11" s="15">
        <v>-60.92275</v>
      </c>
      <c r="N11" s="15">
        <f>SUM(C8:C11)/4</f>
        <v>16704.25</v>
      </c>
      <c r="O11" s="17"/>
      <c r="P11" s="16"/>
      <c r="Q11" s="16">
        <f>((D11+E11)/C11)</f>
        <v>0.0842842203114106</v>
      </c>
      <c r="R11" s="16"/>
      <c r="S11" s="17"/>
      <c r="T11" s="15">
        <f>SUM(J8:K11)/4</f>
        <v>885.75</v>
      </c>
      <c r="U11" s="17"/>
      <c r="V11" s="15">
        <f>-(L11+M11)+V10</f>
        <v>886.9204999999999</v>
      </c>
      <c r="W11" s="17"/>
      <c r="X11" s="15">
        <f>F11-G11</f>
        <v>-14078</v>
      </c>
      <c r="Y11" s="24"/>
      <c r="Z11" s="15">
        <v>935</v>
      </c>
      <c r="AA11" s="24"/>
    </row>
    <row r="12" ht="20.05" customHeight="1">
      <c r="B12" s="21">
        <v>2019</v>
      </c>
      <c r="C12" s="14">
        <v>16715.7</v>
      </c>
      <c r="D12" s="15">
        <v>939.65</v>
      </c>
      <c r="E12" s="15">
        <v>204.7</v>
      </c>
      <c r="F12" s="15">
        <v>1530</v>
      </c>
      <c r="G12" s="15">
        <v>16913</v>
      </c>
      <c r="H12" s="15">
        <v>23135</v>
      </c>
      <c r="I12" s="15">
        <v>16312.5</v>
      </c>
      <c r="J12" s="15">
        <v>133.6</v>
      </c>
      <c r="K12" s="15">
        <v>-623.5</v>
      </c>
      <c r="L12" s="15">
        <v>-94.57525</v>
      </c>
      <c r="M12" s="15">
        <v>-28.99575</v>
      </c>
      <c r="N12" s="15">
        <f>SUM(C9:C12)/4</f>
        <v>17214.325</v>
      </c>
      <c r="O12" s="17"/>
      <c r="P12" s="16"/>
      <c r="Q12" s="16">
        <f>((D12+E12)/C12)</f>
        <v>0.068459591880687</v>
      </c>
      <c r="R12" s="16">
        <f>AVERAGE(Q9:Q12)</f>
        <v>0.0725233345763738</v>
      </c>
      <c r="S12" s="17"/>
      <c r="T12" s="15">
        <f>SUM(J9:K12)/4</f>
        <v>746.275</v>
      </c>
      <c r="U12" s="17"/>
      <c r="V12" s="15">
        <f>-(L12+M12)+V11</f>
        <v>1010.4915</v>
      </c>
      <c r="W12" s="17"/>
      <c r="X12" s="15">
        <f>F12-G12</f>
        <v>-15383</v>
      </c>
      <c r="Y12" s="24"/>
      <c r="Z12" s="15">
        <v>900</v>
      </c>
      <c r="AA12" s="24"/>
    </row>
    <row r="13" ht="20.05" customHeight="1">
      <c r="B13" s="13"/>
      <c r="C13" s="14">
        <v>19441.3</v>
      </c>
      <c r="D13" s="15">
        <v>1000.65</v>
      </c>
      <c r="E13" s="15">
        <v>206.3</v>
      </c>
      <c r="F13" s="15">
        <v>1698</v>
      </c>
      <c r="G13" s="15">
        <v>16214</v>
      </c>
      <c r="H13" s="15">
        <v>22525</v>
      </c>
      <c r="I13" s="15">
        <v>19928.4</v>
      </c>
      <c r="J13" s="15">
        <v>914.3</v>
      </c>
      <c r="K13" s="15">
        <v>-596.5</v>
      </c>
      <c r="L13" s="15">
        <v>-94.57525</v>
      </c>
      <c r="M13" s="15">
        <v>-28.99575</v>
      </c>
      <c r="N13" s="15">
        <f>SUM(C10:C13)/4</f>
        <v>17540.125</v>
      </c>
      <c r="O13" s="17"/>
      <c r="P13" s="16"/>
      <c r="Q13" s="16">
        <f>((D13+E13)/C13)</f>
        <v>0.0620817537921847</v>
      </c>
      <c r="R13" s="16">
        <f>AVERAGE(Q10:Q13)</f>
        <v>0.07165148276248511</v>
      </c>
      <c r="S13" s="17"/>
      <c r="T13" s="15">
        <f>SUM(J10:K13)/4</f>
        <v>452.075</v>
      </c>
      <c r="U13" s="17"/>
      <c r="V13" s="15">
        <f>-(L13+M13)+V12</f>
        <v>1134.0625</v>
      </c>
      <c r="W13" s="17"/>
      <c r="X13" s="15">
        <f>F13-G13</f>
        <v>-14516</v>
      </c>
      <c r="Y13" s="24"/>
      <c r="Z13" s="15">
        <v>915</v>
      </c>
      <c r="AA13" s="24"/>
    </row>
    <row r="14" ht="20.05" customHeight="1">
      <c r="B14" s="13"/>
      <c r="C14" s="14">
        <v>17953.9</v>
      </c>
      <c r="D14" s="15">
        <v>964.55</v>
      </c>
      <c r="E14" s="15">
        <v>256.7</v>
      </c>
      <c r="F14" s="15">
        <v>3411</v>
      </c>
      <c r="G14" s="15">
        <v>16682</v>
      </c>
      <c r="H14" s="15">
        <v>23255</v>
      </c>
      <c r="I14" s="15">
        <v>18363.6</v>
      </c>
      <c r="J14" s="15">
        <v>2400.7</v>
      </c>
      <c r="K14" s="15">
        <v>-687.7</v>
      </c>
      <c r="L14" s="15">
        <v>-94.57525</v>
      </c>
      <c r="M14" s="15">
        <v>-28.99575</v>
      </c>
      <c r="N14" s="15">
        <f>SUM(C11:C14)/4</f>
        <v>17830.725</v>
      </c>
      <c r="O14" s="17"/>
      <c r="P14" s="16"/>
      <c r="Q14" s="16">
        <f>((D14+E14)/C14)</f>
        <v>0.0680214326692251</v>
      </c>
      <c r="R14" s="16">
        <f>AVERAGE(Q11:Q14)</f>
        <v>0.0707117496633769</v>
      </c>
      <c r="S14" s="17"/>
      <c r="T14" s="15">
        <f>SUM(J11:K14)/4</f>
        <v>717.025</v>
      </c>
      <c r="U14" s="17"/>
      <c r="V14" s="15">
        <f>-(L14+M14)+V13</f>
        <v>1257.6335</v>
      </c>
      <c r="W14" s="17"/>
      <c r="X14" s="15">
        <f>F14-G14</f>
        <v>-13271</v>
      </c>
      <c r="Y14" s="24"/>
      <c r="Z14" s="15">
        <v>995</v>
      </c>
      <c r="AA14" s="24"/>
    </row>
    <row r="15" ht="20.05" customHeight="1">
      <c r="B15" s="13"/>
      <c r="C15" s="14">
        <v>18834.1</v>
      </c>
      <c r="D15" s="15">
        <v>915.15</v>
      </c>
      <c r="E15" s="15">
        <v>471.3</v>
      </c>
      <c r="F15" s="15">
        <v>3898</v>
      </c>
      <c r="G15" s="15">
        <v>17108</v>
      </c>
      <c r="H15" s="15">
        <v>23992</v>
      </c>
      <c r="I15" s="15">
        <v>18887.5</v>
      </c>
      <c r="J15" s="15">
        <v>1565.4</v>
      </c>
      <c r="K15" s="15">
        <v>-781.3</v>
      </c>
      <c r="L15" s="15">
        <v>-94.57525</v>
      </c>
      <c r="M15" s="15">
        <v>-28.99575</v>
      </c>
      <c r="N15" s="15">
        <f>SUM(C12:C15)/4</f>
        <v>18236.25</v>
      </c>
      <c r="O15" s="17"/>
      <c r="P15" s="16"/>
      <c r="Q15" s="16">
        <f>((D15+E15)/C15)</f>
        <v>0.07361381749061539</v>
      </c>
      <c r="R15" s="16">
        <f>AVERAGE(Q12:Q15)</f>
        <v>0.06804414895817811</v>
      </c>
      <c r="S15" s="17"/>
      <c r="T15" s="15">
        <f>SUM(J12:K15)/4</f>
        <v>581.25</v>
      </c>
      <c r="U15" s="17"/>
      <c r="V15" s="15">
        <f>-(L15+M15)+V14</f>
        <v>1381.2045</v>
      </c>
      <c r="W15" s="17"/>
      <c r="X15" s="15">
        <f>F15-G15</f>
        <v>-13210</v>
      </c>
      <c r="Y15" s="24"/>
      <c r="Z15" s="15">
        <v>880</v>
      </c>
      <c r="AA15" s="24"/>
    </row>
    <row r="16" ht="20.05" customHeight="1">
      <c r="B16" s="21">
        <v>2020</v>
      </c>
      <c r="C16" s="14">
        <v>19335</v>
      </c>
      <c r="D16" s="15">
        <v>1340.25</v>
      </c>
      <c r="E16" s="15">
        <v>356</v>
      </c>
      <c r="F16" s="15">
        <v>7083</v>
      </c>
      <c r="G16" s="15">
        <v>22886</v>
      </c>
      <c r="H16" s="15">
        <v>30179</v>
      </c>
      <c r="I16" s="15">
        <v>18845</v>
      </c>
      <c r="J16" s="15">
        <v>1526.35</v>
      </c>
      <c r="K16" s="15">
        <v>-1059.2</v>
      </c>
      <c r="L16" s="15">
        <v>-315.1665</v>
      </c>
      <c r="M16" s="15">
        <v>-203.5265</v>
      </c>
      <c r="N16" s="15">
        <f>SUM(C13:C16)/4</f>
        <v>18891.075</v>
      </c>
      <c r="O16" s="15"/>
      <c r="P16" s="16"/>
      <c r="Q16" s="16">
        <f>((D16+E16)/C16)</f>
        <v>0.0877295060770623</v>
      </c>
      <c r="R16" s="16">
        <f>AVERAGE(Q13:Q16)</f>
        <v>0.0728616275072719</v>
      </c>
      <c r="S16" s="17"/>
      <c r="T16" s="15">
        <f>SUM(J13:K16)/4</f>
        <v>820.5125</v>
      </c>
      <c r="U16" s="17"/>
      <c r="V16" s="15">
        <f>-(L16+M16)+V15</f>
        <v>1899.8975</v>
      </c>
      <c r="W16" s="17"/>
      <c r="X16" s="15">
        <f>F16-G16</f>
        <v>-15803</v>
      </c>
      <c r="Y16" s="24"/>
      <c r="Z16" s="15">
        <v>800</v>
      </c>
      <c r="AA16" s="24"/>
    </row>
    <row r="17" ht="20.05" customHeight="1">
      <c r="B17" s="13"/>
      <c r="C17" s="14">
        <v>18750</v>
      </c>
      <c r="D17" s="15">
        <v>1361.25</v>
      </c>
      <c r="E17" s="15">
        <v>152</v>
      </c>
      <c r="F17" s="15">
        <v>1106</v>
      </c>
      <c r="G17" s="15">
        <v>16545</v>
      </c>
      <c r="H17" s="15">
        <v>23379</v>
      </c>
      <c r="I17" s="15">
        <v>19170</v>
      </c>
      <c r="J17" s="15">
        <v>-1757.35</v>
      </c>
      <c r="K17" s="15">
        <v>-997.8</v>
      </c>
      <c r="L17" s="15">
        <v>-315.1665</v>
      </c>
      <c r="M17" s="15">
        <v>-203.5265</v>
      </c>
      <c r="N17" s="15">
        <f>SUM(C14:C17)/4</f>
        <v>18718.25</v>
      </c>
      <c r="O17" s="15"/>
      <c r="P17" s="16"/>
      <c r="Q17" s="16">
        <f>((D17+E17)/C17)</f>
        <v>0.0807066666666667</v>
      </c>
      <c r="R17" s="16">
        <f>AVERAGE(Q14:Q17)</f>
        <v>0.0775178557258924</v>
      </c>
      <c r="S17" s="17"/>
      <c r="T17" s="15">
        <f>SUM(J14:K17)/4</f>
        <v>52.275</v>
      </c>
      <c r="U17" s="17"/>
      <c r="V17" s="15">
        <f>-(L17+M17)+V16</f>
        <v>2418.5905</v>
      </c>
      <c r="W17" s="17"/>
      <c r="X17" s="15">
        <f>F17-G17</f>
        <v>-15439</v>
      </c>
      <c r="Y17" s="24"/>
      <c r="Z17" s="15">
        <v>795</v>
      </c>
      <c r="AA17" s="24"/>
    </row>
    <row r="18" ht="20.05" customHeight="1">
      <c r="B18" s="13"/>
      <c r="C18" s="14">
        <v>18284</v>
      </c>
      <c r="D18" s="15">
        <v>1375.25</v>
      </c>
      <c r="E18" s="15">
        <v>151</v>
      </c>
      <c r="F18" s="15">
        <v>2970</v>
      </c>
      <c r="G18" s="15">
        <v>18351</v>
      </c>
      <c r="H18" s="15">
        <v>25348</v>
      </c>
      <c r="I18" s="15">
        <v>18145</v>
      </c>
      <c r="J18" s="15">
        <v>3727.5</v>
      </c>
      <c r="K18" s="15">
        <v>-935</v>
      </c>
      <c r="L18" s="15">
        <v>-315.1665</v>
      </c>
      <c r="M18" s="15">
        <v>-203.5265</v>
      </c>
      <c r="N18" s="15">
        <f>SUM(C15:C18)/4</f>
        <v>18800.775</v>
      </c>
      <c r="O18" s="15"/>
      <c r="P18" s="16"/>
      <c r="Q18" s="16">
        <f>((D18+E18)/C18)</f>
        <v>0.0834746226208707</v>
      </c>
      <c r="R18" s="16">
        <f>AVERAGE(Q15:Q18)</f>
        <v>0.08138115321380381</v>
      </c>
      <c r="S18" s="17"/>
      <c r="T18" s="15">
        <f>SUM(J15:K18)/4</f>
        <v>322.15</v>
      </c>
      <c r="U18" s="17"/>
      <c r="V18" s="15">
        <f>-(L18+M18)+V17</f>
        <v>2937.2835</v>
      </c>
      <c r="W18" s="17"/>
      <c r="X18" s="15">
        <f>F18-G18</f>
        <v>-15381</v>
      </c>
      <c r="Y18" s="24"/>
      <c r="Z18" s="15">
        <v>659.5069580000001</v>
      </c>
      <c r="AA18" s="24"/>
    </row>
    <row r="19" ht="20.05" customHeight="1">
      <c r="B19" s="13"/>
      <c r="C19" s="14">
        <v>19458</v>
      </c>
      <c r="D19" s="15">
        <v>1407.25</v>
      </c>
      <c r="E19" s="15">
        <v>430</v>
      </c>
      <c r="F19" s="15">
        <v>3878</v>
      </c>
      <c r="G19" s="15">
        <v>18334</v>
      </c>
      <c r="H19" s="15">
        <v>25971</v>
      </c>
      <c r="I19" s="15">
        <v>19225</v>
      </c>
      <c r="J19" s="15">
        <v>2390.5</v>
      </c>
      <c r="K19" s="15">
        <v>-839</v>
      </c>
      <c r="L19" s="15">
        <v>-315.1665</v>
      </c>
      <c r="M19" s="15">
        <v>-203.5265</v>
      </c>
      <c r="N19" s="15">
        <f>SUM(C16:C19)/4</f>
        <v>18956.75</v>
      </c>
      <c r="O19" s="15"/>
      <c r="P19" s="16"/>
      <c r="Q19" s="16">
        <f>((D19+E19)/C19)</f>
        <v>0.0944213177099394</v>
      </c>
      <c r="R19" s="16">
        <f>AVERAGE(Q16:Q19)</f>
        <v>0.0865830282686348</v>
      </c>
      <c r="S19" s="17"/>
      <c r="T19" s="15">
        <f>SUM(J16:K19)/4</f>
        <v>514</v>
      </c>
      <c r="U19" s="17"/>
      <c r="V19" s="15">
        <f>-(L19+M19)+V18</f>
        <v>3455.9765</v>
      </c>
      <c r="W19" s="17"/>
      <c r="X19" s="15">
        <f>F19-G19</f>
        <v>-14456</v>
      </c>
      <c r="Y19" s="24"/>
      <c r="Z19" s="15">
        <v>800</v>
      </c>
      <c r="AA19" s="24"/>
    </row>
    <row r="20" ht="20.05" customHeight="1">
      <c r="B20" s="21">
        <v>2021</v>
      </c>
      <c r="C20" s="14">
        <v>19239.2</v>
      </c>
      <c r="D20" s="15">
        <v>1118.15</v>
      </c>
      <c r="E20" s="15">
        <v>507</v>
      </c>
      <c r="F20" s="15">
        <v>3859</v>
      </c>
      <c r="G20" s="15">
        <v>20783</v>
      </c>
      <c r="H20" s="15">
        <v>28928</v>
      </c>
      <c r="I20" s="15">
        <v>18750</v>
      </c>
      <c r="J20" s="15">
        <v>800.9</v>
      </c>
      <c r="K20" s="15">
        <v>-826.4</v>
      </c>
      <c r="L20" s="15">
        <v>7.023</v>
      </c>
      <c r="M20" s="15">
        <v>0</v>
      </c>
      <c r="N20" s="15">
        <f>SUM(C17:C20)/4</f>
        <v>18932.8</v>
      </c>
      <c r="O20" s="15"/>
      <c r="P20" s="16"/>
      <c r="Q20" s="16">
        <f>((D20+E20)/C20)</f>
        <v>0.08447076801530209</v>
      </c>
      <c r="R20" s="16">
        <f>AVERAGE(Q17:Q20)</f>
        <v>0.0857683437531947</v>
      </c>
      <c r="S20" s="17"/>
      <c r="T20" s="15">
        <f>SUM(J17:K20)/4</f>
        <v>390.8375</v>
      </c>
      <c r="U20" s="17"/>
      <c r="V20" s="15">
        <f>-(L20+M20)+V19</f>
        <v>3448.9535</v>
      </c>
      <c r="W20" s="17"/>
      <c r="X20" s="15">
        <f>F20-G20</f>
        <v>-16924</v>
      </c>
      <c r="Y20" s="15"/>
      <c r="Z20" s="15">
        <v>890.648071</v>
      </c>
      <c r="AA20" s="17"/>
    </row>
    <row r="21" ht="20.05" customHeight="1">
      <c r="B21" s="13"/>
      <c r="C21" s="14">
        <v>22796.7</v>
      </c>
      <c r="D21" s="15">
        <v>1127.75</v>
      </c>
      <c r="E21" s="15">
        <v>369.2</v>
      </c>
      <c r="F21" s="15">
        <v>2765</v>
      </c>
      <c r="G21" s="15">
        <v>18417</v>
      </c>
      <c r="H21" s="15">
        <v>26543</v>
      </c>
      <c r="I21" s="15">
        <v>23640.4</v>
      </c>
      <c r="J21" s="15">
        <v>1073</v>
      </c>
      <c r="K21" s="15">
        <v>-716.3</v>
      </c>
      <c r="L21" s="15">
        <v>-1056.803</v>
      </c>
      <c r="M21" s="15">
        <v>-394.2</v>
      </c>
      <c r="N21" s="15">
        <f>SUM(C18:C21)/4</f>
        <v>19944.475</v>
      </c>
      <c r="O21" s="15"/>
      <c r="P21" s="16">
        <f>C21/C20-1</f>
        <v>0.184908935922492</v>
      </c>
      <c r="Q21" s="16">
        <f>((D21+E21)/C21)</f>
        <v>0.0656652059289283</v>
      </c>
      <c r="R21" s="16">
        <f>AVERAGE(Q18:Q21)</f>
        <v>0.0820079785687601</v>
      </c>
      <c r="S21" s="17"/>
      <c r="T21" s="15">
        <f>SUM(J18:K21)/4</f>
        <v>1168.8</v>
      </c>
      <c r="U21" s="17"/>
      <c r="V21" s="15">
        <f>-(L21+M21)+V20</f>
        <v>4899.9565</v>
      </c>
      <c r="W21" s="17"/>
      <c r="X21" s="15">
        <f>F21-G21</f>
        <v>-15652</v>
      </c>
      <c r="Y21" s="15"/>
      <c r="Z21" s="15">
        <v>1250</v>
      </c>
      <c r="AA21" s="17"/>
    </row>
    <row r="22" ht="20.05" customHeight="1">
      <c r="B22" s="13"/>
      <c r="C22" s="14">
        <v>21138.2</v>
      </c>
      <c r="D22" s="15">
        <v>1143.45</v>
      </c>
      <c r="E22" s="15">
        <v>262.8</v>
      </c>
      <c r="F22" s="15">
        <v>2522</v>
      </c>
      <c r="G22" s="15">
        <v>18357</v>
      </c>
      <c r="H22" s="15">
        <v>26742</v>
      </c>
      <c r="I22" s="15">
        <v>21038.1</v>
      </c>
      <c r="J22" s="15">
        <v>1821.8</v>
      </c>
      <c r="K22" s="15">
        <v>-916.9</v>
      </c>
      <c r="L22" s="15">
        <v>-1147.347</v>
      </c>
      <c r="M22" s="15">
        <v>0</v>
      </c>
      <c r="N22" s="15">
        <f>SUM(C19:C22)/4</f>
        <v>20658.025</v>
      </c>
      <c r="O22" s="23"/>
      <c r="P22" s="16">
        <f>C22/C21-1</f>
        <v>-0.0727517579298758</v>
      </c>
      <c r="Q22" s="16">
        <f>((D22+E22)/C22)</f>
        <v>0.0665264781296421</v>
      </c>
      <c r="R22" s="16">
        <f>AVERAGE(Q19:Q22)</f>
        <v>0.07777094244595301</v>
      </c>
      <c r="S22" s="17"/>
      <c r="T22" s="15">
        <f>SUM(J19:K22)/4</f>
        <v>696.9</v>
      </c>
      <c r="U22" s="17"/>
      <c r="V22" s="15">
        <f>-(L22+M22)+V21</f>
        <v>6047.3035</v>
      </c>
      <c r="W22" s="17"/>
      <c r="X22" s="15">
        <f>F22-G22</f>
        <v>-15835</v>
      </c>
      <c r="Y22" s="15"/>
      <c r="Z22" s="15">
        <v>1380</v>
      </c>
      <c r="AA22" s="17"/>
    </row>
    <row r="23" ht="20.05" customHeight="1">
      <c r="B23" s="13"/>
      <c r="C23" s="14">
        <v>21730.2</v>
      </c>
      <c r="D23" s="15">
        <v>1198.25</v>
      </c>
      <c r="E23" s="15">
        <v>849.7</v>
      </c>
      <c r="F23" s="15">
        <v>3270</v>
      </c>
      <c r="G23" s="15">
        <v>18504</v>
      </c>
      <c r="H23" s="15">
        <v>27494</v>
      </c>
      <c r="I23" s="15">
        <v>21427</v>
      </c>
      <c r="J23" s="15">
        <v>1956.7</v>
      </c>
      <c r="K23" s="15">
        <v>-1200.1</v>
      </c>
      <c r="L23" s="15">
        <v>-3.7</v>
      </c>
      <c r="M23" s="15">
        <v>0</v>
      </c>
      <c r="N23" s="15">
        <f>SUM(C20:C23)/4</f>
        <v>21226.075</v>
      </c>
      <c r="O23" s="23"/>
      <c r="P23" s="16">
        <f>C23/C22-1</f>
        <v>0.0280061689263987</v>
      </c>
      <c r="Q23" s="16">
        <f>((D23+E23)/C23)</f>
        <v>0.0942444156059309</v>
      </c>
      <c r="R23" s="16">
        <f>AVERAGE(Q20:Q23)</f>
        <v>0.07772671691995089</v>
      </c>
      <c r="S23" s="17"/>
      <c r="T23" s="15">
        <f>SUM(J20:K23)/4</f>
        <v>498.175</v>
      </c>
      <c r="U23" s="17"/>
      <c r="V23" s="15">
        <f>-(L23+M23)+V22</f>
        <v>6051.0035</v>
      </c>
      <c r="W23" s="17"/>
      <c r="X23" s="15">
        <f>F23-G23</f>
        <v>-15234</v>
      </c>
      <c r="Y23" s="15"/>
      <c r="Z23" s="15">
        <v>1215</v>
      </c>
      <c r="AA23" s="17"/>
    </row>
    <row r="24" ht="20.05" customHeight="1">
      <c r="B24" s="21">
        <v>2022</v>
      </c>
      <c r="C24" s="14">
        <v>22908.6</v>
      </c>
      <c r="D24" s="15">
        <v>920.6</v>
      </c>
      <c r="E24" s="15">
        <v>688</v>
      </c>
      <c r="F24" s="15">
        <v>2855</v>
      </c>
      <c r="G24" s="15">
        <v>21975</v>
      </c>
      <c r="H24" s="15">
        <v>31635</v>
      </c>
      <c r="I24" s="15">
        <v>22723.3</v>
      </c>
      <c r="J24" s="15">
        <v>538.2</v>
      </c>
      <c r="K24" s="15">
        <v>-881.8</v>
      </c>
      <c r="L24" s="15">
        <v>-71</v>
      </c>
      <c r="M24" s="15">
        <v>0</v>
      </c>
      <c r="N24" s="15">
        <f>SUM(C21:C24)/4</f>
        <v>22143.425</v>
      </c>
      <c r="O24" s="23">
        <v>857.3982999999999</v>
      </c>
      <c r="P24" s="16">
        <f>C24/C23-1</f>
        <v>0.0542286771405693</v>
      </c>
      <c r="Q24" s="16">
        <f>((D24+E24)/C24)</f>
        <v>0.07021817134176681</v>
      </c>
      <c r="R24" s="16">
        <f>AVERAGE(Q21:Q24)</f>
        <v>0.074163567751567</v>
      </c>
      <c r="S24" s="35"/>
      <c r="T24" s="15">
        <f>SUM(J21:K24)/4</f>
        <v>418.65</v>
      </c>
      <c r="U24" s="15">
        <v>855.305450424</v>
      </c>
      <c r="V24" s="15">
        <f>-(L24+M24)+V23</f>
        <v>6122.0035</v>
      </c>
      <c r="W24" s="15"/>
      <c r="X24" s="15">
        <f>F24-G24</f>
        <v>-19120</v>
      </c>
      <c r="Y24" s="15">
        <v>-12387.3487270208</v>
      </c>
      <c r="Z24" s="15">
        <v>1520</v>
      </c>
      <c r="AA24" s="15">
        <v>1484.006483928740</v>
      </c>
    </row>
    <row r="25" ht="20.05" customHeight="1">
      <c r="B25" s="13"/>
      <c r="C25" s="14">
        <v>24978.1</v>
      </c>
      <c r="D25" s="15">
        <v>1066.7</v>
      </c>
      <c r="E25" s="15">
        <v>591.7</v>
      </c>
      <c r="F25" s="15">
        <v>1199</v>
      </c>
      <c r="G25" s="15">
        <v>19420</v>
      </c>
      <c r="H25" s="15">
        <v>28898</v>
      </c>
      <c r="I25" s="15">
        <v>26556.2</v>
      </c>
      <c r="J25" s="15">
        <v>668.2</v>
      </c>
      <c r="K25" s="15">
        <v>-1621</v>
      </c>
      <c r="L25" s="15">
        <v>85.59999999999999</v>
      </c>
      <c r="M25" s="15">
        <v>-788.5</v>
      </c>
      <c r="N25" s="15">
        <f>SUM(C22:C25)/4</f>
        <v>22688.775</v>
      </c>
      <c r="O25" s="23">
        <v>960.938866666667</v>
      </c>
      <c r="P25" s="16">
        <f>C25/C24-1</f>
        <v>0.0903372532586016</v>
      </c>
      <c r="Q25" s="16">
        <f>((D25+E25)/C25)</f>
        <v>0.0663941612852859</v>
      </c>
      <c r="R25" s="16">
        <f>AVERAGE(Q22:Q25)</f>
        <v>0.0743458065906564</v>
      </c>
      <c r="S25" s="35"/>
      <c r="T25" s="15">
        <f>SUM(J22:K25)/4</f>
        <v>91.27500000000001</v>
      </c>
      <c r="U25" s="15">
        <f>U24</f>
        <v>855.305450424</v>
      </c>
      <c r="V25" s="15">
        <f>-(L25+M25)+V24</f>
        <v>6824.9035</v>
      </c>
      <c r="W25" s="15"/>
      <c r="X25" s="15">
        <f>F25-G25</f>
        <v>-18221</v>
      </c>
      <c r="Y25" s="15">
        <v>-22381.5313660506</v>
      </c>
      <c r="Z25" s="15">
        <v>2040</v>
      </c>
      <c r="AA25" s="15">
        <v>1931.533921160890</v>
      </c>
    </row>
    <row r="26" ht="20.05" customHeight="1">
      <c r="B26" s="13"/>
      <c r="C26" s="14">
        <f>C42-C25-C24</f>
        <v>24252.3</v>
      </c>
      <c r="D26" s="15">
        <f>D42-D25-D24</f>
        <v>1580.7</v>
      </c>
      <c r="E26" s="15">
        <f>E42-E25-E24</f>
        <v>513.3</v>
      </c>
      <c r="F26" s="15">
        <v>2168</v>
      </c>
      <c r="G26" s="15">
        <v>19888</v>
      </c>
      <c r="H26" s="15">
        <v>29870</v>
      </c>
      <c r="I26" s="15">
        <f>I42-I25-I24</f>
        <v>24946.5</v>
      </c>
      <c r="J26" s="15">
        <f>J42-J25-J24</f>
        <v>2288.6</v>
      </c>
      <c r="K26" s="15">
        <f>K42-K25-K24</f>
        <v>-1174.2</v>
      </c>
      <c r="L26" s="15">
        <f>L42-L25-L24</f>
        <v>-142.6</v>
      </c>
      <c r="M26" s="15">
        <f>M42-M25-M24</f>
        <v>-3.5</v>
      </c>
      <c r="N26" s="15">
        <f>AVERAGE(C26)</f>
        <v>24252.3</v>
      </c>
      <c r="O26" s="23">
        <v>1065.68465</v>
      </c>
      <c r="P26" s="16">
        <f>C26/C25-1</f>
        <v>-0.0290574543299931</v>
      </c>
      <c r="Q26" s="16">
        <f>((D26+E26)/C26)</f>
        <v>0.08634232629482561</v>
      </c>
      <c r="R26" s="16">
        <f>AVERAGE(Q23:Q26)</f>
        <v>0.0792997686319523</v>
      </c>
      <c r="S26" s="35">
        <f>S27</f>
        <v>0.0792997686319523</v>
      </c>
      <c r="T26" s="15">
        <f>SUM(J23:K26)/4</f>
        <v>143.65</v>
      </c>
      <c r="U26" s="15">
        <v>610.7822857124</v>
      </c>
      <c r="V26" s="15">
        <f>-(L26+M26)+V25</f>
        <v>6971.0035</v>
      </c>
      <c r="W26" s="15">
        <f>W27</f>
        <v>10205.6670380489</v>
      </c>
      <c r="X26" s="15">
        <f>F26-G26</f>
        <v>-17720</v>
      </c>
      <c r="Y26" s="15">
        <v>-15441.4708571504</v>
      </c>
      <c r="Z26" s="15">
        <v>2390</v>
      </c>
      <c r="AA26" s="15">
        <v>1931.533921160890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26"/>
      <c r="O27" s="23">
        <f>AVERAGE(AD53:AG53)</f>
        <v>25653.700966275</v>
      </c>
      <c r="P27" s="17"/>
      <c r="Q27" s="17"/>
      <c r="R27" s="17"/>
      <c r="S27" s="35">
        <f>AD54</f>
        <v>0.0792997686319523</v>
      </c>
      <c r="T27" s="17"/>
      <c r="U27" s="15">
        <f>SUM(AD56:AG56)/4</f>
        <v>808.665884512229</v>
      </c>
      <c r="V27" s="17"/>
      <c r="W27" s="15">
        <f>-SUM(AD77:AG77)+V26</f>
        <v>10205.6670380489</v>
      </c>
      <c r="X27" s="17"/>
      <c r="Y27" s="15">
        <f>AG76</f>
        <v>-14485.3364619511</v>
      </c>
      <c r="Z27" s="15">
        <v>2760</v>
      </c>
      <c r="AA27" s="15">
        <v>1588.567938152510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SUM(N24:N26)</f>
        <v>69084.5</v>
      </c>
      <c r="O28" s="15">
        <f>SUM(O24:O26)</f>
        <v>2884.021816666670</v>
      </c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>
        <f>AG89</f>
        <v>1869.545156344350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20.05" customHeight="1">
      <c r="B42" s="13"/>
      <c r="C42" s="14">
        <v>72139</v>
      </c>
      <c r="D42" s="15">
        <f>1139+2429</f>
        <v>3568</v>
      </c>
      <c r="E42" s="15">
        <v>1793</v>
      </c>
      <c r="F42" s="15"/>
      <c r="G42" s="15"/>
      <c r="H42" s="15"/>
      <c r="I42" s="15">
        <v>74226</v>
      </c>
      <c r="J42" s="15">
        <v>3495</v>
      </c>
      <c r="K42" s="15">
        <v>-3677</v>
      </c>
      <c r="L42" s="15">
        <v>-128</v>
      </c>
      <c r="M42" s="15">
        <v>-792</v>
      </c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5"/>
      <c r="Z45" s="15"/>
      <c r="AA45" s="15"/>
    </row>
    <row r="47" ht="27.65" customHeight="1">
      <c r="AB47" t="s" s="2">
        <v>273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ht="20.25" customHeight="1">
      <c r="AB48" t="s" s="28">
        <v>366</v>
      </c>
      <c r="AC48" t="s" s="29">
        <v>23</v>
      </c>
      <c r="AD48" t="s" s="29">
        <v>24</v>
      </c>
      <c r="AE48" t="s" s="29">
        <v>25</v>
      </c>
      <c r="AF48" t="s" s="29">
        <v>26</v>
      </c>
      <c r="AG48" t="s" s="29">
        <v>23</v>
      </c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ht="20.25" customHeight="1">
      <c r="AB49" t="s" s="31">
        <v>15</v>
      </c>
      <c r="AC49" s="32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</row>
    <row r="50" ht="20.05" customHeight="1">
      <c r="AB50" t="s" s="33">
        <v>27</v>
      </c>
      <c r="AC50" s="34"/>
      <c r="AD50" s="16">
        <f>AVERAGE(P23:P26)</f>
        <v>0.0358786612488941</v>
      </c>
      <c r="AE50" s="35"/>
      <c r="AF50" s="35"/>
      <c r="AG50" s="35">
        <f>AVERAGE(AD52:AG52)</f>
        <v>0.0175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s="36"/>
      <c r="AC51" s="37"/>
      <c r="AD51" s="35">
        <f>P23</f>
        <v>0.0280061689263987</v>
      </c>
      <c r="AE51" s="35">
        <f>P24</f>
        <v>0.0542286771405693</v>
      </c>
      <c r="AF51" s="35">
        <f>P25</f>
        <v>0.0903372532586016</v>
      </c>
      <c r="AG51" s="35">
        <f>P26</f>
        <v>-0.0290574543299931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13</v>
      </c>
      <c r="AC52" s="37"/>
      <c r="AD52" s="35">
        <v>0.03</v>
      </c>
      <c r="AE52" s="35">
        <v>0</v>
      </c>
      <c r="AF52" s="35">
        <v>0.07000000000000001</v>
      </c>
      <c r="AG52" s="35">
        <v>-0.03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20.05" customHeight="1">
      <c r="AB53" t="s" s="33">
        <v>28</v>
      </c>
      <c r="AC53" s="38">
        <f>C26</f>
        <v>24252.3</v>
      </c>
      <c r="AD53" s="23">
        <f>C26*(1+AD52)</f>
        <v>24979.869</v>
      </c>
      <c r="AE53" s="23">
        <f>AD53*(1+AE52)</f>
        <v>24979.869</v>
      </c>
      <c r="AF53" s="23">
        <f>AE53*(1+AF52)</f>
        <v>26728.45983</v>
      </c>
      <c r="AG53" s="23">
        <f>AF53*(1+AG52)</f>
        <v>25926.6060351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ht="20.05" customHeight="1">
      <c r="AB54" t="s" s="33">
        <v>14</v>
      </c>
      <c r="AC54" s="37"/>
      <c r="AD54" s="35">
        <f>AVERAGE(R26)</f>
        <v>0.0792997686319523</v>
      </c>
      <c r="AE54" s="35">
        <f>AD54</f>
        <v>0.0792997686319523</v>
      </c>
      <c r="AF54" s="35">
        <f>AE54</f>
        <v>0.0792997686319523</v>
      </c>
      <c r="AG54" s="35">
        <f>AF54</f>
        <v>0.0792997686319523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</row>
    <row r="55" ht="20.05" customHeight="1">
      <c r="AB55" t="s" s="33">
        <v>29</v>
      </c>
      <c r="AC55" s="14"/>
      <c r="AD55" s="15">
        <f>AVERAGE(K24:K26)</f>
        <v>-1225.666666666670</v>
      </c>
      <c r="AE55" s="15">
        <f>AD55</f>
        <v>-1225.666666666670</v>
      </c>
      <c r="AF55" s="15">
        <f>AE55</f>
        <v>-1225.666666666670</v>
      </c>
      <c r="AG55" s="15">
        <f>AF55</f>
        <v>-1225.666666666670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30</v>
      </c>
      <c r="AC56" s="14"/>
      <c r="AD56" s="15">
        <f>(AD53*AD54)+AD55</f>
        <v>755.2311654898079</v>
      </c>
      <c r="AE56" s="15">
        <f>(AE53*AE54)+AE55</f>
        <v>755.2311654898079</v>
      </c>
      <c r="AF56" s="15">
        <f>(AF53*AF54)+AF55</f>
        <v>893.894013740761</v>
      </c>
      <c r="AG56" s="15">
        <f>(AG53*AG54)+AG55</f>
        <v>830.307193328538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31</v>
      </c>
      <c r="AC57" s="14"/>
      <c r="AD57" s="15">
        <f>-G26/20</f>
        <v>-994.4</v>
      </c>
      <c r="AE57" s="15">
        <f>-AD72/20</f>
        <v>-944.6799999999999</v>
      </c>
      <c r="AF57" s="15">
        <f>-AE72/20</f>
        <v>-897.446</v>
      </c>
      <c r="AG57" s="15">
        <f>-AF72/20</f>
        <v>-852.5737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32</v>
      </c>
      <c r="AC58" s="39"/>
      <c r="AD58" s="40">
        <v>0</v>
      </c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33</v>
      </c>
      <c r="AC59" s="14"/>
      <c r="AD59" s="15">
        <f>IF(AD67&gt;0,AD67*$AD$58,0)</f>
        <v>0</v>
      </c>
      <c r="AE59" s="15">
        <f>IF(AE67&gt;0,AE67*$AD$58,0)</f>
        <v>0</v>
      </c>
      <c r="AF59" s="15">
        <f>IF(AF67&gt;0,AF67*$AD$58,0)</f>
        <v>0</v>
      </c>
      <c r="AG59" s="15">
        <f>IF(AG67&gt;0,AG67*$AD$58,0)</f>
        <v>0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34</v>
      </c>
      <c r="AC60" s="14"/>
      <c r="AD60" s="15">
        <f>AD56+AD57+AD59</f>
        <v>-239.168834510192</v>
      </c>
      <c r="AE60" s="15">
        <f>AE56+AE57+AE59</f>
        <v>-189.448834510192</v>
      </c>
      <c r="AF60" s="15">
        <f>AF56+AF57+AF59</f>
        <v>-3.551986259239</v>
      </c>
      <c r="AG60" s="15">
        <f>AG56+AG57+AG59</f>
        <v>-22.266506671462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35</v>
      </c>
      <c r="AC61" s="14"/>
      <c r="AD61" s="15">
        <f>-MIN(0,AD60)</f>
        <v>239.168834510192</v>
      </c>
      <c r="AE61" s="15">
        <f>-MIN(AD73,AE60)</f>
        <v>189.448834510192</v>
      </c>
      <c r="AF61" s="15">
        <f>-MIN(AE73,AF60)</f>
        <v>3.551986259239</v>
      </c>
      <c r="AG61" s="15">
        <f>-MIN(AF73,AG60)</f>
        <v>22.266506671462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36</v>
      </c>
      <c r="AC62" s="14"/>
      <c r="AD62" s="15">
        <f>F26</f>
        <v>2168</v>
      </c>
      <c r="AE62" s="15">
        <f>AD64</f>
        <v>2168</v>
      </c>
      <c r="AF62" s="15">
        <f>AE64</f>
        <v>2168</v>
      </c>
      <c r="AG62" s="15">
        <f>AF64</f>
        <v>2168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37</v>
      </c>
      <c r="AC63" s="14"/>
      <c r="AD63" s="15">
        <f>AD56+AD57+AD59+AD61</f>
        <v>0</v>
      </c>
      <c r="AE63" s="15">
        <f>AE56+AE57+AE59+AE61</f>
        <v>0</v>
      </c>
      <c r="AF63" s="15">
        <f>AF56+AF57+AF59+AF61</f>
        <v>0</v>
      </c>
      <c r="AG63" s="15">
        <f>AG56+AG57+AG59+AG61</f>
        <v>0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38</v>
      </c>
      <c r="AC64" s="14"/>
      <c r="AD64" s="15">
        <f>AD62+AD63</f>
        <v>2168</v>
      </c>
      <c r="AE64" s="15">
        <f>AE62+AE63</f>
        <v>2168</v>
      </c>
      <c r="AF64" s="15">
        <f>AF62+AF63</f>
        <v>2168</v>
      </c>
      <c r="AG64" s="15">
        <f>AG62+AG63</f>
        <v>2168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4</v>
      </c>
      <c r="AC65" s="14"/>
      <c r="AD65" s="15"/>
      <c r="AE65" s="15"/>
      <c r="AF65" s="15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ht="20.05" customHeight="1">
      <c r="AB66" t="s" s="33">
        <v>3</v>
      </c>
      <c r="AC66" s="14"/>
      <c r="AD66" s="15">
        <f>-AVERAGE(D24:D26)</f>
        <v>-1189.333333333330</v>
      </c>
      <c r="AE66" s="15">
        <f>AD66</f>
        <v>-1189.333333333330</v>
      </c>
      <c r="AF66" s="15">
        <f>AE66</f>
        <v>-1189.333333333330</v>
      </c>
      <c r="AG66" s="15">
        <f>AF66</f>
        <v>-1189.333333333330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</v>
      </c>
      <c r="AC67" s="14"/>
      <c r="AD67" s="15">
        <f>(AD53*AD54)+AD66</f>
        <v>791.564498823148</v>
      </c>
      <c r="AE67" s="15">
        <f>(AE53*AE54)+AE66</f>
        <v>791.564498823148</v>
      </c>
      <c r="AF67" s="15">
        <f>(AF53*AF54)+AF66</f>
        <v>930.227347074101</v>
      </c>
      <c r="AG67" s="15">
        <f>(AG53*AG54)+AG66</f>
        <v>866.640526661878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41">
        <v>39</v>
      </c>
      <c r="AC68" s="14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40</v>
      </c>
      <c r="AC69" s="14"/>
      <c r="AD69" s="15">
        <f>H26-F26-AD55</f>
        <v>28927.6666666667</v>
      </c>
      <c r="AE69" s="15">
        <f>AD69-AE55</f>
        <v>30153.3333333334</v>
      </c>
      <c r="AF69" s="15">
        <f>AE69-AF55</f>
        <v>31379.0000000001</v>
      </c>
      <c r="AG69" s="15">
        <f>AF69-AG55</f>
        <v>32604.6666666668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41</v>
      </c>
      <c r="AC70" s="14"/>
      <c r="AD70" s="15">
        <f>0-AD66</f>
        <v>1189.333333333330</v>
      </c>
      <c r="AE70" s="15">
        <f>AD70-AE66</f>
        <v>2378.666666666660</v>
      </c>
      <c r="AF70" s="15">
        <f>AE70-AF66</f>
        <v>3567.999999999990</v>
      </c>
      <c r="AG70" s="15">
        <f>AF70-AG66</f>
        <v>4757.333333333320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42</v>
      </c>
      <c r="AC71" s="14"/>
      <c r="AD71" s="15">
        <f>AD69-AD70</f>
        <v>27738.3333333334</v>
      </c>
      <c r="AE71" s="15">
        <f>AE69-AE70</f>
        <v>27774.6666666667</v>
      </c>
      <c r="AF71" s="15">
        <f>AF69-AF70</f>
        <v>27811.0000000001</v>
      </c>
      <c r="AG71" s="15">
        <f>AG69-AG70</f>
        <v>27847.3333333335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6</v>
      </c>
      <c r="AC72" s="14"/>
      <c r="AD72" s="15">
        <f>G26+AD57</f>
        <v>18893.6</v>
      </c>
      <c r="AE72" s="15">
        <f>AD72+AE57</f>
        <v>17948.92</v>
      </c>
      <c r="AF72" s="15">
        <f>AE72+AF57</f>
        <v>17051.474</v>
      </c>
      <c r="AG72" s="15">
        <f>AF72+AG57</f>
        <v>16198.9003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35</v>
      </c>
      <c r="AC73" s="14"/>
      <c r="AD73" s="15">
        <f>AD61</f>
        <v>239.168834510192</v>
      </c>
      <c r="AE73" s="15">
        <f>AD73+AE61</f>
        <v>428.617669020384</v>
      </c>
      <c r="AF73" s="15">
        <f>AE73+AF61</f>
        <v>432.169655279623</v>
      </c>
      <c r="AG73" s="15">
        <f>AF73+AG61</f>
        <v>454.436161951085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11</v>
      </c>
      <c r="AC74" s="14"/>
      <c r="AD74" s="15">
        <f>(H26-G26)+AD67+AD59</f>
        <v>10773.5644988231</v>
      </c>
      <c r="AE74" s="15">
        <f>AD74+AE67+AE59</f>
        <v>11565.1289976462</v>
      </c>
      <c r="AF74" s="15">
        <f>AE74+AF67+AF59</f>
        <v>12495.3563447203</v>
      </c>
      <c r="AG74" s="15">
        <f>AF74+AG67+AG59</f>
        <v>13361.9968713822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43</v>
      </c>
      <c r="AC75" s="14"/>
      <c r="AD75" s="15">
        <f>AD72+AD73+AD74-AD64-AD71</f>
        <v>-1.08e-10</v>
      </c>
      <c r="AE75" s="15">
        <f>AE72+AE73+AE74-AE64-AE71</f>
        <v>-1.16e-10</v>
      </c>
      <c r="AF75" s="15">
        <f>AF72+AF73+AF74-AF64-AF71</f>
        <v>-1.77e-10</v>
      </c>
      <c r="AG75" s="15">
        <f>AG72+AG73+AG74-AG64-AG71</f>
        <v>-2.15e-10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18</v>
      </c>
      <c r="AC76" s="14"/>
      <c r="AD76" s="15">
        <f>AD64-AD72-AD73</f>
        <v>-16964.7688345102</v>
      </c>
      <c r="AE76" s="15">
        <f>AE64-AE72-AE73</f>
        <v>-16209.5376690204</v>
      </c>
      <c r="AF76" s="15">
        <f>AF64-AF72-AF73</f>
        <v>-15315.6436552796</v>
      </c>
      <c r="AG76" s="15">
        <f>AG64-AG72-AG73</f>
        <v>-14485.3364619511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44</v>
      </c>
      <c r="AC77" s="14"/>
      <c r="AD77" s="15">
        <f>AD57+AD59+AD61</f>
        <v>-755.2311654898079</v>
      </c>
      <c r="AE77" s="15">
        <f>AE57+AE59+AE61</f>
        <v>-755.2311654898079</v>
      </c>
      <c r="AF77" s="15">
        <f>AF57+AF59+AF61</f>
        <v>-893.894013740761</v>
      </c>
      <c r="AG77" s="15">
        <f>AG57+AG59+AG61</f>
        <v>-830.307193328538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45</v>
      </c>
      <c r="AC78" s="14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v>273</v>
      </c>
      <c r="AC79" s="14"/>
      <c r="AD79" s="15"/>
      <c r="AE79" s="15"/>
      <c r="AF79" s="15"/>
      <c r="AG79" s="15">
        <v>2760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f>$AB79</f>
        <v>388</v>
      </c>
      <c r="AC80" s="14"/>
      <c r="AD80" s="15"/>
      <c r="AE80" s="15"/>
      <c r="AF80" s="15"/>
      <c r="AG80" s="15">
        <v>114607615672320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46</v>
      </c>
      <c r="AC81" s="14"/>
      <c r="AD81" s="15"/>
      <c r="AE81" s="15"/>
      <c r="AF81" s="15"/>
      <c r="AG81" s="15">
        <f>AG80/1000000000</f>
        <v>114607.61567232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47</v>
      </c>
      <c r="AC82" s="14"/>
      <c r="AD82" s="15"/>
      <c r="AE82" s="15"/>
      <c r="AF82" s="15"/>
      <c r="AG82" s="15">
        <f>AG81/AG79</f>
        <v>41.524498432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48</v>
      </c>
      <c r="AC83" s="14"/>
      <c r="AD83" s="15"/>
      <c r="AE83" s="15"/>
      <c r="AF83" s="15"/>
      <c r="AG83" s="43">
        <f>AG81/(AG64+AG71)</f>
        <v>3.81830227902359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ht="20.05" customHeight="1">
      <c r="AB84" t="s" s="33">
        <v>49</v>
      </c>
      <c r="AC84" s="14"/>
      <c r="AD84" s="15"/>
      <c r="AE84" s="15"/>
      <c r="AF84" s="15"/>
      <c r="AG84" s="16">
        <f>-(AD59+AE59+AF59+AG59)/AG81</f>
        <v>0</v>
      </c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ht="20.05" customHeight="1">
      <c r="AB85" t="s" s="33">
        <v>50</v>
      </c>
      <c r="AC85" s="14"/>
      <c r="AD85" s="15"/>
      <c r="AE85" s="15"/>
      <c r="AF85" s="15"/>
      <c r="AG85" s="15">
        <f>SUM(AD56:AG56)</f>
        <v>3234.663538048920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51</v>
      </c>
      <c r="AC86" s="14"/>
      <c r="AD86" s="15"/>
      <c r="AE86" s="15"/>
      <c r="AF86" s="15"/>
      <c r="AG86" s="15">
        <f>(H26+F26)/AG85</f>
        <v>9.904585012673261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52</v>
      </c>
      <c r="AC87" s="14"/>
      <c r="AD87" s="15"/>
      <c r="AE87" s="15"/>
      <c r="AF87" s="15">
        <f>AG81/AG85</f>
        <v>35.4310778614857</v>
      </c>
      <c r="AG87" s="15">
        <v>24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53</v>
      </c>
      <c r="AC88" s="14"/>
      <c r="AD88" s="15"/>
      <c r="AE88" s="15"/>
      <c r="AF88" s="15"/>
      <c r="AG88" s="15">
        <f>AG85*AG87</f>
        <v>77631.924913174094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54</v>
      </c>
      <c r="AC89" s="14"/>
      <c r="AD89" s="15"/>
      <c r="AE89" s="15"/>
      <c r="AF89" s="15"/>
      <c r="AG89" s="15">
        <f>(AG88/AG82)</f>
        <v>1869.545156344350</v>
      </c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ht="20.05" customHeight="1">
      <c r="AB90" t="s" s="33">
        <v>55</v>
      </c>
      <c r="AC90" s="38"/>
      <c r="AD90" s="23"/>
      <c r="AE90" s="23"/>
      <c r="AF90" s="23"/>
      <c r="AG90" s="16">
        <f>AG89/AG79-1</f>
        <v>-0.322628566541902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56</v>
      </c>
      <c r="AC91" s="38"/>
      <c r="AD91" s="23"/>
      <c r="AE91" s="23"/>
      <c r="AF91" s="23"/>
      <c r="AG91" s="16">
        <f>C26/C22-1</f>
        <v>0.147320963942058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t="s" s="33">
        <v>57</v>
      </c>
      <c r="AC92" s="38"/>
      <c r="AD92" s="23"/>
      <c r="AE92" s="23"/>
      <c r="AF92" s="23"/>
      <c r="AG92" s="16">
        <f>O28/N28-1</f>
        <v>-0.9582537064512781</v>
      </c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38"/>
      <c r="AD94" s="23"/>
      <c r="AE94" s="23"/>
      <c r="AF94" s="23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ht="20.05" customHeight="1">
      <c r="AB95" s="36"/>
      <c r="AC95" s="45"/>
      <c r="AD95" t="s" s="44">
        <f>$AB79</f>
        <v>388</v>
      </c>
      <c r="AE95" t="s" s="44">
        <v>60</v>
      </c>
      <c r="AF95" s="15">
        <f>AG79</f>
        <v>2760</v>
      </c>
      <c r="AG95" t="s" s="44">
        <v>61</v>
      </c>
      <c r="AH95" s="15">
        <f>AG89</f>
        <v>1869.545156344350</v>
      </c>
      <c r="AI95" t="s" s="44">
        <f>IF(AJ95&gt;0,"+","")</f>
      </c>
      <c r="AJ95" s="16">
        <f>AH95/AF95-1</f>
        <v>-0.322628566541902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20.05" customHeight="1">
      <c r="AB96" s="36"/>
      <c r="AC96" s="46"/>
      <c r="AD96" s="47">
        <f>TODAY()</f>
        <v>44942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62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64</v>
      </c>
      <c r="AF98" t="s" s="44">
        <f>IF(AG98&gt;0,"+","")</f>
        <v>361</v>
      </c>
      <c r="AG98" s="16">
        <f>AH105/AD105-1</f>
        <v>0.147320963942058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65</v>
      </c>
      <c r="AF99" t="s" s="44">
        <f>IF(AG99&gt;0,"+","")</f>
        <v>361</v>
      </c>
      <c r="AG99" s="16">
        <f>SUM(AE118:AH119)/AE135</f>
        <v>0.00501362842799963</v>
      </c>
      <c r="AH99" t="s" s="44"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63</v>
      </c>
      <c r="AE100" t="s" s="44">
        <v>17</v>
      </c>
      <c r="AF100" t="s" s="44">
        <f>IF(AG100&gt;0,"+","")</f>
        <v>361</v>
      </c>
      <c r="AG100" s="16">
        <f>SUM(AE132:AH133)/AE135</f>
        <v>0.008059673823430671</v>
      </c>
      <c r="AH100" t="s" s="44">
        <f>AH99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32.05" customHeight="1">
      <c r="AB101" s="36"/>
      <c r="AC101" s="34"/>
      <c r="AD101" t="s" s="44">
        <v>68</v>
      </c>
      <c r="AE101" t="s" s="44">
        <v>369</v>
      </c>
      <c r="AF101" s="16">
        <f>AO128/AE135</f>
        <v>-0.154614507038207</v>
      </c>
      <c r="AG101" t="s" s="44">
        <f>AH100</f>
        <v>66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t="s" s="44">
        <v>28</v>
      </c>
      <c r="AE102" t="s" s="44">
        <f>AE106</f>
        <v>370</v>
      </c>
      <c r="AF102" s="16">
        <f>AF106</f>
        <v>-0.0290574543299931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32.05" customHeight="1">
      <c r="AB103" s="36"/>
      <c r="AC103" s="34"/>
      <c r="AD103" t="s" s="44">
        <v>70</v>
      </c>
      <c r="AE103" t="s" s="44">
        <v>371</v>
      </c>
      <c r="AF103" t="s" s="44">
        <f>AL106</f>
        <v>372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71"/>
      <c r="AD104" s="16">
        <f>P22</f>
        <v>-0.0727517579298758</v>
      </c>
      <c r="AE104" s="16">
        <f>P23</f>
        <v>0.0280061689263987</v>
      </c>
      <c r="AF104" s="16">
        <f>P24</f>
        <v>0.0542286771405693</v>
      </c>
      <c r="AG104" s="16">
        <f>P25</f>
        <v>0.0903372532586016</v>
      </c>
      <c r="AH104" s="16">
        <f>P26</f>
        <v>-0.0290574543299931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20.05" customHeight="1">
      <c r="AB105" s="36"/>
      <c r="AC105" s="34"/>
      <c r="AD105" s="15">
        <f>C22</f>
        <v>21138.2</v>
      </c>
      <c r="AE105" s="15">
        <f>C23</f>
        <v>21730.2</v>
      </c>
      <c r="AF105" s="15">
        <f>C24</f>
        <v>22908.6</v>
      </c>
      <c r="AG105" s="15">
        <f>C25</f>
        <v>24978.1</v>
      </c>
      <c r="AH105" s="15">
        <f>C26</f>
        <v>24252.3</v>
      </c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44.05" customHeight="1">
      <c r="AB106" s="36"/>
      <c r="AC106" s="34"/>
      <c r="AD106" t="s" s="44">
        <v>2</v>
      </c>
      <c r="AE106" t="s" s="44">
        <f>IF(AF106&lt;0,"declined","grew")</f>
        <v>370</v>
      </c>
      <c r="AF106" s="16">
        <f>AH105/AG105-1</f>
        <v>-0.0290574543299931</v>
      </c>
      <c r="AG106" t="s" s="44">
        <v>73</v>
      </c>
      <c r="AH106" t="s" s="44">
        <v>74</v>
      </c>
      <c r="AI106" t="s" s="44">
        <v>75</v>
      </c>
      <c r="AJ106" t="s" s="44">
        <v>76</v>
      </c>
      <c r="AK106" s="15">
        <f>AH105</f>
        <v>24252.3</v>
      </c>
      <c r="AL106" t="s" s="44">
        <v>372</v>
      </c>
      <c r="AM106" t="s" s="44">
        <v>378</v>
      </c>
      <c r="AN106" s="16">
        <v>0.0297063450445726</v>
      </c>
      <c r="AO106" t="s" s="44">
        <v>78</v>
      </c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79</v>
      </c>
      <c r="AE107" s="16">
        <f>AVERAGE(AE104:AH104)</f>
        <v>0.0358786612488941</v>
      </c>
      <c r="AF107" t="s" s="44">
        <v>80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56.05" customHeight="1">
      <c r="AB108" s="36"/>
      <c r="AC108" s="34"/>
      <c r="AD108" t="s" s="44">
        <v>81</v>
      </c>
      <c r="AE108" s="35">
        <f>AG50</f>
        <v>0.0175</v>
      </c>
      <c r="AF108" t="s" s="44">
        <v>82</v>
      </c>
      <c r="AG108" t="s" s="44">
        <v>83</v>
      </c>
      <c r="AH108" s="23">
        <f>AG53</f>
        <v>25926.6060351</v>
      </c>
      <c r="AI108" t="s" s="44">
        <f>AL106</f>
        <v>372</v>
      </c>
      <c r="AJ108" t="s" s="44">
        <v>84</v>
      </c>
      <c r="AK108" t="s" s="44">
        <f>AH106</f>
        <v>74</v>
      </c>
      <c r="AL108" t="s" s="44">
        <f>AI106</f>
        <v>75</v>
      </c>
      <c r="AM108" t="s" s="44">
        <v>85</v>
      </c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t="s" s="44">
        <v>14</v>
      </c>
      <c r="AE109" t="s" s="44">
        <f>IF(AG113&lt;AE113,"down","up")</f>
        <v>108</v>
      </c>
      <c r="AF109" t="s" s="44">
        <v>86</v>
      </c>
      <c r="AG109" t="s" s="44">
        <f>IF(AK113&gt;AI113,"up","down")</f>
        <v>87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44.05" customHeight="1">
      <c r="AB110" s="36"/>
      <c r="AC110" s="34"/>
      <c r="AD110" t="s" s="44">
        <f>AD103</f>
        <v>70</v>
      </c>
      <c r="AE110" t="s" s="44">
        <v>88</v>
      </c>
      <c r="AF110" t="s" s="44">
        <f>AL106</f>
        <v>372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71"/>
      <c r="AD111" s="16">
        <f>(D22+E22)/C22</f>
        <v>0.0665264781296421</v>
      </c>
      <c r="AE111" s="16">
        <f>(D23+E23)/C23</f>
        <v>0.0942444156059309</v>
      </c>
      <c r="AF111" s="16">
        <f>((E24+D24)/C24)</f>
        <v>0.07021817134176681</v>
      </c>
      <c r="AG111" s="16">
        <f>(D25+E25)/C25</f>
        <v>0.0663941612852859</v>
      </c>
      <c r="AH111" s="16">
        <f>(D26+E26)/C26</f>
        <v>0.08634232629482561</v>
      </c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20.05" customHeight="1">
      <c r="AB112" s="36"/>
      <c r="AC112" s="34"/>
      <c r="AD112" s="15">
        <f>E22</f>
        <v>262.8</v>
      </c>
      <c r="AE112" s="15">
        <f>E23</f>
        <v>849.7</v>
      </c>
      <c r="AF112" s="15">
        <f>E24</f>
        <v>688</v>
      </c>
      <c r="AG112" s="15">
        <f>E25</f>
        <v>591.7</v>
      </c>
      <c r="AH112" s="15">
        <f>E26</f>
        <v>513.3</v>
      </c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44.05" customHeight="1">
      <c r="AB113" s="36"/>
      <c r="AC113" s="34"/>
      <c r="AD113" t="s" s="44">
        <v>89</v>
      </c>
      <c r="AE113" s="16">
        <f>AG111</f>
        <v>0.0663941612852859</v>
      </c>
      <c r="AF113" t="s" s="44">
        <v>76</v>
      </c>
      <c r="AG113" s="16">
        <f>AH111</f>
        <v>0.08634232629482561</v>
      </c>
      <c r="AH113" t="s" s="44">
        <v>90</v>
      </c>
      <c r="AI113" s="15">
        <f>AG112</f>
        <v>591.7</v>
      </c>
      <c r="AJ113" t="s" s="44">
        <v>76</v>
      </c>
      <c r="AK113" s="15">
        <f>AH112</f>
        <v>513.3</v>
      </c>
      <c r="AL113" t="s" s="44">
        <f>AI108</f>
        <v>372</v>
      </c>
      <c r="AM113" t="s" s="44">
        <v>73</v>
      </c>
      <c r="AN113" t="s" s="44">
        <f>AK108</f>
        <v>74</v>
      </c>
      <c r="AO113" t="s" s="44">
        <v>91</v>
      </c>
      <c r="AP113" s="17"/>
      <c r="AQ113" s="17"/>
      <c r="AR113" s="17"/>
      <c r="AS113" s="17"/>
      <c r="AT113" s="17"/>
      <c r="AU113" s="17"/>
    </row>
    <row r="114" ht="68.05" customHeight="1">
      <c r="AB114" s="36"/>
      <c r="AC114" s="34"/>
      <c r="AD114" t="s" s="44">
        <v>92</v>
      </c>
      <c r="AE114" s="16">
        <f>AVERAGE(AE111:AH111)</f>
        <v>0.0792997686319523</v>
      </c>
      <c r="AF114" t="s" s="44">
        <v>78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44.05" customHeight="1">
      <c r="AB115" s="36"/>
      <c r="AC115" s="34"/>
      <c r="AD115" t="s" s="44">
        <v>93</v>
      </c>
      <c r="AE115" s="35">
        <f>AD54</f>
        <v>0.0792997686319523</v>
      </c>
      <c r="AF115" t="s" s="44">
        <v>94</v>
      </c>
      <c r="AG115" s="15">
        <f>AG67</f>
        <v>866.640526661878</v>
      </c>
      <c r="AH115" t="s" s="44">
        <f>AL113</f>
        <v>372</v>
      </c>
      <c r="AI115" t="s" s="44">
        <v>95</v>
      </c>
      <c r="AJ115" t="s" s="44">
        <f>AN113</f>
        <v>74</v>
      </c>
      <c r="AK115" t="s" s="44">
        <f>AI106</f>
        <v>75</v>
      </c>
      <c r="AL115" t="s" s="44">
        <f>AM108</f>
        <v>85</v>
      </c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t="s" s="44">
        <v>15</v>
      </c>
      <c r="AE116" t="s" s="44">
        <f>IF(AG120&lt;AE120,"lower","higher")</f>
        <v>363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56.05" customHeight="1">
      <c r="AB117" s="36"/>
      <c r="AC117" s="34"/>
      <c r="AD117" t="s" s="44">
        <f>AD110</f>
        <v>70</v>
      </c>
      <c r="AE117" t="s" s="44">
        <v>96</v>
      </c>
      <c r="AF117" t="s" s="44">
        <f>AL106</f>
        <v>372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J22</f>
        <v>1821.8</v>
      </c>
      <c r="AE118" s="15">
        <f>J23</f>
        <v>1956.7</v>
      </c>
      <c r="AF118" s="15">
        <f>J24</f>
        <v>538.2</v>
      </c>
      <c r="AG118" s="15">
        <f>J25</f>
        <v>668.2</v>
      </c>
      <c r="AH118" s="15">
        <f>J26</f>
        <v>2288.6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20.05" customHeight="1">
      <c r="AB119" s="36"/>
      <c r="AC119" s="34"/>
      <c r="AD119" s="15">
        <f>K22</f>
        <v>-916.9</v>
      </c>
      <c r="AE119" s="15">
        <f>K23</f>
        <v>-1200.1</v>
      </c>
      <c r="AF119" s="15">
        <f>K24</f>
        <v>-881.8</v>
      </c>
      <c r="AG119" s="15">
        <f>K25</f>
        <v>-1621</v>
      </c>
      <c r="AH119" s="15">
        <f>K26</f>
        <v>-1174.2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44.05" customHeight="1">
      <c r="AB120" s="36"/>
      <c r="AC120" s="34"/>
      <c r="AD120" t="s" s="44">
        <v>97</v>
      </c>
      <c r="AE120" s="15">
        <f>AG118+AG119</f>
        <v>-952.8</v>
      </c>
      <c r="AF120" t="s" s="44">
        <v>76</v>
      </c>
      <c r="AG120" s="15">
        <f>AH118+AH119</f>
        <v>1114.4</v>
      </c>
      <c r="AH120" t="s" s="44">
        <f>AH115</f>
        <v>372</v>
      </c>
      <c r="AI120" t="s" s="44">
        <v>84</v>
      </c>
      <c r="AJ120" t="s" s="44">
        <f>AJ115</f>
        <v>74</v>
      </c>
      <c r="AK120" t="s" s="44">
        <v>98</v>
      </c>
      <c r="AL120" s="15">
        <f>AH119</f>
        <v>-1174.2</v>
      </c>
      <c r="AM120" t="s" s="44">
        <f>AL106</f>
        <v>372</v>
      </c>
      <c r="AN120" t="s" s="44">
        <v>99</v>
      </c>
      <c r="AO120" s="17"/>
      <c r="AP120" s="17"/>
      <c r="AQ120" s="17"/>
      <c r="AR120" s="17"/>
      <c r="AS120" s="17"/>
      <c r="AT120" s="17"/>
      <c r="AU120" s="17"/>
    </row>
    <row r="121" ht="56.05" customHeight="1">
      <c r="AB121" s="36"/>
      <c r="AC121" s="34"/>
      <c r="AD121" t="s" s="44">
        <v>100</v>
      </c>
      <c r="AE121" s="15">
        <f>SUM(AE118:AH119)/4</f>
        <v>143.65</v>
      </c>
      <c r="AF121" t="s" s="44">
        <f>AL106</f>
        <v>372</v>
      </c>
      <c r="AG121" t="s" s="44">
        <v>78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44.05" customHeight="1">
      <c r="AB122" s="36"/>
      <c r="AC122" s="34"/>
      <c r="AD122" t="s" s="44">
        <v>101</v>
      </c>
      <c r="AE122" s="15">
        <f>AD55</f>
        <v>-1225.666666666670</v>
      </c>
      <c r="AF122" t="s" s="44">
        <f>AF121</f>
        <v>372</v>
      </c>
      <c r="AG122" t="s" s="44">
        <v>102</v>
      </c>
      <c r="AH122" t="s" s="44">
        <v>103</v>
      </c>
      <c r="AI122" t="s" s="44">
        <f>IF(AH108&gt;AK106,"higher","lower")</f>
        <v>363</v>
      </c>
      <c r="AJ122" t="s" s="44">
        <v>105</v>
      </c>
      <c r="AK122" s="15">
        <f>SUM(AD56:AG56)/4</f>
        <v>808.665884512229</v>
      </c>
      <c r="AL122" t="s" s="44">
        <f>AF122</f>
        <v>372</v>
      </c>
      <c r="AM122" t="s" s="44">
        <v>106</v>
      </c>
      <c r="AN122" t="s" s="44">
        <v>107</v>
      </c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t="s" s="44">
        <v>18</v>
      </c>
      <c r="AE123" t="s" s="44">
        <f>AL128</f>
        <v>108</v>
      </c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32.05" customHeight="1">
      <c r="AB124" s="36"/>
      <c r="AC124" s="34"/>
      <c r="AD124" t="s" s="44">
        <f>AD103</f>
        <v>70</v>
      </c>
      <c r="AE124" t="s" s="44">
        <v>109</v>
      </c>
      <c r="AF124" t="s" s="44">
        <f>AL106</f>
        <v>372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F22</f>
        <v>2522</v>
      </c>
      <c r="AE125" s="15">
        <f>F23</f>
        <v>3270</v>
      </c>
      <c r="AF125" s="15">
        <f>F24</f>
        <v>2855</v>
      </c>
      <c r="AG125" s="15">
        <f>F25</f>
        <v>1199</v>
      </c>
      <c r="AH125" s="15">
        <f>F26</f>
        <v>2168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20.05" customHeight="1">
      <c r="AB126" s="36"/>
      <c r="AC126" s="34"/>
      <c r="AD126" s="15">
        <f>G22</f>
        <v>18357</v>
      </c>
      <c r="AE126" s="15">
        <f>G23</f>
        <v>18504</v>
      </c>
      <c r="AF126" s="15">
        <f>G24</f>
        <v>21975</v>
      </c>
      <c r="AG126" s="15">
        <f>G25</f>
        <v>19420</v>
      </c>
      <c r="AH126" s="15">
        <f>G26</f>
        <v>19888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110</v>
      </c>
      <c r="AE127" t="s" s="44">
        <f>IF(AH127&lt;AF127,"declined","increased")</f>
        <v>111</v>
      </c>
      <c r="AF127" s="15">
        <f>AG125</f>
        <v>1199</v>
      </c>
      <c r="AG127" t="s" s="44">
        <v>76</v>
      </c>
      <c r="AH127" s="15">
        <f>AH125</f>
        <v>2168</v>
      </c>
      <c r="AI127" t="s" s="44">
        <f>AL122</f>
        <v>372</v>
      </c>
      <c r="AJ127" t="s" s="44">
        <v>84</v>
      </c>
      <c r="AK127" t="s" s="44">
        <f>AH106</f>
        <v>74</v>
      </c>
      <c r="AL127" t="s" s="44">
        <f>AO113</f>
        <v>91</v>
      </c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32.05" customHeight="1">
      <c r="AB128" s="36"/>
      <c r="AC128" s="34"/>
      <c r="AD128" t="s" s="44">
        <v>112</v>
      </c>
      <c r="AE128" t="s" s="44">
        <f>IF(AH128&lt;AF128,"declined","increased")</f>
        <v>111</v>
      </c>
      <c r="AF128" s="15">
        <f>AG126</f>
        <v>19420</v>
      </c>
      <c r="AG128" t="s" s="44">
        <v>76</v>
      </c>
      <c r="AH128" s="15">
        <f>AH126</f>
        <v>19888</v>
      </c>
      <c r="AI128" t="s" s="44">
        <f>AI127</f>
        <v>372</v>
      </c>
      <c r="AJ128" t="s" s="44">
        <v>113</v>
      </c>
      <c r="AK128" t="s" s="44">
        <v>114</v>
      </c>
      <c r="AL128" t="s" s="44">
        <f>IF(AO128&lt;AM128,"down","up")</f>
        <v>108</v>
      </c>
      <c r="AM128" s="15">
        <f>AF127-AF128</f>
        <v>-18221</v>
      </c>
      <c r="AN128" t="s" s="44">
        <v>76</v>
      </c>
      <c r="AO128" s="15">
        <f>AH127-AH128</f>
        <v>-17720</v>
      </c>
      <c r="AP128" t="s" s="44">
        <f>AI128</f>
        <v>372</v>
      </c>
      <c r="AQ128" t="s" s="44">
        <v>115</v>
      </c>
      <c r="AR128" s="17"/>
      <c r="AS128" s="17"/>
      <c r="AT128" s="17"/>
      <c r="AU128" s="17"/>
    </row>
    <row r="129" ht="56.05" customHeight="1">
      <c r="AB129" s="36"/>
      <c r="AC129" s="34"/>
      <c r="AD129" t="s" s="44">
        <v>116</v>
      </c>
      <c r="AE129" s="15">
        <f>SUM(AD59:AG59)</f>
        <v>0</v>
      </c>
      <c r="AF129" t="s" s="44">
        <f>AI128</f>
        <v>372</v>
      </c>
      <c r="AG129" t="s" s="44">
        <v>117</v>
      </c>
      <c r="AH129" t="s" s="44">
        <f>IF(AI129&gt;0,"+","")</f>
      </c>
      <c r="AI129" s="15">
        <f>AD57+AE57+AF57+AG57+AD61+AE61+AF61+AG61</f>
        <v>-3234.663538048920</v>
      </c>
      <c r="AJ129" t="s" s="44">
        <f>AP128</f>
        <v>372</v>
      </c>
      <c r="AK129" t="s" s="44">
        <v>118</v>
      </c>
      <c r="AL129" t="s" s="44">
        <v>119</v>
      </c>
      <c r="AM129" s="15">
        <f>AG76</f>
        <v>-14485.3364619511</v>
      </c>
      <c r="AN129" t="s" s="44">
        <f>AI128</f>
        <v>372</v>
      </c>
      <c r="AO129" t="s" s="44">
        <v>120</v>
      </c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t="s" s="44">
        <v>17</v>
      </c>
      <c r="AE130" t="s" s="44">
        <f>AE134</f>
        <v>374</v>
      </c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56.05" customHeight="1">
      <c r="AB131" s="36"/>
      <c r="AC131" s="34"/>
      <c r="AD131" t="s" s="44">
        <f>AD103</f>
        <v>70</v>
      </c>
      <c r="AE131" t="s" s="44">
        <v>379</v>
      </c>
      <c r="AF131" t="s" s="44">
        <f>AL106</f>
        <v>372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-L22</f>
        <v>1147.347</v>
      </c>
      <c r="AE132" s="15">
        <f>-L23</f>
        <v>3.7</v>
      </c>
      <c r="AF132" s="15">
        <f>-L24</f>
        <v>71</v>
      </c>
      <c r="AG132" s="15">
        <f>-L25</f>
        <v>-85.59999999999999</v>
      </c>
      <c r="AH132" s="15">
        <f>-L26</f>
        <v>142.6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20.05" customHeight="1">
      <c r="AB133" s="36"/>
      <c r="AC133" s="34"/>
      <c r="AD133" s="15">
        <f>-M22</f>
        <v>0</v>
      </c>
      <c r="AE133" s="15">
        <f>-M23</f>
        <v>0</v>
      </c>
      <c r="AF133" s="15">
        <f>-M24</f>
        <v>0</v>
      </c>
      <c r="AG133" s="15">
        <f>-M25</f>
        <v>788.5</v>
      </c>
      <c r="AH133" s="15">
        <f>-M26</f>
        <v>3.5</v>
      </c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ht="44.05" customHeight="1">
      <c r="AB134" s="36"/>
      <c r="AC134" s="34"/>
      <c r="AD134" t="s" s="44">
        <f>AD95</f>
        <v>388</v>
      </c>
      <c r="AE134" t="s" s="44">
        <f>IF(AF134&gt;0,"paid","(raised)")</f>
        <v>374</v>
      </c>
      <c r="AF134" s="15">
        <f>SUM(AH132:AH133)</f>
        <v>146.1</v>
      </c>
      <c r="AG134" t="s" s="44">
        <f>AL106</f>
        <v>372</v>
      </c>
      <c r="AH134" t="s" s="44">
        <f>AG106</f>
        <v>73</v>
      </c>
      <c r="AI134" t="s" s="44">
        <f>AH106</f>
        <v>74</v>
      </c>
      <c r="AJ134" t="s" s="44">
        <f>AI106</f>
        <v>75</v>
      </c>
      <c r="AK134" s="15">
        <f>AH132</f>
        <v>142.6</v>
      </c>
      <c r="AL134" t="s" s="44">
        <f>AL106</f>
        <v>372</v>
      </c>
      <c r="AM134" t="s" s="44">
        <v>123</v>
      </c>
      <c r="AN134" s="15">
        <f>AH133</f>
        <v>3.5</v>
      </c>
      <c r="AO134" t="s" s="44">
        <f>AL106</f>
        <v>372</v>
      </c>
      <c r="AP134" t="s" s="44">
        <v>389</v>
      </c>
      <c r="AQ134" t="s" s="44">
        <v>390</v>
      </c>
      <c r="AR134" t="s" s="44">
        <f>IF(AS134&gt;0,"pay","raise")</f>
        <v>364</v>
      </c>
      <c r="AS134" s="15">
        <f>-SUM(AD77:AG77)</f>
        <v>3234.663538048920</v>
      </c>
      <c r="AT134" t="s" s="44">
        <f>AL106</f>
        <v>372</v>
      </c>
      <c r="AU134" t="s" s="44">
        <v>126</v>
      </c>
    </row>
    <row r="135" ht="56.05" customHeight="1">
      <c r="AB135" s="36"/>
      <c r="AC135" s="34"/>
      <c r="AD135" t="s" s="44">
        <v>375</v>
      </c>
      <c r="AE135" s="15">
        <f>AG81</f>
        <v>114607.61567232</v>
      </c>
      <c r="AF135" t="s" s="44">
        <f>AL106</f>
        <v>372</v>
      </c>
      <c r="AG135" t="s" s="44">
        <v>128</v>
      </c>
      <c r="AH135" t="s" s="44">
        <v>129</v>
      </c>
      <c r="AI135" s="43">
        <f>AG83</f>
        <v>3.81830227902359</v>
      </c>
      <c r="AJ135" t="s" s="44">
        <v>130</v>
      </c>
      <c r="AK135" t="s" s="44">
        <v>131</v>
      </c>
      <c r="AL135" t="s" s="44">
        <v>132</v>
      </c>
      <c r="AM135" s="15">
        <f>AG86</f>
        <v>9.904585012673261</v>
      </c>
      <c r="AN135" t="s" s="44">
        <v>133</v>
      </c>
      <c r="AO135" s="16">
        <f>-AE129/AE135</f>
        <v>0</v>
      </c>
      <c r="AP135" t="s" s="44">
        <v>134</v>
      </c>
      <c r="AQ135" s="17"/>
      <c r="AR135" s="17"/>
      <c r="AS135" s="17"/>
      <c r="AT135" s="17"/>
      <c r="AU135" s="17"/>
    </row>
    <row r="136" ht="56.05" customHeight="1">
      <c r="AB136" s="36"/>
      <c r="AC136" s="34"/>
      <c r="AD136" t="s" s="44">
        <v>135</v>
      </c>
      <c r="AE136" s="15">
        <f>AG85</f>
        <v>3234.663538048920</v>
      </c>
      <c r="AF136" t="s" s="44">
        <f>AF135</f>
        <v>372</v>
      </c>
      <c r="AG136" t="s" s="44">
        <v>136</v>
      </c>
      <c r="AH136" s="15">
        <f>AE135/AE136</f>
        <v>35.4310778614857</v>
      </c>
      <c r="AI136" t="s" s="44">
        <v>130</v>
      </c>
      <c r="AJ136" t="s" s="44">
        <v>137</v>
      </c>
      <c r="AK136" t="s" s="44">
        <v>138</v>
      </c>
      <c r="AL136" s="15">
        <f>AG87</f>
        <v>24</v>
      </c>
      <c r="AM136" t="s" s="44">
        <v>139</v>
      </c>
      <c r="AN136" t="s" s="44">
        <v>140</v>
      </c>
      <c r="AO136" t="s" s="44">
        <v>141</v>
      </c>
      <c r="AP136" s="16">
        <f>AJ95</f>
        <v>-0.322628566541902</v>
      </c>
      <c r="AQ136" t="s" s="44">
        <f>IF(AP136&gt;0,"higher","lower")</f>
        <v>104</v>
      </c>
      <c r="AR136" t="s" s="44">
        <v>142</v>
      </c>
      <c r="AS136" s="15">
        <f>AH95</f>
        <v>1869.545156344350</v>
      </c>
      <c r="AT136" t="s" s="44">
        <v>143</v>
      </c>
      <c r="AU136" s="17"/>
    </row>
    <row r="137" ht="20.05" customHeight="1">
      <c r="AB137" s="36"/>
      <c r="AC137" s="34"/>
      <c r="AD137" s="17"/>
      <c r="AE137" s="17"/>
      <c r="AF137" s="17"/>
      <c r="AG137" s="17"/>
      <c r="AH137" s="15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28</v>
      </c>
      <c r="AC138" s="14">
        <f>AD105</f>
        <v>21138.2</v>
      </c>
      <c r="AD138" s="15">
        <f>AE105</f>
        <v>21730.2</v>
      </c>
      <c r="AE138" s="15">
        <f>AF105</f>
        <v>22908.6</v>
      </c>
      <c r="AF138" s="15">
        <f>AG105</f>
        <v>24978.1</v>
      </c>
      <c r="AG138" s="15">
        <f>AH105</f>
        <v>24252.3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144</v>
      </c>
      <c r="AC139" s="14">
        <f>SUM(AD118:AD119)</f>
        <v>904.9</v>
      </c>
      <c r="AD139" s="15">
        <f>SUM(AE118:AE119)</f>
        <v>756.6</v>
      </c>
      <c r="AE139" s="15">
        <f>SUM(AF118:AF119)</f>
        <v>-343.6</v>
      </c>
      <c r="AF139" s="15">
        <f>SUM(AG118:AG119)</f>
        <v>-952.8</v>
      </c>
      <c r="AG139" s="15">
        <f>SUM(AH118:AH119)</f>
        <v>1114.4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145</v>
      </c>
      <c r="AC140" s="14">
        <f>SUM(AD132:AD133)</f>
        <v>1147.347</v>
      </c>
      <c r="AD140" s="15">
        <f>SUM(AE132:AE133)</f>
        <v>3.7</v>
      </c>
      <c r="AE140" s="15">
        <f>SUM(AF132:AF133)</f>
        <v>71</v>
      </c>
      <c r="AF140" s="15">
        <f>SUM(AG132:AG133)</f>
        <v>702.9</v>
      </c>
      <c r="AG140" s="15">
        <f>SUM(AH132:AH133)</f>
        <v>146.1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t="s" s="33">
        <v>146</v>
      </c>
      <c r="AC141" s="14">
        <f>(AD125-AD126)</f>
        <v>-15835</v>
      </c>
      <c r="AD141" s="15">
        <f>(AE125-AE126)</f>
        <v>-15234</v>
      </c>
      <c r="AE141" s="15">
        <f>(AF125-AF126)</f>
        <v>-19120</v>
      </c>
      <c r="AF141" s="15">
        <f>(AG125-AG126)</f>
        <v>-18221</v>
      </c>
      <c r="AG141" s="15">
        <f>(AH125-AH126)</f>
        <v>-17720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5">
        <f>AS136</f>
        <v>1869.545156344350</v>
      </c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ht="20.05" customHeight="1">
      <c r="AB149" s="36"/>
      <c r="AC149" s="34"/>
      <c r="AD149" s="17"/>
      <c r="AE149" s="17"/>
      <c r="AF149" s="17"/>
      <c r="AG149" s="17"/>
      <c r="AH149" s="15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</sheetData>
  <mergeCells count="2">
    <mergeCell ref="B2:AA2"/>
    <mergeCell ref="AB47:AU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90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36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07" customWidth="1"/>
    <col min="2" max="26" width="10.4844" style="307" customWidth="1"/>
    <col min="27" max="27" width="18.9766" style="310" customWidth="1"/>
    <col min="28" max="31" width="9" style="310" customWidth="1"/>
    <col min="32" max="45" hidden="1" width="16.3333" style="310" customWidth="1"/>
    <col min="46" max="16384" width="16.3516" style="310" customWidth="1"/>
  </cols>
  <sheetData>
    <row r="1" ht="11.65" customHeight="1"/>
    <row r="2" ht="27.65" customHeight="1">
      <c r="B2" t="s" s="2">
        <v>666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3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471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90">
        <v>322</v>
      </c>
      <c r="Z3" t="s" s="3">
        <v>19</v>
      </c>
    </row>
    <row r="4" ht="20.7" customHeight="1">
      <c r="B4" s="6">
        <v>2017</v>
      </c>
      <c r="C4" s="7">
        <v>132.572</v>
      </c>
      <c r="D4" s="8">
        <v>6.4</v>
      </c>
      <c r="E4" s="8">
        <v>0.833</v>
      </c>
      <c r="F4" s="8">
        <v>6</v>
      </c>
      <c r="G4" s="8">
        <v>274</v>
      </c>
      <c r="H4" s="8">
        <v>716</v>
      </c>
      <c r="I4" s="8">
        <v>151</v>
      </c>
      <c r="J4" s="8">
        <v>4.233</v>
      </c>
      <c r="K4" s="8">
        <v>-3.809</v>
      </c>
      <c r="L4" s="8">
        <v>14.25</v>
      </c>
      <c r="M4" s="8">
        <v>0</v>
      </c>
      <c r="N4" s="9"/>
      <c r="O4" s="9"/>
      <c r="P4" s="55"/>
      <c r="Q4" s="55"/>
      <c r="R4" s="9"/>
      <c r="S4" s="9"/>
      <c r="T4" s="9"/>
      <c r="U4" s="8">
        <f>-(L4+M4)</f>
        <v>-14.25</v>
      </c>
      <c r="V4" s="9"/>
      <c r="W4" s="8">
        <f>F4-G4</f>
        <v>-268</v>
      </c>
      <c r="X4" s="73"/>
      <c r="Y4" s="308">
        <v>178</v>
      </c>
      <c r="Z4" s="10"/>
    </row>
    <row r="5" ht="20.7" customHeight="1">
      <c r="B5" s="13"/>
      <c r="C5" s="14">
        <v>166.961</v>
      </c>
      <c r="D5" s="15">
        <v>6.9</v>
      </c>
      <c r="E5" s="15">
        <v>2.597</v>
      </c>
      <c r="F5" s="15">
        <v>10</v>
      </c>
      <c r="G5" s="15">
        <v>303</v>
      </c>
      <c r="H5" s="15">
        <v>747</v>
      </c>
      <c r="I5" s="15">
        <v>172</v>
      </c>
      <c r="J5" s="15">
        <v>-13.525</v>
      </c>
      <c r="K5" s="15">
        <v>-11.074</v>
      </c>
      <c r="L5" s="15">
        <v>14.25</v>
      </c>
      <c r="M5" s="15">
        <v>0</v>
      </c>
      <c r="N5" s="17"/>
      <c r="O5" s="17"/>
      <c r="P5" s="16"/>
      <c r="Q5" s="16"/>
      <c r="R5" s="17"/>
      <c r="S5" s="17"/>
      <c r="T5" s="17"/>
      <c r="U5" s="15">
        <f>-(L5+M5)+U4</f>
        <v>-28.5</v>
      </c>
      <c r="V5" s="17"/>
      <c r="W5" s="15">
        <f>F5-G5</f>
        <v>-293</v>
      </c>
      <c r="X5" s="24"/>
      <c r="Y5" s="308">
        <v>172</v>
      </c>
      <c r="Z5" s="18"/>
    </row>
    <row r="6" ht="20.7" customHeight="1">
      <c r="B6" s="13"/>
      <c r="C6" s="14">
        <v>205.483</v>
      </c>
      <c r="D6" s="15">
        <v>7.7</v>
      </c>
      <c r="E6" s="15">
        <v>-29.772</v>
      </c>
      <c r="F6" s="15">
        <v>9</v>
      </c>
      <c r="G6" s="15">
        <v>346</v>
      </c>
      <c r="H6" s="15">
        <v>761</v>
      </c>
      <c r="I6" s="15">
        <v>188</v>
      </c>
      <c r="J6" s="15">
        <v>-13.856</v>
      </c>
      <c r="K6" s="15">
        <v>-7.282</v>
      </c>
      <c r="L6" s="15">
        <v>14.25</v>
      </c>
      <c r="M6" s="15">
        <v>0</v>
      </c>
      <c r="N6" s="17"/>
      <c r="O6" s="17"/>
      <c r="P6" s="16"/>
      <c r="Q6" s="16"/>
      <c r="R6" s="17"/>
      <c r="S6" s="17"/>
      <c r="T6" s="17"/>
      <c r="U6" s="15">
        <f>-(L6+M6)+U5</f>
        <v>-42.75</v>
      </c>
      <c r="V6" s="17"/>
      <c r="W6" s="15">
        <f>F6-G6</f>
        <v>-337</v>
      </c>
      <c r="X6" s="24"/>
      <c r="Y6" s="308">
        <v>165</v>
      </c>
      <c r="Z6" s="18"/>
    </row>
    <row r="7" ht="20.7" customHeight="1">
      <c r="B7" s="13"/>
      <c r="C7" s="14">
        <v>226.561</v>
      </c>
      <c r="D7" s="15">
        <v>8.300000000000001</v>
      </c>
      <c r="E7" s="15">
        <v>1.652</v>
      </c>
      <c r="F7" s="15">
        <v>5</v>
      </c>
      <c r="G7" s="15">
        <v>368</v>
      </c>
      <c r="H7" s="15">
        <v>781</v>
      </c>
      <c r="I7" s="15">
        <v>179</v>
      </c>
      <c r="J7" s="15">
        <v>-9.887</v>
      </c>
      <c r="K7" s="15">
        <v>2.177</v>
      </c>
      <c r="L7" s="15">
        <v>14.25</v>
      </c>
      <c r="M7" s="15">
        <v>0</v>
      </c>
      <c r="N7" s="17"/>
      <c r="O7" s="17"/>
      <c r="P7" s="16"/>
      <c r="Q7" s="16"/>
      <c r="R7" s="17"/>
      <c r="S7" s="17"/>
      <c r="T7" s="17"/>
      <c r="U7" s="15">
        <f>-(L7+M7)+U6</f>
        <v>-57</v>
      </c>
      <c r="V7" s="17"/>
      <c r="W7" s="15">
        <f>F7-G7</f>
        <v>-363</v>
      </c>
      <c r="X7" s="24"/>
      <c r="Y7" s="308">
        <v>135</v>
      </c>
      <c r="Z7" s="18"/>
    </row>
    <row r="8" ht="20.7" customHeight="1">
      <c r="B8" s="21">
        <v>2018</v>
      </c>
      <c r="C8" s="14">
        <v>149.529</v>
      </c>
      <c r="D8" s="15">
        <v>6.7</v>
      </c>
      <c r="E8" s="15">
        <v>0.479</v>
      </c>
      <c r="F8" s="15">
        <v>3</v>
      </c>
      <c r="G8" s="15">
        <v>363</v>
      </c>
      <c r="H8" s="15">
        <v>776</v>
      </c>
      <c r="I8" s="15">
        <v>184</v>
      </c>
      <c r="J8" s="15">
        <v>-0.747</v>
      </c>
      <c r="K8" s="15">
        <v>1.273</v>
      </c>
      <c r="L8" s="15">
        <v>3.5</v>
      </c>
      <c r="M8" s="15">
        <v>0</v>
      </c>
      <c r="N8" s="15">
        <f>SUM(C5:C8)/4</f>
        <v>187.1335</v>
      </c>
      <c r="O8" s="17"/>
      <c r="P8" s="16"/>
      <c r="Q8" s="16">
        <f>(D8+E8+D7+E7+D6+E6+D5+E5)/(C5+C6+C7+C8)</f>
        <v>0.00608656387017824</v>
      </c>
      <c r="R8" s="17"/>
      <c r="S8" s="15">
        <f>SUM(J5:K8)/4</f>
        <v>-13.23025</v>
      </c>
      <c r="T8" s="17"/>
      <c r="U8" s="15">
        <f>-(L8+M8)+U7</f>
        <v>-60.5</v>
      </c>
      <c r="V8" s="17"/>
      <c r="W8" s="15">
        <f>F8-G8</f>
        <v>-360</v>
      </c>
      <c r="X8" s="24"/>
      <c r="Y8" s="308">
        <v>140</v>
      </c>
      <c r="Z8" s="18"/>
    </row>
    <row r="9" ht="20.7" customHeight="1">
      <c r="B9" s="13"/>
      <c r="C9" s="14">
        <v>128.374</v>
      </c>
      <c r="D9" s="15">
        <v>6.9</v>
      </c>
      <c r="E9" s="15">
        <v>-22.127</v>
      </c>
      <c r="F9" s="15">
        <v>4</v>
      </c>
      <c r="G9" s="15">
        <v>363</v>
      </c>
      <c r="H9" s="15">
        <v>754</v>
      </c>
      <c r="I9" s="15">
        <v>147</v>
      </c>
      <c r="J9" s="15">
        <v>4.289</v>
      </c>
      <c r="K9" s="15">
        <v>-3.259</v>
      </c>
      <c r="L9" s="15">
        <v>3.5</v>
      </c>
      <c r="M9" s="15">
        <v>0</v>
      </c>
      <c r="N9" s="15">
        <f>SUM(C6:C9)/4</f>
        <v>177.48675</v>
      </c>
      <c r="O9" s="17"/>
      <c r="P9" s="16">
        <f>C9/C8-1</f>
        <v>-0.141477572912278</v>
      </c>
      <c r="Q9" s="16">
        <f>(D9+E9+D8+E8+D7+E7+D6+E6)/(C6+C7+C8+C9)</f>
        <v>-0.0284077543816651</v>
      </c>
      <c r="R9" s="17"/>
      <c r="S9" s="15">
        <f>SUM(J6:K9)/4</f>
        <v>-6.823</v>
      </c>
      <c r="T9" s="17"/>
      <c r="U9" s="15">
        <f>-(L9+M9)+U8</f>
        <v>-64</v>
      </c>
      <c r="V9" s="17"/>
      <c r="W9" s="15">
        <f>F9-G9</f>
        <v>-359</v>
      </c>
      <c r="X9" s="24"/>
      <c r="Y9" s="308">
        <v>146</v>
      </c>
      <c r="Z9" s="18"/>
    </row>
    <row r="10" ht="20.7" customHeight="1">
      <c r="B10" s="13"/>
      <c r="C10" s="14">
        <v>104.729</v>
      </c>
      <c r="D10" s="15">
        <v>7.2</v>
      </c>
      <c r="E10" s="15">
        <v>-40.622</v>
      </c>
      <c r="F10" s="15">
        <v>4</v>
      </c>
      <c r="G10" s="15">
        <v>316</v>
      </c>
      <c r="H10" s="15">
        <v>666</v>
      </c>
      <c r="I10" s="15">
        <v>177</v>
      </c>
      <c r="J10" s="15">
        <v>-3.746</v>
      </c>
      <c r="K10" s="15">
        <v>-1.991</v>
      </c>
      <c r="L10" s="15">
        <v>3.5</v>
      </c>
      <c r="M10" s="15">
        <v>0</v>
      </c>
      <c r="N10" s="15">
        <f>SUM(C7:C10)/4</f>
        <v>152.29825</v>
      </c>
      <c r="O10" s="17"/>
      <c r="P10" s="16">
        <f>C10/C9-1</f>
        <v>-0.184188387056569</v>
      </c>
      <c r="Q10" s="16">
        <f>(D10+E10+D9+E9+D8+E8+D7+E7)/(C7+C8+C9+C10)</f>
        <v>-0.0517372983602898</v>
      </c>
      <c r="R10" s="17"/>
      <c r="S10" s="15">
        <f>SUM(J7:K10)/4</f>
        <v>-2.97275</v>
      </c>
      <c r="T10" s="17"/>
      <c r="U10" s="15">
        <f>-(L10+M10)+U9</f>
        <v>-67.5</v>
      </c>
      <c r="V10" s="17"/>
      <c r="W10" s="15">
        <f>F10-G10</f>
        <v>-312</v>
      </c>
      <c r="X10" s="24"/>
      <c r="Y10" s="308">
        <v>146</v>
      </c>
      <c r="Z10" s="18"/>
    </row>
    <row r="11" ht="20.7" customHeight="1">
      <c r="B11" s="13"/>
      <c r="C11" s="14">
        <v>119.885</v>
      </c>
      <c r="D11" s="15">
        <v>4.1</v>
      </c>
      <c r="E11" s="15">
        <v>-51.73</v>
      </c>
      <c r="F11" s="15">
        <v>4</v>
      </c>
      <c r="G11" s="15">
        <v>348</v>
      </c>
      <c r="H11" s="15">
        <v>648</v>
      </c>
      <c r="I11" s="15">
        <v>133</v>
      </c>
      <c r="J11" s="15">
        <v>6.796</v>
      </c>
      <c r="K11" s="15">
        <v>-9.519</v>
      </c>
      <c r="L11" s="15">
        <v>3.5</v>
      </c>
      <c r="M11" s="15">
        <v>0</v>
      </c>
      <c r="N11" s="15">
        <f>SUM(C8:C11)/4</f>
        <v>125.62925</v>
      </c>
      <c r="O11" s="17"/>
      <c r="P11" s="16">
        <f>C11/C10-1</f>
        <v>0.144716363184982</v>
      </c>
      <c r="Q11" s="16">
        <f>(D11+E11+D10+E10+D9+E9+D8+E8)/(C8+C9+C10+C11)</f>
        <v>-0.177307434375354</v>
      </c>
      <c r="R11" s="17"/>
      <c r="S11" s="15">
        <f>SUM(J8:K11)/4</f>
        <v>-1.726</v>
      </c>
      <c r="T11" s="17"/>
      <c r="U11" s="15">
        <f>-(L11+M11)+U10</f>
        <v>-71</v>
      </c>
      <c r="V11" s="17"/>
      <c r="W11" s="15">
        <f>F11-G11</f>
        <v>-344</v>
      </c>
      <c r="X11" s="24"/>
      <c r="Y11" s="308">
        <v>126</v>
      </c>
      <c r="Z11" s="18"/>
    </row>
    <row r="12" ht="20.7" customHeight="1">
      <c r="B12" s="21">
        <v>2019</v>
      </c>
      <c r="C12" s="14">
        <v>140.868</v>
      </c>
      <c r="D12" s="15">
        <v>5.85</v>
      </c>
      <c r="E12" s="15">
        <v>0.854</v>
      </c>
      <c r="F12" s="15">
        <v>4</v>
      </c>
      <c r="G12" s="15">
        <v>358</v>
      </c>
      <c r="H12" s="15">
        <v>659</v>
      </c>
      <c r="I12" s="15">
        <v>159.7</v>
      </c>
      <c r="J12" s="15">
        <v>3.772</v>
      </c>
      <c r="K12" s="15">
        <v>-3.757</v>
      </c>
      <c r="L12" s="15">
        <v>4</v>
      </c>
      <c r="M12" s="15">
        <v>0</v>
      </c>
      <c r="N12" s="15">
        <f>SUM(C9:C12)/4</f>
        <v>123.464</v>
      </c>
      <c r="O12" s="17"/>
      <c r="P12" s="16">
        <f>C12/C11-1</f>
        <v>0.175026066647204</v>
      </c>
      <c r="Q12" s="16">
        <f>(D12+E12+D11+E11+D10+E10+D9+E9)/(C9+C10+C11+C12)</f>
        <v>-0.181378782479103</v>
      </c>
      <c r="R12" s="17"/>
      <c r="S12" s="15">
        <f>SUM(J9:K12)/4</f>
        <v>-1.85375</v>
      </c>
      <c r="T12" s="17"/>
      <c r="U12" s="15">
        <f>-(L12+M12)+U11</f>
        <v>-75</v>
      </c>
      <c r="V12" s="17"/>
      <c r="W12" s="15">
        <f>F12-G12</f>
        <v>-354</v>
      </c>
      <c r="X12" s="24"/>
      <c r="Y12" s="308">
        <v>145</v>
      </c>
      <c r="Z12" s="18"/>
    </row>
    <row r="13" ht="20.7" customHeight="1">
      <c r="B13" s="13"/>
      <c r="C13" s="14">
        <v>101.664</v>
      </c>
      <c r="D13" s="15">
        <v>8.550000000000001</v>
      </c>
      <c r="E13" s="15">
        <v>-18.03</v>
      </c>
      <c r="F13" s="15">
        <v>4</v>
      </c>
      <c r="G13" s="15">
        <v>332</v>
      </c>
      <c r="H13" s="15">
        <v>615</v>
      </c>
      <c r="I13" s="15">
        <v>151.8</v>
      </c>
      <c r="J13" s="15">
        <v>1.812</v>
      </c>
      <c r="K13" s="15">
        <v>-5.325</v>
      </c>
      <c r="L13" s="15">
        <v>4</v>
      </c>
      <c r="M13" s="15">
        <v>0</v>
      </c>
      <c r="N13" s="15">
        <f>SUM(C10:C13)/4</f>
        <v>116.7865</v>
      </c>
      <c r="O13" s="17"/>
      <c r="P13" s="16">
        <f>C13/C12-1</f>
        <v>-0.278303092256581</v>
      </c>
      <c r="Q13" s="16">
        <f>(D13+E13+D12+E12+D11+E11+D10+E10)/(C10+C11+C12+C13)</f>
        <v>-0.179447110753383</v>
      </c>
      <c r="R13" s="17"/>
      <c r="S13" s="15">
        <f>SUM(J10:K13)/4</f>
        <v>-2.9895</v>
      </c>
      <c r="T13" s="17"/>
      <c r="U13" s="15">
        <f>-(L13+M13)+U12</f>
        <v>-79</v>
      </c>
      <c r="V13" s="17"/>
      <c r="W13" s="15">
        <f>F13-G13</f>
        <v>-328</v>
      </c>
      <c r="X13" s="24"/>
      <c r="Y13" s="308">
        <v>135</v>
      </c>
      <c r="Z13" s="18"/>
    </row>
    <row r="14" ht="20.7" customHeight="1">
      <c r="B14" s="13"/>
      <c r="C14" s="14">
        <v>147.113</v>
      </c>
      <c r="D14" s="15">
        <v>3.8</v>
      </c>
      <c r="E14" s="15">
        <v>-10.527</v>
      </c>
      <c r="F14" s="15">
        <v>5</v>
      </c>
      <c r="G14" s="15">
        <v>330</v>
      </c>
      <c r="H14" s="15">
        <v>603</v>
      </c>
      <c r="I14" s="15">
        <v>147.5</v>
      </c>
      <c r="J14" s="15">
        <v>-9.263999999999999</v>
      </c>
      <c r="K14" s="15">
        <v>7.941</v>
      </c>
      <c r="L14" s="15">
        <v>4</v>
      </c>
      <c r="M14" s="15">
        <v>0</v>
      </c>
      <c r="N14" s="15">
        <f>SUM(C11:C14)/4</f>
        <v>127.3825</v>
      </c>
      <c r="O14" s="17"/>
      <c r="P14" s="16">
        <f>C14/C13-1</f>
        <v>0.447051070192005</v>
      </c>
      <c r="Q14" s="16">
        <f>(D14+E14+D13+E13+D12+E12+D11+E11)/(C11+C12+C13+C14)</f>
        <v>-0.112128824603066</v>
      </c>
      <c r="R14" s="17"/>
      <c r="S14" s="15">
        <f>SUM(J11:K14)/4</f>
        <v>-1.886</v>
      </c>
      <c r="T14" s="17"/>
      <c r="U14" s="15">
        <f>-(L14+M14)+U13</f>
        <v>-83</v>
      </c>
      <c r="V14" s="17"/>
      <c r="W14" s="15">
        <f>F14-G14</f>
        <v>-325</v>
      </c>
      <c r="X14" s="24"/>
      <c r="Y14" s="308">
        <v>121</v>
      </c>
      <c r="Z14" s="18"/>
    </row>
    <row r="15" ht="20.35" customHeight="1">
      <c r="B15" s="13"/>
      <c r="C15" s="14">
        <v>148.355</v>
      </c>
      <c r="D15" s="15">
        <v>7.7</v>
      </c>
      <c r="E15" s="15">
        <v>-39.297</v>
      </c>
      <c r="F15" s="15">
        <v>3</v>
      </c>
      <c r="G15" s="15">
        <v>356</v>
      </c>
      <c r="H15" s="15">
        <v>591</v>
      </c>
      <c r="I15" s="15">
        <v>147</v>
      </c>
      <c r="J15" s="15">
        <v>-6.32</v>
      </c>
      <c r="K15" s="15">
        <v>-0.859</v>
      </c>
      <c r="L15" s="15">
        <v>4</v>
      </c>
      <c r="M15" s="15">
        <v>0</v>
      </c>
      <c r="N15" s="15">
        <f>SUM(C12:C15)/4</f>
        <v>134.5</v>
      </c>
      <c r="O15" s="17"/>
      <c r="P15" s="16">
        <f>C15/C14-1</f>
        <v>0.008442489786762561</v>
      </c>
      <c r="Q15" s="16">
        <f>(D15+E15+D14+E14+D13+E13+D12+E12)/(C12+C13+C14+C15)</f>
        <v>-0.07639405204460969</v>
      </c>
      <c r="R15" s="17"/>
      <c r="S15" s="15">
        <f>SUM(J12:K15)/4</f>
        <v>-3</v>
      </c>
      <c r="T15" s="17"/>
      <c r="U15" s="15">
        <f>-(L15+M15)+U14</f>
        <v>-87</v>
      </c>
      <c r="V15" s="17"/>
      <c r="W15" s="15">
        <f>F15-G15</f>
        <v>-353</v>
      </c>
      <c r="X15" s="24"/>
      <c r="Y15" s="309">
        <v>94</v>
      </c>
      <c r="Z15" s="18"/>
    </row>
    <row r="16" ht="20.05" customHeight="1">
      <c r="B16" s="21">
        <v>2020</v>
      </c>
      <c r="C16" s="14">
        <v>87.06</v>
      </c>
      <c r="D16" s="15">
        <v>13.885</v>
      </c>
      <c r="E16" s="15">
        <v>-24.24</v>
      </c>
      <c r="F16" s="15">
        <v>3.047</v>
      </c>
      <c r="G16" s="15">
        <v>379.47</v>
      </c>
      <c r="H16" s="15">
        <v>590.2</v>
      </c>
      <c r="I16" s="15">
        <v>112.9</v>
      </c>
      <c r="J16" s="15">
        <v>3.327</v>
      </c>
      <c r="K16" s="15">
        <v>-1.7999</v>
      </c>
      <c r="L16" s="15">
        <v>-1.117</v>
      </c>
      <c r="M16" s="15">
        <v>0</v>
      </c>
      <c r="N16" s="15">
        <f>SUM(C13:C16)/4</f>
        <v>121.048</v>
      </c>
      <c r="O16" s="15"/>
      <c r="P16" s="16">
        <f>C16/C15-1</f>
        <v>-0.413164369249435</v>
      </c>
      <c r="Q16" s="16">
        <f>(D16+E16+D15+E15+D14+E14+D13+E13)/(C13+C14+C15+C16)</f>
        <v>-0.120115573987179</v>
      </c>
      <c r="R16" s="17"/>
      <c r="S16" s="15">
        <f>SUM(J13:K16)/4</f>
        <v>-2.621975</v>
      </c>
      <c r="T16" s="17"/>
      <c r="U16" s="15">
        <f>-(L16+M16)+U15</f>
        <v>-85.883</v>
      </c>
      <c r="V16" s="17"/>
      <c r="W16" s="15">
        <f>F16-G16</f>
        <v>-376.423</v>
      </c>
      <c r="X16" s="24"/>
      <c r="Y16" s="15">
        <v>70</v>
      </c>
      <c r="Z16" s="18"/>
    </row>
    <row r="17" ht="20.05" customHeight="1">
      <c r="B17" s="13"/>
      <c r="C17" s="14">
        <v>80.23999999999999</v>
      </c>
      <c r="D17" s="15">
        <v>13.515</v>
      </c>
      <c r="E17" s="15">
        <v>-19.66</v>
      </c>
      <c r="F17" s="15">
        <v>4</v>
      </c>
      <c r="G17" s="15">
        <v>387</v>
      </c>
      <c r="H17" s="15">
        <v>578</v>
      </c>
      <c r="I17" s="15">
        <v>97.09999999999999</v>
      </c>
      <c r="J17" s="15">
        <v>2.46</v>
      </c>
      <c r="K17" s="15">
        <v>-1.4</v>
      </c>
      <c r="L17" s="15">
        <v>0.41</v>
      </c>
      <c r="M17" s="15">
        <v>0</v>
      </c>
      <c r="N17" s="15">
        <f>SUM(C14:C17)/4</f>
        <v>115.692</v>
      </c>
      <c r="O17" s="15"/>
      <c r="P17" s="16">
        <f>C17/C16-1</f>
        <v>-0.07833677923271309</v>
      </c>
      <c r="Q17" s="16">
        <f>(D17+E17+D16+E16+D15+E15+D14+E14)/(C14+C15+C16+C17)</f>
        <v>-0.118469729972686</v>
      </c>
      <c r="R17" s="17"/>
      <c r="S17" s="15">
        <f>SUM(J14:K17)/4</f>
        <v>-1.478725</v>
      </c>
      <c r="T17" s="17"/>
      <c r="U17" s="15">
        <f>-(L17+M17)+U16</f>
        <v>-86.29300000000001</v>
      </c>
      <c r="V17" s="17"/>
      <c r="W17" s="15">
        <f>F17-G17</f>
        <v>-383</v>
      </c>
      <c r="X17" s="24"/>
      <c r="Y17" s="15">
        <v>63</v>
      </c>
      <c r="Z17" s="18"/>
    </row>
    <row r="18" ht="20.05" customHeight="1">
      <c r="B18" s="13"/>
      <c r="C18" s="14">
        <v>61.7</v>
      </c>
      <c r="D18" s="15">
        <v>13.6</v>
      </c>
      <c r="E18" s="15">
        <v>-38.1</v>
      </c>
      <c r="F18" s="15">
        <v>7</v>
      </c>
      <c r="G18" s="15">
        <v>371</v>
      </c>
      <c r="H18" s="15">
        <v>523</v>
      </c>
      <c r="I18" s="15">
        <v>113</v>
      </c>
      <c r="J18" s="15">
        <v>-2.787</v>
      </c>
      <c r="K18" s="15">
        <v>3.1999</v>
      </c>
      <c r="L18" s="15">
        <v>5.707</v>
      </c>
      <c r="M18" s="15">
        <v>0</v>
      </c>
      <c r="N18" s="15">
        <f>SUM(C15:C18)/4</f>
        <v>94.33875</v>
      </c>
      <c r="O18" s="15">
        <v>125.5563</v>
      </c>
      <c r="P18" s="16">
        <f>C18/C17-1</f>
        <v>-0.231056829511466</v>
      </c>
      <c r="Q18" s="16">
        <f>(D18+E18+D17+E17+D16+E16+D15+E15)/(C15+C16+C17+C18)</f>
        <v>-0.192383829550423</v>
      </c>
      <c r="R18" s="17"/>
      <c r="S18" s="15">
        <f>SUM(J15:K18)/4</f>
        <v>-1.04475</v>
      </c>
      <c r="T18" s="17"/>
      <c r="U18" s="15">
        <f>-(L18+M18)+U17</f>
        <v>-92</v>
      </c>
      <c r="V18" s="17"/>
      <c r="W18" s="15">
        <f>F18-G18</f>
        <v>-364</v>
      </c>
      <c r="X18" s="24"/>
      <c r="Y18" s="15">
        <v>77</v>
      </c>
      <c r="Z18" s="18"/>
    </row>
    <row r="19" ht="20.05" customHeight="1">
      <c r="B19" s="13"/>
      <c r="C19" s="14">
        <v>68.2</v>
      </c>
      <c r="D19" s="15">
        <v>-25</v>
      </c>
      <c r="E19" s="15">
        <v>-121.2</v>
      </c>
      <c r="F19" s="15">
        <v>2</v>
      </c>
      <c r="G19" s="15">
        <v>393</v>
      </c>
      <c r="H19" s="15">
        <v>983</v>
      </c>
      <c r="I19" s="15">
        <v>87.39</v>
      </c>
      <c r="J19" s="15">
        <v>-7.9</v>
      </c>
      <c r="K19" s="15">
        <v>0.135</v>
      </c>
      <c r="L19" s="15">
        <v>-0.7</v>
      </c>
      <c r="M19" s="15">
        <v>0</v>
      </c>
      <c r="N19" s="15">
        <f>SUM(C16:C19)/4</f>
        <v>74.3</v>
      </c>
      <c r="O19" s="15">
        <v>113.3278</v>
      </c>
      <c r="P19" s="16">
        <f>C19/C18-1</f>
        <v>0.105348460291734</v>
      </c>
      <c r="Q19" s="16">
        <f>(D19+E19+D18+E18+D17+E17+D16+E16)/(C16+C17+C18+C19)</f>
        <v>-0.6298788694481831</v>
      </c>
      <c r="R19" s="17"/>
      <c r="S19" s="15">
        <f>SUM(J16:K19)/4</f>
        <v>-1.19125</v>
      </c>
      <c r="T19" s="17"/>
      <c r="U19" s="15">
        <f>-(L19+M19)+U18</f>
        <v>-91.3</v>
      </c>
      <c r="V19" s="17"/>
      <c r="W19" s="15">
        <f>F19-G19</f>
        <v>-391</v>
      </c>
      <c r="X19" s="24"/>
      <c r="Y19" s="15">
        <v>95</v>
      </c>
      <c r="Z19" s="18"/>
    </row>
    <row r="20" ht="20.05" customHeight="1">
      <c r="B20" s="21">
        <v>2021</v>
      </c>
      <c r="C20" s="14">
        <v>50</v>
      </c>
      <c r="D20" s="15">
        <v>13</v>
      </c>
      <c r="E20" s="15">
        <v>-23.6</v>
      </c>
      <c r="F20" s="15">
        <v>3</v>
      </c>
      <c r="G20" s="15">
        <v>402</v>
      </c>
      <c r="H20" s="15">
        <v>968</v>
      </c>
      <c r="I20" s="15">
        <v>68.5</v>
      </c>
      <c r="J20" s="15">
        <v>-7.3</v>
      </c>
      <c r="K20" s="15">
        <v>2.3</v>
      </c>
      <c r="L20" s="15">
        <v>6.2</v>
      </c>
      <c r="M20" s="15">
        <v>0</v>
      </c>
      <c r="N20" s="15">
        <f>SUM(C17:C20)/4</f>
        <v>65.035</v>
      </c>
      <c r="O20" s="15">
        <v>94.9858</v>
      </c>
      <c r="P20" s="16">
        <f>C20/C19-1</f>
        <v>-0.266862170087977</v>
      </c>
      <c r="Q20" s="16">
        <f>(D20+E20+D19+E19+D18+E18+D17+E17)/(C17+C18+C19+C20)</f>
        <v>-0.720554316906281</v>
      </c>
      <c r="R20" s="17"/>
      <c r="S20" s="15">
        <f>SUM(J17:K20)/4</f>
        <v>-2.823025</v>
      </c>
      <c r="T20" s="17"/>
      <c r="U20" s="15">
        <f>-(L20+M20)+U19</f>
        <v>-97.5</v>
      </c>
      <c r="V20" s="17"/>
      <c r="W20" s="15">
        <f>F20-G20</f>
        <v>-399</v>
      </c>
      <c r="X20" s="15"/>
      <c r="Y20" s="15">
        <v>112</v>
      </c>
      <c r="Z20" s="15"/>
    </row>
    <row r="21" ht="20.05" customHeight="1">
      <c r="B21" s="13"/>
      <c r="C21" s="14">
        <v>40.8</v>
      </c>
      <c r="D21" s="15">
        <v>12.25</v>
      </c>
      <c r="E21" s="15">
        <v>-26.4</v>
      </c>
      <c r="F21" s="15">
        <v>3</v>
      </c>
      <c r="G21" s="15">
        <v>431</v>
      </c>
      <c r="H21" s="15">
        <v>971</v>
      </c>
      <c r="I21" s="15">
        <v>49</v>
      </c>
      <c r="J21" s="15">
        <v>4.403</v>
      </c>
      <c r="K21" s="15">
        <v>-2</v>
      </c>
      <c r="L21" s="15">
        <v>-2.7</v>
      </c>
      <c r="M21" s="15">
        <v>0</v>
      </c>
      <c r="N21" s="15">
        <f>SUM(C18:C21)/4</f>
        <v>55.175</v>
      </c>
      <c r="O21" s="15">
        <v>77.5493</v>
      </c>
      <c r="P21" s="16">
        <f>C21/C20-1</f>
        <v>-0.184</v>
      </c>
      <c r="Q21" s="16">
        <f>(D21+E21+D20+E20+D19+E19+D18+E18)/(C18+C19+C20+C21)</f>
        <v>-0.885591300407793</v>
      </c>
      <c r="R21" s="17"/>
      <c r="S21" s="15">
        <f>SUM(J18:K21)/4</f>
        <v>-2.487275</v>
      </c>
      <c r="T21" s="17"/>
      <c r="U21" s="15">
        <f>-(L21+M21)+U20</f>
        <v>-94.8</v>
      </c>
      <c r="V21" s="17"/>
      <c r="W21" s="15">
        <f>F21-G21</f>
        <v>-428</v>
      </c>
      <c r="X21" s="15"/>
      <c r="Y21" s="15">
        <v>150</v>
      </c>
      <c r="Z21" s="15"/>
    </row>
    <row r="22" ht="20.05" customHeight="1">
      <c r="B22" s="13"/>
      <c r="C22" s="14">
        <v>56.1</v>
      </c>
      <c r="D22" s="15">
        <v>11.65</v>
      </c>
      <c r="E22" s="15">
        <v>-16.5</v>
      </c>
      <c r="F22" s="15">
        <v>27</v>
      </c>
      <c r="G22" s="15">
        <v>474</v>
      </c>
      <c r="H22" s="15">
        <v>997</v>
      </c>
      <c r="I22" s="15">
        <v>52.7</v>
      </c>
      <c r="J22" s="15">
        <v>-90.503</v>
      </c>
      <c r="K22" s="15">
        <v>144.9</v>
      </c>
      <c r="L22" s="15">
        <v>-30.1</v>
      </c>
      <c r="M22" s="15">
        <v>0</v>
      </c>
      <c r="N22" s="15">
        <f>SUM(C19:C22)/4</f>
        <v>53.775</v>
      </c>
      <c r="O22" s="15">
        <v>68.1075</v>
      </c>
      <c r="P22" s="16">
        <f>C22/C21-1</f>
        <v>0.375</v>
      </c>
      <c r="Q22" s="16">
        <f>(D22+E22+D21+E21+D20+E20+D19+E19)/(C19+C20+C21+C22)</f>
        <v>-0.817294281729428</v>
      </c>
      <c r="R22" s="17"/>
      <c r="S22" s="15">
        <f>SUM(J19:K22)/4</f>
        <v>11.00875</v>
      </c>
      <c r="T22" s="17"/>
      <c r="U22" s="15">
        <f>-(L22+M22)+U21</f>
        <v>-64.7</v>
      </c>
      <c r="V22" s="17"/>
      <c r="W22" s="15">
        <f>F22-G22</f>
        <v>-447</v>
      </c>
      <c r="X22" s="15"/>
      <c r="Y22" s="15">
        <v>124</v>
      </c>
      <c r="Z22" s="15"/>
    </row>
    <row r="23" ht="20.05" customHeight="1">
      <c r="B23" s="13"/>
      <c r="C23" s="14">
        <v>63.6</v>
      </c>
      <c r="D23" s="15">
        <v>-35.9</v>
      </c>
      <c r="E23" s="15">
        <v>-82.3</v>
      </c>
      <c r="F23" s="15">
        <v>3</v>
      </c>
      <c r="G23" s="15">
        <v>274</v>
      </c>
      <c r="H23" s="15">
        <v>715</v>
      </c>
      <c r="I23" s="15">
        <v>61.7</v>
      </c>
      <c r="J23" s="15">
        <v>-38.5</v>
      </c>
      <c r="K23" s="15">
        <v>36.2</v>
      </c>
      <c r="L23" s="15">
        <v>-22.2</v>
      </c>
      <c r="M23" s="15">
        <v>0</v>
      </c>
      <c r="N23" s="15">
        <f>SUM(C20:C23)/4</f>
        <v>52.625</v>
      </c>
      <c r="O23" s="15">
        <v>61.09875</v>
      </c>
      <c r="P23" s="16">
        <f>C23/C22-1</f>
        <v>0.133689839572193</v>
      </c>
      <c r="Q23" s="16">
        <f>(D23+E23+D22+E22+D21+E21+D20+E20)/(C20+C21+C22+C23)</f>
        <v>-0.702137767220903</v>
      </c>
      <c r="R23" s="17"/>
      <c r="S23" s="15">
        <f>SUM(J20:K23)/4</f>
        <v>12.375</v>
      </c>
      <c r="T23" s="17"/>
      <c r="U23" s="15">
        <f>-(L23+M23)+U22</f>
        <v>-42.5</v>
      </c>
      <c r="V23" s="17"/>
      <c r="W23" s="15">
        <f>F23-G23</f>
        <v>-271</v>
      </c>
      <c r="X23" s="15"/>
      <c r="Y23" s="15">
        <v>146</v>
      </c>
      <c r="Z23" s="15"/>
    </row>
    <row r="24" ht="20.05" customHeight="1">
      <c r="B24" s="21">
        <v>2022</v>
      </c>
      <c r="C24" s="14">
        <v>74</v>
      </c>
      <c r="D24" s="15">
        <v>5.7</v>
      </c>
      <c r="E24" s="15">
        <v>-4</v>
      </c>
      <c r="F24" s="15">
        <v>3</v>
      </c>
      <c r="G24" s="15">
        <v>275</v>
      </c>
      <c r="H24" s="15">
        <v>711</v>
      </c>
      <c r="I24" s="15">
        <v>76.7</v>
      </c>
      <c r="J24" s="15">
        <v>-11.5</v>
      </c>
      <c r="K24" s="15">
        <v>0.7</v>
      </c>
      <c r="L24" s="15">
        <v>10.9</v>
      </c>
      <c r="M24" s="15">
        <v>0</v>
      </c>
      <c r="N24" s="15">
        <f>SUM(C21:C24)/4</f>
        <v>58.625</v>
      </c>
      <c r="O24" s="15">
        <v>60.3525</v>
      </c>
      <c r="P24" s="16">
        <f>C24/C23-1</f>
        <v>0.163522012578616</v>
      </c>
      <c r="Q24" s="16">
        <f>(D24+E24+D23+E23+D22+E22+D21+E21)/(C21+C22+C23+C24)</f>
        <v>-0.5778251599147119</v>
      </c>
      <c r="R24" s="35"/>
      <c r="S24" s="15">
        <f>SUM(J21:K24)/4</f>
        <v>10.925</v>
      </c>
      <c r="T24" s="15">
        <v>2.2168131646587</v>
      </c>
      <c r="U24" s="15">
        <f>-(L24+M24)+U23</f>
        <v>-53.4</v>
      </c>
      <c r="V24" s="15"/>
      <c r="W24" s="15">
        <f>F24-G24</f>
        <v>-272</v>
      </c>
      <c r="X24" s="15">
        <v>-439.535556007289</v>
      </c>
      <c r="Y24" s="15">
        <v>121</v>
      </c>
      <c r="Z24" s="15"/>
    </row>
    <row r="25" ht="20.05" customHeight="1">
      <c r="B25" s="13"/>
      <c r="C25" s="14">
        <v>59.1</v>
      </c>
      <c r="D25" s="15">
        <v>8.300000000000001</v>
      </c>
      <c r="E25" s="15">
        <v>-14.2</v>
      </c>
      <c r="F25" s="15">
        <v>3</v>
      </c>
      <c r="G25" s="15">
        <v>308</v>
      </c>
      <c r="H25" s="15">
        <v>730</v>
      </c>
      <c r="I25" s="15">
        <v>53.2</v>
      </c>
      <c r="J25" s="15">
        <v>-11.3</v>
      </c>
      <c r="K25" s="15">
        <v>-0.4</v>
      </c>
      <c r="L25" s="15">
        <v>12.1</v>
      </c>
      <c r="M25" s="15">
        <v>0</v>
      </c>
      <c r="N25" s="15">
        <f>SUM(C22:C25)/4</f>
        <v>63.2</v>
      </c>
      <c r="O25" s="15">
        <v>64.7525</v>
      </c>
      <c r="P25" s="16">
        <f>C25/C24-1</f>
        <v>-0.201351351351351</v>
      </c>
      <c r="Q25" s="16">
        <f>(D25+E25+D24+E24+D23+E23+D22+E22)/(C22+C23+C24+C25)</f>
        <v>-0.503362341772152</v>
      </c>
      <c r="R25" s="35"/>
      <c r="S25" s="15">
        <f>SUM(J22:K25)/4</f>
        <v>7.39925</v>
      </c>
      <c r="T25" s="15">
        <v>2.4783568169599</v>
      </c>
      <c r="U25" s="15">
        <f>-(L25+M25)+U24</f>
        <v>-65.5</v>
      </c>
      <c r="V25" s="15"/>
      <c r="W25" s="15">
        <f>F25-G25</f>
        <v>-305</v>
      </c>
      <c r="X25" s="15">
        <v>-439.535556007289</v>
      </c>
      <c r="Y25" s="15">
        <v>111</v>
      </c>
      <c r="Z25" s="15"/>
    </row>
    <row r="26" ht="20.05" customHeight="1">
      <c r="B26" s="13"/>
      <c r="C26" s="14">
        <v>125.2</v>
      </c>
      <c r="D26" s="15">
        <v>5.55</v>
      </c>
      <c r="E26" s="15">
        <v>0.6</v>
      </c>
      <c r="F26" s="15">
        <v>11</v>
      </c>
      <c r="G26" s="15">
        <v>337</v>
      </c>
      <c r="H26" s="15">
        <v>760</v>
      </c>
      <c r="I26" s="15">
        <v>101.8</v>
      </c>
      <c r="J26" s="15">
        <v>8.6</v>
      </c>
      <c r="K26" s="15">
        <v>0.4</v>
      </c>
      <c r="L26" s="15">
        <v>-1.2</v>
      </c>
      <c r="M26" s="15">
        <v>0</v>
      </c>
      <c r="N26" s="15">
        <f>SUM(C23:C26)/4</f>
        <v>80.47499999999999</v>
      </c>
      <c r="O26" s="15">
        <v>69.04625</v>
      </c>
      <c r="P26" s="16">
        <f>C26/C25-1</f>
        <v>1.11844331641286</v>
      </c>
      <c r="Q26" s="16">
        <f>(D26+E26+D25+E25+D24+E24+D23+E23)/(C23+C24+C25+C26)</f>
        <v>-0.361136999068034</v>
      </c>
      <c r="R26" s="35">
        <f>Q26</f>
        <v>-0.361136999068034</v>
      </c>
      <c r="S26" s="15">
        <f>SUM(J23:K26)/4</f>
        <v>-3.95</v>
      </c>
      <c r="T26" s="15">
        <v>-0.4</v>
      </c>
      <c r="U26" s="15">
        <f>-(L26+M26)+U25</f>
        <v>-64.3</v>
      </c>
      <c r="V26" s="15">
        <f>U26</f>
        <v>-64.3</v>
      </c>
      <c r="W26" s="15">
        <f>F26-G26</f>
        <v>-326</v>
      </c>
      <c r="X26" s="15">
        <v>-301.166900025</v>
      </c>
      <c r="Y26" s="15">
        <v>121</v>
      </c>
      <c r="Z26" s="15"/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7"/>
      <c r="O27" s="26">
        <f>AVERAGE(AB41:AE41)</f>
        <v>131.177919392</v>
      </c>
      <c r="P27" s="17"/>
      <c r="Q27" s="17"/>
      <c r="R27" s="35">
        <f>AB42</f>
        <v>0.0491214057507987</v>
      </c>
      <c r="S27" s="17"/>
      <c r="T27" s="15">
        <f>SUM(AB44:AE44)/4</f>
        <v>6.843643804</v>
      </c>
      <c r="U27" s="17"/>
      <c r="V27" s="15">
        <f>-SUM(AB65:AE65)+U26</f>
        <v>-36.925424784</v>
      </c>
      <c r="W27" s="17"/>
      <c r="X27" s="15">
        <f>AE64</f>
        <v>-298.625424784</v>
      </c>
      <c r="Y27" s="15">
        <v>125</v>
      </c>
      <c r="Z27" s="15">
        <v>153.502287363949</v>
      </c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>
        <f>SUM(N21:N26)</f>
        <v>363.875</v>
      </c>
      <c r="O28" s="15">
        <f>SUM(O21:O26)</f>
        <v>400.9068</v>
      </c>
      <c r="P28" s="17"/>
      <c r="Q28" s="17"/>
      <c r="R28" s="17"/>
      <c r="S28" s="17"/>
      <c r="T28" s="17"/>
      <c r="U28" s="17"/>
      <c r="V28" s="17"/>
      <c r="W28" s="17"/>
      <c r="X28" s="15"/>
      <c r="Y28" s="15"/>
      <c r="Z28" s="15">
        <f>AE77</f>
        <v>166.294148508411</v>
      </c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5"/>
      <c r="Y29" s="15"/>
      <c r="Z29" s="15"/>
    </row>
    <row r="30" ht="20.05" customHeight="1">
      <c r="B30" t="s" s="56">
        <v>477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5"/>
      <c r="Y30" s="15"/>
      <c r="Z30" s="15"/>
    </row>
    <row r="31" ht="20.05" customHeight="1">
      <c r="B31" s="13"/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5"/>
      <c r="Y31" s="15"/>
      <c r="Z31" s="15"/>
    </row>
    <row r="32" ht="20.05" customHeight="1">
      <c r="B32" s="13"/>
      <c r="C32" s="14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5"/>
      <c r="Y32" s="15"/>
      <c r="Z32" s="15"/>
    </row>
    <row r="33" ht="20.05" customHeight="1">
      <c r="B33" s="13"/>
      <c r="C33" s="14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5"/>
      <c r="Y33" s="15"/>
      <c r="Z33" s="15"/>
    </row>
    <row r="34" ht="20.05" customHeight="1">
      <c r="B34" s="13"/>
      <c r="C34" s="14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5"/>
      <c r="Y34" s="15"/>
      <c r="Z34" s="15"/>
    </row>
    <row r="36" ht="27.65" customHeight="1">
      <c r="AA36" t="s" s="2">
        <v>322</v>
      </c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</row>
    <row r="37" ht="20.25" customHeight="1">
      <c r="AA37" t="s" s="28">
        <v>366</v>
      </c>
      <c r="AB37" t="s" s="29">
        <v>24</v>
      </c>
      <c r="AC37" t="s" s="29">
        <v>25</v>
      </c>
      <c r="AD37" t="s" s="29">
        <v>26</v>
      </c>
      <c r="AE37" t="s" s="29">
        <v>23</v>
      </c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</row>
    <row r="38" ht="20.25" customHeight="1">
      <c r="AA38" t="s" s="31">
        <v>15</v>
      </c>
      <c r="AB38" s="32"/>
      <c r="AC38" s="9"/>
      <c r="AD38" s="9"/>
      <c r="AE38" s="9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</row>
    <row r="39" ht="20.05" customHeight="1">
      <c r="AA39" t="s" s="33">
        <v>27</v>
      </c>
      <c r="AB39" s="71">
        <f>AVERAGE(P23:P26)</f>
        <v>0.30357595430308</v>
      </c>
      <c r="AC39" s="35"/>
      <c r="AD39" s="35"/>
      <c r="AE39" s="35">
        <f>AVERAGE(AB40:AE40)</f>
        <v>0.0175</v>
      </c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</row>
    <row r="40" ht="20.05" customHeight="1">
      <c r="AA40" t="s" s="33">
        <v>13</v>
      </c>
      <c r="AB40" s="37">
        <v>0.04</v>
      </c>
      <c r="AC40" s="35">
        <v>-0.01</v>
      </c>
      <c r="AD40" s="35">
        <v>0.02</v>
      </c>
      <c r="AE40" s="35">
        <v>0.02</v>
      </c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</row>
    <row r="41" ht="20.05" customHeight="1">
      <c r="AA41" t="s" s="33">
        <v>28</v>
      </c>
      <c r="AB41" s="38">
        <f>C26*(1+AB40)</f>
        <v>130.208</v>
      </c>
      <c r="AC41" s="23">
        <f>AB41*(1+AC40)</f>
        <v>128.90592</v>
      </c>
      <c r="AD41" s="23">
        <f>AC41*(1+AD40)</f>
        <v>131.4840384</v>
      </c>
      <c r="AE41" s="23">
        <f>AD41*(1+AE40)</f>
        <v>134.113719168</v>
      </c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ht="20.05" customHeight="1">
      <c r="AA42" t="s" s="33">
        <v>14</v>
      </c>
      <c r="AB42" s="37">
        <f>(E26+D26)/C26</f>
        <v>0.0491214057507987</v>
      </c>
      <c r="AC42" s="35">
        <f>AB42</f>
        <v>0.0491214057507987</v>
      </c>
      <c r="AD42" s="35">
        <f>AC42</f>
        <v>0.0491214057507987</v>
      </c>
      <c r="AE42" s="35">
        <f>AD42</f>
        <v>0.0491214057507987</v>
      </c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</row>
    <row r="43" ht="20.05" customHeight="1">
      <c r="AA43" t="s" s="33">
        <v>29</v>
      </c>
      <c r="AB43" s="14">
        <f>AVERAGE(K26)</f>
        <v>0.4</v>
      </c>
      <c r="AC43" s="15">
        <f>AB43</f>
        <v>0.4</v>
      </c>
      <c r="AD43" s="15">
        <f>AC43</f>
        <v>0.4</v>
      </c>
      <c r="AE43" s="15">
        <f>AD43</f>
        <v>0.4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30</v>
      </c>
      <c r="AB44" s="14">
        <f>(AB41*AB42)+AB43</f>
        <v>6.796</v>
      </c>
      <c r="AC44" s="15">
        <f>(AC41*AC42)+AC43</f>
        <v>6.73204</v>
      </c>
      <c r="AD44" s="15">
        <f>(AD41*AD42)+AD43</f>
        <v>6.8586808</v>
      </c>
      <c r="AE44" s="15">
        <f>(AE41*AE42)+AE43</f>
        <v>6.987854416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33">
        <v>31</v>
      </c>
      <c r="AB45" s="14">
        <f>-G26/20</f>
        <v>-16.85</v>
      </c>
      <c r="AC45" s="15">
        <f>-AB60/20</f>
        <v>-16.0075</v>
      </c>
      <c r="AD45" s="15">
        <f>-AC60/20</f>
        <v>-15.207125</v>
      </c>
      <c r="AE45" s="15">
        <f>-AD60/20</f>
        <v>-14.44676875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ht="20.05" customHeight="1">
      <c r="AA46" t="s" s="33">
        <v>32</v>
      </c>
      <c r="AB46" s="39">
        <v>0</v>
      </c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ht="20.05" customHeight="1">
      <c r="AA47" t="s" s="33">
        <v>33</v>
      </c>
      <c r="AB47" s="14">
        <f>IF(AB55&gt;0,AB55*$AB$46,0)</f>
        <v>0</v>
      </c>
      <c r="AC47" s="15">
        <f>IF(AC55&gt;0,AC55*$AB$46,0)</f>
        <v>0</v>
      </c>
      <c r="AD47" s="15">
        <f>IF(AD55&gt;0,AD55*$AB$46,0)</f>
        <v>0</v>
      </c>
      <c r="AE47" s="15">
        <f>IF(AE55&gt;0,AE55*$AB$46,0)</f>
        <v>0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33">
        <v>34</v>
      </c>
      <c r="AB48" s="14">
        <f>AB44+AB45+AB47</f>
        <v>-10.054</v>
      </c>
      <c r="AC48" s="15">
        <f>AC44+AC45+AC47</f>
        <v>-9.275460000000001</v>
      </c>
      <c r="AD48" s="15">
        <f>AD44+AD45+AD47</f>
        <v>-8.348444199999999</v>
      </c>
      <c r="AE48" s="15">
        <f>AE44+AE45+AE47</f>
        <v>-7.458914334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33">
        <v>35</v>
      </c>
      <c r="AB49" s="14">
        <f>-MIN(0,AB48)</f>
        <v>10.054</v>
      </c>
      <c r="AC49" s="15">
        <f>-MIN(AB61,AC48)</f>
        <v>9.275460000000001</v>
      </c>
      <c r="AD49" s="15">
        <f>-MIN(AC61,AD48)</f>
        <v>8.348444199999999</v>
      </c>
      <c r="AE49" s="15">
        <f>-MIN(AD61,AE48)</f>
        <v>7.458914334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36</v>
      </c>
      <c r="AB50" s="14">
        <f>F26</f>
        <v>11</v>
      </c>
      <c r="AC50" s="15">
        <f>AB52</f>
        <v>11</v>
      </c>
      <c r="AD50" s="15">
        <f>AC52</f>
        <v>11</v>
      </c>
      <c r="AE50" s="15">
        <f>AD52</f>
        <v>11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37</v>
      </c>
      <c r="AB51" s="14">
        <f>AB44+AB45+AB47+AB49</f>
        <v>0</v>
      </c>
      <c r="AC51" s="15">
        <f>AC44+AC45+AC47+AC49</f>
        <v>0</v>
      </c>
      <c r="AD51" s="15">
        <f>AD44+AD45+AD47+AD49</f>
        <v>0</v>
      </c>
      <c r="AE51" s="15">
        <f>AE44+AE45+AE47+AE49</f>
        <v>0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38</v>
      </c>
      <c r="AB52" s="14">
        <f>AB50+AB51</f>
        <v>11</v>
      </c>
      <c r="AC52" s="15">
        <f>AC50+AC51</f>
        <v>11</v>
      </c>
      <c r="AD52" s="15">
        <f>AD50+AD51</f>
        <v>11</v>
      </c>
      <c r="AE52" s="15">
        <f>AE50+AE51</f>
        <v>11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41">
        <v>4</v>
      </c>
      <c r="AB53" s="14"/>
      <c r="AC53" s="15"/>
      <c r="AD53" s="15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</row>
    <row r="54" ht="20.05" customHeight="1">
      <c r="AA54" t="s" s="33">
        <v>3</v>
      </c>
      <c r="AB54" s="14">
        <f>-AVERAGE(D24:D26)</f>
        <v>-6.51666666666667</v>
      </c>
      <c r="AC54" s="15">
        <f>AB54</f>
        <v>-6.51666666666667</v>
      </c>
      <c r="AD54" s="15">
        <f>AC54</f>
        <v>-6.51666666666667</v>
      </c>
      <c r="AE54" s="15">
        <f>AD54</f>
        <v>-6.51666666666667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</row>
    <row r="55" ht="20.05" customHeight="1">
      <c r="AA55" t="s" s="33">
        <v>4</v>
      </c>
      <c r="AB55" s="14">
        <f>(AB41*AB42)+AB54</f>
        <v>-0.120666666666673</v>
      </c>
      <c r="AC55" s="15">
        <f>(AC41*AC42)+AC54</f>
        <v>-0.184626666666673</v>
      </c>
      <c r="AD55" s="15">
        <f>(AD41*AD42)+AD54</f>
        <v>-0.0579858666666729</v>
      </c>
      <c r="AE55" s="15">
        <f>(AE41*AE42)+AE54</f>
        <v>0.071187749333327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41">
        <v>39</v>
      </c>
      <c r="AB56" s="14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33">
        <v>40</v>
      </c>
      <c r="AB57" s="14">
        <f>H26-F26-AB43</f>
        <v>748.6</v>
      </c>
      <c r="AC57" s="15">
        <f>AB57-AC43</f>
        <v>748.2</v>
      </c>
      <c r="AD57" s="15">
        <f>AC57-AD43</f>
        <v>747.8</v>
      </c>
      <c r="AE57" s="15">
        <f>AD57-AE43</f>
        <v>747.4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41</v>
      </c>
      <c r="AB58" s="14">
        <f>0-AB54</f>
        <v>6.51666666666667</v>
      </c>
      <c r="AC58" s="15">
        <f>AB58-AC54</f>
        <v>13.0333333333333</v>
      </c>
      <c r="AD58" s="15">
        <f>AC58-AD54</f>
        <v>19.55</v>
      </c>
      <c r="AE58" s="15">
        <f>AD58-AE54</f>
        <v>26.0666666666667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42</v>
      </c>
      <c r="AB59" s="14">
        <f>AB57-AB58</f>
        <v>742.083333333333</v>
      </c>
      <c r="AC59" s="15">
        <f>AC57-AC58</f>
        <v>735.166666666667</v>
      </c>
      <c r="AD59" s="15">
        <f>AD57-AD58</f>
        <v>728.25</v>
      </c>
      <c r="AE59" s="15">
        <f>AE57-AE58</f>
        <v>721.333333333333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33">
        <v>6</v>
      </c>
      <c r="AB60" s="14">
        <f>G26+AB45</f>
        <v>320.15</v>
      </c>
      <c r="AC60" s="15">
        <f>AB60+AC45</f>
        <v>304.1425</v>
      </c>
      <c r="AD60" s="15">
        <f>AC60+AD45</f>
        <v>288.935375</v>
      </c>
      <c r="AE60" s="15">
        <f>AD60+AE45</f>
        <v>274.48860625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20.05" customHeight="1">
      <c r="AA61" t="s" s="33">
        <v>35</v>
      </c>
      <c r="AB61" s="14">
        <f>AB49</f>
        <v>10.054</v>
      </c>
      <c r="AC61" s="15">
        <f>AB61+AC49</f>
        <v>19.32946</v>
      </c>
      <c r="AD61" s="15">
        <f>AC61+AD49</f>
        <v>27.6779042</v>
      </c>
      <c r="AE61" s="15">
        <f>AD61+AE49</f>
        <v>35.136818534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11</v>
      </c>
      <c r="AB62" s="14">
        <f>(H26-G26)+AB55+AB47</f>
        <v>422.879333333333</v>
      </c>
      <c r="AC62" s="15">
        <f>AB62+AC55+AC47</f>
        <v>422.694706666666</v>
      </c>
      <c r="AD62" s="15">
        <f>AC62+AD55+AD47</f>
        <v>422.636720799999</v>
      </c>
      <c r="AE62" s="15">
        <f>AD62+AE55+AE47</f>
        <v>422.707908549332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43</v>
      </c>
      <c r="AB63" s="14">
        <f>AB60+AB61+AB62-AB52-AB59</f>
        <v>0</v>
      </c>
      <c r="AC63" s="15">
        <f>AC60+AC61+AC62-AC52-AC59</f>
        <v>-1e-12</v>
      </c>
      <c r="AD63" s="15">
        <f>AD60+AD61+AD62-AD52-AD59</f>
        <v>-1e-12</v>
      </c>
      <c r="AE63" s="15">
        <f>AE60+AE61+AE62-AE52-AE59</f>
        <v>-1e-12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</row>
    <row r="64" ht="20.05" customHeight="1">
      <c r="AA64" t="s" s="33">
        <v>18</v>
      </c>
      <c r="AB64" s="14">
        <f>AB52-AB60-AB61</f>
        <v>-319.204</v>
      </c>
      <c r="AC64" s="15">
        <f>AC52-AC60-AC61</f>
        <v>-312.47196</v>
      </c>
      <c r="AD64" s="15">
        <f>AD52-AD60-AD61</f>
        <v>-305.6132792</v>
      </c>
      <c r="AE64" s="15">
        <f>AE52-AE60-AE61</f>
        <v>-298.625424784</v>
      </c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</row>
    <row r="65" ht="20.05" customHeight="1">
      <c r="AA65" t="s" s="33">
        <v>44</v>
      </c>
      <c r="AB65" s="14">
        <f>AB45+AB47+AB49</f>
        <v>-6.796</v>
      </c>
      <c r="AC65" s="15">
        <f>AC45+AC47+AC49</f>
        <v>-6.73204</v>
      </c>
      <c r="AD65" s="15">
        <f>AD45+AD47+AD49</f>
        <v>-6.8586808</v>
      </c>
      <c r="AE65" s="15">
        <f>AE45+AE47+AE49</f>
        <v>-6.987854416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</row>
    <row r="66" ht="20.05" customHeight="1">
      <c r="AA66" t="s" s="33">
        <v>45</v>
      </c>
      <c r="AB66" s="14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96">
        <v>322</v>
      </c>
      <c r="AB67" s="14"/>
      <c r="AC67" s="15"/>
      <c r="AD67" s="15"/>
      <c r="AE67" s="15">
        <v>125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8.35" customHeight="1" hidden="1">
      <c r="AA68" t="s" s="33">
        <f>$AA67</f>
        <v>667</v>
      </c>
      <c r="AB68" s="14"/>
      <c r="AC68" s="15"/>
      <c r="AD68" s="15"/>
      <c r="AE68" s="15">
        <v>133750000000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20.05" customHeight="1">
      <c r="AA69" t="s" s="33">
        <v>46</v>
      </c>
      <c r="AB69" s="14"/>
      <c r="AC69" s="15"/>
      <c r="AD69" s="15"/>
      <c r="AE69" s="15">
        <f>AE68/1000000000</f>
        <v>133.75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47</v>
      </c>
      <c r="AB70" s="14"/>
      <c r="AC70" s="15"/>
      <c r="AD70" s="15"/>
      <c r="AE70" s="15">
        <f>AE69/AE67</f>
        <v>1.07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</row>
    <row r="71" ht="20.05" customHeight="1">
      <c r="AA71" t="s" s="33">
        <v>48</v>
      </c>
      <c r="AB71" s="14"/>
      <c r="AC71" s="15"/>
      <c r="AD71" s="15"/>
      <c r="AE71" s="43">
        <f>AE69/(AE52+AE59)</f>
        <v>0.182635411925353</v>
      </c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</row>
    <row r="72" ht="20.05" customHeight="1">
      <c r="AA72" t="s" s="33">
        <v>49</v>
      </c>
      <c r="AB72" s="14"/>
      <c r="AC72" s="15"/>
      <c r="AD72" s="15"/>
      <c r="AE72" s="16">
        <f>-(AB47+AC47+AD47+AE47)/AE69</f>
        <v>0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</row>
    <row r="73" ht="20.05" customHeight="1">
      <c r="AA73" t="s" s="33">
        <v>50</v>
      </c>
      <c r="AB73" s="14"/>
      <c r="AC73" s="15"/>
      <c r="AD73" s="15"/>
      <c r="AE73" s="15">
        <f>SUM(AB44:AE44)</f>
        <v>27.374575216</v>
      </c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</row>
    <row r="74" ht="20.05" customHeight="1">
      <c r="AA74" t="s" s="33">
        <v>51</v>
      </c>
      <c r="AB74" s="14"/>
      <c r="AC74" s="15"/>
      <c r="AD74" s="15"/>
      <c r="AE74" s="15">
        <f>(H26+F26)/AE73</f>
        <v>28.1648206014668</v>
      </c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</row>
    <row r="75" ht="20.05" customHeight="1">
      <c r="AA75" t="s" s="33">
        <v>52</v>
      </c>
      <c r="AB75" s="14"/>
      <c r="AC75" s="15"/>
      <c r="AD75" s="15">
        <f>AE69/AE73</f>
        <v>4.88592056478105</v>
      </c>
      <c r="AE75" s="15">
        <v>6.5</v>
      </c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</row>
    <row r="76" ht="20.05" customHeight="1">
      <c r="AA76" t="s" s="33">
        <v>53</v>
      </c>
      <c r="AB76" s="14"/>
      <c r="AC76" s="15"/>
      <c r="AD76" s="15"/>
      <c r="AE76" s="15">
        <f>AE73*AE75</f>
        <v>177.934738904</v>
      </c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</row>
    <row r="77" ht="20.05" customHeight="1">
      <c r="AA77" t="s" s="33">
        <v>54</v>
      </c>
      <c r="AB77" s="14"/>
      <c r="AC77" s="15"/>
      <c r="AD77" s="15"/>
      <c r="AE77" s="15">
        <f>AE76/AE70</f>
        <v>166.294148508411</v>
      </c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</row>
    <row r="78" ht="20.05" customHeight="1">
      <c r="AA78" t="s" s="33">
        <v>55</v>
      </c>
      <c r="AB78" s="38"/>
      <c r="AC78" s="23"/>
      <c r="AD78" s="23"/>
      <c r="AE78" s="16">
        <f>AE77/AE67-1</f>
        <v>0.330353188067288</v>
      </c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</row>
    <row r="79" ht="20.05" customHeight="1">
      <c r="AA79" t="s" s="33">
        <v>56</v>
      </c>
      <c r="AB79" s="38"/>
      <c r="AC79" s="23"/>
      <c r="AD79" s="23"/>
      <c r="AE79" s="16">
        <f>C26/C22-1</f>
        <v>1.23172905525847</v>
      </c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</row>
    <row r="80" ht="20.05" customHeight="1">
      <c r="AA80" t="s" s="33">
        <v>57</v>
      </c>
      <c r="AB80" s="38"/>
      <c r="AC80" s="23"/>
      <c r="AD80" s="23"/>
      <c r="AE80" s="16">
        <f>O28/N28-1</f>
        <v>0.101770663002405</v>
      </c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</row>
    <row r="81" ht="8.35" customHeight="1" hidden="1">
      <c r="AA81" s="98"/>
      <c r="AB81" s="38"/>
      <c r="AC81" s="23"/>
      <c r="AD81" s="23"/>
      <c r="AE81" s="16"/>
      <c r="AF81" s="99"/>
      <c r="AG81" s="99"/>
      <c r="AH81" s="99"/>
      <c r="AI81" s="99"/>
      <c r="AJ81" s="99"/>
      <c r="AK81" s="99"/>
      <c r="AL81" s="99"/>
      <c r="AM81" s="99"/>
      <c r="AN81" s="99"/>
      <c r="AO81" s="99"/>
      <c r="AP81" s="99"/>
      <c r="AQ81" s="99"/>
      <c r="AR81" s="99"/>
      <c r="AS81" s="99"/>
    </row>
    <row r="82" ht="8.35" customHeight="1" hidden="1">
      <c r="AA82" s="36"/>
      <c r="AB82" t="s" s="100">
        <f>$AA67</f>
        <v>668</v>
      </c>
      <c r="AC82" t="s" s="44">
        <v>60</v>
      </c>
      <c r="AD82" s="26">
        <f>AE67</f>
        <v>125</v>
      </c>
      <c r="AE82" t="s" s="44">
        <v>61</v>
      </c>
      <c r="AF82" s="101">
        <f>AE77</f>
        <v>166.294148508411</v>
      </c>
      <c r="AG82" t="s" s="102">
        <f>IF(AH82&gt;0,"+","")</f>
        <v>361</v>
      </c>
      <c r="AH82" s="99">
        <f>AF82/AD82-1</f>
        <v>0.330353188067288</v>
      </c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</row>
    <row r="83" ht="8.35" customHeight="1" hidden="1">
      <c r="AA83" s="36"/>
      <c r="AB83" s="46">
        <f>TODAY()</f>
        <v>44942</v>
      </c>
      <c r="AC83" s="17"/>
      <c r="AD83" s="17"/>
      <c r="AE83" s="17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</row>
    <row r="84" ht="8.35" customHeight="1" hidden="1">
      <c r="AA84" s="36"/>
      <c r="AB84" t="s" s="45">
        <v>62</v>
      </c>
      <c r="AC84" s="17"/>
      <c r="AD84" s="17"/>
      <c r="AE84" s="17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</row>
    <row r="85" ht="8.35" customHeight="1" hidden="1">
      <c r="AA85" s="36"/>
      <c r="AB85" t="s" s="45">
        <v>63</v>
      </c>
      <c r="AC85" t="s" s="44">
        <v>64</v>
      </c>
      <c r="AD85" t="s" s="44">
        <f>IF(AE85&gt;0,"+","")</f>
        <v>361</v>
      </c>
      <c r="AE85" s="16">
        <f>AF92/AB92-1</f>
        <v>1.23172905525847</v>
      </c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</row>
    <row r="86" ht="8.35" customHeight="1" hidden="1">
      <c r="AA86" s="36"/>
      <c r="AB86" t="s" s="45">
        <v>63</v>
      </c>
      <c r="AC86" t="s" s="44">
        <v>65</v>
      </c>
      <c r="AD86" t="s" s="44">
        <f>IF(AE86&gt;0,"+","")</f>
      </c>
      <c r="AE86" s="16">
        <f>SUM(AC105:AF106)/AC122</f>
        <v>-0.118130841121495</v>
      </c>
      <c r="AF86" t="s" s="102">
        <v>66</v>
      </c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</row>
    <row r="87" ht="8.35" customHeight="1" hidden="1">
      <c r="AA87" s="36"/>
      <c r="AB87" t="s" s="45">
        <v>63</v>
      </c>
      <c r="AC87" t="s" s="44">
        <v>17</v>
      </c>
      <c r="AD87" t="s" s="44">
        <f>IF(AE87&gt;0,"+","")</f>
        <v>361</v>
      </c>
      <c r="AE87" s="16">
        <f>SUM(AC119:AF120)/AC122</f>
        <v>0.00299065420560748</v>
      </c>
      <c r="AF87" t="s" s="102">
        <f>AF86</f>
        <v>66</v>
      </c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</row>
    <row r="88" ht="8.35" customHeight="1" hidden="1">
      <c r="AA88" s="36"/>
      <c r="AB88" t="s" s="45">
        <v>68</v>
      </c>
      <c r="AC88" t="s" s="44">
        <v>369</v>
      </c>
      <c r="AD88" s="16">
        <f>AM115/AC122</f>
        <v>-2.43738317757009</v>
      </c>
      <c r="AE88" t="s" s="44">
        <f>AF87</f>
        <v>66</v>
      </c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</row>
    <row r="89" ht="8.35" customHeight="1" hidden="1">
      <c r="AA89" s="36"/>
      <c r="AB89" t="s" s="45">
        <v>28</v>
      </c>
      <c r="AC89" t="s" s="44">
        <f>AC93</f>
        <v>362</v>
      </c>
      <c r="AD89" s="16">
        <f>AD93</f>
        <v>1.11844331641286</v>
      </c>
      <c r="AE89" s="17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</row>
    <row r="90" ht="8.35" customHeight="1" hidden="1">
      <c r="AA90" s="36"/>
      <c r="AB90" t="s" s="45">
        <v>70</v>
      </c>
      <c r="AC90" t="s" s="44">
        <v>371</v>
      </c>
      <c r="AD90" t="s" s="44">
        <f>AJ93</f>
        <v>372</v>
      </c>
      <c r="AE90" s="17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</row>
    <row r="91" ht="8.35" customHeight="1" hidden="1">
      <c r="AA91" s="36"/>
      <c r="AB91" s="71">
        <f>P22</f>
        <v>0.375</v>
      </c>
      <c r="AC91" s="16">
        <f>P23</f>
        <v>0.133689839572193</v>
      </c>
      <c r="AD91" s="16">
        <f>P24</f>
        <v>0.163522012578616</v>
      </c>
      <c r="AE91" s="16">
        <f>P25</f>
        <v>-0.201351351351351</v>
      </c>
      <c r="AF91" s="99">
        <f>P26</f>
        <v>1.11844331641286</v>
      </c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</row>
    <row r="92" ht="8.35" customHeight="1" hidden="1">
      <c r="AA92" s="36"/>
      <c r="AB92" s="67">
        <f>C22</f>
        <v>56.1</v>
      </c>
      <c r="AC92" s="26">
        <f>C23</f>
        <v>63.6</v>
      </c>
      <c r="AD92" s="26">
        <f>C24</f>
        <v>74</v>
      </c>
      <c r="AE92" s="26">
        <f>C25</f>
        <v>59.1</v>
      </c>
      <c r="AF92" s="101">
        <f>C26</f>
        <v>125.2</v>
      </c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</row>
    <row r="93" ht="8.35" customHeight="1" hidden="1">
      <c r="AA93" s="36"/>
      <c r="AB93" t="s" s="45">
        <v>2</v>
      </c>
      <c r="AC93" t="s" s="44">
        <f>IF(AD93&lt;0,"declined","grew")</f>
        <v>362</v>
      </c>
      <c r="AD93" s="16">
        <f>AF92/AE92-1</f>
        <v>1.11844331641286</v>
      </c>
      <c r="AE93" t="s" s="44">
        <v>73</v>
      </c>
      <c r="AF93" t="s" s="102">
        <v>74</v>
      </c>
      <c r="AG93" t="s" s="102">
        <v>75</v>
      </c>
      <c r="AH93" t="s" s="102">
        <v>76</v>
      </c>
      <c r="AI93" s="101">
        <f>AF92</f>
        <v>125.2</v>
      </c>
      <c r="AJ93" t="s" s="102">
        <v>372</v>
      </c>
      <c r="AK93" t="s" s="102">
        <v>378</v>
      </c>
      <c r="AL93" s="99">
        <v>0.0297063450445726</v>
      </c>
      <c r="AM93" t="s" s="102">
        <v>78</v>
      </c>
      <c r="AN93" s="103"/>
      <c r="AO93" s="103"/>
      <c r="AP93" s="103"/>
      <c r="AQ93" s="103"/>
      <c r="AR93" s="103"/>
      <c r="AS93" s="103"/>
    </row>
    <row r="94" ht="8.35" customHeight="1" hidden="1">
      <c r="AA94" s="36"/>
      <c r="AB94" t="s" s="45">
        <v>79</v>
      </c>
      <c r="AC94" s="16">
        <f>AVERAGE(AC91:AF91)</f>
        <v>0.30357595430308</v>
      </c>
      <c r="AD94" t="s" s="44">
        <v>80</v>
      </c>
      <c r="AE94" s="17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</row>
    <row r="95" ht="8.35" customHeight="1" hidden="1">
      <c r="AA95" s="36"/>
      <c r="AB95" t="s" s="45">
        <v>81</v>
      </c>
      <c r="AC95" s="35">
        <f>AE39</f>
        <v>0.0175</v>
      </c>
      <c r="AD95" t="s" s="44">
        <v>82</v>
      </c>
      <c r="AE95" t="s" s="44">
        <v>83</v>
      </c>
      <c r="AF95" s="101">
        <f>AE41</f>
        <v>134.113719168</v>
      </c>
      <c r="AG95" t="s" s="102">
        <f>AJ93</f>
        <v>372</v>
      </c>
      <c r="AH95" t="s" s="102">
        <v>84</v>
      </c>
      <c r="AI95" t="s" s="102">
        <f>AF93</f>
        <v>74</v>
      </c>
      <c r="AJ95" t="s" s="102">
        <f>AG93</f>
        <v>75</v>
      </c>
      <c r="AK95" t="s" s="102">
        <v>85</v>
      </c>
      <c r="AL95" s="103"/>
      <c r="AM95" s="103"/>
      <c r="AN95" s="103"/>
      <c r="AO95" s="103"/>
      <c r="AP95" s="103"/>
      <c r="AQ95" s="103"/>
      <c r="AR95" s="103"/>
      <c r="AS95" s="103"/>
    </row>
    <row r="96" ht="8.35" customHeight="1" hidden="1">
      <c r="AA96" s="36"/>
      <c r="AB96" t="s" s="45">
        <v>574</v>
      </c>
      <c r="AC96" t="s" s="44">
        <f>IF(AE100&lt;AC100,"up","down")</f>
        <v>87</v>
      </c>
      <c r="AD96" t="s" s="44">
        <v>86</v>
      </c>
      <c r="AE96" t="s" s="44">
        <f>IF(AI100&gt;AG100,"up","down")</f>
        <v>108</v>
      </c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</row>
    <row r="97" ht="8.35" customHeight="1" hidden="1">
      <c r="AA97" s="36"/>
      <c r="AB97" t="s" s="45">
        <f>AB90</f>
        <v>70</v>
      </c>
      <c r="AC97" t="s" s="44">
        <v>474</v>
      </c>
      <c r="AD97" t="s" s="44">
        <f>AJ93</f>
        <v>372</v>
      </c>
      <c r="AE97" s="17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</row>
    <row r="98" ht="8.35" customHeight="1" hidden="1">
      <c r="AA98" s="36"/>
      <c r="AB98" s="71">
        <f>(D22+E22)/C22</f>
        <v>-0.0864527629233512</v>
      </c>
      <c r="AC98" s="16">
        <f>(D23+E23)/C23</f>
        <v>-1.85849056603774</v>
      </c>
      <c r="AD98" s="16">
        <f>(D24+E24)/C24</f>
        <v>0.022972972972973</v>
      </c>
      <c r="AE98" s="16">
        <f>(D25+E25)/C25</f>
        <v>-0.09983079526226731</v>
      </c>
      <c r="AF98" s="99">
        <f>(D26+E26)/C26</f>
        <v>0.0491214057507987</v>
      </c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</row>
    <row r="99" ht="8.35" customHeight="1" hidden="1">
      <c r="AA99" s="36"/>
      <c r="AB99" s="67">
        <f>E22</f>
        <v>-16.5</v>
      </c>
      <c r="AC99" s="26">
        <f>E23</f>
        <v>-82.3</v>
      </c>
      <c r="AD99" s="26">
        <f>E24</f>
        <v>-4</v>
      </c>
      <c r="AE99" s="26">
        <f>E25</f>
        <v>-14.2</v>
      </c>
      <c r="AF99" s="101">
        <f>E26</f>
        <v>0.6</v>
      </c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</row>
    <row r="100" ht="8.35" customHeight="1" hidden="1">
      <c r="AA100" s="36"/>
      <c r="AB100" t="s" s="45">
        <v>89</v>
      </c>
      <c r="AC100" s="16">
        <f>AE98</f>
        <v>-0.09983079526226731</v>
      </c>
      <c r="AD100" t="s" s="44">
        <v>76</v>
      </c>
      <c r="AE100" s="16">
        <f>AF98</f>
        <v>0.0491214057507987</v>
      </c>
      <c r="AF100" t="s" s="102">
        <v>90</v>
      </c>
      <c r="AG100" s="101">
        <f>AE99</f>
        <v>-14.2</v>
      </c>
      <c r="AH100" t="s" s="102">
        <v>76</v>
      </c>
      <c r="AI100" s="101">
        <f>AF99</f>
        <v>0.6</v>
      </c>
      <c r="AJ100" t="s" s="102">
        <f>AG95</f>
        <v>372</v>
      </c>
      <c r="AK100" t="s" s="102">
        <v>73</v>
      </c>
      <c r="AL100" t="s" s="102">
        <f>AI95</f>
        <v>74</v>
      </c>
      <c r="AM100" t="s" s="102">
        <v>91</v>
      </c>
      <c r="AN100" s="103"/>
      <c r="AO100" s="103"/>
      <c r="AP100" s="103"/>
      <c r="AQ100" s="103"/>
      <c r="AR100" s="103"/>
      <c r="AS100" s="103"/>
    </row>
    <row r="101" ht="8.35" customHeight="1" hidden="1">
      <c r="AA101" s="36"/>
      <c r="AB101" t="s" s="45">
        <v>92</v>
      </c>
      <c r="AC101" s="16">
        <f>AVERAGE(AC98:AF98)</f>
        <v>-0.471556745644059</v>
      </c>
      <c r="AD101" t="s" s="44">
        <v>78</v>
      </c>
      <c r="AE101" s="17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</row>
    <row r="102" ht="8.35" customHeight="1" hidden="1">
      <c r="AA102" s="36"/>
      <c r="AB102" t="s" s="45">
        <v>93</v>
      </c>
      <c r="AC102" s="35">
        <f>AB42</f>
        <v>0.0491214057507987</v>
      </c>
      <c r="AD102" t="s" s="44">
        <v>94</v>
      </c>
      <c r="AE102" s="26">
        <f>AE55</f>
        <v>0.071187749333327</v>
      </c>
      <c r="AF102" t="s" s="102">
        <f>AJ100</f>
        <v>372</v>
      </c>
      <c r="AG102" t="s" s="102">
        <v>95</v>
      </c>
      <c r="AH102" t="s" s="102">
        <f>AL100</f>
        <v>74</v>
      </c>
      <c r="AI102" t="s" s="102">
        <f>AG93</f>
        <v>75</v>
      </c>
      <c r="AJ102" t="s" s="102">
        <f>AK95</f>
        <v>85</v>
      </c>
      <c r="AK102" s="103"/>
      <c r="AL102" s="103"/>
      <c r="AM102" s="103"/>
      <c r="AN102" s="103"/>
      <c r="AO102" s="103"/>
      <c r="AP102" s="103"/>
      <c r="AQ102" s="103"/>
      <c r="AR102" s="103"/>
      <c r="AS102" s="103"/>
    </row>
    <row r="103" ht="8.35" customHeight="1" hidden="1">
      <c r="AA103" s="36"/>
      <c r="AB103" t="s" s="45">
        <v>15</v>
      </c>
      <c r="AC103" t="s" s="44">
        <f>IF(AE107&lt;AC107,"lower","higher")</f>
        <v>363</v>
      </c>
      <c r="AD103" s="17"/>
      <c r="AE103" s="17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</row>
    <row r="104" ht="8.35" customHeight="1" hidden="1">
      <c r="AA104" s="36"/>
      <c r="AB104" t="s" s="45">
        <f>AB97</f>
        <v>70</v>
      </c>
      <c r="AC104" t="s" s="44">
        <v>96</v>
      </c>
      <c r="AD104" t="s" s="44">
        <f>AJ93</f>
        <v>372</v>
      </c>
      <c r="AE104" s="17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</row>
    <row r="105" ht="8.35" customHeight="1" hidden="1">
      <c r="AA105" s="36"/>
      <c r="AB105" s="67">
        <f>J22</f>
        <v>-90.503</v>
      </c>
      <c r="AC105" s="26">
        <f>J23</f>
        <v>-38.5</v>
      </c>
      <c r="AD105" s="26">
        <f>J24</f>
        <v>-11.5</v>
      </c>
      <c r="AE105" s="26">
        <f>J25</f>
        <v>-11.3</v>
      </c>
      <c r="AF105" s="101">
        <f>J26</f>
        <v>8.6</v>
      </c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</row>
    <row r="106" ht="8.35" customHeight="1" hidden="1">
      <c r="AA106" s="36"/>
      <c r="AB106" s="67">
        <f>K22</f>
        <v>144.9</v>
      </c>
      <c r="AC106" s="26">
        <f>K23</f>
        <v>36.2</v>
      </c>
      <c r="AD106" s="26">
        <f>K24</f>
        <v>0.7</v>
      </c>
      <c r="AE106" s="26">
        <f>K25</f>
        <v>-0.4</v>
      </c>
      <c r="AF106" s="101">
        <f>K26</f>
        <v>0.4</v>
      </c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</row>
    <row r="107" ht="8.35" customHeight="1" hidden="1">
      <c r="AA107" s="36"/>
      <c r="AB107" t="s" s="45">
        <v>97</v>
      </c>
      <c r="AC107" s="26">
        <f>AE105+AE106</f>
        <v>-11.7</v>
      </c>
      <c r="AD107" t="s" s="44">
        <v>76</v>
      </c>
      <c r="AE107" s="26">
        <f>AF105+AF106</f>
        <v>9</v>
      </c>
      <c r="AF107" t="s" s="102">
        <f>AF102</f>
        <v>372</v>
      </c>
      <c r="AG107" t="s" s="102">
        <v>84</v>
      </c>
      <c r="AH107" t="s" s="102">
        <f>AH102</f>
        <v>74</v>
      </c>
      <c r="AI107" t="s" s="102">
        <v>98</v>
      </c>
      <c r="AJ107" s="101">
        <f>AF106</f>
        <v>0.4</v>
      </c>
      <c r="AK107" t="s" s="102">
        <f>AJ93</f>
        <v>372</v>
      </c>
      <c r="AL107" t="s" s="102">
        <v>99</v>
      </c>
      <c r="AM107" s="103"/>
      <c r="AN107" s="103"/>
      <c r="AO107" s="103"/>
      <c r="AP107" s="103"/>
      <c r="AQ107" s="103"/>
      <c r="AR107" s="103"/>
      <c r="AS107" s="103"/>
    </row>
    <row r="108" ht="8.35" customHeight="1" hidden="1">
      <c r="AA108" s="36"/>
      <c r="AB108" t="s" s="45">
        <v>100</v>
      </c>
      <c r="AC108" s="26">
        <f>SUM(AC105:AF106)/4</f>
        <v>-3.95</v>
      </c>
      <c r="AD108" t="s" s="44">
        <f>AJ93</f>
        <v>372</v>
      </c>
      <c r="AE108" t="s" s="44">
        <v>78</v>
      </c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</row>
    <row r="109" ht="8.35" customHeight="1" hidden="1">
      <c r="AA109" s="36"/>
      <c r="AB109" t="s" s="45">
        <v>101</v>
      </c>
      <c r="AC109" s="26">
        <f>AB43</f>
        <v>0.4</v>
      </c>
      <c r="AD109" t="s" s="44">
        <f>AD108</f>
        <v>372</v>
      </c>
      <c r="AE109" t="s" s="44">
        <v>102</v>
      </c>
      <c r="AF109" t="s" s="102">
        <v>103</v>
      </c>
      <c r="AG109" t="s" s="102">
        <f>IF(AF95&gt;AI93,"higher","lower")</f>
        <v>363</v>
      </c>
      <c r="AH109" t="s" s="102">
        <v>105</v>
      </c>
      <c r="AI109" s="101">
        <f>SUM(AB44:AE44)/4</f>
        <v>6.843643804</v>
      </c>
      <c r="AJ109" t="s" s="102">
        <f>AD109</f>
        <v>372</v>
      </c>
      <c r="AK109" t="s" s="102">
        <v>106</v>
      </c>
      <c r="AL109" t="s" s="102">
        <v>107</v>
      </c>
      <c r="AM109" s="103"/>
      <c r="AN109" s="103"/>
      <c r="AO109" s="103"/>
      <c r="AP109" s="103"/>
      <c r="AQ109" s="103"/>
      <c r="AR109" s="103"/>
      <c r="AS109" s="103"/>
    </row>
    <row r="110" ht="8.35" customHeight="1" hidden="1">
      <c r="AA110" s="36"/>
      <c r="AB110" t="s" s="45">
        <v>18</v>
      </c>
      <c r="AC110" t="s" s="44">
        <f>AJ115</f>
        <v>87</v>
      </c>
      <c r="AD110" s="17"/>
      <c r="AE110" s="17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</row>
    <row r="111" ht="8.35" customHeight="1" hidden="1">
      <c r="AA111" s="36"/>
      <c r="AB111" t="s" s="45">
        <f>AB90</f>
        <v>70</v>
      </c>
      <c r="AC111" t="s" s="44">
        <v>109</v>
      </c>
      <c r="AD111" t="s" s="44">
        <f>AJ93</f>
        <v>372</v>
      </c>
      <c r="AE111" s="17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</row>
    <row r="112" ht="8.35" customHeight="1" hidden="1">
      <c r="AA112" s="36"/>
      <c r="AB112" s="67">
        <f>F22</f>
        <v>27</v>
      </c>
      <c r="AC112" s="26">
        <f>F23</f>
        <v>3</v>
      </c>
      <c r="AD112" s="26">
        <f>F24</f>
        <v>3</v>
      </c>
      <c r="AE112" s="26">
        <f>F25</f>
        <v>3</v>
      </c>
      <c r="AF112" s="101">
        <f>F26</f>
        <v>11</v>
      </c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</row>
    <row r="113" ht="8.35" customHeight="1" hidden="1">
      <c r="AA113" s="36"/>
      <c r="AB113" s="67">
        <f>G22</f>
        <v>474</v>
      </c>
      <c r="AC113" s="26">
        <f>G23</f>
        <v>274</v>
      </c>
      <c r="AD113" s="26">
        <f>G24</f>
        <v>275</v>
      </c>
      <c r="AE113" s="26">
        <f>G25</f>
        <v>308</v>
      </c>
      <c r="AF113" s="101">
        <f>G26</f>
        <v>337</v>
      </c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</row>
    <row r="114" ht="8.35" customHeight="1" hidden="1">
      <c r="AA114" s="36"/>
      <c r="AB114" t="s" s="45">
        <v>110</v>
      </c>
      <c r="AC114" t="s" s="44">
        <f>IF(AF114&lt;AD114,"declined","increased")</f>
        <v>111</v>
      </c>
      <c r="AD114" s="26">
        <f>AE112</f>
        <v>3</v>
      </c>
      <c r="AE114" t="s" s="44">
        <v>76</v>
      </c>
      <c r="AF114" s="101">
        <f>AF112</f>
        <v>11</v>
      </c>
      <c r="AG114" t="s" s="102">
        <f>AJ109</f>
        <v>372</v>
      </c>
      <c r="AH114" t="s" s="102">
        <v>84</v>
      </c>
      <c r="AI114" t="s" s="102">
        <f>AF93</f>
        <v>74</v>
      </c>
      <c r="AJ114" t="s" s="102">
        <f>AM100</f>
        <v>91</v>
      </c>
      <c r="AK114" s="103"/>
      <c r="AL114" s="103"/>
      <c r="AM114" s="103"/>
      <c r="AN114" s="103"/>
      <c r="AO114" s="103"/>
      <c r="AP114" s="103"/>
      <c r="AQ114" s="103"/>
      <c r="AR114" s="103"/>
      <c r="AS114" s="103"/>
    </row>
    <row r="115" ht="8.35" customHeight="1" hidden="1">
      <c r="AA115" s="36"/>
      <c r="AB115" t="s" s="45">
        <v>112</v>
      </c>
      <c r="AC115" t="s" s="44">
        <f>IF(AF115&lt;AD115,"declined","increased")</f>
        <v>111</v>
      </c>
      <c r="AD115" s="26">
        <f>AE113</f>
        <v>308</v>
      </c>
      <c r="AE115" t="s" s="44">
        <v>76</v>
      </c>
      <c r="AF115" s="101">
        <f>AF113</f>
        <v>337</v>
      </c>
      <c r="AG115" t="s" s="102">
        <f>AG114</f>
        <v>372</v>
      </c>
      <c r="AH115" t="s" s="102">
        <v>113</v>
      </c>
      <c r="AI115" t="s" s="102">
        <v>114</v>
      </c>
      <c r="AJ115" t="s" s="102">
        <f>IF(AM115&lt;AK115,"down","up")</f>
        <v>87</v>
      </c>
      <c r="AK115" s="101">
        <f>AD114-AD115</f>
        <v>-305</v>
      </c>
      <c r="AL115" t="s" s="102">
        <v>76</v>
      </c>
      <c r="AM115" s="101">
        <f>AF114-AF115</f>
        <v>-326</v>
      </c>
      <c r="AN115" t="s" s="102">
        <f>AG115</f>
        <v>372</v>
      </c>
      <c r="AO115" t="s" s="102">
        <v>115</v>
      </c>
      <c r="AP115" s="103"/>
      <c r="AQ115" s="103"/>
      <c r="AR115" s="103"/>
      <c r="AS115" s="103"/>
    </row>
    <row r="116" ht="8.35" customHeight="1" hidden="1">
      <c r="AA116" s="36"/>
      <c r="AB116" t="s" s="45">
        <v>116</v>
      </c>
      <c r="AC116" s="26">
        <f>SUM(AB47:AE47)</f>
        <v>0</v>
      </c>
      <c r="AD116" t="s" s="44">
        <f>AG115</f>
        <v>372</v>
      </c>
      <c r="AE116" t="s" s="44">
        <v>117</v>
      </c>
      <c r="AF116" t="s" s="102">
        <f>IF(AG116&gt;0,"+","")</f>
      </c>
      <c r="AG116" s="101">
        <f>AB45+AC45+AD45+AE45+AB49+AC49+AD49+AE49</f>
        <v>-27.374575216</v>
      </c>
      <c r="AH116" t="s" s="102">
        <f>AN115</f>
        <v>372</v>
      </c>
      <c r="AI116" t="s" s="102">
        <v>118</v>
      </c>
      <c r="AJ116" t="s" s="102">
        <v>119</v>
      </c>
      <c r="AK116" s="101">
        <f>AE64</f>
        <v>-298.625424784</v>
      </c>
      <c r="AL116" t="s" s="102">
        <f>AG115</f>
        <v>372</v>
      </c>
      <c r="AM116" t="s" s="102">
        <v>120</v>
      </c>
      <c r="AN116" s="103"/>
      <c r="AO116" s="103"/>
      <c r="AP116" s="103"/>
      <c r="AQ116" s="103"/>
      <c r="AR116" s="103"/>
      <c r="AS116" s="103"/>
    </row>
    <row r="117" ht="8.35" customHeight="1" hidden="1">
      <c r="AA117" s="36"/>
      <c r="AB117" t="s" s="45">
        <v>17</v>
      </c>
      <c r="AC117" t="s" s="44">
        <f>AC121</f>
        <v>374</v>
      </c>
      <c r="AD117" s="17"/>
      <c r="AE117" s="17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</row>
    <row r="118" ht="8.35" customHeight="1" hidden="1">
      <c r="AA118" s="36"/>
      <c r="AB118" t="s" s="45">
        <f>AB90</f>
        <v>70</v>
      </c>
      <c r="AC118" t="s" s="44">
        <v>379</v>
      </c>
      <c r="AD118" t="s" s="44">
        <f>AJ93</f>
        <v>372</v>
      </c>
      <c r="AE118" s="17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</row>
    <row r="119" ht="8.35" customHeight="1" hidden="1">
      <c r="AA119" s="36"/>
      <c r="AB119" s="67">
        <f>-L22</f>
        <v>30.1</v>
      </c>
      <c r="AC119" s="26">
        <f>-L23</f>
        <v>22.2</v>
      </c>
      <c r="AD119" s="26">
        <f>-L24</f>
        <v>-10.9</v>
      </c>
      <c r="AE119" s="26">
        <f>-L25</f>
        <v>-12.1</v>
      </c>
      <c r="AF119" s="101">
        <f>-L26</f>
        <v>1.2</v>
      </c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</row>
    <row r="120" ht="8.35" customHeight="1" hidden="1">
      <c r="AA120" s="36"/>
      <c r="AB120" s="67">
        <f>-M22</f>
        <v>0</v>
      </c>
      <c r="AC120" s="26">
        <f>-M23</f>
        <v>0</v>
      </c>
      <c r="AD120" s="26">
        <f>-M24</f>
        <v>0</v>
      </c>
      <c r="AE120" s="26">
        <f>-M25</f>
        <v>0</v>
      </c>
      <c r="AF120" s="101">
        <f>-M26</f>
        <v>0</v>
      </c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</row>
    <row r="121" ht="8.35" customHeight="1" hidden="1">
      <c r="AA121" s="36"/>
      <c r="AB121" t="s" s="100">
        <f>AB82</f>
        <v>668</v>
      </c>
      <c r="AC121" t="s" s="44">
        <f>IF(AD121&gt;0,"paid","(raised)")</f>
        <v>374</v>
      </c>
      <c r="AD121" s="26">
        <f>SUM(AF119:AF120)</f>
        <v>1.2</v>
      </c>
      <c r="AE121" t="s" s="44">
        <f>AJ93</f>
        <v>372</v>
      </c>
      <c r="AF121" t="s" s="102">
        <f>AE93</f>
        <v>73</v>
      </c>
      <c r="AG121" t="s" s="102">
        <f>AF93</f>
        <v>74</v>
      </c>
      <c r="AH121" t="s" s="102">
        <f>AG93</f>
        <v>75</v>
      </c>
      <c r="AI121" s="101">
        <f>AF119</f>
        <v>1.2</v>
      </c>
      <c r="AJ121" t="s" s="102">
        <f>AJ93</f>
        <v>372</v>
      </c>
      <c r="AK121" t="s" s="102">
        <v>123</v>
      </c>
      <c r="AL121" s="101">
        <f>AF120</f>
        <v>0</v>
      </c>
      <c r="AM121" t="s" s="102">
        <f>AJ93</f>
        <v>372</v>
      </c>
      <c r="AN121" t="s" s="102">
        <v>389</v>
      </c>
      <c r="AO121" t="s" s="102">
        <v>475</v>
      </c>
      <c r="AP121" t="s" s="102">
        <f>IF(AQ121&gt;0,"pay","raise")</f>
        <v>364</v>
      </c>
      <c r="AQ121" s="101">
        <f>-SUM(AB65:AE65)</f>
        <v>27.374575216</v>
      </c>
      <c r="AR121" t="s" s="102">
        <f>AJ93</f>
        <v>372</v>
      </c>
      <c r="AS121" t="s" s="102">
        <v>126</v>
      </c>
    </row>
    <row r="122" ht="8.35" customHeight="1" hidden="1">
      <c r="AA122" s="36"/>
      <c r="AB122" t="s" s="45">
        <v>375</v>
      </c>
      <c r="AC122" s="26">
        <f>AE69</f>
        <v>133.75</v>
      </c>
      <c r="AD122" t="s" s="44">
        <f>AJ93</f>
        <v>372</v>
      </c>
      <c r="AE122" t="s" s="44">
        <v>128</v>
      </c>
      <c r="AF122" t="s" s="102">
        <v>129</v>
      </c>
      <c r="AG122" s="101">
        <f>AE71</f>
        <v>0.182635411925353</v>
      </c>
      <c r="AH122" t="s" s="102">
        <v>130</v>
      </c>
      <c r="AI122" t="s" s="102">
        <v>131</v>
      </c>
      <c r="AJ122" t="s" s="102">
        <v>132</v>
      </c>
      <c r="AK122" s="101">
        <f>AE74</f>
        <v>28.1648206014668</v>
      </c>
      <c r="AL122" t="s" s="102">
        <v>133</v>
      </c>
      <c r="AM122" s="99">
        <f>-AC116/AC122</f>
        <v>0</v>
      </c>
      <c r="AN122" t="s" s="102">
        <v>134</v>
      </c>
      <c r="AO122" s="103"/>
      <c r="AP122" s="103"/>
      <c r="AQ122" s="103"/>
      <c r="AR122" s="103"/>
      <c r="AS122" s="103"/>
    </row>
    <row r="123" ht="8.35" customHeight="1" hidden="1">
      <c r="AA123" s="36"/>
      <c r="AB123" t="s" s="45">
        <v>135</v>
      </c>
      <c r="AC123" s="26">
        <f>AE73</f>
        <v>27.374575216</v>
      </c>
      <c r="AD123" t="s" s="44">
        <f>AD122</f>
        <v>372</v>
      </c>
      <c r="AE123" t="s" s="44">
        <v>136</v>
      </c>
      <c r="AF123" s="101">
        <f>AC122/AC123</f>
        <v>4.88592056478105</v>
      </c>
      <c r="AG123" t="s" s="102">
        <v>130</v>
      </c>
      <c r="AH123" t="s" s="102">
        <v>137</v>
      </c>
      <c r="AI123" t="s" s="102">
        <v>138</v>
      </c>
      <c r="AJ123" s="101">
        <f>AE75</f>
        <v>6.5</v>
      </c>
      <c r="AK123" t="s" s="102">
        <v>139</v>
      </c>
      <c r="AL123" t="s" s="102">
        <v>140</v>
      </c>
      <c r="AM123" t="s" s="102">
        <v>141</v>
      </c>
      <c r="AN123" s="99">
        <f>AH82</f>
        <v>0.330353188067288</v>
      </c>
      <c r="AO123" t="s" s="102">
        <f>IF(AN123&gt;0,"higher","lower")</f>
        <v>363</v>
      </c>
      <c r="AP123" t="s" s="102">
        <v>142</v>
      </c>
      <c r="AQ123" s="101">
        <f>AF82</f>
        <v>166.294148508411</v>
      </c>
      <c r="AR123" t="s" s="102">
        <v>143</v>
      </c>
      <c r="AS123" s="103"/>
    </row>
    <row r="124" ht="8.35" customHeight="1" hidden="1">
      <c r="AA124" s="36"/>
      <c r="AB124" s="34"/>
      <c r="AC124" s="17"/>
      <c r="AD124" s="17"/>
      <c r="AE124" s="17"/>
      <c r="AF124" s="101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</row>
    <row r="125" ht="8.35" customHeight="1" hidden="1">
      <c r="AA125" s="36"/>
      <c r="AB125" s="67">
        <f>AB92</f>
        <v>56.1</v>
      </c>
      <c r="AC125" s="26">
        <f>AC92</f>
        <v>63.6</v>
      </c>
      <c r="AD125" s="26">
        <f>AD92</f>
        <v>74</v>
      </c>
      <c r="AE125" s="26">
        <f>AE92</f>
        <v>59.1</v>
      </c>
      <c r="AF125" s="101">
        <f>AF92</f>
        <v>125.2</v>
      </c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</row>
    <row r="126" ht="8.35" customHeight="1" hidden="1">
      <c r="AA126" s="36"/>
      <c r="AB126" s="67">
        <f>SUM(AB105:AB106)</f>
        <v>54.397</v>
      </c>
      <c r="AC126" s="26">
        <f>SUM(AC105:AC106)</f>
        <v>-2.3</v>
      </c>
      <c r="AD126" s="26">
        <f>SUM(AD105:AD106)</f>
        <v>-10.8</v>
      </c>
      <c r="AE126" s="26">
        <f>SUM(AE105:AE106)</f>
        <v>-11.7</v>
      </c>
      <c r="AF126" s="101">
        <f>SUM(AF105:AF106)</f>
        <v>9</v>
      </c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</row>
    <row r="127" ht="8.35" customHeight="1" hidden="1">
      <c r="AA127" s="36"/>
      <c r="AB127" s="67">
        <f>SUM(AB119:AB120)</f>
        <v>30.1</v>
      </c>
      <c r="AC127" s="26">
        <f>SUM(AC119:AC120)</f>
        <v>22.2</v>
      </c>
      <c r="AD127" s="26">
        <f>SUM(AD119:AD120)</f>
        <v>-10.9</v>
      </c>
      <c r="AE127" s="26">
        <f>SUM(AE119:AE120)</f>
        <v>-12.1</v>
      </c>
      <c r="AF127" s="101">
        <f>SUM(AF119:AF120)</f>
        <v>1.2</v>
      </c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</row>
    <row r="128" ht="8.35" customHeight="1" hidden="1">
      <c r="AA128" s="36"/>
      <c r="AB128" s="67">
        <f>AB112-AB113</f>
        <v>-447</v>
      </c>
      <c r="AC128" s="26">
        <f>AC112-AC113</f>
        <v>-271</v>
      </c>
      <c r="AD128" s="26">
        <f>AD112-AD113</f>
        <v>-272</v>
      </c>
      <c r="AE128" s="26">
        <f>AE112-AE113</f>
        <v>-305</v>
      </c>
      <c r="AF128" s="101">
        <f>AF112-AF113</f>
        <v>-326</v>
      </c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</row>
    <row r="129" ht="8.35" customHeight="1" hidden="1">
      <c r="AA129" s="36"/>
      <c r="AB129" s="34"/>
      <c r="AC129" s="17"/>
      <c r="AD129" s="17"/>
      <c r="AE129" s="17"/>
      <c r="AF129" s="101">
        <f>AQ123</f>
        <v>166.294148508411</v>
      </c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</row>
    <row r="130" ht="8.35" customHeight="1" hidden="1">
      <c r="AA130" s="36"/>
      <c r="AB130" s="34"/>
      <c r="AC130" s="17"/>
      <c r="AD130" s="17"/>
      <c r="AE130" s="17"/>
      <c r="AF130" s="101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</row>
    <row r="131" ht="8.35" customHeight="1" hidden="1">
      <c r="AA131" s="36"/>
      <c r="AB131" s="34"/>
      <c r="AC131" s="17"/>
      <c r="AD131" s="17"/>
      <c r="AE131" s="17"/>
      <c r="AF131" s="101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</row>
    <row r="132" ht="8.35" customHeight="1" hidden="1">
      <c r="AA132" s="36"/>
      <c r="AB132" s="34"/>
      <c r="AC132" s="17"/>
      <c r="AD132" s="17"/>
      <c r="AE132" s="17"/>
      <c r="AF132" s="101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</row>
    <row r="133" ht="8.35" customHeight="1" hidden="1">
      <c r="AA133" s="36"/>
      <c r="AB133" s="34"/>
      <c r="AC133" s="17"/>
      <c r="AD133" s="17"/>
      <c r="AE133" s="17"/>
      <c r="AF133" s="101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</row>
    <row r="134" ht="8.35" customHeight="1" hidden="1">
      <c r="AA134" s="36"/>
      <c r="AB134" s="34"/>
      <c r="AC134" s="17"/>
      <c r="AD134" s="17"/>
      <c r="AE134" s="17"/>
      <c r="AF134" s="101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</row>
    <row r="135" ht="8.35" customHeight="1" hidden="1">
      <c r="AA135" s="36"/>
      <c r="AB135" s="34"/>
      <c r="AC135" s="17"/>
      <c r="AD135" s="17"/>
      <c r="AE135" s="17"/>
      <c r="AF135" s="101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</row>
    <row r="136" ht="8.35" customHeight="1" hidden="1">
      <c r="AA136" s="36"/>
      <c r="AB136" s="34"/>
      <c r="AC136" s="17"/>
      <c r="AD136" s="17"/>
      <c r="AE136" s="17"/>
      <c r="AF136" s="101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</row>
  </sheetData>
  <mergeCells count="2">
    <mergeCell ref="B2:Z2"/>
    <mergeCell ref="AA36:AS3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1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11" customWidth="1"/>
    <col min="2" max="28" width="10.4844" style="311" customWidth="1"/>
    <col min="29" max="29" width="18.9766" style="312" customWidth="1"/>
    <col min="30" max="48" width="9" style="312" customWidth="1"/>
    <col min="49" max="16384" width="16.3516" style="312" customWidth="1"/>
  </cols>
  <sheetData>
    <row r="1" ht="11.65" customHeight="1"/>
    <row r="2" ht="27.65" customHeight="1">
      <c r="B2" t="s" s="2">
        <v>669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318</v>
      </c>
      <c r="AA3" t="s" s="3">
        <v>19</v>
      </c>
      <c r="AB3" t="s" s="3">
        <v>20</v>
      </c>
    </row>
    <row r="4" ht="20.25" customHeight="1">
      <c r="B4" s="6">
        <v>2017</v>
      </c>
      <c r="C4" s="7">
        <v>0</v>
      </c>
      <c r="D4" s="8">
        <v>0</v>
      </c>
      <c r="E4" s="8">
        <v>0</v>
      </c>
      <c r="F4" s="8">
        <v>545.3</v>
      </c>
      <c r="G4" s="8">
        <v>2261</v>
      </c>
      <c r="H4" s="8">
        <v>4349.1</v>
      </c>
      <c r="I4" s="8">
        <v>0</v>
      </c>
      <c r="J4" s="8">
        <v>-101.7982</v>
      </c>
      <c r="K4" s="8">
        <v>-215.46</v>
      </c>
      <c r="L4" s="8">
        <v>0.40565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-0.40565</v>
      </c>
      <c r="W4" s="9"/>
      <c r="X4" s="8">
        <f>F4-G4</f>
        <v>-1715.7</v>
      </c>
      <c r="Y4" s="9"/>
      <c r="Z4" s="10"/>
      <c r="AA4" s="11"/>
      <c r="AB4" s="12">
        <v>13.3</v>
      </c>
    </row>
    <row r="5" ht="20.05" customHeight="1">
      <c r="B5" s="13"/>
      <c r="C5" s="14">
        <v>119.943</v>
      </c>
      <c r="D5" s="15">
        <v>39.18138</v>
      </c>
      <c r="E5" s="15">
        <v>0</v>
      </c>
      <c r="F5" s="15">
        <v>386.483</v>
      </c>
      <c r="G5" s="15">
        <v>2518.803</v>
      </c>
      <c r="H5" s="15">
        <v>4504.526</v>
      </c>
      <c r="I5" s="15">
        <v>119.943</v>
      </c>
      <c r="J5" s="15">
        <v>-27.267042</v>
      </c>
      <c r="K5" s="15">
        <v>-170.5856</v>
      </c>
      <c r="L5" s="15">
        <v>0.4064735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-0.8121235</v>
      </c>
      <c r="W5" s="17"/>
      <c r="X5" s="15">
        <f>F5-G5</f>
        <v>-2132.32</v>
      </c>
      <c r="Y5" s="17"/>
      <c r="Z5" s="18"/>
      <c r="AA5" s="19"/>
      <c r="AB5" s="20">
        <v>13.327</v>
      </c>
    </row>
    <row r="6" ht="20.05" customHeight="1">
      <c r="B6" s="13"/>
      <c r="C6" s="14">
        <v>665.25</v>
      </c>
      <c r="D6" s="15">
        <v>146.355</v>
      </c>
      <c r="E6" s="15">
        <v>266.1</v>
      </c>
      <c r="F6" s="15">
        <v>332.625</v>
      </c>
      <c r="G6" s="15">
        <v>2488.035</v>
      </c>
      <c r="H6" s="15">
        <v>4736.58</v>
      </c>
      <c r="I6" s="15">
        <v>625.335</v>
      </c>
      <c r="J6" s="15">
        <v>344.5995</v>
      </c>
      <c r="K6" s="15">
        <v>-160.9905</v>
      </c>
      <c r="L6" s="15">
        <v>0.4058025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-1.217926</v>
      </c>
      <c r="W6" s="17"/>
      <c r="X6" s="15">
        <f>F6-G6</f>
        <v>-2155.41</v>
      </c>
      <c r="Y6" s="17"/>
      <c r="Z6" s="18"/>
      <c r="AA6" s="19"/>
      <c r="AB6" s="20">
        <v>13.305</v>
      </c>
    </row>
    <row r="7" ht="20.05" customHeight="1">
      <c r="B7" s="13"/>
      <c r="C7" s="14">
        <v>948.99</v>
      </c>
      <c r="D7" s="15">
        <v>135.57</v>
      </c>
      <c r="E7" s="15">
        <v>338.925</v>
      </c>
      <c r="F7" s="15">
        <v>474.495</v>
      </c>
      <c r="G7" s="15">
        <v>2467.374</v>
      </c>
      <c r="H7" s="15">
        <v>5029.647</v>
      </c>
      <c r="I7" s="15">
        <v>1043.889</v>
      </c>
      <c r="J7" s="15">
        <v>660.2259</v>
      </c>
      <c r="K7" s="15">
        <v>-277.9185</v>
      </c>
      <c r="L7" s="15">
        <v>0.4134885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-1.6314145</v>
      </c>
      <c r="W7" s="17"/>
      <c r="X7" s="15">
        <f>F7-G7</f>
        <v>-1992.879</v>
      </c>
      <c r="Y7" s="17"/>
      <c r="Z7" s="18"/>
      <c r="AA7" s="19"/>
      <c r="AB7" s="20">
        <v>13.557</v>
      </c>
    </row>
    <row r="8" ht="20.05" customHeight="1">
      <c r="B8" s="21">
        <v>2018</v>
      </c>
      <c r="C8" s="14">
        <v>990.792</v>
      </c>
      <c r="D8" s="15">
        <v>0</v>
      </c>
      <c r="E8" s="15">
        <v>344.025</v>
      </c>
      <c r="F8" s="15">
        <v>536.679</v>
      </c>
      <c r="G8" s="15">
        <v>2628.351</v>
      </c>
      <c r="H8" s="15">
        <v>5559.444</v>
      </c>
      <c r="I8" s="15">
        <v>949.509</v>
      </c>
      <c r="J8" s="15">
        <v>477.5067</v>
      </c>
      <c r="K8" s="15">
        <v>-178.893</v>
      </c>
      <c r="L8" s="15">
        <v>-131.72373225</v>
      </c>
      <c r="M8" s="15">
        <v>315.40556025</v>
      </c>
      <c r="N8" s="15">
        <f>SUM(C5:C8)/4</f>
        <v>681.24375</v>
      </c>
      <c r="O8" s="15"/>
      <c r="P8" s="16"/>
      <c r="Q8" s="16"/>
      <c r="R8" s="16"/>
      <c r="S8" s="17"/>
      <c r="T8" s="15">
        <f>SUM(J5:K8)/4</f>
        <v>166.6693645</v>
      </c>
      <c r="U8" s="25"/>
      <c r="V8" s="15">
        <f>-(L8+M8)+V7</f>
        <v>-185.3132425</v>
      </c>
      <c r="W8" s="17"/>
      <c r="X8" s="15">
        <f>F8-G8</f>
        <v>-2091.672</v>
      </c>
      <c r="Y8" s="24"/>
      <c r="Z8" s="18">
        <v>528</v>
      </c>
      <c r="AA8" s="22"/>
      <c r="AB8" s="20">
        <v>13.761</v>
      </c>
    </row>
    <row r="9" ht="20.05" customHeight="1">
      <c r="B9" s="13"/>
      <c r="C9" s="14">
        <v>602</v>
      </c>
      <c r="D9" s="15">
        <v>350</v>
      </c>
      <c r="E9" s="15">
        <v>126</v>
      </c>
      <c r="F9" s="15">
        <v>434</v>
      </c>
      <c r="G9" s="15">
        <v>5404</v>
      </c>
      <c r="H9" s="15">
        <v>9492</v>
      </c>
      <c r="I9" s="15">
        <v>672</v>
      </c>
      <c r="J9" s="15">
        <v>-331.8</v>
      </c>
      <c r="K9" s="15">
        <v>-210</v>
      </c>
      <c r="L9" s="15">
        <v>-134.0115</v>
      </c>
      <c r="M9" s="15">
        <v>320.8835</v>
      </c>
      <c r="N9" s="15">
        <f>SUM(C6:C9)/4</f>
        <v>801.758</v>
      </c>
      <c r="O9" s="15"/>
      <c r="P9" s="16"/>
      <c r="Q9" s="16"/>
      <c r="R9" s="16"/>
      <c r="S9" s="17"/>
      <c r="T9" s="15">
        <f>SUM(J6:K9)/4</f>
        <v>80.682525</v>
      </c>
      <c r="U9" s="25"/>
      <c r="V9" s="15">
        <f>-(L9+M9)+V8</f>
        <v>-372.1852425</v>
      </c>
      <c r="W9" s="17"/>
      <c r="X9" s="15">
        <f>F13-G9</f>
        <v>-4838.92</v>
      </c>
      <c r="Y9" s="24"/>
      <c r="Z9" s="18">
        <v>671</v>
      </c>
      <c r="AA9" s="22"/>
      <c r="AB9" s="20">
        <v>14</v>
      </c>
    </row>
    <row r="10" ht="20.05" customHeight="1">
      <c r="B10" s="13"/>
      <c r="C10" s="14">
        <v>1505.102</v>
      </c>
      <c r="D10" s="15">
        <v>640.7859999999999</v>
      </c>
      <c r="E10" s="15">
        <v>312.942</v>
      </c>
      <c r="F10" s="15">
        <v>417.256</v>
      </c>
      <c r="G10" s="15">
        <v>4247.07</v>
      </c>
      <c r="H10" s="15">
        <v>10356.89</v>
      </c>
      <c r="I10" s="15">
        <v>1505.102</v>
      </c>
      <c r="J10" s="15">
        <v>479.8444</v>
      </c>
      <c r="K10" s="15">
        <v>-274.1968</v>
      </c>
      <c r="L10" s="15">
        <v>-142.6456695</v>
      </c>
      <c r="M10" s="15">
        <v>341.5575655</v>
      </c>
      <c r="N10" s="15">
        <f>SUM(C7:C10)/4</f>
        <v>1011.721</v>
      </c>
      <c r="O10" s="15"/>
      <c r="P10" s="16"/>
      <c r="Q10" s="16"/>
      <c r="R10" s="16"/>
      <c r="S10" s="17"/>
      <c r="T10" s="15">
        <f>SUM(J7:K10)/4</f>
        <v>86.19217500000001</v>
      </c>
      <c r="U10" s="25"/>
      <c r="V10" s="15">
        <f>-(L10+M10)+V9</f>
        <v>-571.0971385</v>
      </c>
      <c r="W10" s="17"/>
      <c r="X10" s="15">
        <f>F10-G10</f>
        <v>-3829.814</v>
      </c>
      <c r="Y10" s="24"/>
      <c r="Z10" s="18">
        <v>540</v>
      </c>
      <c r="AA10" s="22"/>
      <c r="AB10" s="20">
        <v>14.902</v>
      </c>
    </row>
    <row r="11" ht="20.05" customHeight="1">
      <c r="B11" s="13"/>
      <c r="C11" s="14">
        <v>1121.64</v>
      </c>
      <c r="D11" s="15">
        <v>28.76</v>
      </c>
      <c r="E11" s="15">
        <v>43.14</v>
      </c>
      <c r="F11" s="15">
        <v>201.32</v>
      </c>
      <c r="G11" s="15">
        <v>5406.88</v>
      </c>
      <c r="H11" s="15">
        <v>11475.24</v>
      </c>
      <c r="I11" s="15">
        <v>1107.26</v>
      </c>
      <c r="J11" s="15">
        <v>-173.998</v>
      </c>
      <c r="K11" s="15">
        <v>-986.468</v>
      </c>
      <c r="L11" s="15">
        <v>-137.648955</v>
      </c>
      <c r="M11" s="15">
        <v>329.593195</v>
      </c>
      <c r="N11" s="15">
        <f>SUM(C8:C11)/4</f>
        <v>1054.8835</v>
      </c>
      <c r="O11" s="15"/>
      <c r="P11" s="16"/>
      <c r="Q11" s="16"/>
      <c r="R11" s="16"/>
      <c r="S11" s="17"/>
      <c r="T11" s="15">
        <f>SUM(J8:K11)/4</f>
        <v>-299.501175</v>
      </c>
      <c r="U11" s="25"/>
      <c r="V11" s="15">
        <f>-(L11+M11)+V10</f>
        <v>-763.0413785</v>
      </c>
      <c r="W11" s="17"/>
      <c r="X11" s="15">
        <f>F11-G11</f>
        <v>-5205.56</v>
      </c>
      <c r="Y11" s="24"/>
      <c r="Z11" s="18">
        <v>700</v>
      </c>
      <c r="AA11" s="22"/>
      <c r="AB11" s="20">
        <v>14.38</v>
      </c>
    </row>
    <row r="12" ht="20.05" customHeight="1">
      <c r="B12" s="21">
        <v>2019</v>
      </c>
      <c r="C12" s="14">
        <v>1310.08</v>
      </c>
      <c r="D12" s="15">
        <v>213.6</v>
      </c>
      <c r="E12" s="15">
        <v>299.04</v>
      </c>
      <c r="F12" s="15">
        <v>982.5599999999999</v>
      </c>
      <c r="G12" s="15">
        <v>6037.76</v>
      </c>
      <c r="H12" s="15">
        <v>12289.12</v>
      </c>
      <c r="I12" s="15">
        <v>1566.4</v>
      </c>
      <c r="J12" s="15">
        <v>810.256</v>
      </c>
      <c r="K12" s="15">
        <v>-227.84</v>
      </c>
      <c r="L12" s="15">
        <v>-33.82</v>
      </c>
      <c r="M12" s="15">
        <v>212.62812</v>
      </c>
      <c r="N12" s="15">
        <f>SUM(C9:C12)/4</f>
        <v>1134.7055</v>
      </c>
      <c r="O12" s="23"/>
      <c r="P12" s="16"/>
      <c r="Q12" s="16">
        <f>(E12+D12)/C12</f>
        <v>0.391304347826087</v>
      </c>
      <c r="R12" s="16">
        <f>AVERAGE(Q9:Q12)</f>
        <v>0.391304347826087</v>
      </c>
      <c r="S12" s="17"/>
      <c r="T12" s="15">
        <f>SUM(J9:K12)/4</f>
        <v>-228.5506</v>
      </c>
      <c r="U12" s="25"/>
      <c r="V12" s="15">
        <f>-(L12+M12)+V11</f>
        <v>-941.8494985</v>
      </c>
      <c r="W12" s="17"/>
      <c r="X12" s="15">
        <f>F12-G12</f>
        <v>-5055.2</v>
      </c>
      <c r="Y12" s="24"/>
      <c r="Z12" s="18">
        <v>678</v>
      </c>
      <c r="AA12" s="22"/>
      <c r="AB12" s="20">
        <v>14.24</v>
      </c>
    </row>
    <row r="13" ht="20.05" customHeight="1">
      <c r="B13" s="13"/>
      <c r="C13" s="14">
        <v>1412.7</v>
      </c>
      <c r="D13" s="15">
        <v>254.286</v>
      </c>
      <c r="E13" s="15">
        <v>339.048</v>
      </c>
      <c r="F13" s="15">
        <v>565.08</v>
      </c>
      <c r="G13" s="15">
        <v>6357.15</v>
      </c>
      <c r="H13" s="15">
        <v>12558.903</v>
      </c>
      <c r="I13" s="15">
        <v>1116.033</v>
      </c>
      <c r="J13" s="15">
        <v>87.5874</v>
      </c>
      <c r="K13" s="15">
        <v>-621.588</v>
      </c>
      <c r="L13" s="15">
        <v>-33.551625</v>
      </c>
      <c r="M13" s="15">
        <v>210.94083225</v>
      </c>
      <c r="N13" s="15">
        <f>SUM(C10:C13)/4</f>
        <v>1337.3805</v>
      </c>
      <c r="O13" s="23"/>
      <c r="P13" s="16">
        <f>C13/C12-1</f>
        <v>0.0783310942843185</v>
      </c>
      <c r="Q13" s="16">
        <f>(E13+D13)/C13</f>
        <v>0.42</v>
      </c>
      <c r="R13" s="16">
        <f>AVERAGE(Q10:Q13)</f>
        <v>0.405652173913044</v>
      </c>
      <c r="S13" s="17"/>
      <c r="T13" s="15">
        <f>SUM(J10:K13)/4</f>
        <v>-226.60075</v>
      </c>
      <c r="U13" s="25"/>
      <c r="V13" s="15">
        <f>-(L13+M13)+V12</f>
        <v>-1119.23870575</v>
      </c>
      <c r="W13" s="17"/>
      <c r="X13" s="15">
        <f>F13-G13</f>
        <v>-5792.07</v>
      </c>
      <c r="Y13" s="24"/>
      <c r="Z13" s="18">
        <v>944</v>
      </c>
      <c r="AA13" s="24"/>
      <c r="AB13" s="15">
        <v>14.127</v>
      </c>
    </row>
    <row r="14" ht="20.05" customHeight="1">
      <c r="B14" s="13"/>
      <c r="C14" s="14">
        <v>1873.74</v>
      </c>
      <c r="D14" s="15">
        <v>383.265</v>
      </c>
      <c r="E14" s="15">
        <v>340.68</v>
      </c>
      <c r="F14" s="15">
        <v>894.285</v>
      </c>
      <c r="G14" s="15">
        <v>6274.19</v>
      </c>
      <c r="H14" s="15">
        <v>13683.98</v>
      </c>
      <c r="I14" s="15">
        <v>1873.74</v>
      </c>
      <c r="J14" s="15">
        <v>183.1155</v>
      </c>
      <c r="K14" s="15">
        <v>-695.5549999999999</v>
      </c>
      <c r="L14" s="15">
        <v>-33.713125</v>
      </c>
      <c r="M14" s="15">
        <v>211.95619125</v>
      </c>
      <c r="N14" s="15">
        <f>SUM(C11:C14)/4</f>
        <v>1429.54</v>
      </c>
      <c r="O14" s="23"/>
      <c r="P14" s="16">
        <f>C14/C13-1</f>
        <v>0.326353790613718</v>
      </c>
      <c r="Q14" s="16">
        <f>(E14+D14)/C14</f>
        <v>0.386363636363636</v>
      </c>
      <c r="R14" s="16">
        <f>AVERAGE(Q11:Q14)</f>
        <v>0.399222661396574</v>
      </c>
      <c r="S14" s="17"/>
      <c r="T14" s="15">
        <f>SUM(J11:K14)/4</f>
        <v>-406.122525</v>
      </c>
      <c r="U14" s="25"/>
      <c r="V14" s="15">
        <f>-(L14+M14)+V13</f>
        <v>-1297.481772</v>
      </c>
      <c r="W14" s="17"/>
      <c r="X14" s="15">
        <f>F14-G14</f>
        <v>-5379.905</v>
      </c>
      <c r="Y14" s="24"/>
      <c r="Z14" s="18">
        <v>1245</v>
      </c>
      <c r="AA14" s="24"/>
      <c r="AB14" s="15">
        <v>14.195</v>
      </c>
    </row>
    <row r="15" ht="20.05" customHeight="1">
      <c r="B15" s="13"/>
      <c r="C15" s="14">
        <v>1082.796</v>
      </c>
      <c r="D15" s="15">
        <v>347.05</v>
      </c>
      <c r="E15" s="15">
        <v>0</v>
      </c>
      <c r="F15" s="15">
        <v>694.1</v>
      </c>
      <c r="G15" s="15">
        <v>5927.614</v>
      </c>
      <c r="H15" s="15">
        <v>13201.782</v>
      </c>
      <c r="I15" s="15">
        <v>1568.666</v>
      </c>
      <c r="J15" s="15">
        <v>152.702</v>
      </c>
      <c r="K15" s="15">
        <v>-610.808</v>
      </c>
      <c r="L15" s="15">
        <v>-32.96975</v>
      </c>
      <c r="M15" s="15">
        <v>207.2825535</v>
      </c>
      <c r="N15" s="15">
        <f>SUM(C12:C15)/4</f>
        <v>1419.829</v>
      </c>
      <c r="O15" s="15"/>
      <c r="P15" s="16">
        <f>C15/C14-1</f>
        <v>-0.422120464952448</v>
      </c>
      <c r="Q15" s="16">
        <f>(E15+D15)/C15</f>
        <v>0.320512820512821</v>
      </c>
      <c r="R15" s="16">
        <f>AVERAGE(Q12:Q15)</f>
        <v>0.379545201175636</v>
      </c>
      <c r="S15" s="17"/>
      <c r="T15" s="15">
        <f>SUM(J12:K15)/4</f>
        <v>-230.532525</v>
      </c>
      <c r="U15" s="25"/>
      <c r="V15" s="15">
        <f>-(L15+M15)+V14</f>
        <v>-1471.7945755</v>
      </c>
      <c r="W15" s="17"/>
      <c r="X15" s="15">
        <f>F15-G15</f>
        <v>-5233.514</v>
      </c>
      <c r="Y15" s="24"/>
      <c r="Z15" s="18">
        <v>1070</v>
      </c>
      <c r="AA15" s="24"/>
      <c r="AB15" s="15">
        <v>13.882</v>
      </c>
    </row>
    <row r="16" ht="20.05" customHeight="1">
      <c r="B16" s="21">
        <v>2020</v>
      </c>
      <c r="C16" s="14">
        <v>1692.74966</v>
      </c>
      <c r="D16" s="15">
        <v>232.4175</v>
      </c>
      <c r="E16" s="15">
        <v>228.34</v>
      </c>
      <c r="F16" s="15">
        <v>1027.53</v>
      </c>
      <c r="G16" s="15">
        <v>6638.17</v>
      </c>
      <c r="H16" s="15">
        <v>15347.71</v>
      </c>
      <c r="I16" s="15">
        <v>1777.79</v>
      </c>
      <c r="J16" s="15">
        <v>489.3</v>
      </c>
      <c r="K16" s="15">
        <v>-119.04669</v>
      </c>
      <c r="L16" s="15">
        <v>-96.94256249999999</v>
      </c>
      <c r="M16" s="15">
        <v>6.7890375</v>
      </c>
      <c r="N16" s="15">
        <f>SUM(C13:C16)/4</f>
        <v>1515.496415</v>
      </c>
      <c r="O16" s="15"/>
      <c r="P16" s="16">
        <f>C16/C15-1</f>
        <v>0.56331355121371</v>
      </c>
      <c r="Q16" s="16">
        <f>(E16+D16)/C16</f>
        <v>0.272194708342166</v>
      </c>
      <c r="R16" s="16">
        <f>AVERAGE(Q13:Q16)</f>
        <v>0.349767791304656</v>
      </c>
      <c r="S16" s="17"/>
      <c r="T16" s="15">
        <f>SUM(J13:K16)/4</f>
        <v>-283.5731975</v>
      </c>
      <c r="U16" s="25"/>
      <c r="V16" s="15">
        <f>-(L16+M16)+V15</f>
        <v>-1381.6410505</v>
      </c>
      <c r="W16" s="17"/>
      <c r="X16" s="15">
        <f>F16-G16</f>
        <v>-5610.64</v>
      </c>
      <c r="Y16" s="24"/>
      <c r="Z16" s="18">
        <v>1015</v>
      </c>
      <c r="AA16" s="24"/>
      <c r="AB16" s="15">
        <v>16.31</v>
      </c>
    </row>
    <row r="17" ht="20.05" customHeight="1">
      <c r="B17" s="13"/>
      <c r="C17" s="14">
        <v>1354.581375</v>
      </c>
      <c r="D17" s="15">
        <v>133.840195</v>
      </c>
      <c r="E17" s="15">
        <v>305.299335</v>
      </c>
      <c r="F17" s="15">
        <v>798.28</v>
      </c>
      <c r="G17" s="15">
        <v>5530.94</v>
      </c>
      <c r="H17" s="15">
        <v>13428.21</v>
      </c>
      <c r="I17" s="15">
        <v>1311.46</v>
      </c>
      <c r="J17" s="15">
        <v>171.06</v>
      </c>
      <c r="K17" s="15">
        <v>-152.542755</v>
      </c>
      <c r="L17" s="15">
        <v>-84.72815625</v>
      </c>
      <c r="M17" s="15">
        <v>5.93364375</v>
      </c>
      <c r="N17" s="15">
        <f>SUM(C14:C17)/4</f>
        <v>1500.96675875</v>
      </c>
      <c r="O17" s="15">
        <v>1590.858</v>
      </c>
      <c r="P17" s="16">
        <f>C17/C16-1</f>
        <v>-0.199774540199878</v>
      </c>
      <c r="Q17" s="16">
        <f>(E17+D17)/C17</f>
        <v>0.324188371481189</v>
      </c>
      <c r="R17" s="16">
        <f>AVERAGE(Q14:Q17)</f>
        <v>0.325814884174953</v>
      </c>
      <c r="S17" s="17"/>
      <c r="T17" s="25">
        <f>SUM(J14:K17)/4</f>
        <v>-145.44373625</v>
      </c>
      <c r="U17" s="25"/>
      <c r="V17" s="15">
        <f>-(L17+M17)+V16</f>
        <v>-1302.846538</v>
      </c>
      <c r="W17" s="17"/>
      <c r="X17" s="15">
        <f>F17-G17</f>
        <v>-4732.66</v>
      </c>
      <c r="Y17" s="24"/>
      <c r="Z17" s="18">
        <v>1365</v>
      </c>
      <c r="AA17" s="24"/>
      <c r="AB17" s="15">
        <v>14.255</v>
      </c>
    </row>
    <row r="18" ht="20.05" customHeight="1">
      <c r="B18" s="13"/>
      <c r="C18" s="14">
        <v>1445.32317</v>
      </c>
      <c r="D18" s="15">
        <v>149.54169</v>
      </c>
      <c r="E18" s="15">
        <v>235.58991</v>
      </c>
      <c r="F18" s="15">
        <v>1242.36</v>
      </c>
      <c r="G18" s="15">
        <v>5605.41</v>
      </c>
      <c r="H18" s="15">
        <v>14080.08</v>
      </c>
      <c r="I18" s="15">
        <v>1582.53</v>
      </c>
      <c r="J18" s="15">
        <v>502.86</v>
      </c>
      <c r="K18" s="15">
        <v>-162.69</v>
      </c>
      <c r="L18" s="15">
        <v>-87.9080625</v>
      </c>
      <c r="M18" s="15">
        <v>6.1563375</v>
      </c>
      <c r="N18" s="15">
        <f>SUM(C15:C18)/4</f>
        <v>1393.86255125</v>
      </c>
      <c r="O18" s="15">
        <v>1687.046</v>
      </c>
      <c r="P18" s="16">
        <f>C18/C17-1</f>
        <v>0.0669888104729035</v>
      </c>
      <c r="Q18" s="16">
        <f>(E18+D18)/C18</f>
        <v>0.266467464158898</v>
      </c>
      <c r="R18" s="16">
        <f>AVERAGE(Q15:Q18)</f>
        <v>0.295840841123769</v>
      </c>
      <c r="S18" s="17"/>
      <c r="T18" s="25">
        <f>SUM(J15:K18)/4</f>
        <v>67.70863875000001</v>
      </c>
      <c r="U18" s="25"/>
      <c r="V18" s="15">
        <f>-(L18+M18)+V17</f>
        <v>-1221.094813</v>
      </c>
      <c r="W18" s="17"/>
      <c r="X18" s="15">
        <f>F18-G18</f>
        <v>-4363.05</v>
      </c>
      <c r="Y18" s="24"/>
      <c r="Z18" s="18">
        <v>1615</v>
      </c>
      <c r="AA18" s="24"/>
      <c r="AB18" s="15">
        <v>14.79</v>
      </c>
    </row>
    <row r="19" ht="20.05" customHeight="1">
      <c r="B19" s="13"/>
      <c r="C19" s="14">
        <v>357.6606</v>
      </c>
      <c r="D19" s="15">
        <v>13.395</v>
      </c>
      <c r="E19" s="15">
        <v>-316.4886</v>
      </c>
      <c r="F19" s="15">
        <v>719.1</v>
      </c>
      <c r="G19" s="15">
        <v>5160.6</v>
      </c>
      <c r="H19" s="15">
        <v>13113</v>
      </c>
      <c r="I19" s="15">
        <v>469.389</v>
      </c>
      <c r="J19" s="15">
        <v>237.867</v>
      </c>
      <c r="K19" s="15">
        <v>-576.6900000000001</v>
      </c>
      <c r="L19" s="15">
        <v>-83.80687500000001</v>
      </c>
      <c r="M19" s="15">
        <v>5.869125</v>
      </c>
      <c r="N19" s="15">
        <f>SUM(C16:C19)/4</f>
        <v>1212.57870125</v>
      </c>
      <c r="O19" s="15">
        <v>1591.89</v>
      </c>
      <c r="P19" s="16">
        <f>C19/C18-1</f>
        <v>-0.752539357685659</v>
      </c>
      <c r="Q19" s="16">
        <f>(E19+D19)/C19</f>
        <v>-0.8474335724986199</v>
      </c>
      <c r="R19" s="16">
        <f>AVERAGE(Q16:Q19)</f>
        <v>0.00385424287090825</v>
      </c>
      <c r="S19" s="17"/>
      <c r="T19" s="25">
        <f>SUM(J16:K19)/4</f>
        <v>97.52938875</v>
      </c>
      <c r="U19" s="25"/>
      <c r="V19" s="15">
        <f>-(L19+M19)+V18</f>
        <v>-1143.157063</v>
      </c>
      <c r="W19" s="17"/>
      <c r="X19" s="15">
        <f>F19-G19</f>
        <v>-4441.5</v>
      </c>
      <c r="Y19" s="24"/>
      <c r="Z19" s="15">
        <v>2430</v>
      </c>
      <c r="AA19" s="24"/>
      <c r="AB19" s="15">
        <v>14.1</v>
      </c>
    </row>
    <row r="20" ht="20.05" customHeight="1">
      <c r="B20" s="21">
        <v>2021</v>
      </c>
      <c r="C20" s="14">
        <v>679.179</v>
      </c>
      <c r="D20" s="15">
        <v>226.393</v>
      </c>
      <c r="E20" s="15">
        <v>-92.01779999999999</v>
      </c>
      <c r="F20" s="15">
        <v>4045.862</v>
      </c>
      <c r="G20" s="15">
        <v>6412.034</v>
      </c>
      <c r="H20" s="15">
        <v>16957.566</v>
      </c>
      <c r="I20" s="15">
        <v>661.6518</v>
      </c>
      <c r="J20" s="15">
        <v>-417.7316</v>
      </c>
      <c r="K20" s="15">
        <v>-40.8968</v>
      </c>
      <c r="L20" s="15">
        <v>1250.609538</v>
      </c>
      <c r="M20" s="15">
        <v>2468.414</v>
      </c>
      <c r="N20" s="15">
        <f>SUM(C17:C20)/4</f>
        <v>959.18603625</v>
      </c>
      <c r="O20" s="15">
        <v>1467.2274725</v>
      </c>
      <c r="P20" s="16">
        <f>C20/C19-1</f>
        <v>0.898948332581224</v>
      </c>
      <c r="Q20" s="16">
        <f>(E20+D20)/C20</f>
        <v>0.197849462365591</v>
      </c>
      <c r="R20" s="16">
        <f>AVERAGE(Q17:Q20)</f>
        <v>-0.0147320686232355</v>
      </c>
      <c r="S20" s="17"/>
      <c r="T20" s="25">
        <f>SUM(J17:K20)/4</f>
        <v>-109.69103875</v>
      </c>
      <c r="U20" s="25"/>
      <c r="V20" s="15">
        <f>-(L20+M20)+V19</f>
        <v>-4862.180601</v>
      </c>
      <c r="W20" s="17"/>
      <c r="X20" s="15">
        <f>F20-G20</f>
        <v>-2366.172</v>
      </c>
      <c r="Y20" s="15"/>
      <c r="Z20" s="15">
        <v>2150</v>
      </c>
      <c r="AA20" s="15"/>
      <c r="AB20" s="15">
        <v>14.606</v>
      </c>
    </row>
    <row r="21" ht="20.05" customHeight="1">
      <c r="B21" s="13"/>
      <c r="C21" s="14">
        <v>1284.605</v>
      </c>
      <c r="D21" s="15">
        <v>440.725</v>
      </c>
      <c r="E21" s="15">
        <v>138.72</v>
      </c>
      <c r="F21" s="15">
        <v>4017.1</v>
      </c>
      <c r="G21" s="15">
        <v>6574.75</v>
      </c>
      <c r="H21" s="15">
        <v>17209.95</v>
      </c>
      <c r="I21" s="15">
        <v>1202.24</v>
      </c>
      <c r="J21" s="15">
        <v>122.825</v>
      </c>
      <c r="K21" s="15">
        <v>302.005</v>
      </c>
      <c r="L21" s="15">
        <v>49.6213</v>
      </c>
      <c r="M21" s="15">
        <v>70.70385</v>
      </c>
      <c r="N21" s="15">
        <f>SUM(C18:C21)/4</f>
        <v>941.6919425</v>
      </c>
      <c r="O21" s="15">
        <v>1238.9610625</v>
      </c>
      <c r="P21" s="16">
        <f>C21/C20-1</f>
        <v>0.8914085977334399</v>
      </c>
      <c r="Q21" s="16">
        <f>(E21+D21)/C21</f>
        <v>0.451068616422947</v>
      </c>
      <c r="R21" s="16">
        <f>AVERAGE(Q18:Q21)</f>
        <v>0.016987992612204</v>
      </c>
      <c r="S21" s="17"/>
      <c r="T21" s="25">
        <f>SUM(J18:K21)/4</f>
        <v>-8.11285</v>
      </c>
      <c r="U21" s="25"/>
      <c r="V21" s="15">
        <f>-(L21+M21)+V20</f>
        <v>-4982.505751</v>
      </c>
      <c r="W21" s="17"/>
      <c r="X21" s="15">
        <f>F21-G21</f>
        <v>-2557.65</v>
      </c>
      <c r="Y21" s="15"/>
      <c r="Z21" s="15">
        <v>2940</v>
      </c>
      <c r="AA21" s="15"/>
      <c r="AB21" s="15">
        <v>14.45</v>
      </c>
    </row>
    <row r="22" ht="20.05" customHeight="1">
      <c r="B22" s="13"/>
      <c r="C22" s="14">
        <v>1802.4624</v>
      </c>
      <c r="D22" s="15">
        <v>395.4528</v>
      </c>
      <c r="E22" s="15">
        <v>217.7856</v>
      </c>
      <c r="F22" s="15">
        <v>2908.584</v>
      </c>
      <c r="G22" s="15">
        <v>5917.464</v>
      </c>
      <c r="H22" s="15">
        <v>16763.76</v>
      </c>
      <c r="I22" s="15">
        <v>2099.052</v>
      </c>
      <c r="J22" s="15">
        <v>1087.4952</v>
      </c>
      <c r="K22" s="15">
        <v>-1640.556</v>
      </c>
      <c r="L22" s="15">
        <v>-1057.750272</v>
      </c>
      <c r="M22" s="15">
        <v>77.471496</v>
      </c>
      <c r="N22" s="15">
        <f>SUM(C19:C22)/4</f>
        <v>1030.97675</v>
      </c>
      <c r="O22" s="15">
        <v>1152.52641</v>
      </c>
      <c r="P22" s="16">
        <f>C22/C21-1</f>
        <v>0.40312578574737</v>
      </c>
      <c r="Q22" s="16">
        <f>(E22+D22)/C22</f>
        <v>0.340222575516693</v>
      </c>
      <c r="R22" s="16">
        <f>AVERAGE(Q19:Q22)</f>
        <v>0.0354267704516528</v>
      </c>
      <c r="S22" s="17"/>
      <c r="T22" s="25">
        <f>SUM(J19:K22)/4</f>
        <v>-231.42055</v>
      </c>
      <c r="U22" s="25"/>
      <c r="V22" s="15">
        <f>-(L22+M22)+V21</f>
        <v>-4002.226975</v>
      </c>
      <c r="W22" s="17"/>
      <c r="X22" s="15">
        <f>F22-G22</f>
        <v>-3008.88</v>
      </c>
      <c r="Y22" s="15"/>
      <c r="Z22" s="15">
        <v>2460</v>
      </c>
      <c r="AA22" s="15"/>
      <c r="AB22" s="15">
        <v>14.328</v>
      </c>
    </row>
    <row r="23" ht="20.05" customHeight="1">
      <c r="B23" s="13"/>
      <c r="C23" s="14">
        <v>1710.145</v>
      </c>
      <c r="D23" s="15">
        <v>336.89</v>
      </c>
      <c r="E23" s="15">
        <v>212.6975</v>
      </c>
      <c r="F23" s="15">
        <v>2640.875</v>
      </c>
      <c r="G23" s="15">
        <v>7123.225</v>
      </c>
      <c r="H23" s="15">
        <v>18257.725</v>
      </c>
      <c r="I23" s="15">
        <v>1550.265</v>
      </c>
      <c r="J23" s="15">
        <v>465.365</v>
      </c>
      <c r="K23" s="15">
        <v>-2082.7225</v>
      </c>
      <c r="L23" s="15">
        <v>1252.873925</v>
      </c>
      <c r="M23" s="15">
        <v>122.765</v>
      </c>
      <c r="N23" s="15">
        <f>SUM(C20:C23)/4</f>
        <v>1369.09785</v>
      </c>
      <c r="O23" s="15">
        <v>1251.68553125</v>
      </c>
      <c r="P23" s="16">
        <f>C23/C22-1</f>
        <v>-0.0512173790698769</v>
      </c>
      <c r="Q23" s="16">
        <f>(E23+D23)/C23</f>
        <v>0.321368948247078</v>
      </c>
      <c r="R23" s="16">
        <f>AVERAGE(Q20:Q23)</f>
        <v>0.327627400638077</v>
      </c>
      <c r="S23" s="17"/>
      <c r="T23" s="25">
        <f>SUM(J20:K23)/4</f>
        <v>-551.054175</v>
      </c>
      <c r="U23" s="25"/>
      <c r="V23" s="15">
        <f>-(L23+M23)+V22</f>
        <v>-5377.8659</v>
      </c>
      <c r="W23" s="17"/>
      <c r="X23" s="15">
        <f>F23-G23</f>
        <v>-4482.35</v>
      </c>
      <c r="Y23" s="15"/>
      <c r="Z23" s="15">
        <v>3890</v>
      </c>
      <c r="AA23" s="15">
        <v>2198.288576199040</v>
      </c>
      <c r="AB23" s="15">
        <v>14.275</v>
      </c>
    </row>
    <row r="24" ht="20.05" customHeight="1">
      <c r="B24" s="21">
        <v>2022</v>
      </c>
      <c r="C24" s="14">
        <v>1763.6537</v>
      </c>
      <c r="D24" s="15">
        <v>1312.3532</v>
      </c>
      <c r="E24" s="15">
        <v>936.9858</v>
      </c>
      <c r="F24" s="15">
        <v>1747.894</v>
      </c>
      <c r="G24" s="15">
        <v>12507.471</v>
      </c>
      <c r="H24" s="15">
        <v>25330.136</v>
      </c>
      <c r="I24" s="15">
        <v>1798.0385</v>
      </c>
      <c r="J24" s="15">
        <v>967.0725</v>
      </c>
      <c r="K24" s="15">
        <v>-5935.6761</v>
      </c>
      <c r="L24" s="15">
        <v>4048.8102</v>
      </c>
      <c r="M24" s="15">
        <v>7.1635</v>
      </c>
      <c r="N24" s="15">
        <f>SUM(C21:C24)/4</f>
        <v>1640.216525</v>
      </c>
      <c r="O24" s="15">
        <v>1453.9111235</v>
      </c>
      <c r="P24" s="16">
        <f>C24/C23-1</f>
        <v>0.0312889842674159</v>
      </c>
      <c r="Q24" s="16">
        <f>(E24+D24)/C24</f>
        <v>1.27538586515028</v>
      </c>
      <c r="R24" s="16">
        <f>AVERAGE(Q21:Q24)</f>
        <v>0.59701150133425</v>
      </c>
      <c r="S24" s="35"/>
      <c r="T24" s="25">
        <f>SUM(J21:K24)/4</f>
        <v>-1678.547975</v>
      </c>
      <c r="U24" s="15">
        <v>403.316998132762</v>
      </c>
      <c r="V24" s="15">
        <f>-(L24+M24)+V23</f>
        <v>-9433.839599999999</v>
      </c>
      <c r="W24" s="15"/>
      <c r="X24" s="15">
        <f>F24-G24</f>
        <v>-10759.577</v>
      </c>
      <c r="Y24" s="15">
        <v>-3084.825444809690</v>
      </c>
      <c r="Z24" s="15">
        <v>4530</v>
      </c>
      <c r="AA24" s="15">
        <v>1956.115423375710</v>
      </c>
      <c r="AB24" s="15">
        <v>14.327</v>
      </c>
    </row>
    <row r="25" ht="20.05" customHeight="1">
      <c r="B25" s="13"/>
      <c r="C25" s="14">
        <v>3200.278</v>
      </c>
      <c r="D25" s="15">
        <v>243.356</v>
      </c>
      <c r="E25" s="15">
        <v>508.702</v>
      </c>
      <c r="F25" s="15">
        <v>6025.26</v>
      </c>
      <c r="G25" s="15">
        <v>20963.8</v>
      </c>
      <c r="H25" s="15">
        <v>48363.34</v>
      </c>
      <c r="I25" s="15">
        <v>3549.186</v>
      </c>
      <c r="J25" s="15">
        <v>1397.098</v>
      </c>
      <c r="K25" s="15">
        <v>-3175.356</v>
      </c>
      <c r="L25" s="15">
        <v>2184.34</v>
      </c>
      <c r="M25" s="15">
        <v>3958.2</v>
      </c>
      <c r="N25" s="15">
        <f>SUM(C22:C25)/4</f>
        <v>2119.134775</v>
      </c>
      <c r="O25" s="15">
        <v>1773.958955</v>
      </c>
      <c r="P25" s="16">
        <f>C25/C24-1</f>
        <v>0.814572781493328</v>
      </c>
      <c r="Q25" s="16">
        <f>(E25+D25)/C25</f>
        <v>0.234997709573981</v>
      </c>
      <c r="R25" s="16">
        <f>AVERAGE(Q22:Q25)</f>
        <v>0.542993774622008</v>
      </c>
      <c r="S25" s="35"/>
      <c r="T25" s="25">
        <f>SUM(J22:K25)/4</f>
        <v>-2229.319975</v>
      </c>
      <c r="U25" s="15">
        <v>-2123.377826381890</v>
      </c>
      <c r="V25" s="15">
        <f>-(L25+M25)+V24</f>
        <v>-15576.3796</v>
      </c>
      <c r="W25" s="15"/>
      <c r="X25" s="15">
        <f>F25-G25</f>
        <v>-14938.54</v>
      </c>
      <c r="Y25" s="15">
        <v>-22951.2033055276</v>
      </c>
      <c r="Z25" s="15">
        <v>3990</v>
      </c>
      <c r="AA25" s="15">
        <v>2477.746202942560</v>
      </c>
      <c r="AB25" s="15">
        <v>14.66</v>
      </c>
    </row>
    <row r="26" ht="20.05" customHeight="1">
      <c r="B26" s="13"/>
      <c r="C26" s="14">
        <v>4469.643</v>
      </c>
      <c r="D26" s="15">
        <v>98.9415</v>
      </c>
      <c r="E26" s="15">
        <v>-469.5795</v>
      </c>
      <c r="F26" s="15">
        <v>5732.325</v>
      </c>
      <c r="G26" s="15">
        <v>24452.685</v>
      </c>
      <c r="H26" s="15">
        <v>56113.965</v>
      </c>
      <c r="I26" s="15">
        <v>4761.756</v>
      </c>
      <c r="J26" s="15">
        <v>3786.4755</v>
      </c>
      <c r="K26" s="15">
        <v>-5174.7975</v>
      </c>
      <c r="L26" s="15">
        <v>1473.129</v>
      </c>
      <c r="M26" s="15">
        <v>-802.5255</v>
      </c>
      <c r="N26" s="15">
        <f>SUM(C23:C26)/4</f>
        <v>2785.929925</v>
      </c>
      <c r="O26" s="15">
        <v>2364.9923925</v>
      </c>
      <c r="P26" s="16">
        <f>C26/C25-1</f>
        <v>0.396642104217196</v>
      </c>
      <c r="Q26" s="16">
        <f>(E26+D26)/C26</f>
        <v>-0.08292340126493319</v>
      </c>
      <c r="R26" s="16">
        <f>AVERAGE(Q23:Q26)</f>
        <v>0.437207280426601</v>
      </c>
      <c r="S26" s="35">
        <f>S27</f>
        <v>0.476209989255234</v>
      </c>
      <c r="T26" s="25">
        <f>SUM(J23:K26)/4</f>
        <v>-2438.135275</v>
      </c>
      <c r="U26" s="15">
        <v>-573.493171270636</v>
      </c>
      <c r="V26" s="15">
        <f>-(L26+M26)+V25</f>
        <v>-16246.9831</v>
      </c>
      <c r="W26" s="15">
        <f>W27</f>
        <v>-15893.015908917</v>
      </c>
      <c r="X26" s="15">
        <f>F26-G26</f>
        <v>-18720.36</v>
      </c>
      <c r="Y26" s="15">
        <v>-17782.2436850826</v>
      </c>
      <c r="Z26" s="15">
        <v>3940</v>
      </c>
      <c r="AA26" s="15">
        <v>2627.239863635450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4559.363194305110</v>
      </c>
      <c r="P27" s="17"/>
      <c r="Q27" s="17"/>
      <c r="R27" s="17"/>
      <c r="S27" s="35">
        <f>AE53</f>
        <v>0.476209989255234</v>
      </c>
      <c r="T27" s="25"/>
      <c r="U27" s="15">
        <f>SUM(AE55:AH55)/4</f>
        <v>88.4917977707434</v>
      </c>
      <c r="V27" s="17"/>
      <c r="W27" s="15">
        <f>-SUM(AE76:AH76)+V26</f>
        <v>-15893.015908917</v>
      </c>
      <c r="X27" s="26"/>
      <c r="Y27" s="15">
        <f>AH75</f>
        <v>-18366.3928089171</v>
      </c>
      <c r="Z27" s="15">
        <v>4500</v>
      </c>
      <c r="AA27" s="15">
        <v>2477.746202942560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14953.641815</v>
      </c>
      <c r="O28" s="15">
        <f>SUM(O17:O26)</f>
        <v>15573.05694725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2502.825042334850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318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0.297821622727016</v>
      </c>
      <c r="AF49" s="35"/>
      <c r="AG49" s="35"/>
      <c r="AH49" s="35">
        <f>AVERAGE(AE51:AH51)</f>
        <v>0.0125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-0.0512173790698769</v>
      </c>
      <c r="AF50" s="35">
        <f>P24</f>
        <v>0.0312889842674159</v>
      </c>
      <c r="AG50" s="35">
        <f>P25</f>
        <v>0.814572781493328</v>
      </c>
      <c r="AH50" s="35">
        <f>P26</f>
        <v>0.396642104217196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0.01</v>
      </c>
      <c r="AF51" s="35">
        <v>-0.01</v>
      </c>
      <c r="AG51" s="35">
        <v>0.02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4469.643</v>
      </c>
      <c r="AE52" s="23">
        <f>C26*(1+AE51)</f>
        <v>4514.33943</v>
      </c>
      <c r="AF52" s="23">
        <f>AE52*(1+AF51)</f>
        <v>4469.1960357</v>
      </c>
      <c r="AG52" s="23">
        <f>AF52*(1+AG51)</f>
        <v>4558.579956414</v>
      </c>
      <c r="AH52" s="23">
        <f>AG52*(1+AH51)</f>
        <v>4695.337355106420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AVERAGE(R23:R26)</f>
        <v>0.476209989255234</v>
      </c>
      <c r="AF53" s="35">
        <f>AE53</f>
        <v>0.476209989255234</v>
      </c>
      <c r="AG53" s="35">
        <f>AF53</f>
        <v>0.476209989255234</v>
      </c>
      <c r="AH53" s="35">
        <f>AG53</f>
        <v>0.476209989255234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AVERAGE(K23)</f>
        <v>-2082.7225</v>
      </c>
      <c r="AF54" s="15">
        <f>AE54</f>
        <v>-2082.7225</v>
      </c>
      <c r="AG54" s="15">
        <f>AF54</f>
        <v>-2082.7225</v>
      </c>
      <c r="AH54" s="15">
        <f>AG54</f>
        <v>-2082.7225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67.05103145477921</v>
      </c>
      <c r="AF55" s="15">
        <f>(AF52*AF53)+AF54</f>
        <v>45.5532961402314</v>
      </c>
      <c r="AG55" s="15">
        <f>(AG52*AG53)+AG54</f>
        <v>88.118812063036</v>
      </c>
      <c r="AH55" s="15">
        <f>(AH52*AH53)+AH54</f>
        <v>153.244051424927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-1222.63425</v>
      </c>
      <c r="AF56" s="15">
        <f>-AE71/20</f>
        <v>-1161.5025375</v>
      </c>
      <c r="AG56" s="15">
        <f>-AF71/20</f>
        <v>-1103.427410625</v>
      </c>
      <c r="AH56" s="15">
        <f>-AG71/20</f>
        <v>-1048.256040093750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-1155.583218545220</v>
      </c>
      <c r="AF59" s="15">
        <f>AF55+AF56+AF58</f>
        <v>-1115.949241359770</v>
      </c>
      <c r="AG59" s="15">
        <f>AG55+AG56+AG58</f>
        <v>-1015.308598561960</v>
      </c>
      <c r="AH59" s="15">
        <f>AH55+AH56+AH58</f>
        <v>-895.0119886688231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1155.583218545220</v>
      </c>
      <c r="AF60" s="15">
        <f>-MIN(AE72,AF59)</f>
        <v>1115.949241359770</v>
      </c>
      <c r="AG60" s="15">
        <f>-MIN(AF72,AG59)</f>
        <v>1015.308598561960</v>
      </c>
      <c r="AH60" s="15">
        <f>-MIN(AG72,AH59)</f>
        <v>895.0119886688231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5732.325</v>
      </c>
      <c r="AF61" s="15">
        <f>AE63</f>
        <v>5732.325</v>
      </c>
      <c r="AG61" s="15">
        <f>AF63</f>
        <v>5732.325</v>
      </c>
      <c r="AH61" s="15">
        <f>AG63</f>
        <v>5732.325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-8e-13</v>
      </c>
      <c r="AF62" s="15">
        <f>AF55+AF56+AF58+AF60</f>
        <v>1.4e-12</v>
      </c>
      <c r="AG62" s="15">
        <f>AG55+AG56+AG58+AG60</f>
        <v>-4e-12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5732.325</v>
      </c>
      <c r="AF63" s="15">
        <f>AF61+AF62</f>
        <v>5732.325</v>
      </c>
      <c r="AG63" s="15">
        <f>AG61+AG62</f>
        <v>5732.325</v>
      </c>
      <c r="AH63" s="15">
        <f>AH61+AH62</f>
        <v>5732.325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-551.550233333333</v>
      </c>
      <c r="AF65" s="15">
        <f>AE65</f>
        <v>-551.550233333333</v>
      </c>
      <c r="AG65" s="15">
        <f>AF65</f>
        <v>-551.550233333333</v>
      </c>
      <c r="AH65" s="15">
        <f>AG65</f>
        <v>-551.550233333333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1598.223298121450</v>
      </c>
      <c r="AF66" s="15">
        <f>(AF52*AF53)+AF65</f>
        <v>1576.7255628069</v>
      </c>
      <c r="AG66" s="15">
        <f>(AG52*AG53)+AG65</f>
        <v>1619.2910787297</v>
      </c>
      <c r="AH66" s="15">
        <f>(AH52*AH53)+AH65</f>
        <v>1684.416318091590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52464.3625</v>
      </c>
      <c r="AF68" s="15">
        <f>AE68-AF54</f>
        <v>54547.085</v>
      </c>
      <c r="AG68" s="15">
        <f>AF68-AG54</f>
        <v>56629.8075</v>
      </c>
      <c r="AH68" s="15">
        <f>AG68-AH54</f>
        <v>58712.53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551.550233333333</v>
      </c>
      <c r="AF69" s="15">
        <f>AE69-AF65</f>
        <v>1103.100466666670</v>
      </c>
      <c r="AG69" s="15">
        <f>AF69-AG65</f>
        <v>1654.6507</v>
      </c>
      <c r="AH69" s="15">
        <f>AG69-AH65</f>
        <v>2206.200933333330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51912.8122666667</v>
      </c>
      <c r="AF70" s="15">
        <f>AF68-AF69</f>
        <v>53443.9845333333</v>
      </c>
      <c r="AG70" s="15">
        <f>AG68-AG69</f>
        <v>54975.1568</v>
      </c>
      <c r="AH70" s="15">
        <f>AH68-AH69</f>
        <v>56506.3290666667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23230.05075</v>
      </c>
      <c r="AF71" s="15">
        <f>AE71+AF56</f>
        <v>22068.5482125</v>
      </c>
      <c r="AG71" s="15">
        <f>AF71+AG56</f>
        <v>20965.120801875</v>
      </c>
      <c r="AH71" s="15">
        <f>AG71+AH56</f>
        <v>19916.8647617813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1155.583218545220</v>
      </c>
      <c r="AF72" s="15">
        <f>AE72+AF60</f>
        <v>2271.532459904990</v>
      </c>
      <c r="AG72" s="15">
        <f>AF72+AG60</f>
        <v>3286.841058466950</v>
      </c>
      <c r="AH72" s="15">
        <f>AG72+AH60</f>
        <v>4181.853047135770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33259.5032981215</v>
      </c>
      <c r="AF73" s="15">
        <f>AE73+AF66+AF58</f>
        <v>34836.2288609284</v>
      </c>
      <c r="AG73" s="15">
        <f>AF73+AG66+AG58</f>
        <v>36455.5199396581</v>
      </c>
      <c r="AH73" s="15">
        <f>AG73+AH66+AH58</f>
        <v>38139.9362577497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2e-11</v>
      </c>
      <c r="AF74" s="15">
        <f>AF71+AF72+AF73-AF63-AF70</f>
        <v>9e-11</v>
      </c>
      <c r="AG74" s="15">
        <f>AG71+AG72+AG73-AG63-AG70</f>
        <v>5e-11</v>
      </c>
      <c r="AH74" s="15">
        <f>AH71+AH72+AH73-AH63-AH70</f>
        <v>7e-11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-18653.3089685452</v>
      </c>
      <c r="AF75" s="15">
        <f>AF63-AF71-AF72</f>
        <v>-18607.755672405</v>
      </c>
      <c r="AG75" s="15">
        <f>AG63-AG71-AG72</f>
        <v>-18519.636860342</v>
      </c>
      <c r="AH75" s="15">
        <f>AH63-AH71-AH72</f>
        <v>-18366.3928089171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-67.051031454780</v>
      </c>
      <c r="AF76" s="15">
        <f>AF56+AF58+AF60</f>
        <v>-45.553296140230</v>
      </c>
      <c r="AG76" s="15">
        <f>AG56+AG58+AG60</f>
        <v>-88.118812063040</v>
      </c>
      <c r="AH76" s="15">
        <f>AH56+AH58+AH60</f>
        <v>-153.244051424927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670</v>
      </c>
      <c r="AD78" s="14"/>
      <c r="AE78" s="15"/>
      <c r="AF78" s="15"/>
      <c r="AG78" s="15"/>
      <c r="AH78" s="15">
        <v>4500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670</v>
      </c>
      <c r="AD79" s="14"/>
      <c r="AE79" s="15"/>
      <c r="AF79" s="15"/>
      <c r="AG79" s="15"/>
      <c r="AH79" s="15">
        <v>108191702016000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108191.702016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24.042600448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1.7383361455746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>
        <f>SUM(J23:K26)</f>
        <v>-9752.5411</v>
      </c>
      <c r="AH84" s="15">
        <f>SUM(AE55:AH55)</f>
        <v>353.967191082974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159.637193757376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305.654605120277</v>
      </c>
      <c r="AH86" s="15">
        <v>170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60174.4224841056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2502.825042334850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-0.443816657258922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1.47974271197003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0.0414223598447212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670</v>
      </c>
      <c r="AF94" t="s" s="44">
        <v>60</v>
      </c>
      <c r="AG94" s="15">
        <f>AH78</f>
        <v>4500</v>
      </c>
      <c r="AH94" t="s" s="44">
        <v>61</v>
      </c>
      <c r="AI94" s="15">
        <f>AH88</f>
        <v>2502.825042334850</v>
      </c>
      <c r="AJ94" t="s" s="44">
        <f>IF(AK94&gt;0,"+","")</f>
      </c>
      <c r="AK94" s="16">
        <f>AI94/AG94-1</f>
        <v>-0.443816657258922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1.47974271197003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-0.0901413039842717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-0.113176481161089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-0.173029536010364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0.396642104217196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0.40312578574737</v>
      </c>
      <c r="AF103" s="16">
        <f>P23</f>
        <v>-0.0512173790698769</v>
      </c>
      <c r="AG103" s="16">
        <f>P24</f>
        <v>0.0312889842674159</v>
      </c>
      <c r="AH103" s="16">
        <f>P25</f>
        <v>0.814572781493328</v>
      </c>
      <c r="AI103" s="16">
        <f>P26</f>
        <v>0.396642104217196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1802.4624</v>
      </c>
      <c r="AF104" t="s" s="44">
        <v>72</v>
      </c>
      <c r="AG104" s="15">
        <f>C23</f>
        <v>1710.145</v>
      </c>
      <c r="AH104" t="s" s="44">
        <v>72</v>
      </c>
      <c r="AI104" s="15">
        <f>C24</f>
        <v>1763.6537</v>
      </c>
      <c r="AJ104" t="s" s="44">
        <v>72</v>
      </c>
      <c r="AK104" s="15">
        <f>C25</f>
        <v>3200.278</v>
      </c>
      <c r="AL104" t="s" s="44">
        <v>72</v>
      </c>
      <c r="AM104" s="15">
        <f>C26</f>
        <v>4469.643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0.396642104217196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4469.643</v>
      </c>
      <c r="AM105" t="s" s="44">
        <v>372</v>
      </c>
      <c r="AN105" t="s" s="44">
        <v>373</v>
      </c>
      <c r="AO105" s="16">
        <f>AH91</f>
        <v>0.0414223598447212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0.297821622727016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0.0125</v>
      </c>
      <c r="AG107" t="s" s="44">
        <v>82</v>
      </c>
      <c r="AH107" t="s" s="44">
        <v>83</v>
      </c>
      <c r="AI107" s="23">
        <f>AH52</f>
        <v>4695.337355106420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0.340222575516693</v>
      </c>
      <c r="AF110" s="16">
        <f>(D23+E23)/C23</f>
        <v>0.321368948247078</v>
      </c>
      <c r="AG110" s="16">
        <f>((E24+D24)/C24)</f>
        <v>1.27538586515028</v>
      </c>
      <c r="AH110" s="16">
        <f>(D25+E25)/C25</f>
        <v>0.234997709573981</v>
      </c>
      <c r="AI110" s="16">
        <f>(D26+E26)/C26</f>
        <v>-0.08292340126493319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217.7856</v>
      </c>
      <c r="AF111" t="s" s="44">
        <v>72</v>
      </c>
      <c r="AG111" s="15">
        <f>E23</f>
        <v>212.6975</v>
      </c>
      <c r="AH111" t="s" s="44">
        <v>72</v>
      </c>
      <c r="AI111" s="15">
        <f>E24</f>
        <v>936.9858</v>
      </c>
      <c r="AJ111" t="s" s="44">
        <v>72</v>
      </c>
      <c r="AK111" s="15">
        <f>E25</f>
        <v>508.702</v>
      </c>
      <c r="AL111" t="s" s="44">
        <v>72</v>
      </c>
      <c r="AM111" s="15">
        <f>E26</f>
        <v>-469.5795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0.234997709573981</v>
      </c>
      <c r="AG112" t="s" s="44">
        <v>76</v>
      </c>
      <c r="AH112" s="16">
        <f>AI110</f>
        <v>-0.08292340126493319</v>
      </c>
      <c r="AI112" t="s" s="44">
        <v>90</v>
      </c>
      <c r="AJ112" s="15">
        <f>AK111</f>
        <v>508.702</v>
      </c>
      <c r="AK112" t="s" s="44">
        <v>76</v>
      </c>
      <c r="AL112" s="15">
        <f>AM111</f>
        <v>-469.5795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0.437207280426601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0.476209989255234</v>
      </c>
      <c r="AG114" t="s" s="44">
        <v>94</v>
      </c>
      <c r="AH114" s="15">
        <f>AH66</f>
        <v>1684.416318091590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1087.4952</v>
      </c>
      <c r="AF117" t="s" s="44">
        <v>72</v>
      </c>
      <c r="AG117" s="15">
        <f>J23</f>
        <v>465.365</v>
      </c>
      <c r="AH117" t="s" s="44">
        <v>72</v>
      </c>
      <c r="AI117" s="15">
        <f>J24</f>
        <v>967.0725</v>
      </c>
      <c r="AJ117" t="s" s="44">
        <v>72</v>
      </c>
      <c r="AK117" s="15">
        <f>J25</f>
        <v>1397.098</v>
      </c>
      <c r="AL117" t="s" s="44">
        <v>72</v>
      </c>
      <c r="AM117" s="15">
        <f>J26</f>
        <v>3786.4755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-1640.556</v>
      </c>
      <c r="AF118" t="s" s="44">
        <v>72</v>
      </c>
      <c r="AG118" s="15">
        <f>K23</f>
        <v>-2082.7225</v>
      </c>
      <c r="AH118" t="s" s="44">
        <v>72</v>
      </c>
      <c r="AI118" s="15">
        <f>K24</f>
        <v>-5935.6761</v>
      </c>
      <c r="AJ118" t="s" s="44">
        <v>72</v>
      </c>
      <c r="AK118" s="15">
        <f>K25</f>
        <v>-3175.356</v>
      </c>
      <c r="AL118" t="s" s="44">
        <v>72</v>
      </c>
      <c r="AM118" s="15">
        <f>K26</f>
        <v>-5174.7975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-1778.258</v>
      </c>
      <c r="AG119" t="s" s="44">
        <v>76</v>
      </c>
      <c r="AH119" s="15">
        <f>AM117+AM118</f>
        <v>-1388.322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-5174.7975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-2438.135275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-2082.7225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88.4917977707434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2908.584</v>
      </c>
      <c r="AF124" t="s" s="44">
        <v>72</v>
      </c>
      <c r="AG124" s="15">
        <f>F23</f>
        <v>2640.875</v>
      </c>
      <c r="AH124" t="s" s="44">
        <v>72</v>
      </c>
      <c r="AI124" s="15">
        <f>F24</f>
        <v>1747.894</v>
      </c>
      <c r="AJ124" t="s" s="44">
        <v>72</v>
      </c>
      <c r="AK124" s="15">
        <f>F25</f>
        <v>6025.26</v>
      </c>
      <c r="AL124" t="s" s="44">
        <v>72</v>
      </c>
      <c r="AM124" s="15">
        <f>F26</f>
        <v>5732.325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5917.464</v>
      </c>
      <c r="AF125" t="s" s="44">
        <v>72</v>
      </c>
      <c r="AG125" s="15">
        <f>G23</f>
        <v>7123.225</v>
      </c>
      <c r="AH125" t="s" s="44">
        <v>72</v>
      </c>
      <c r="AI125" s="15">
        <f>G24</f>
        <v>12507.471</v>
      </c>
      <c r="AJ125" t="s" s="44">
        <v>72</v>
      </c>
      <c r="AK125" s="15">
        <f>G25</f>
        <v>20963.8</v>
      </c>
      <c r="AL125" t="s" s="44">
        <v>72</v>
      </c>
      <c r="AM125" s="15">
        <f>G26</f>
        <v>24452.685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6025.26</v>
      </c>
      <c r="AH126" t="s" s="44">
        <v>76</v>
      </c>
      <c r="AI126" s="15">
        <f>AM124</f>
        <v>5732.325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20963.8</v>
      </c>
      <c r="AH127" t="s" s="44">
        <v>76</v>
      </c>
      <c r="AI127" s="15">
        <f>AM125</f>
        <v>24452.685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-14938.54</v>
      </c>
      <c r="AO127" t="s" s="44">
        <v>76</v>
      </c>
      <c r="AP127" s="15">
        <f>AI126-AI127</f>
        <v>-18720.36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-353.967191082977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-18366.3928089171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1057.750272</v>
      </c>
      <c r="AF131" t="s" s="44">
        <v>72</v>
      </c>
      <c r="AG131" s="15">
        <f>-L23</f>
        <v>-1252.873925</v>
      </c>
      <c r="AH131" t="s" s="44">
        <v>72</v>
      </c>
      <c r="AI131" s="15">
        <f>-L24</f>
        <v>-4048.8102</v>
      </c>
      <c r="AJ131" t="s" s="44">
        <v>72</v>
      </c>
      <c r="AK131" s="15">
        <f>-L25</f>
        <v>-2184.34</v>
      </c>
      <c r="AL131" t="s" s="44">
        <v>72</v>
      </c>
      <c r="AM131" s="15">
        <f>-L26</f>
        <v>-1473.129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-77.471496</v>
      </c>
      <c r="AF132" t="s" s="44">
        <v>72</v>
      </c>
      <c r="AG132" s="15">
        <f>-M23</f>
        <v>-122.765</v>
      </c>
      <c r="AH132" t="s" s="44">
        <v>72</v>
      </c>
      <c r="AI132" s="15">
        <f>-M24</f>
        <v>-7.1635</v>
      </c>
      <c r="AJ132" t="s" s="44">
        <v>72</v>
      </c>
      <c r="AK132" s="15">
        <f>-M25</f>
        <v>-3958.2</v>
      </c>
      <c r="AL132" t="s" s="44">
        <v>72</v>
      </c>
      <c r="AM132" s="15">
        <f>-M26</f>
        <v>802.5255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670</v>
      </c>
      <c r="AF133" t="s" s="44">
        <f>IF(AG133&gt;0,"paid","(raised)")</f>
        <v>121</v>
      </c>
      <c r="AG133" s="15">
        <f>SUM(AM131:AM132)</f>
        <v>-670.6035000000001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-1473.129</v>
      </c>
      <c r="AM133" t="s" s="44">
        <f>AM105</f>
        <v>372</v>
      </c>
      <c r="AN133" t="s" s="44">
        <v>123</v>
      </c>
      <c r="AO133" s="15">
        <f>AM132</f>
        <v>802.5255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353.967191082977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108191.702016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1.7383361455746</v>
      </c>
      <c r="AK134" t="s" s="44">
        <v>130</v>
      </c>
      <c r="AL134" t="s" s="44">
        <v>131</v>
      </c>
      <c r="AM134" t="s" s="44">
        <v>132</v>
      </c>
      <c r="AN134" s="15">
        <f>AH85</f>
        <v>159.637193757376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353.967191082974</v>
      </c>
      <c r="AG135" t="s" s="44">
        <f>AG134</f>
        <v>372</v>
      </c>
      <c r="AH135" t="s" s="44">
        <v>136</v>
      </c>
      <c r="AI135" s="15">
        <f>AF134/AF135</f>
        <v>305.654605120277</v>
      </c>
      <c r="AJ135" t="s" s="44">
        <v>130</v>
      </c>
      <c r="AK135" t="s" s="44">
        <v>137</v>
      </c>
      <c r="AL135" t="s" s="44">
        <v>138</v>
      </c>
      <c r="AM135" s="15">
        <f>AH86</f>
        <v>170</v>
      </c>
      <c r="AN135" t="s" s="44">
        <v>139</v>
      </c>
      <c r="AO135" t="s" s="44">
        <v>140</v>
      </c>
      <c r="AP135" t="s" s="44">
        <v>141</v>
      </c>
      <c r="AQ135" s="16">
        <f>AK94</f>
        <v>-0.443816657258922</v>
      </c>
      <c r="AR135" t="s" s="44">
        <f>IF(AQ135&gt;0,"higher","lower")</f>
        <v>104</v>
      </c>
      <c r="AS135" t="s" s="44">
        <v>142</v>
      </c>
      <c r="AT135" s="15">
        <f>AI94</f>
        <v>2502.825042334850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1802.4624</v>
      </c>
      <c r="AE137" s="15">
        <f>AG104</f>
        <v>1710.145</v>
      </c>
      <c r="AF137" s="15">
        <f>AI104</f>
        <v>1763.6537</v>
      </c>
      <c r="AG137" s="15">
        <f>AK104</f>
        <v>3200.278</v>
      </c>
      <c r="AH137" s="15">
        <f>AM104</f>
        <v>4469.643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-553.0608</v>
      </c>
      <c r="AE138" s="15">
        <f>SUM(AG117:AG118)</f>
        <v>-1617.3575</v>
      </c>
      <c r="AF138" s="15">
        <f>SUM(AI117:AI118)</f>
        <v>-4968.6036</v>
      </c>
      <c r="AG138" s="15">
        <f>SUM(AK117:AK118)</f>
        <v>-1778.258</v>
      </c>
      <c r="AH138" s="15">
        <f>SUM(AM117:AM118)</f>
        <v>-1388.322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980.278776</v>
      </c>
      <c r="AE139" s="15">
        <f>SUM(AG131:AG132)</f>
        <v>-1375.638925</v>
      </c>
      <c r="AF139" s="15">
        <f>SUM(AI131:AI132)</f>
        <v>-4055.9737</v>
      </c>
      <c r="AG139" s="15">
        <f>SUM(AK131:AK132)</f>
        <v>-6142.54</v>
      </c>
      <c r="AH139" s="15">
        <f>SUM(AM131:AM132)</f>
        <v>-670.6035000000001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-3008.88</v>
      </c>
      <c r="AE140" s="15">
        <f>(AG124-AG125)</f>
        <v>-4482.35</v>
      </c>
      <c r="AF140" s="15">
        <f>(AI124-AI125)</f>
        <v>-10759.577</v>
      </c>
      <c r="AG140" s="15">
        <f>(AK124-AK125)</f>
        <v>-14938.54</v>
      </c>
      <c r="AH140" s="15">
        <f>(AM124-AM125)</f>
        <v>-18720.36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2502.825042334850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2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13" customWidth="1"/>
    <col min="2" max="28" width="10.4844" style="313" customWidth="1"/>
    <col min="29" max="29" width="18.9766" style="315" customWidth="1"/>
    <col min="30" max="48" width="9" style="315" customWidth="1"/>
    <col min="49" max="16384" width="16.3516" style="315" customWidth="1"/>
  </cols>
  <sheetData>
    <row r="1" ht="11.65" customHeight="1"/>
    <row r="2" ht="27.65" customHeight="1">
      <c r="B2" t="s" s="2">
        <v>671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340</v>
      </c>
      <c r="AA3" t="s" s="3">
        <v>19</v>
      </c>
      <c r="AB3" t="s" s="3">
        <v>20</v>
      </c>
    </row>
    <row r="4" ht="20.25" customHeight="1">
      <c r="B4" s="6">
        <v>2017</v>
      </c>
      <c r="C4" s="87">
        <v>2832.9</v>
      </c>
      <c r="D4" s="8">
        <v>464.17</v>
      </c>
      <c r="E4" s="8">
        <v>598.5</v>
      </c>
      <c r="F4" s="8">
        <v>2088.1</v>
      </c>
      <c r="G4" s="8">
        <v>35205.1</v>
      </c>
      <c r="H4" s="8">
        <v>47560.8</v>
      </c>
      <c r="I4" s="88">
        <v>2965.9</v>
      </c>
      <c r="J4" s="8">
        <v>385.7</v>
      </c>
      <c r="K4" s="8">
        <v>79.8</v>
      </c>
      <c r="L4" s="8">
        <v>854.525</v>
      </c>
      <c r="M4" s="8">
        <v>6.65</v>
      </c>
      <c r="N4" s="8"/>
      <c r="O4" s="8"/>
      <c r="P4" s="9"/>
      <c r="Q4" s="9"/>
      <c r="R4" s="9"/>
      <c r="S4" s="9"/>
      <c r="T4" s="9"/>
      <c r="U4" s="9"/>
      <c r="V4" s="8">
        <f>-(L4+M4)</f>
        <v>-861.175</v>
      </c>
      <c r="W4" s="9"/>
      <c r="X4" s="8">
        <f>F4-G4</f>
        <v>-33117</v>
      </c>
      <c r="Y4" s="9"/>
      <c r="Z4" s="73"/>
      <c r="AA4" s="11"/>
      <c r="AB4" s="12">
        <v>13.3</v>
      </c>
    </row>
    <row r="5" ht="20.05" customHeight="1">
      <c r="B5" s="13"/>
      <c r="C5" s="38">
        <v>2572.111</v>
      </c>
      <c r="D5" s="15">
        <v>477.1066</v>
      </c>
      <c r="E5" s="15">
        <v>506.426</v>
      </c>
      <c r="F5" s="15">
        <v>2905.286</v>
      </c>
      <c r="G5" s="15">
        <v>36129.497</v>
      </c>
      <c r="H5" s="15">
        <v>48976.725</v>
      </c>
      <c r="I5" s="23">
        <v>4051.408</v>
      </c>
      <c r="J5" s="15">
        <v>2825.324</v>
      </c>
      <c r="K5" s="15">
        <v>-852.928</v>
      </c>
      <c r="L5" s="15">
        <v>856.2597500000001</v>
      </c>
      <c r="M5" s="15">
        <v>6.6635</v>
      </c>
      <c r="N5" s="15"/>
      <c r="O5" s="15"/>
      <c r="P5" s="16"/>
      <c r="Q5" s="17"/>
      <c r="R5" s="17"/>
      <c r="S5" s="17"/>
      <c r="T5" s="17"/>
      <c r="U5" s="17"/>
      <c r="V5" s="15">
        <f>-(L5+M5)+V4</f>
        <v>-1724.09825</v>
      </c>
      <c r="W5" s="17"/>
      <c r="X5" s="15">
        <f>F5-G5</f>
        <v>-33224.211</v>
      </c>
      <c r="Y5" s="17"/>
      <c r="Z5" s="24"/>
      <c r="AA5" s="19"/>
      <c r="AB5" s="20">
        <v>13.327</v>
      </c>
    </row>
    <row r="6" ht="20.05" customHeight="1">
      <c r="B6" s="13"/>
      <c r="C6" s="38">
        <v>2554.56</v>
      </c>
      <c r="D6" s="15">
        <v>558.8099999999999</v>
      </c>
      <c r="E6" s="15">
        <v>1130.925</v>
      </c>
      <c r="F6" s="15">
        <v>4856.325</v>
      </c>
      <c r="G6" s="15">
        <v>39050.175</v>
      </c>
      <c r="H6" s="15">
        <v>53233.305</v>
      </c>
      <c r="I6" s="23">
        <v>2075.58</v>
      </c>
      <c r="J6" s="15">
        <v>159.66</v>
      </c>
      <c r="K6" s="15">
        <v>-532.2</v>
      </c>
      <c r="L6" s="15">
        <v>854.8462500000001</v>
      </c>
      <c r="M6" s="15">
        <v>6.6525</v>
      </c>
      <c r="N6" s="15"/>
      <c r="O6" s="15"/>
      <c r="P6" s="16"/>
      <c r="Q6" s="17"/>
      <c r="R6" s="17"/>
      <c r="S6" s="17"/>
      <c r="T6" s="17"/>
      <c r="U6" s="17"/>
      <c r="V6" s="15">
        <f>-(L6+M6)+V5</f>
        <v>-2585.597</v>
      </c>
      <c r="W6" s="17"/>
      <c r="X6" s="15">
        <f>F6-G6</f>
        <v>-34193.85</v>
      </c>
      <c r="Y6" s="17"/>
      <c r="Z6" s="24"/>
      <c r="AA6" s="19"/>
      <c r="AB6" s="20">
        <v>13.305</v>
      </c>
    </row>
    <row r="7" ht="20.05" customHeight="1">
      <c r="B7" s="13"/>
      <c r="C7" s="38">
        <v>4446.696</v>
      </c>
      <c r="D7" s="15">
        <v>664.293</v>
      </c>
      <c r="E7" s="15">
        <v>-488.052</v>
      </c>
      <c r="F7" s="15">
        <v>6629.373</v>
      </c>
      <c r="G7" s="15">
        <v>50947.206</v>
      </c>
      <c r="H7" s="15">
        <v>69967.677</v>
      </c>
      <c r="I7" s="23">
        <v>5246.559</v>
      </c>
      <c r="J7" s="15">
        <v>894.7619999999999</v>
      </c>
      <c r="K7" s="15">
        <v>-1965.765</v>
      </c>
      <c r="L7" s="15">
        <v>871.03725</v>
      </c>
      <c r="M7" s="15">
        <v>6.7785</v>
      </c>
      <c r="N7" s="15"/>
      <c r="O7" s="15"/>
      <c r="P7" s="16"/>
      <c r="Q7" s="17"/>
      <c r="R7" s="17"/>
      <c r="S7" s="17"/>
      <c r="T7" s="17"/>
      <c r="U7" s="17"/>
      <c r="V7" s="15">
        <f>-(L7+M7)+V6</f>
        <v>-3463.41275</v>
      </c>
      <c r="W7" s="17"/>
      <c r="X7" s="15">
        <f>F7-G7</f>
        <v>-44317.833</v>
      </c>
      <c r="Y7" s="17"/>
      <c r="Z7" s="24"/>
      <c r="AA7" s="19"/>
      <c r="AB7" s="20">
        <v>13.557</v>
      </c>
    </row>
    <row r="8" ht="20.05" customHeight="1">
      <c r="B8" s="21">
        <v>2018</v>
      </c>
      <c r="C8" s="38">
        <v>3935.646</v>
      </c>
      <c r="D8" s="15">
        <v>484.3872</v>
      </c>
      <c r="E8" s="15">
        <v>357.786</v>
      </c>
      <c r="F8" s="15">
        <v>6054.84</v>
      </c>
      <c r="G8" s="15">
        <v>50612.958</v>
      </c>
      <c r="H8" s="15">
        <v>70704.018</v>
      </c>
      <c r="I8" s="23">
        <v>3054.942</v>
      </c>
      <c r="J8" s="15">
        <v>-55.044</v>
      </c>
      <c r="K8" s="15">
        <v>-935.748</v>
      </c>
      <c r="L8" s="15">
        <v>65.36475</v>
      </c>
      <c r="M8" s="15">
        <v>27.522</v>
      </c>
      <c r="N8" s="15">
        <f>SUM(C5:C8)/4</f>
        <v>3377.25325</v>
      </c>
      <c r="O8" s="15"/>
      <c r="P8" s="16"/>
      <c r="Q8" s="16"/>
      <c r="R8" s="16"/>
      <c r="S8" s="17"/>
      <c r="T8" s="15">
        <f>SUM(J5:K8)/4</f>
        <v>-115.48475</v>
      </c>
      <c r="U8" s="25"/>
      <c r="V8" s="15">
        <f>-(L8+M8)+V7</f>
        <v>-3556.2995</v>
      </c>
      <c r="W8" s="17"/>
      <c r="X8" s="15">
        <f>F8-G8</f>
        <v>-44558.118</v>
      </c>
      <c r="Y8" s="24"/>
      <c r="Z8" s="68">
        <v>1024</v>
      </c>
      <c r="AA8" s="22"/>
      <c r="AB8" s="20">
        <v>13.761</v>
      </c>
    </row>
    <row r="9" ht="20.05" customHeight="1">
      <c r="B9" s="13"/>
      <c r="C9" s="38">
        <v>4004</v>
      </c>
      <c r="D9" s="15">
        <v>309.4</v>
      </c>
      <c r="E9" s="15">
        <v>350</v>
      </c>
      <c r="F9" s="15">
        <v>4858</v>
      </c>
      <c r="G9" s="15">
        <v>51156</v>
      </c>
      <c r="H9" s="15">
        <v>71470</v>
      </c>
      <c r="I9" s="23">
        <v>3752</v>
      </c>
      <c r="J9" s="15">
        <v>-266</v>
      </c>
      <c r="K9" s="15">
        <v>-728</v>
      </c>
      <c r="L9" s="15">
        <v>66.5</v>
      </c>
      <c r="M9" s="15">
        <v>28</v>
      </c>
      <c r="N9" s="15">
        <f>SUM(C6:C9)/4</f>
        <v>3735.2255</v>
      </c>
      <c r="O9" s="15"/>
      <c r="P9" s="16"/>
      <c r="Q9" s="16">
        <f>(E9+D9)/C9</f>
        <v>0.164685314685315</v>
      </c>
      <c r="R9" s="16"/>
      <c r="S9" s="17"/>
      <c r="T9" s="15">
        <f>SUM(J6:K9)/4</f>
        <v>-857.08375</v>
      </c>
      <c r="U9" s="25"/>
      <c r="V9" s="15">
        <f>-(L9+M9)+V8</f>
        <v>-3650.7995</v>
      </c>
      <c r="W9" s="17"/>
      <c r="X9" s="15">
        <f>F9-G9</f>
        <v>-46298</v>
      </c>
      <c r="Y9" s="24"/>
      <c r="Z9" s="69">
        <v>817</v>
      </c>
      <c r="AA9" s="22"/>
      <c r="AB9" s="20">
        <v>14</v>
      </c>
    </row>
    <row r="10" ht="20.05" customHeight="1">
      <c r="B10" s="13"/>
      <c r="C10" s="38">
        <v>5290.21</v>
      </c>
      <c r="D10" s="15">
        <v>244.3928</v>
      </c>
      <c r="E10" s="15">
        <v>-774.904</v>
      </c>
      <c r="F10" s="15">
        <v>6005.506</v>
      </c>
      <c r="G10" s="15">
        <v>55971.912</v>
      </c>
      <c r="H10" s="15">
        <v>77147.653999999995</v>
      </c>
      <c r="I10" s="23">
        <v>4902.758</v>
      </c>
      <c r="J10" s="15">
        <v>864.316</v>
      </c>
      <c r="K10" s="15">
        <v>-1624.318</v>
      </c>
      <c r="L10" s="15">
        <v>70.78449999999999</v>
      </c>
      <c r="M10" s="15">
        <v>29.804</v>
      </c>
      <c r="N10" s="15">
        <f>SUM(C7:C10)/4</f>
        <v>4419.138</v>
      </c>
      <c r="O10" s="15"/>
      <c r="P10" s="16">
        <f>C10/C9-1</f>
        <v>0.321231268731269</v>
      </c>
      <c r="Q10" s="16">
        <f>(E10+D10)/C10</f>
        <v>-0.100281690140845</v>
      </c>
      <c r="R10" s="16"/>
      <c r="S10" s="17"/>
      <c r="T10" s="15">
        <f>SUM(J7:K10)/4</f>
        <v>-953.94925</v>
      </c>
      <c r="U10" s="25"/>
      <c r="V10" s="15">
        <f>-(L10+M10)+V9</f>
        <v>-3751.388</v>
      </c>
      <c r="W10" s="17"/>
      <c r="X10" s="15">
        <f>F10-G10</f>
        <v>-49966.406</v>
      </c>
      <c r="Y10" s="24"/>
      <c r="Z10" s="69">
        <v>847</v>
      </c>
      <c r="AA10" s="22"/>
      <c r="AB10" s="20">
        <v>14.902</v>
      </c>
    </row>
    <row r="11" ht="20.05" customHeight="1">
      <c r="B11" s="13"/>
      <c r="C11" s="38">
        <v>4184.58</v>
      </c>
      <c r="D11" s="15">
        <v>528.465</v>
      </c>
      <c r="E11" s="15">
        <v>-388.26</v>
      </c>
      <c r="F11" s="15">
        <v>6010.84</v>
      </c>
      <c r="G11" s="15">
        <v>55578.7</v>
      </c>
      <c r="H11" s="15">
        <v>75523.759999999995</v>
      </c>
      <c r="I11" s="23">
        <v>5766.38</v>
      </c>
      <c r="J11" s="15">
        <v>2099.48</v>
      </c>
      <c r="K11" s="15">
        <v>-546.4400000000001</v>
      </c>
      <c r="L11" s="15">
        <v>68.30500000000001</v>
      </c>
      <c r="M11" s="15">
        <v>28.76</v>
      </c>
      <c r="N11" s="15">
        <f>SUM(C8:C11)/4</f>
        <v>4353.609</v>
      </c>
      <c r="O11" s="15"/>
      <c r="P11" s="16">
        <f>C11/C10-1</f>
        <v>-0.208995484111217</v>
      </c>
      <c r="Q11" s="16">
        <f>(E11+D11)/C11</f>
        <v>0.0335051546391753</v>
      </c>
      <c r="R11" s="16"/>
      <c r="S11" s="17"/>
      <c r="T11" s="15">
        <f>SUM(J8:K11)/4</f>
        <v>-297.9385</v>
      </c>
      <c r="U11" s="25"/>
      <c r="V11" s="15">
        <f>-(L11+M11)+V10</f>
        <v>-3848.453</v>
      </c>
      <c r="W11" s="17"/>
      <c r="X11" s="15">
        <f>F11-G11</f>
        <v>-49567.86</v>
      </c>
      <c r="Y11" s="24"/>
      <c r="Z11" s="69">
        <v>580</v>
      </c>
      <c r="AA11" s="22"/>
      <c r="AB11" s="20">
        <v>14.38</v>
      </c>
    </row>
    <row r="12" ht="20.05" customHeight="1">
      <c r="B12" s="21">
        <v>2019</v>
      </c>
      <c r="C12" s="38">
        <v>4044.16</v>
      </c>
      <c r="D12" s="15">
        <v>421.504</v>
      </c>
      <c r="E12" s="15">
        <v>455.68</v>
      </c>
      <c r="F12" s="15">
        <v>4585.28</v>
      </c>
      <c r="G12" s="15">
        <v>52146.88</v>
      </c>
      <c r="H12" s="15">
        <v>72353.44</v>
      </c>
      <c r="I12" s="23">
        <v>3474.56</v>
      </c>
      <c r="J12" s="15">
        <v>484.16</v>
      </c>
      <c r="K12" s="15">
        <v>-882.88</v>
      </c>
      <c r="L12" s="15">
        <v>-224.28</v>
      </c>
      <c r="M12" s="15">
        <v>534</v>
      </c>
      <c r="N12" s="15">
        <f>SUM(C9:C12)/4</f>
        <v>4380.7375</v>
      </c>
      <c r="O12" s="23"/>
      <c r="P12" s="16">
        <f>C12/C11-1</f>
        <v>-0.0335565337501016</v>
      </c>
      <c r="Q12" s="16">
        <f>(E12+D12)/C12</f>
        <v>0.216901408450704</v>
      </c>
      <c r="R12" s="16">
        <f>AVERAGE(Q9:Q12)</f>
        <v>0.0787025469085873</v>
      </c>
      <c r="S12" s="17"/>
      <c r="T12" s="15">
        <f>SUM(J9:K12)/4</f>
        <v>-149.9205</v>
      </c>
      <c r="U12" s="25"/>
      <c r="V12" s="15">
        <f>-(L12+M12)+V11</f>
        <v>-4158.173</v>
      </c>
      <c r="W12" s="17"/>
      <c r="X12" s="15">
        <f>F12-G12</f>
        <v>-47561.6</v>
      </c>
      <c r="Y12" s="24"/>
      <c r="Z12" s="69">
        <v>753</v>
      </c>
      <c r="AA12" s="22"/>
      <c r="AB12" s="20">
        <v>14.24</v>
      </c>
    </row>
    <row r="13" ht="20.05" customHeight="1">
      <c r="B13" s="13"/>
      <c r="C13" s="38">
        <v>4831.434</v>
      </c>
      <c r="D13" s="15">
        <v>795.3501</v>
      </c>
      <c r="E13" s="15">
        <v>28.254</v>
      </c>
      <c r="F13" s="15">
        <v>6371.277</v>
      </c>
      <c r="G13" s="15">
        <v>68332.299</v>
      </c>
      <c r="H13" s="15">
        <v>88519.782000000007</v>
      </c>
      <c r="I13" s="23">
        <v>4464.132</v>
      </c>
      <c r="J13" s="15">
        <v>1327.938</v>
      </c>
      <c r="K13" s="15">
        <v>-7233.024</v>
      </c>
      <c r="L13" s="15">
        <v>-222.50025</v>
      </c>
      <c r="M13" s="15">
        <v>529.7625</v>
      </c>
      <c r="N13" s="15">
        <f>SUM(C10:C13)/4</f>
        <v>4587.596</v>
      </c>
      <c r="O13" s="23"/>
      <c r="P13" s="16">
        <f>C13/C12-1</f>
        <v>0.194669350371894</v>
      </c>
      <c r="Q13" s="16">
        <f>(E13+D13)/C13</f>
        <v>0.17046783625731</v>
      </c>
      <c r="R13" s="16">
        <f>AVERAGE(Q10:Q13)</f>
        <v>0.0801481773015861</v>
      </c>
      <c r="S13" s="17"/>
      <c r="T13" s="15">
        <f>SUM(J10:K13)/4</f>
        <v>-1377.692</v>
      </c>
      <c r="U13" s="25"/>
      <c r="V13" s="15">
        <f>-(L13+M13)+V12</f>
        <v>-4465.43525</v>
      </c>
      <c r="W13" s="17"/>
      <c r="X13" s="15">
        <f>F13-G13</f>
        <v>-61961.022</v>
      </c>
      <c r="Y13" s="24"/>
      <c r="Z13" s="69">
        <v>686</v>
      </c>
      <c r="AA13" s="24"/>
      <c r="AB13" s="15">
        <v>14.127</v>
      </c>
    </row>
    <row r="14" ht="20.05" customHeight="1">
      <c r="B14" s="13"/>
      <c r="C14" s="38">
        <v>4886.54358</v>
      </c>
      <c r="D14" s="15">
        <v>1701.9805</v>
      </c>
      <c r="E14" s="15">
        <v>-99.36499999999999</v>
      </c>
      <c r="F14" s="15">
        <v>4457.23</v>
      </c>
      <c r="G14" s="15">
        <v>68916.725000000006</v>
      </c>
      <c r="H14" s="15">
        <v>88221.925</v>
      </c>
      <c r="I14" s="23">
        <v>5663.805</v>
      </c>
      <c r="J14" s="15">
        <v>-1178.185</v>
      </c>
      <c r="K14" s="15">
        <v>4658.37315</v>
      </c>
      <c r="L14" s="15">
        <v>-223.57125</v>
      </c>
      <c r="M14" s="15">
        <v>532.3125</v>
      </c>
      <c r="N14" s="15">
        <f>SUM(C11:C14)/4</f>
        <v>4486.679395</v>
      </c>
      <c r="O14" s="23"/>
      <c r="P14" s="16">
        <f>C14/C13-1</f>
        <v>0.0114064644161547</v>
      </c>
      <c r="Q14" s="16">
        <f>(E14+D14)/C14</f>
        <v>0.327965048047315</v>
      </c>
      <c r="R14" s="16">
        <f>AVERAGE(Q11:Q14)</f>
        <v>0.187209861848626</v>
      </c>
      <c r="S14" s="17"/>
      <c r="T14" s="15">
        <f>SUM(J11:K14)/4</f>
        <v>-317.6444625</v>
      </c>
      <c r="U14" s="25"/>
      <c r="V14" s="15">
        <f>-(L14+M14)+V13</f>
        <v>-4774.1765</v>
      </c>
      <c r="W14" s="17"/>
      <c r="X14" s="15">
        <f>F14-G14</f>
        <v>-64459.495</v>
      </c>
      <c r="Y14" s="24"/>
      <c r="Z14" s="69">
        <v>584</v>
      </c>
      <c r="AA14" s="24"/>
      <c r="AB14" s="15">
        <v>14.195</v>
      </c>
    </row>
    <row r="15" ht="20.05" customHeight="1">
      <c r="B15" s="13"/>
      <c r="C15" s="38">
        <v>5628.540192</v>
      </c>
      <c r="D15" s="15">
        <v>1274.3676</v>
      </c>
      <c r="E15" s="15">
        <v>-555.28</v>
      </c>
      <c r="F15" s="15">
        <v>6330.192</v>
      </c>
      <c r="G15" s="15">
        <v>64565.182</v>
      </c>
      <c r="H15" s="15">
        <v>83389.174</v>
      </c>
      <c r="I15" s="23">
        <v>7315.814</v>
      </c>
      <c r="J15" s="15">
        <v>2082.3</v>
      </c>
      <c r="K15" s="15">
        <v>-333.168</v>
      </c>
      <c r="L15" s="15">
        <v>-218.6415</v>
      </c>
      <c r="M15" s="15">
        <v>520.575</v>
      </c>
      <c r="N15" s="15">
        <f>SUM(C12:C15)/4</f>
        <v>4847.669443</v>
      </c>
      <c r="O15" s="15"/>
      <c r="P15" s="16">
        <f>C15/C14-1</f>
        <v>0.151844877642532</v>
      </c>
      <c r="Q15" s="16">
        <f>(E15+D15)/C15</f>
        <v>0.12775738921116</v>
      </c>
      <c r="R15" s="16">
        <f>AVERAGE(Q12:Q15)</f>
        <v>0.210772920491622</v>
      </c>
      <c r="S15" s="17"/>
      <c r="T15" s="15">
        <f>SUM(J12:K15)/4</f>
        <v>-268.6214625</v>
      </c>
      <c r="U15" s="25"/>
      <c r="V15" s="15">
        <f>-(L15+M15)+V14</f>
        <v>-5076.11</v>
      </c>
      <c r="W15" s="17"/>
      <c r="X15" s="15">
        <f>F15-G15</f>
        <v>-58234.99</v>
      </c>
      <c r="Y15" s="24"/>
      <c r="Z15" s="69">
        <v>732</v>
      </c>
      <c r="AA15" s="24"/>
      <c r="AB15" s="15">
        <v>13.882</v>
      </c>
    </row>
    <row r="16" ht="20.05" customHeight="1">
      <c r="B16" s="21">
        <v>2020</v>
      </c>
      <c r="C16" s="38">
        <v>4509.715</v>
      </c>
      <c r="D16" s="314">
        <v>1565.76</v>
      </c>
      <c r="E16" s="15">
        <v>-304.997</v>
      </c>
      <c r="F16" s="15">
        <v>5969.46</v>
      </c>
      <c r="G16" s="15">
        <v>82300.259999999995</v>
      </c>
      <c r="H16" s="15">
        <v>104220.9</v>
      </c>
      <c r="I16" s="23">
        <v>4224.29</v>
      </c>
      <c r="J16" s="15">
        <v>848.12</v>
      </c>
      <c r="K16" s="15">
        <v>-1255.87</v>
      </c>
      <c r="L16" s="15">
        <v>-185.7709</v>
      </c>
      <c r="M16" s="15">
        <v>83.8334</v>
      </c>
      <c r="N16" s="15">
        <f>SUM(C13:C16)/4</f>
        <v>4964.058193</v>
      </c>
      <c r="O16" s="15">
        <v>4876.69</v>
      </c>
      <c r="P16" s="16">
        <f>C16/C15-1</f>
        <v>-0.198777152482666</v>
      </c>
      <c r="Q16" s="16">
        <f>(E16+D16)/C16</f>
        <v>0.279566003616637</v>
      </c>
      <c r="R16" s="16">
        <f>AVERAGE(Q13:Q16)</f>
        <v>0.226439069283106</v>
      </c>
      <c r="S16" s="17"/>
      <c r="T16" s="15">
        <f>SUM(J13:K16)/4</f>
        <v>-270.8789625</v>
      </c>
      <c r="U16" s="25"/>
      <c r="V16" s="15">
        <f>-(L16+M16)+V15</f>
        <v>-4974.1725</v>
      </c>
      <c r="W16" s="17"/>
      <c r="X16" s="15">
        <f>F16-G16</f>
        <v>-76330.8</v>
      </c>
      <c r="Y16" s="24"/>
      <c r="Z16" s="69">
        <v>327</v>
      </c>
      <c r="AA16" s="24"/>
      <c r="AB16" s="15">
        <v>16.31</v>
      </c>
    </row>
    <row r="17" ht="20.05" customHeight="1">
      <c r="B17" s="13"/>
      <c r="C17" s="38">
        <v>3927.2525</v>
      </c>
      <c r="D17" s="15">
        <v>1103.337</v>
      </c>
      <c r="E17" s="15">
        <v>-973.6165</v>
      </c>
      <c r="F17" s="15">
        <v>4846.7</v>
      </c>
      <c r="G17" s="15">
        <v>72287.105</v>
      </c>
      <c r="H17" s="15">
        <v>90248.405</v>
      </c>
      <c r="I17" s="23">
        <v>2879.51</v>
      </c>
      <c r="J17" s="15">
        <v>296.504</v>
      </c>
      <c r="K17" s="15">
        <v>-1610.815</v>
      </c>
      <c r="L17" s="15">
        <v>-162.36445</v>
      </c>
      <c r="M17" s="15">
        <v>73.27070000000001</v>
      </c>
      <c r="N17" s="15">
        <f>SUM(C14:C17)/4</f>
        <v>4738.012818</v>
      </c>
      <c r="O17" s="15">
        <v>4531.569466666660</v>
      </c>
      <c r="P17" s="16">
        <f>C17/C16-1</f>
        <v>-0.129157274905399</v>
      </c>
      <c r="Q17" s="16">
        <f>(E17+D17)/C17</f>
        <v>0.0330308529945554</v>
      </c>
      <c r="R17" s="16">
        <f>AVERAGE(Q14:Q17)</f>
        <v>0.192079823467417</v>
      </c>
      <c r="S17" s="17"/>
      <c r="T17" s="25">
        <f>SUM(J14:K17)/4</f>
        <v>876.8147875</v>
      </c>
      <c r="U17" s="25"/>
      <c r="V17" s="15">
        <f>-(L17+M17)+V16</f>
        <v>-4885.07875</v>
      </c>
      <c r="W17" s="17"/>
      <c r="X17" s="15">
        <f>F17-G17</f>
        <v>-67440.405</v>
      </c>
      <c r="Y17" s="24"/>
      <c r="Z17" s="69">
        <v>383</v>
      </c>
      <c r="AA17" s="24"/>
      <c r="AB17" s="15">
        <v>14.255</v>
      </c>
    </row>
    <row r="18" ht="20.05" customHeight="1">
      <c r="B18" s="13"/>
      <c r="C18" s="38">
        <v>3562.88142</v>
      </c>
      <c r="D18" s="15">
        <v>1088.544</v>
      </c>
      <c r="E18" s="15">
        <v>-470.70654</v>
      </c>
      <c r="F18" s="15">
        <v>4851.12</v>
      </c>
      <c r="G18" s="15">
        <v>73935.210000000006</v>
      </c>
      <c r="H18" s="15">
        <v>94079.19</v>
      </c>
      <c r="I18" s="23">
        <v>5224.25691</v>
      </c>
      <c r="J18" s="15">
        <v>-512.44392</v>
      </c>
      <c r="K18" s="15">
        <v>-1131.435</v>
      </c>
      <c r="L18" s="15">
        <v>-168.4581</v>
      </c>
      <c r="M18" s="15">
        <v>76.0206</v>
      </c>
      <c r="N18" s="15">
        <f>SUM(C15:C18)/4</f>
        <v>4407.097278</v>
      </c>
      <c r="O18" s="15">
        <v>4593.4782</v>
      </c>
      <c r="P18" s="16">
        <f>C18/C17-1</f>
        <v>-0.0927801510088796</v>
      </c>
      <c r="Q18" s="16">
        <f>(E18+D18)/C18</f>
        <v>0.173409492814386</v>
      </c>
      <c r="R18" s="16">
        <f>AVERAGE(Q15:Q18)</f>
        <v>0.153440934659185</v>
      </c>
      <c r="S18" s="17"/>
      <c r="T18" s="25">
        <f>SUM(J15:K18)/4</f>
        <v>-404.20198</v>
      </c>
      <c r="U18" s="25"/>
      <c r="V18" s="15">
        <f>-(L18+M18)+V17</f>
        <v>-4792.64125</v>
      </c>
      <c r="W18" s="17"/>
      <c r="X18" s="15">
        <f>F18-G18</f>
        <v>-69084.09</v>
      </c>
      <c r="Y18" s="24"/>
      <c r="Z18" s="15">
        <v>338</v>
      </c>
      <c r="AA18" s="24"/>
      <c r="AB18" s="15">
        <v>14.79</v>
      </c>
    </row>
    <row r="19" ht="20.05" customHeight="1">
      <c r="B19" s="13"/>
      <c r="C19" s="38">
        <v>4235.6682</v>
      </c>
      <c r="D19" s="15">
        <v>1214.01</v>
      </c>
      <c r="E19" s="15">
        <v>-824.4834</v>
      </c>
      <c r="F19" s="15">
        <v>4173.6</v>
      </c>
      <c r="G19" s="15">
        <v>66100.8</v>
      </c>
      <c r="H19" s="15">
        <v>83204.100000000006</v>
      </c>
      <c r="I19" s="23">
        <v>4804.8711</v>
      </c>
      <c r="J19" s="15">
        <v>606.9768</v>
      </c>
      <c r="K19" s="15">
        <v>-363.78</v>
      </c>
      <c r="L19" s="15">
        <v>-160.599</v>
      </c>
      <c r="M19" s="15">
        <v>72.474</v>
      </c>
      <c r="N19" s="15">
        <f>SUM(C16:C19)/4</f>
        <v>4058.87928</v>
      </c>
      <c r="O19" s="15">
        <v>4288.9122675</v>
      </c>
      <c r="P19" s="16">
        <f>C19/C18-1</f>
        <v>0.188832212103203</v>
      </c>
      <c r="Q19" s="16">
        <f>(E19+D19)/C19</f>
        <v>0.0919634356628784</v>
      </c>
      <c r="R19" s="16">
        <f>AVERAGE(Q16:Q19)</f>
        <v>0.144492446272114</v>
      </c>
      <c r="S19" s="17"/>
      <c r="T19" s="25">
        <f>SUM(J16:K19)/4</f>
        <v>-780.68578</v>
      </c>
      <c r="U19" s="25"/>
      <c r="V19" s="15">
        <f>-(L19+M19)+V18</f>
        <v>-4704.51625</v>
      </c>
      <c r="W19" s="17"/>
      <c r="X19" s="15">
        <f>F19-G19</f>
        <v>-61927.2</v>
      </c>
      <c r="Y19" s="24"/>
      <c r="Z19" s="15">
        <v>590</v>
      </c>
      <c r="AA19" s="24"/>
      <c r="AB19" s="15">
        <v>14.1</v>
      </c>
    </row>
    <row r="20" ht="20.05" customHeight="1">
      <c r="B20" s="21">
        <v>2021</v>
      </c>
      <c r="C20" s="38">
        <v>4384.7212</v>
      </c>
      <c r="D20" s="15">
        <v>1200.6132</v>
      </c>
      <c r="E20" s="15">
        <v>127.0722</v>
      </c>
      <c r="F20" s="15">
        <v>7361.424</v>
      </c>
      <c r="G20" s="15">
        <v>67698.81</v>
      </c>
      <c r="H20" s="15">
        <v>87577.576</v>
      </c>
      <c r="I20" s="23">
        <v>3841.378</v>
      </c>
      <c r="J20" s="15">
        <v>835.4632</v>
      </c>
      <c r="K20" s="15">
        <v>1815.5258</v>
      </c>
      <c r="L20" s="15">
        <v>-295.33332</v>
      </c>
      <c r="M20" s="15">
        <v>886.87632</v>
      </c>
      <c r="N20" s="15">
        <f>SUM(C17:C20)/4</f>
        <v>4027.63083</v>
      </c>
      <c r="O20" s="15">
        <v>4477.062778505</v>
      </c>
      <c r="P20" s="16">
        <f>C20/C19-1</f>
        <v>0.0351899612911134</v>
      </c>
      <c r="Q20" s="16">
        <f>(E20+D20)/C20</f>
        <v>0.302798134576949</v>
      </c>
      <c r="R20" s="16">
        <f>AVERAGE(Q17:Q20)</f>
        <v>0.150300479012192</v>
      </c>
      <c r="S20" s="17"/>
      <c r="T20" s="25">
        <f>SUM(J17:K20)/4</f>
        <v>-16.00103</v>
      </c>
      <c r="U20" s="25"/>
      <c r="V20" s="15">
        <f>-(L20+M20)+V19</f>
        <v>-5296.05925</v>
      </c>
      <c r="W20" s="17"/>
      <c r="X20" s="15">
        <f>F20-G20</f>
        <v>-60337.386</v>
      </c>
      <c r="Y20" s="15"/>
      <c r="Z20" s="15">
        <v>570</v>
      </c>
      <c r="AA20" s="17"/>
      <c r="AB20" s="15">
        <v>14.606</v>
      </c>
    </row>
    <row r="21" ht="20.05" customHeight="1">
      <c r="B21" s="13"/>
      <c r="C21" s="38">
        <v>4856.645</v>
      </c>
      <c r="D21" s="15">
        <v>1196.46</v>
      </c>
      <c r="E21" s="15">
        <v>521.645</v>
      </c>
      <c r="F21" s="15">
        <v>6227.95</v>
      </c>
      <c r="G21" s="15">
        <v>59606.25</v>
      </c>
      <c r="H21" s="15">
        <v>77206.350000000006</v>
      </c>
      <c r="I21" s="23">
        <v>4272.865</v>
      </c>
      <c r="J21" s="15">
        <v>-492.745</v>
      </c>
      <c r="K21" s="15">
        <v>641.58</v>
      </c>
      <c r="L21" s="15">
        <v>-768.451</v>
      </c>
      <c r="M21" s="15">
        <v>-555.169</v>
      </c>
      <c r="N21" s="15">
        <f>SUM(C18:C21)/4</f>
        <v>4259.978955</v>
      </c>
      <c r="O21" s="15">
        <v>5507.619920375</v>
      </c>
      <c r="P21" s="16">
        <f>C21/C20-1</f>
        <v>0.107629146409582</v>
      </c>
      <c r="Q21" s="16">
        <f>(E21+D21)/C21</f>
        <v>0.353763760785481</v>
      </c>
      <c r="R21" s="16">
        <f>AVERAGE(Q18:Q21)</f>
        <v>0.230483705959924</v>
      </c>
      <c r="S21" s="17"/>
      <c r="T21" s="25">
        <f>SUM(J18:K21)/4</f>
        <v>349.78547</v>
      </c>
      <c r="U21" s="25"/>
      <c r="V21" s="15">
        <f>-(L21+M21)+V20</f>
        <v>-3972.43925</v>
      </c>
      <c r="W21" s="17"/>
      <c r="X21" s="15">
        <f>F21-G21</f>
        <v>-53378.3</v>
      </c>
      <c r="Y21" s="15"/>
      <c r="Z21" s="15">
        <v>640</v>
      </c>
      <c r="AA21" s="17"/>
      <c r="AB21" s="15">
        <v>14.45</v>
      </c>
    </row>
    <row r="22" ht="20.05" customHeight="1">
      <c r="B22" s="13"/>
      <c r="C22" s="38">
        <v>4579.2288</v>
      </c>
      <c r="D22" s="15">
        <v>1206.4176</v>
      </c>
      <c r="E22" s="15">
        <v>365.364</v>
      </c>
      <c r="F22" s="15">
        <v>6906.096</v>
      </c>
      <c r="G22" s="15">
        <v>57956.76</v>
      </c>
      <c r="H22" s="15">
        <v>75651.84</v>
      </c>
      <c r="I22" s="23">
        <v>4199.5368</v>
      </c>
      <c r="J22" s="15">
        <v>724.9968</v>
      </c>
      <c r="K22" s="15">
        <v>-372.528</v>
      </c>
      <c r="L22" s="15">
        <v>398.89152</v>
      </c>
      <c r="M22" s="15">
        <v>-24.93072</v>
      </c>
      <c r="N22" s="15">
        <f>SUM(C19:C22)/4</f>
        <v>4514.0658</v>
      </c>
      <c r="O22" s="15">
        <v>5646.83498082</v>
      </c>
      <c r="P22" s="16">
        <f>C22/C21-1</f>
        <v>-0.057120954897877</v>
      </c>
      <c r="Q22" s="16">
        <f>(E22+D22)/C22</f>
        <v>0.343241551939925</v>
      </c>
      <c r="R22" s="16">
        <f>AVERAGE(Q19:Q22)</f>
        <v>0.272941720741308</v>
      </c>
      <c r="S22" s="17"/>
      <c r="T22" s="25">
        <f>SUM(J19:K22)/4</f>
        <v>848.8724</v>
      </c>
      <c r="U22" s="25"/>
      <c r="V22" s="15">
        <f>-(L22+M22)+V21</f>
        <v>-4346.40005</v>
      </c>
      <c r="W22" s="17"/>
      <c r="X22" s="15">
        <f>F22-G22</f>
        <v>-51050.664</v>
      </c>
      <c r="Y22" s="15"/>
      <c r="Z22" s="15">
        <v>550</v>
      </c>
      <c r="AA22" s="23">
        <v>923.882922387335</v>
      </c>
      <c r="AB22" s="15">
        <v>14.328</v>
      </c>
    </row>
    <row r="23" ht="20.05" customHeight="1">
      <c r="B23" s="13"/>
      <c r="C23" s="38">
        <v>5243.2075</v>
      </c>
      <c r="D23" s="15">
        <v>867.92</v>
      </c>
      <c r="E23" s="15">
        <v>-109.9175</v>
      </c>
      <c r="F23" s="15">
        <v>6866.275</v>
      </c>
      <c r="G23" s="15">
        <v>63595.125</v>
      </c>
      <c r="H23" s="15">
        <v>81139.100000000006</v>
      </c>
      <c r="I23" s="23">
        <v>4099.78</v>
      </c>
      <c r="J23" s="15">
        <v>1156.275</v>
      </c>
      <c r="K23" s="15">
        <v>-853.645</v>
      </c>
      <c r="L23" s="15">
        <v>-236.1085</v>
      </c>
      <c r="M23" s="15">
        <v>-96.499</v>
      </c>
      <c r="N23" s="15">
        <f>SUM(C20:C23)/4</f>
        <v>4765.950625</v>
      </c>
      <c r="O23" s="15">
        <v>5857.6991781875</v>
      </c>
      <c r="P23" s="16">
        <f>C23/C22-1</f>
        <v>0.144997930655922</v>
      </c>
      <c r="Q23" s="16">
        <f>(E23+D23)/C23</f>
        <v>0.14456847263817</v>
      </c>
      <c r="R23" s="16">
        <f>AVERAGE(Q20:Q23)</f>
        <v>0.286092979985131</v>
      </c>
      <c r="S23" s="17"/>
      <c r="T23" s="25">
        <f>SUM(J20:K23)/4</f>
        <v>863.7307</v>
      </c>
      <c r="U23" s="25"/>
      <c r="V23" s="15">
        <f>-(L23+M23)+V22</f>
        <v>-4013.79255</v>
      </c>
      <c r="W23" s="17"/>
      <c r="X23" s="15">
        <f>F23-G23</f>
        <v>-56728.85</v>
      </c>
      <c r="Y23" s="15"/>
      <c r="Z23" s="15">
        <v>466</v>
      </c>
      <c r="AA23" s="23">
        <v>923.882922387335</v>
      </c>
      <c r="AB23" s="15">
        <v>14.275</v>
      </c>
    </row>
    <row r="24" ht="20.05" customHeight="1">
      <c r="B24" s="21">
        <v>2022</v>
      </c>
      <c r="C24" s="38">
        <v>7010.2011</v>
      </c>
      <c r="D24" s="15">
        <v>2098.9055</v>
      </c>
      <c r="E24" s="15">
        <v>1373.9593</v>
      </c>
      <c r="F24" s="15">
        <v>5386.952</v>
      </c>
      <c r="G24" s="15">
        <v>81706.880999999994</v>
      </c>
      <c r="H24" s="15">
        <v>100231.692</v>
      </c>
      <c r="I24" s="23">
        <v>6242.2739</v>
      </c>
      <c r="J24" s="15">
        <v>1702.0476</v>
      </c>
      <c r="K24" s="15">
        <v>-11616.3316</v>
      </c>
      <c r="L24" s="15">
        <v>8411.3817</v>
      </c>
      <c r="M24" s="15">
        <v>0</v>
      </c>
      <c r="N24" s="15">
        <f>SUM(C21:C24)/4</f>
        <v>5422.3206</v>
      </c>
      <c r="O24" s="15">
        <v>6012.40735717</v>
      </c>
      <c r="P24" s="16">
        <f>C24/C23-1</f>
        <v>0.337006231395572</v>
      </c>
      <c r="Q24" s="16">
        <f>(E24+D24)/C24</f>
        <v>0.49540159411404</v>
      </c>
      <c r="R24" s="16">
        <f>AVERAGE(Q21:Q24)</f>
        <v>0.334243844869404</v>
      </c>
      <c r="S24" s="35"/>
      <c r="T24" s="25">
        <f>SUM(J21:K24)/4</f>
        <v>-2277.58755</v>
      </c>
      <c r="U24" s="15">
        <v>864.227080858951</v>
      </c>
      <c r="V24" s="15">
        <f>-(L24+M24)+V23</f>
        <v>-12425.17425</v>
      </c>
      <c r="W24" s="15"/>
      <c r="X24" s="15">
        <f>F24-G24</f>
        <v>-76319.929</v>
      </c>
      <c r="Y24" s="15">
        <v>-46886.6026788424</v>
      </c>
      <c r="Z24" s="15">
        <v>555</v>
      </c>
      <c r="AA24" s="23">
        <v>923.882922387335</v>
      </c>
      <c r="AB24" s="15">
        <v>14.327</v>
      </c>
    </row>
    <row r="25" ht="20.05" customHeight="1">
      <c r="B25" s="13"/>
      <c r="C25" s="38">
        <v>9641.882</v>
      </c>
      <c r="D25" s="15">
        <v>2147.69</v>
      </c>
      <c r="E25" s="15">
        <v>2713.566</v>
      </c>
      <c r="F25" s="15">
        <v>5438.86</v>
      </c>
      <c r="G25" s="15">
        <v>80468.740000000005</v>
      </c>
      <c r="H25" s="15">
        <v>102268.16</v>
      </c>
      <c r="I25" s="23">
        <v>7950.118</v>
      </c>
      <c r="J25" s="15">
        <v>1161.072</v>
      </c>
      <c r="K25" s="15">
        <v>-721.272</v>
      </c>
      <c r="L25" s="15">
        <v>-529.226</v>
      </c>
      <c r="M25" s="15">
        <v>0</v>
      </c>
      <c r="N25" s="15">
        <f>SUM(C22:C25)/4</f>
        <v>6618.62985</v>
      </c>
      <c r="O25" s="15">
        <v>5655.4205986</v>
      </c>
      <c r="P25" s="16">
        <f>C25/C24-1</f>
        <v>0.375407333179072</v>
      </c>
      <c r="Q25" s="16">
        <f>(E25+D25)/C25</f>
        <v>0.504181237646343</v>
      </c>
      <c r="R25" s="16">
        <f>AVERAGE(Q22:Q25)</f>
        <v>0.37184821408462</v>
      </c>
      <c r="S25" s="35"/>
      <c r="T25" s="25">
        <f>SUM(J22:K25)/4</f>
        <v>-2204.8463</v>
      </c>
      <c r="U25" s="15">
        <v>1266.157759699250</v>
      </c>
      <c r="V25" s="15">
        <f>-(L25+M25)+V24</f>
        <v>-11895.94825</v>
      </c>
      <c r="W25" s="15"/>
      <c r="X25" s="15">
        <f>F25-G25</f>
        <v>-75029.88</v>
      </c>
      <c r="Y25" s="15">
        <v>-71704.0225463149</v>
      </c>
      <c r="Z25" s="26">
        <v>635</v>
      </c>
      <c r="AA25" s="23">
        <v>923.882922387335</v>
      </c>
      <c r="AB25" s="15">
        <v>14.66</v>
      </c>
    </row>
    <row r="26" ht="20.05" customHeight="1">
      <c r="B26" s="13"/>
      <c r="C26" s="38">
        <v>10377.864</v>
      </c>
      <c r="D26" s="15">
        <v>2905.425</v>
      </c>
      <c r="E26" s="15">
        <v>2150.0145</v>
      </c>
      <c r="F26" s="15">
        <v>8276.535</v>
      </c>
      <c r="G26" s="15">
        <v>82184.265</v>
      </c>
      <c r="H26" s="15">
        <v>107940.465</v>
      </c>
      <c r="I26" s="23">
        <v>13262.8725</v>
      </c>
      <c r="J26" s="15">
        <v>3604.2975</v>
      </c>
      <c r="K26" s="15">
        <v>-940.7295</v>
      </c>
      <c r="L26" s="15">
        <v>722.4299999999999</v>
      </c>
      <c r="M26" s="15">
        <v>-968.9985</v>
      </c>
      <c r="N26" s="15">
        <f>SUM(C23:C26)/4</f>
        <v>8068.28865</v>
      </c>
      <c r="O26" s="15">
        <v>7278.18778125</v>
      </c>
      <c r="P26" s="16">
        <f>C26/C25-1</f>
        <v>0.0763317783810256</v>
      </c>
      <c r="Q26" s="16">
        <f>(E26+D26)/C26</f>
        <v>0.487136803874092</v>
      </c>
      <c r="R26" s="16">
        <f>AVERAGE(Q23:Q26)</f>
        <v>0.407822027068161</v>
      </c>
      <c r="S26" s="35">
        <f>S27</f>
        <v>0.334243844869404</v>
      </c>
      <c r="T26" s="25">
        <f>SUM(J23:K26)/4</f>
        <v>-1627.0715</v>
      </c>
      <c r="U26" s="15">
        <v>3582.270383858710</v>
      </c>
      <c r="V26" s="15">
        <f>-(L26+M26)+V25</f>
        <v>-11649.37975</v>
      </c>
      <c r="W26" s="15">
        <f>W27</f>
        <v>-719.051897379190</v>
      </c>
      <c r="X26" s="15">
        <f>F26-G26</f>
        <v>-73907.73</v>
      </c>
      <c r="Y26" s="15">
        <v>-64164.5084645652</v>
      </c>
      <c r="Z26" s="26">
        <v>915</v>
      </c>
      <c r="AA26" s="23">
        <v>1585.9659261114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10989.9150561484</v>
      </c>
      <c r="P27" s="17"/>
      <c r="Q27" s="17"/>
      <c r="R27" s="17"/>
      <c r="S27" s="35">
        <f>AE53</f>
        <v>0.334243844869404</v>
      </c>
      <c r="T27" s="25"/>
      <c r="U27" s="15">
        <f>SUM(AE55:AH55)/4</f>
        <v>2732.5819631552</v>
      </c>
      <c r="V27" s="17"/>
      <c r="W27" s="15">
        <f>-SUM(AE76:AH76)+V26</f>
        <v>-719.051897379190</v>
      </c>
      <c r="X27" s="26"/>
      <c r="Y27" s="15">
        <f>AH75</f>
        <v>-63493.123999308</v>
      </c>
      <c r="Z27" s="15">
        <v>1145</v>
      </c>
      <c r="AA27" s="23">
        <v>950.352281255804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SUM(N16:N26)</f>
        <v>55844.912879</v>
      </c>
      <c r="O28" s="15">
        <f>SUM(O16:O26)</f>
        <v>58725.8825290742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1310.323788970870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340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0.233435818402898</v>
      </c>
      <c r="AF49" s="35"/>
      <c r="AG49" s="35"/>
      <c r="AH49" s="35">
        <f>AVERAGE(AE51:AH51)</f>
        <v>0.02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0.144997930655922</v>
      </c>
      <c r="AF50" s="35">
        <f>P24</f>
        <v>0.337006231395572</v>
      </c>
      <c r="AG50" s="35">
        <f>P25</f>
        <v>0.375407333179072</v>
      </c>
      <c r="AH50" s="35">
        <f>P26</f>
        <v>0.0763317783810256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0.07000000000000001</v>
      </c>
      <c r="AF51" s="35">
        <v>-0.03</v>
      </c>
      <c r="AG51" s="35">
        <v>0.01</v>
      </c>
      <c r="AH51" s="35">
        <v>0.03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10377.864</v>
      </c>
      <c r="AE52" s="23">
        <f>C26*(1+AE51)</f>
        <v>11104.31448</v>
      </c>
      <c r="AF52" s="23">
        <f>AE52*(1+AF51)</f>
        <v>10771.1850456</v>
      </c>
      <c r="AG52" s="23">
        <f>AF52*(1+AG51)</f>
        <v>10878.896896056</v>
      </c>
      <c r="AH52" s="23">
        <f>AG52*(1+AH51)</f>
        <v>11205.2638029377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AVERAGE(R24)</f>
        <v>0.334243844869404</v>
      </c>
      <c r="AF53" s="35">
        <f>AE53</f>
        <v>0.334243844869404</v>
      </c>
      <c r="AG53" s="35">
        <f>AF53</f>
        <v>0.334243844869404</v>
      </c>
      <c r="AH53" s="35">
        <f>AG53</f>
        <v>0.334243844869404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AVERAGE(K26)</f>
        <v>-940.7295</v>
      </c>
      <c r="AF54" s="15">
        <f>AE54</f>
        <v>-940.7295</v>
      </c>
      <c r="AG54" s="15">
        <f>AF54</f>
        <v>-940.7295</v>
      </c>
      <c r="AH54" s="15">
        <f>AG54</f>
        <v>-940.7295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2770.8192664342</v>
      </c>
      <c r="AF55" s="15">
        <f>(AF52*AF53)+AF54</f>
        <v>2659.472803441170</v>
      </c>
      <c r="AG55" s="15">
        <f>(AG52*AG53)+AG54</f>
        <v>2695.474826475580</v>
      </c>
      <c r="AH55" s="15">
        <f>(AH52*AH53)+AH54</f>
        <v>2804.560956269860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-4109.21325</v>
      </c>
      <c r="AF56" s="15">
        <f>-AE71/20</f>
        <v>-3903.7525875</v>
      </c>
      <c r="AG56" s="15">
        <f>-AF71/20</f>
        <v>-3708.564958125</v>
      </c>
      <c r="AH56" s="15">
        <f>-AG71/20</f>
        <v>-3523.136710218750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-0.1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-132.754193310087</v>
      </c>
      <c r="AF58" s="15">
        <f>IF(AF66&gt;0,AF66*$AE$57,0)</f>
        <v>-121.619547010784</v>
      </c>
      <c r="AG58" s="15">
        <f>IF(AG66&gt;0,AG66*$AE$57,0)</f>
        <v>-125.219749314225</v>
      </c>
      <c r="AH58" s="15">
        <f>IF(AH66&gt;0,AH66*$AE$57,0)</f>
        <v>-136.128362293653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-1471.148176875890</v>
      </c>
      <c r="AF59" s="15">
        <f>AF55+AF56+AF58</f>
        <v>-1365.899331069610</v>
      </c>
      <c r="AG59" s="15">
        <f>AG55+AG56+AG58</f>
        <v>-1138.309880963650</v>
      </c>
      <c r="AH59" s="15">
        <f>AH55+AH56+AH58</f>
        <v>-854.704116242543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1471.148176875890</v>
      </c>
      <c r="AF60" s="15">
        <f>-MIN(AE72,AF59)</f>
        <v>1365.899331069610</v>
      </c>
      <c r="AG60" s="15">
        <f>-MIN(AF72,AG59)</f>
        <v>1138.309880963650</v>
      </c>
      <c r="AH60" s="15">
        <f>-MIN(AG72,AH59)</f>
        <v>854.704116242543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8276.535</v>
      </c>
      <c r="AF61" s="15">
        <f>AE63</f>
        <v>8276.535</v>
      </c>
      <c r="AG61" s="15">
        <f>AF63</f>
        <v>8276.535</v>
      </c>
      <c r="AH61" s="15">
        <f>AG63</f>
        <v>8276.535000000011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3e-12</v>
      </c>
      <c r="AF62" s="15">
        <f>AF55+AF56+AF58+AF60</f>
        <v>-4e-12</v>
      </c>
      <c r="AG62" s="15">
        <f>AG55+AG56+AG58+AG60</f>
        <v>5e-12</v>
      </c>
      <c r="AH62" s="15">
        <f>AH55+AH56+AH58+AH60</f>
        <v>0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8276.535</v>
      </c>
      <c r="AF63" s="15">
        <f>AF61+AF62</f>
        <v>8276.535</v>
      </c>
      <c r="AG63" s="15">
        <f>AG61+AG62</f>
        <v>8276.535000000011</v>
      </c>
      <c r="AH63" s="15">
        <f>AH61+AH62</f>
        <v>8276.535000000011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-2384.006833333330</v>
      </c>
      <c r="AF65" s="15">
        <f>AE65</f>
        <v>-2384.006833333330</v>
      </c>
      <c r="AG65" s="15">
        <f>AF65</f>
        <v>-2384.006833333330</v>
      </c>
      <c r="AH65" s="15">
        <f>AG65</f>
        <v>-2384.006833333330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1327.541933100870</v>
      </c>
      <c r="AF66" s="15">
        <f>(AF52*AF53)+AF65</f>
        <v>1216.195470107840</v>
      </c>
      <c r="AG66" s="15">
        <f>(AG52*AG53)+AG65</f>
        <v>1252.197493142250</v>
      </c>
      <c r="AH66" s="15">
        <f>(AH52*AH53)+AH65</f>
        <v>1361.283622936530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100604.6595</v>
      </c>
      <c r="AF68" s="15">
        <f>AE68-AF54</f>
        <v>101545.389</v>
      </c>
      <c r="AG68" s="15">
        <f>AF68-AG54</f>
        <v>102486.1185</v>
      </c>
      <c r="AH68" s="15">
        <f>AG68-AH54</f>
        <v>103426.848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2384.006833333330</v>
      </c>
      <c r="AF69" s="15">
        <f>AE69-AF65</f>
        <v>4768.013666666660</v>
      </c>
      <c r="AG69" s="15">
        <f>AF69-AG65</f>
        <v>7152.020499999990</v>
      </c>
      <c r="AH69" s="15">
        <f>AG69-AH65</f>
        <v>9536.027333333321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98220.652666666705</v>
      </c>
      <c r="AF70" s="15">
        <f>AF68-AF69</f>
        <v>96777.3753333333</v>
      </c>
      <c r="AG70" s="15">
        <f>AG68-AG69</f>
        <v>95334.098</v>
      </c>
      <c r="AH70" s="15">
        <f>AH68-AH69</f>
        <v>93890.8206666667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78075.05175</v>
      </c>
      <c r="AF71" s="15">
        <f>AE71+AF56</f>
        <v>74171.2991625</v>
      </c>
      <c r="AG71" s="15">
        <f>AF71+AG56</f>
        <v>70462.734204375</v>
      </c>
      <c r="AH71" s="15">
        <f>AG71+AH56</f>
        <v>66939.5974941563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1471.148176875890</v>
      </c>
      <c r="AF72" s="15">
        <f>AE72+AF60</f>
        <v>2837.0475079455</v>
      </c>
      <c r="AG72" s="15">
        <f>AF72+AG60</f>
        <v>3975.357388909150</v>
      </c>
      <c r="AH72" s="15">
        <f>AG72+AH60</f>
        <v>4830.061505151690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26950.9877397908</v>
      </c>
      <c r="AF73" s="15">
        <f>AE73+AF66+AF58</f>
        <v>28045.5636628879</v>
      </c>
      <c r="AG73" s="15">
        <f>AF73+AG66+AG58</f>
        <v>29172.5414067159</v>
      </c>
      <c r="AH73" s="15">
        <f>AG73+AH66+AH58</f>
        <v>30397.6966673588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-9.999999999999999e-12</v>
      </c>
      <c r="AF74" s="15">
        <f>AF71+AF72+AF73-AF63-AF70</f>
        <v>1e-10</v>
      </c>
      <c r="AG74" s="15">
        <f>AG71+AG72+AG73-AG63-AG70</f>
        <v>4e-11</v>
      </c>
      <c r="AH74" s="15">
        <f>AH71+AH72+AH73-AH63-AH70</f>
        <v>8e-11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-71269.664926875907</v>
      </c>
      <c r="AF75" s="15">
        <f>AF63-AF71-AF72</f>
        <v>-68731.8116704455</v>
      </c>
      <c r="AG75" s="15">
        <f>AG63-AG71-AG72</f>
        <v>-66161.5565932841</v>
      </c>
      <c r="AH75" s="15">
        <f>AH63-AH71-AH72</f>
        <v>-63493.123999308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-2770.8192664342</v>
      </c>
      <c r="AF76" s="15">
        <f>AF56+AF58+AF60</f>
        <v>-2659.472803441170</v>
      </c>
      <c r="AG76" s="15">
        <f>AG56+AG58+AG60</f>
        <v>-2695.474826475580</v>
      </c>
      <c r="AH76" s="15">
        <f>AH56+AH58+AH60</f>
        <v>-2804.560956269860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672</v>
      </c>
      <c r="AD78" s="14"/>
      <c r="AE78" s="15"/>
      <c r="AF78" s="15"/>
      <c r="AG78" s="15"/>
      <c r="AH78" s="15">
        <v>1145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672</v>
      </c>
      <c r="AD79" s="14"/>
      <c r="AE79" s="15"/>
      <c r="AF79" s="15"/>
      <c r="AG79" s="15"/>
      <c r="AH79" s="15">
        <v>28653739243520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28653.73924352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25.025099776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0.280458851621904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0.0179984136641216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10930.3278526208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8.58993636171253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2.6214894584932</v>
      </c>
      <c r="AH86" s="15">
        <v>3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32790.9835578624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1310.323788970870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0.144387588620847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1.26629077804542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0.0515887571767985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672</v>
      </c>
      <c r="AF94" t="s" s="44">
        <v>60</v>
      </c>
      <c r="AG94" s="15">
        <f>AH78</f>
        <v>1145</v>
      </c>
      <c r="AH94" t="s" s="44">
        <v>61</v>
      </c>
      <c r="AI94" s="15">
        <f>AH88</f>
        <v>1310.323788970870</v>
      </c>
      <c r="AJ94" t="s" s="44">
        <f>IF(AK94&gt;0,"+","")</f>
        <v>361</v>
      </c>
      <c r="AK94" s="16">
        <f>AI94/AG94-1</f>
        <v>0.144387588620847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1.26629077804542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-0.227135660888372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</c>
      <c r="AH99" s="16">
        <f>(AG131+AG132+AI131+AI132+AK131+AK132+AM131+AM132)/AF134</f>
        <v>-0.254870041146604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-2.57933979826783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362</v>
      </c>
      <c r="AG101" s="16">
        <f>AG105</f>
        <v>0.0763317783810256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-0.057120954897877</v>
      </c>
      <c r="AF103" s="16">
        <f>P23</f>
        <v>0.144997930655922</v>
      </c>
      <c r="AG103" s="16">
        <f>P24</f>
        <v>0.337006231395572</v>
      </c>
      <c r="AH103" s="16">
        <f>P25</f>
        <v>0.375407333179072</v>
      </c>
      <c r="AI103" s="16">
        <f>P26</f>
        <v>0.0763317783810256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23">
        <f>C22</f>
        <v>4579.2288</v>
      </c>
      <c r="AF104" t="s" s="44">
        <v>72</v>
      </c>
      <c r="AG104" s="23">
        <f>C23</f>
        <v>5243.2075</v>
      </c>
      <c r="AH104" t="s" s="44">
        <v>72</v>
      </c>
      <c r="AI104" s="23">
        <f>C24</f>
        <v>7010.2011</v>
      </c>
      <c r="AJ104" t="s" s="44">
        <v>72</v>
      </c>
      <c r="AK104" s="23">
        <f>C25</f>
        <v>9641.882</v>
      </c>
      <c r="AL104" t="s" s="44">
        <v>72</v>
      </c>
      <c r="AM104" s="23">
        <f>C26</f>
        <v>10377.864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362</v>
      </c>
      <c r="AG105" s="16">
        <f>AM104/AK104-1</f>
        <v>0.0763317783810256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23">
        <f>AM104</f>
        <v>10377.864</v>
      </c>
      <c r="AM105" t="s" s="44">
        <v>372</v>
      </c>
      <c r="AN105" t="s" s="44">
        <v>373</v>
      </c>
      <c r="AO105" s="16">
        <f>AH91</f>
        <v>0.0515887571767985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0.233435818402898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</v>
      </c>
      <c r="AG107" t="s" s="44">
        <v>82</v>
      </c>
      <c r="AH107" t="s" s="44">
        <v>83</v>
      </c>
      <c r="AI107" s="23">
        <f>AH52</f>
        <v>11205.2638029377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87</v>
      </c>
      <c r="AG108" t="s" s="44">
        <v>86</v>
      </c>
      <c r="AH108" t="s" s="44">
        <f>IF(AL112&gt;AJ112,"up","down")</f>
        <v>87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0.343241551939925</v>
      </c>
      <c r="AF110" s="16">
        <f>(D23+E23)/C23</f>
        <v>0.14456847263817</v>
      </c>
      <c r="AG110" s="16">
        <f>((E24+D24)/C24)</f>
        <v>0.49540159411404</v>
      </c>
      <c r="AH110" s="16">
        <f>(D25+E25)/C25</f>
        <v>0.504181237646343</v>
      </c>
      <c r="AI110" s="16">
        <f>(D26+E26)/C26</f>
        <v>0.487136803874092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365.364</v>
      </c>
      <c r="AF111" t="s" s="44">
        <v>72</v>
      </c>
      <c r="AG111" s="15">
        <f>E23</f>
        <v>-109.9175</v>
      </c>
      <c r="AH111" t="s" s="44">
        <v>72</v>
      </c>
      <c r="AI111" s="15">
        <f>E24</f>
        <v>1373.9593</v>
      </c>
      <c r="AJ111" t="s" s="44">
        <v>72</v>
      </c>
      <c r="AK111" s="15">
        <f>E25</f>
        <v>2713.566</v>
      </c>
      <c r="AL111" t="s" s="44">
        <v>72</v>
      </c>
      <c r="AM111" s="15">
        <f>E26</f>
        <v>2150.0145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0.504181237646343</v>
      </c>
      <c r="AG112" t="s" s="44">
        <v>76</v>
      </c>
      <c r="AH112" s="16">
        <f>AI110</f>
        <v>0.487136803874092</v>
      </c>
      <c r="AI112" t="s" s="44">
        <v>90</v>
      </c>
      <c r="AJ112" s="15">
        <f>AK111</f>
        <v>2713.566</v>
      </c>
      <c r="AK112" t="s" s="44">
        <v>76</v>
      </c>
      <c r="AL112" s="15">
        <f>AM111</f>
        <v>2150.0145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0.407822027068161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0.334243844869404</v>
      </c>
      <c r="AG114" t="s" s="44">
        <v>94</v>
      </c>
      <c r="AH114" s="15">
        <f>AH66</f>
        <v>1361.283622936530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363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724.9968</v>
      </c>
      <c r="AF117" t="s" s="44">
        <v>72</v>
      </c>
      <c r="AG117" s="15">
        <f>J23</f>
        <v>1156.275</v>
      </c>
      <c r="AH117" t="s" s="44">
        <v>72</v>
      </c>
      <c r="AI117" s="15">
        <f>J24</f>
        <v>1702.0476</v>
      </c>
      <c r="AJ117" t="s" s="44">
        <v>72</v>
      </c>
      <c r="AK117" s="15">
        <f>J25</f>
        <v>1161.072</v>
      </c>
      <c r="AL117" t="s" s="44">
        <v>72</v>
      </c>
      <c r="AM117" s="15">
        <f>J26</f>
        <v>3604.2975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-372.528</v>
      </c>
      <c r="AF118" t="s" s="44">
        <v>72</v>
      </c>
      <c r="AG118" s="15">
        <f>K23</f>
        <v>-853.645</v>
      </c>
      <c r="AH118" t="s" s="44">
        <v>72</v>
      </c>
      <c r="AI118" s="15">
        <f>K24</f>
        <v>-11616.3316</v>
      </c>
      <c r="AJ118" t="s" s="44">
        <v>72</v>
      </c>
      <c r="AK118" s="15">
        <f>K25</f>
        <v>-721.272</v>
      </c>
      <c r="AL118" t="s" s="44">
        <v>72</v>
      </c>
      <c r="AM118" s="15">
        <f>K26</f>
        <v>-940.7295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439.8</v>
      </c>
      <c r="AG119" t="s" s="44">
        <v>76</v>
      </c>
      <c r="AH119" s="15">
        <f>AM117+AM118</f>
        <v>2663.568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-940.7295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-1627.0715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-940.7295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2732.5819631552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108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6906.096</v>
      </c>
      <c r="AF124" t="s" s="44">
        <v>72</v>
      </c>
      <c r="AG124" s="15">
        <f>F23</f>
        <v>6866.275</v>
      </c>
      <c r="AH124" t="s" s="44">
        <v>72</v>
      </c>
      <c r="AI124" s="15">
        <f>F24</f>
        <v>5386.952</v>
      </c>
      <c r="AJ124" t="s" s="44">
        <v>72</v>
      </c>
      <c r="AK124" s="15">
        <f>F25</f>
        <v>5438.86</v>
      </c>
      <c r="AL124" t="s" s="44">
        <v>72</v>
      </c>
      <c r="AM124" s="15">
        <f>F26</f>
        <v>8276.535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57956.76</v>
      </c>
      <c r="AF125" t="s" s="44">
        <v>72</v>
      </c>
      <c r="AG125" s="15">
        <f>G23</f>
        <v>63595.125</v>
      </c>
      <c r="AH125" t="s" s="44">
        <v>72</v>
      </c>
      <c r="AI125" s="15">
        <f>G24</f>
        <v>81706.880999999994</v>
      </c>
      <c r="AJ125" t="s" s="44">
        <v>72</v>
      </c>
      <c r="AK125" s="15">
        <f>G25</f>
        <v>80468.740000000005</v>
      </c>
      <c r="AL125" t="s" s="44">
        <v>72</v>
      </c>
      <c r="AM125" s="15">
        <f>G26</f>
        <v>82184.265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111</v>
      </c>
      <c r="AG126" s="15">
        <f>AK124</f>
        <v>5438.86</v>
      </c>
      <c r="AH126" t="s" s="44">
        <v>76</v>
      </c>
      <c r="AI126" s="15">
        <f>AM124</f>
        <v>8276.535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80468.740000000005</v>
      </c>
      <c r="AH127" t="s" s="44">
        <v>76</v>
      </c>
      <c r="AI127" s="15">
        <f>AM125</f>
        <v>82184.265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108</v>
      </c>
      <c r="AN127" s="15">
        <f>AG126-AG127</f>
        <v>-75029.88</v>
      </c>
      <c r="AO127" t="s" s="44">
        <v>76</v>
      </c>
      <c r="AP127" s="15">
        <f>AI126-AI127</f>
        <v>-73907.73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-515.7218519287489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-10414.6060006921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-63493.123999308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374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-398.89152</v>
      </c>
      <c r="AF131" t="s" s="44">
        <v>72</v>
      </c>
      <c r="AG131" s="15">
        <f>-L23</f>
        <v>236.1085</v>
      </c>
      <c r="AH131" t="s" s="44">
        <v>72</v>
      </c>
      <c r="AI131" s="15">
        <f>-L24</f>
        <v>-8411.3817</v>
      </c>
      <c r="AJ131" t="s" s="44">
        <v>72</v>
      </c>
      <c r="AK131" s="15">
        <f>-L25</f>
        <v>529.226</v>
      </c>
      <c r="AL131" t="s" s="44">
        <v>72</v>
      </c>
      <c r="AM131" s="15">
        <f>-L26</f>
        <v>-722.4299999999999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24.93072</v>
      </c>
      <c r="AF132" t="s" s="44">
        <v>72</v>
      </c>
      <c r="AG132" s="15">
        <f>-M23</f>
        <v>96.499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968.9985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672</v>
      </c>
      <c r="AF133" t="s" s="44">
        <f>IF(AG133&gt;0,"paid","(raised)")</f>
        <v>374</v>
      </c>
      <c r="AG133" s="15">
        <f>SUM(AM131:AM132)</f>
        <v>246.5685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-722.4299999999999</v>
      </c>
      <c r="AM133" t="s" s="44">
        <f>AM105</f>
        <v>372</v>
      </c>
      <c r="AN133" t="s" s="44">
        <v>123</v>
      </c>
      <c r="AO133" s="15">
        <f>AM132</f>
        <v>968.9985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10930.3278526208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28653.73924352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0.280458851621904</v>
      </c>
      <c r="AK134" t="s" s="44">
        <v>130</v>
      </c>
      <c r="AL134" t="s" s="44">
        <v>131</v>
      </c>
      <c r="AM134" t="s" s="44">
        <v>132</v>
      </c>
      <c r="AN134" s="15">
        <f>AH85</f>
        <v>8.58993636171253</v>
      </c>
      <c r="AO134" t="s" s="44">
        <v>133</v>
      </c>
      <c r="AP134" s="16">
        <f>-AF128/AF134</f>
        <v>0.0179984136641216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10930.3278526208</v>
      </c>
      <c r="AG135" t="s" s="44">
        <f>AG134</f>
        <v>372</v>
      </c>
      <c r="AH135" t="s" s="44">
        <v>136</v>
      </c>
      <c r="AI135" s="15">
        <f>AF134/AF135</f>
        <v>2.6214894584932</v>
      </c>
      <c r="AJ135" t="s" s="44">
        <v>130</v>
      </c>
      <c r="AK135" t="s" s="44">
        <v>137</v>
      </c>
      <c r="AL135" t="s" s="44">
        <v>138</v>
      </c>
      <c r="AM135" s="15">
        <f>AH86</f>
        <v>3</v>
      </c>
      <c r="AN135" t="s" s="44">
        <v>139</v>
      </c>
      <c r="AO135" t="s" s="44">
        <v>140</v>
      </c>
      <c r="AP135" t="s" s="44">
        <v>141</v>
      </c>
      <c r="AQ135" s="16">
        <f>AK94</f>
        <v>0.144387588620847</v>
      </c>
      <c r="AR135" t="s" s="44">
        <f>IF(AQ135&gt;0,"higher","lower")</f>
        <v>363</v>
      </c>
      <c r="AS135" t="s" s="44">
        <v>142</v>
      </c>
      <c r="AT135" s="15">
        <f>AI94</f>
        <v>1310.323788970870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38">
        <f>AE104</f>
        <v>4579.2288</v>
      </c>
      <c r="AE137" s="23">
        <f>AG104</f>
        <v>5243.2075</v>
      </c>
      <c r="AF137" s="23">
        <f>AI104</f>
        <v>7010.2011</v>
      </c>
      <c r="AG137" s="23">
        <f>AK104</f>
        <v>9641.882</v>
      </c>
      <c r="AH137" s="23">
        <f>AM104</f>
        <v>10377.864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352.4688</v>
      </c>
      <c r="AE138" s="15">
        <f>SUM(AG117:AG118)</f>
        <v>302.63</v>
      </c>
      <c r="AF138" s="15">
        <f>SUM(AI117:AI118)</f>
        <v>-9914.284</v>
      </c>
      <c r="AG138" s="15">
        <f>SUM(AK117:AK118)</f>
        <v>439.8</v>
      </c>
      <c r="AH138" s="15">
        <f>SUM(AM117:AM118)</f>
        <v>2663.568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-373.9608</v>
      </c>
      <c r="AE139" s="15">
        <f>SUM(AG131:AG132)</f>
        <v>332.6075</v>
      </c>
      <c r="AF139" s="15">
        <f>SUM(AI131:AI132)</f>
        <v>-8411.3817</v>
      </c>
      <c r="AG139" s="15">
        <f>SUM(AK131:AK132)</f>
        <v>529.226</v>
      </c>
      <c r="AH139" s="15">
        <f>SUM(AM131:AM132)</f>
        <v>246.5685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-51050.664</v>
      </c>
      <c r="AE140" s="15">
        <f>(AG124-AG125)</f>
        <v>-56728.85</v>
      </c>
      <c r="AF140" s="15">
        <f>(AI124-AI125)</f>
        <v>-76319.929</v>
      </c>
      <c r="AG140" s="15">
        <f>(AK124-AK125)</f>
        <v>-75029.88</v>
      </c>
      <c r="AH140" s="15">
        <f>(AM124-AM125)</f>
        <v>-73907.73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1310.323788970870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3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27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16" customWidth="1"/>
    <col min="2" max="26" width="10.4844" style="316" customWidth="1"/>
    <col min="27" max="27" width="18.9766" style="317" customWidth="1"/>
    <col min="28" max="31" width="9" style="317" customWidth="1"/>
    <col min="32" max="45" hidden="1" width="16.3333" style="317" customWidth="1"/>
    <col min="46" max="16384" width="16.3516" style="317" customWidth="1"/>
  </cols>
  <sheetData>
    <row r="1" ht="11.65" customHeight="1"/>
    <row r="2" ht="27.65" customHeight="1">
      <c r="B2" t="s" s="2">
        <v>673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282</v>
      </c>
      <c r="Z3" t="s" s="3">
        <v>19</v>
      </c>
    </row>
    <row r="4" ht="20.25" customHeight="1">
      <c r="B4" s="6">
        <v>2019</v>
      </c>
      <c r="C4" s="7">
        <v>2240</v>
      </c>
      <c r="D4" s="8">
        <v>53</v>
      </c>
      <c r="E4" s="8">
        <v>485</v>
      </c>
      <c r="F4" s="8">
        <v>7407</v>
      </c>
      <c r="G4" s="8">
        <v>69362</v>
      </c>
      <c r="H4" s="8">
        <v>83973</v>
      </c>
      <c r="I4" s="8">
        <v>2368</v>
      </c>
      <c r="J4" s="8">
        <v>185</v>
      </c>
      <c r="K4" s="8">
        <v>-1050</v>
      </c>
      <c r="L4" s="8">
        <v>430</v>
      </c>
      <c r="M4" s="8">
        <v>0</v>
      </c>
      <c r="N4" s="8">
        <f>SUM(C4)/4</f>
        <v>560</v>
      </c>
      <c r="O4" s="9"/>
      <c r="P4" s="55"/>
      <c r="Q4" s="55"/>
      <c r="R4" s="9"/>
      <c r="S4" s="8">
        <f>SUM(J4:K4)/4</f>
        <v>-216.25</v>
      </c>
      <c r="T4" s="9"/>
      <c r="U4" s="8">
        <f>-(L4+M4)</f>
        <v>-430</v>
      </c>
      <c r="V4" s="9"/>
      <c r="W4" s="8">
        <f>F4-G4</f>
        <v>-61955</v>
      </c>
      <c r="X4" s="73"/>
      <c r="Y4" s="8">
        <v>5575</v>
      </c>
      <c r="Z4" s="73"/>
    </row>
    <row r="5" ht="20.05" customHeight="1">
      <c r="B5" s="13"/>
      <c r="C5" s="14">
        <v>2302</v>
      </c>
      <c r="D5" s="15">
        <v>68</v>
      </c>
      <c r="E5" s="15">
        <v>406</v>
      </c>
      <c r="F5" s="15">
        <v>5426</v>
      </c>
      <c r="G5" s="15">
        <v>69918</v>
      </c>
      <c r="H5" s="15">
        <v>84278</v>
      </c>
      <c r="I5" s="15">
        <v>2553</v>
      </c>
      <c r="J5" s="15">
        <v>-485</v>
      </c>
      <c r="K5" s="15">
        <v>-266</v>
      </c>
      <c r="L5" s="15">
        <v>-430</v>
      </c>
      <c r="M5" s="15">
        <v>-800</v>
      </c>
      <c r="N5" s="15">
        <f>SUM(C4:C5)/4</f>
        <v>1135.5</v>
      </c>
      <c r="O5" s="17"/>
      <c r="P5" s="16">
        <f>C5/C4-1</f>
        <v>0.0276785714285714</v>
      </c>
      <c r="Q5" s="16"/>
      <c r="R5" s="17"/>
      <c r="S5" s="15">
        <f>SUM(J4:K5)/4</f>
        <v>-404</v>
      </c>
      <c r="T5" s="17"/>
      <c r="U5" s="15">
        <f>-(L5+M5)+U4</f>
        <v>800</v>
      </c>
      <c r="V5" s="17"/>
      <c r="W5" s="15">
        <f>F5-G5</f>
        <v>-64492</v>
      </c>
      <c r="X5" s="24"/>
      <c r="Y5" s="15">
        <v>5850</v>
      </c>
      <c r="Z5" s="24"/>
    </row>
    <row r="6" ht="20.05" customHeight="1">
      <c r="B6" s="13"/>
      <c r="C6" s="14">
        <v>2337</v>
      </c>
      <c r="D6" s="15">
        <v>17</v>
      </c>
      <c r="E6" s="15">
        <v>490</v>
      </c>
      <c r="F6" s="15">
        <v>5748</v>
      </c>
      <c r="G6" s="15">
        <v>72858</v>
      </c>
      <c r="H6" s="15">
        <v>87809</v>
      </c>
      <c r="I6" s="15">
        <v>2421</v>
      </c>
      <c r="J6" s="15">
        <v>1456</v>
      </c>
      <c r="K6" s="15">
        <v>-1334</v>
      </c>
      <c r="L6" s="15">
        <v>200</v>
      </c>
      <c r="M6" s="15">
        <v>0</v>
      </c>
      <c r="N6" s="15">
        <f>SUM(C4:C6)/4</f>
        <v>1719.75</v>
      </c>
      <c r="O6" s="17"/>
      <c r="P6" s="16">
        <f>C6/C5-1</f>
        <v>0.0152041702867072</v>
      </c>
      <c r="Q6" s="16"/>
      <c r="R6" s="17"/>
      <c r="S6" s="15">
        <f>SUM(J4:K6)/4</f>
        <v>-373.5</v>
      </c>
      <c r="T6" s="17"/>
      <c r="U6" s="15">
        <f>-(L6+M6)+U5</f>
        <v>600</v>
      </c>
      <c r="V6" s="17"/>
      <c r="W6" s="15">
        <f>F6-G6</f>
        <v>-67110</v>
      </c>
      <c r="X6" s="24"/>
      <c r="Y6" s="15">
        <v>6000</v>
      </c>
      <c r="Z6" s="24"/>
    </row>
    <row r="7" ht="20.05" customHeight="1">
      <c r="B7" s="13"/>
      <c r="C7" s="14">
        <v>2497</v>
      </c>
      <c r="D7" s="15">
        <v>39</v>
      </c>
      <c r="E7" s="15">
        <v>622</v>
      </c>
      <c r="F7" s="15">
        <v>13840</v>
      </c>
      <c r="G7" s="15">
        <v>85262</v>
      </c>
      <c r="H7" s="15">
        <v>100803</v>
      </c>
      <c r="I7" s="15">
        <v>2462</v>
      </c>
      <c r="J7" s="15">
        <v>2494</v>
      </c>
      <c r="K7" s="15">
        <v>5798</v>
      </c>
      <c r="L7" s="15">
        <v>-200</v>
      </c>
      <c r="M7" s="15">
        <v>0</v>
      </c>
      <c r="N7" s="15">
        <f>SUM(C4:C7)/4</f>
        <v>2344</v>
      </c>
      <c r="O7" s="17"/>
      <c r="P7" s="16">
        <f>C7/C6-1</f>
        <v>0.06846384253316221</v>
      </c>
      <c r="Q7" s="16">
        <f>(D4+D5+D6+D7+E4+E5+E6+E7-C4-C5-C6-C7)/(C4+C5+C6+C7)</f>
        <v>-0.767491467576792</v>
      </c>
      <c r="R7" s="17"/>
      <c r="S7" s="15">
        <f>SUM(J4:K7)/4</f>
        <v>1699.5</v>
      </c>
      <c r="T7" s="17"/>
      <c r="U7" s="15">
        <f>-(L7+M7)+U6</f>
        <v>800</v>
      </c>
      <c r="V7" s="17"/>
      <c r="W7" s="15">
        <f>F7-G7</f>
        <v>-71422</v>
      </c>
      <c r="X7" s="24"/>
      <c r="Y7" s="15">
        <v>6350</v>
      </c>
      <c r="Z7" s="24"/>
    </row>
    <row r="8" ht="20.05" customHeight="1">
      <c r="B8" s="21">
        <v>2020</v>
      </c>
      <c r="C8" s="14">
        <v>2414</v>
      </c>
      <c r="D8" s="15">
        <v>155.25</v>
      </c>
      <c r="E8" s="15">
        <v>669</v>
      </c>
      <c r="F8" s="15">
        <v>14540</v>
      </c>
      <c r="G8" s="15">
        <v>83561</v>
      </c>
      <c r="H8" s="15">
        <v>99260</v>
      </c>
      <c r="I8" s="15">
        <v>2826</v>
      </c>
      <c r="J8" s="15">
        <v>-2663</v>
      </c>
      <c r="K8" s="15">
        <v>3363</v>
      </c>
      <c r="L8" s="15">
        <v>0</v>
      </c>
      <c r="M8" s="15">
        <v>0</v>
      </c>
      <c r="N8" s="15">
        <f>SUM(C5:C8)/4</f>
        <v>2387.5</v>
      </c>
      <c r="O8" s="15"/>
      <c r="P8" s="16">
        <f>C8/C7-1</f>
        <v>-0.0332398878654385</v>
      </c>
      <c r="Q8" s="16">
        <f>(D5+D6+D7+D8+E5+E6+E7+E8-C5-C6-C7-C8)/(C5+C6+C7+C8)</f>
        <v>-0.741753926701571</v>
      </c>
      <c r="R8" s="16"/>
      <c r="S8" s="15">
        <f>SUM(J5:K8)/4</f>
        <v>2090.75</v>
      </c>
      <c r="T8" s="15"/>
      <c r="U8" s="15">
        <f>-(L8+M8)+U7</f>
        <v>800</v>
      </c>
      <c r="V8" s="17"/>
      <c r="W8" s="15">
        <f>F8-G8</f>
        <v>-69021</v>
      </c>
      <c r="X8" s="24"/>
      <c r="Y8" s="15">
        <v>6500</v>
      </c>
      <c r="Z8" s="24"/>
    </row>
    <row r="9" ht="20.05" customHeight="1">
      <c r="B9" s="13"/>
      <c r="C9" s="14">
        <v>2340</v>
      </c>
      <c r="D9" s="15">
        <v>75.25</v>
      </c>
      <c r="E9" s="15">
        <v>513</v>
      </c>
      <c r="F9" s="15">
        <v>6617</v>
      </c>
      <c r="G9" s="15">
        <v>83930</v>
      </c>
      <c r="H9" s="15">
        <v>99236</v>
      </c>
      <c r="I9" s="15">
        <v>2523</v>
      </c>
      <c r="J9" s="15">
        <v>-1147</v>
      </c>
      <c r="K9" s="15">
        <v>-5825</v>
      </c>
      <c r="L9" s="15">
        <v>50</v>
      </c>
      <c r="M9" s="15">
        <v>-1001</v>
      </c>
      <c r="N9" s="15">
        <f>SUM(C6:C9)/4</f>
        <v>2397</v>
      </c>
      <c r="O9" s="15"/>
      <c r="P9" s="16">
        <f>C9/C8-1</f>
        <v>-0.0306545153272577</v>
      </c>
      <c r="Q9" s="16">
        <f>(D6+D7+D8+D9+E6+E7+E8+E9-C6-C7-C8-C9)/(C6+C7+C8+C9)</f>
        <v>-0.730861493533584</v>
      </c>
      <c r="R9" s="16"/>
      <c r="S9" s="15">
        <f>SUM(J6:K9)/4</f>
        <v>535.5</v>
      </c>
      <c r="T9" s="15"/>
      <c r="U9" s="15">
        <f>-(L9+M9)+U8</f>
        <v>1751</v>
      </c>
      <c r="V9" s="17"/>
      <c r="W9" s="15">
        <f>F9-G9</f>
        <v>-77313</v>
      </c>
      <c r="X9" s="24"/>
      <c r="Y9" s="15">
        <v>6550</v>
      </c>
      <c r="Z9" s="24"/>
    </row>
    <row r="10" ht="20.05" customHeight="1">
      <c r="B10" s="13"/>
      <c r="C10" s="14">
        <v>2330</v>
      </c>
      <c r="D10" s="15">
        <v>63.25</v>
      </c>
      <c r="E10" s="15">
        <v>582</v>
      </c>
      <c r="F10" s="15">
        <v>4699</v>
      </c>
      <c r="G10" s="15">
        <v>87789</v>
      </c>
      <c r="H10" s="15">
        <v>103824</v>
      </c>
      <c r="I10" s="15">
        <v>2202</v>
      </c>
      <c r="J10" s="15">
        <v>5882</v>
      </c>
      <c r="K10" s="15">
        <v>-7800</v>
      </c>
      <c r="L10" s="15">
        <v>0</v>
      </c>
      <c r="M10" s="15">
        <v>0</v>
      </c>
      <c r="N10" s="15">
        <f>SUM(C7:C10)/4</f>
        <v>2395.25</v>
      </c>
      <c r="O10" s="15"/>
      <c r="P10" s="16">
        <f>C10/C9-1</f>
        <v>-0.00427350427350427</v>
      </c>
      <c r="Q10" s="16">
        <f>(D7+D8+D9+D10+E7+E8+E9+E10-C7-C8-C9-C10)/(C7+C8+C9+C10)</f>
        <v>-0.716235257280033</v>
      </c>
      <c r="R10" s="16"/>
      <c r="S10" s="15">
        <f>SUM(J7:K10)/4</f>
        <v>25.5</v>
      </c>
      <c r="T10" s="15"/>
      <c r="U10" s="15">
        <f>-(L10+M10)+U9</f>
        <v>1751</v>
      </c>
      <c r="V10" s="17"/>
      <c r="W10" s="15">
        <f>F10-G10</f>
        <v>-83090</v>
      </c>
      <c r="X10" s="24"/>
      <c r="Y10" s="15">
        <v>7000</v>
      </c>
      <c r="Z10" s="24"/>
    </row>
    <row r="11" ht="20.05" customHeight="1">
      <c r="B11" s="13"/>
      <c r="C11" s="14">
        <v>2580</v>
      </c>
      <c r="D11" s="15">
        <v>122.25</v>
      </c>
      <c r="E11" s="15">
        <v>1244</v>
      </c>
      <c r="F11" s="15">
        <v>7692</v>
      </c>
      <c r="G11" s="15">
        <v>93995</v>
      </c>
      <c r="H11" s="15">
        <v>112203</v>
      </c>
      <c r="I11" s="15">
        <v>2391</v>
      </c>
      <c r="J11" s="15">
        <v>-2617</v>
      </c>
      <c r="K11" s="15">
        <v>5329</v>
      </c>
      <c r="L11" s="15">
        <v>281</v>
      </c>
      <c r="M11" s="15">
        <v>0</v>
      </c>
      <c r="N11" s="15">
        <f>SUM(C8:C11)/4</f>
        <v>2416</v>
      </c>
      <c r="O11" s="15"/>
      <c r="P11" s="16">
        <f>C11/C10-1</f>
        <v>0.107296137339056</v>
      </c>
      <c r="Q11" s="16">
        <f>(D8+D9+D10+D11+E8+E9+E10+E11-C8-C9-C10-C11)/(C8+C9+C10+C11)</f>
        <v>-0.645695364238411</v>
      </c>
      <c r="R11" s="16"/>
      <c r="S11" s="15">
        <f>SUM(J8:K11)/4</f>
        <v>-1369.5</v>
      </c>
      <c r="T11" s="15"/>
      <c r="U11" s="15">
        <f>-(L11+M11)+U10</f>
        <v>1470</v>
      </c>
      <c r="V11" s="17"/>
      <c r="W11" s="15">
        <f>F11-G11</f>
        <v>-86303</v>
      </c>
      <c r="X11" s="24"/>
      <c r="Y11" s="15">
        <v>7200</v>
      </c>
      <c r="Z11" s="24"/>
    </row>
    <row r="12" ht="20.05" customHeight="1">
      <c r="B12" s="21">
        <v>2021</v>
      </c>
      <c r="C12" s="14">
        <v>2344</v>
      </c>
      <c r="D12" s="15">
        <v>72.75</v>
      </c>
      <c r="E12" s="15">
        <v>747</v>
      </c>
      <c r="F12" s="15">
        <v>5671</v>
      </c>
      <c r="G12" s="15">
        <v>95833</v>
      </c>
      <c r="H12" s="15">
        <v>111592</v>
      </c>
      <c r="I12" s="15">
        <v>2282</v>
      </c>
      <c r="J12" s="15">
        <v>17098</v>
      </c>
      <c r="K12" s="15">
        <v>-16738</v>
      </c>
      <c r="L12" s="15">
        <v>-281</v>
      </c>
      <c r="M12" s="15">
        <v>-2100</v>
      </c>
      <c r="N12" s="15">
        <f>SUM(C9:C12)/4</f>
        <v>2398.5</v>
      </c>
      <c r="O12" s="15"/>
      <c r="P12" s="16">
        <f>C12/C11-1</f>
        <v>-0.0914728682170543</v>
      </c>
      <c r="Q12" s="16">
        <f>(D9+D10+D11+D12+E9+E10+E11+E12-C9-C10-C11-C12)/(C9+C10+C11+C12)</f>
        <v>-0.643579320408589</v>
      </c>
      <c r="R12" s="16"/>
      <c r="S12" s="15">
        <f>SUM(J9:K12)/4</f>
        <v>-1454.5</v>
      </c>
      <c r="T12" s="15"/>
      <c r="U12" s="15">
        <f>-(L12+M12)+U11</f>
        <v>3851</v>
      </c>
      <c r="V12" s="17"/>
      <c r="W12" s="15">
        <f>F12-G12</f>
        <v>-90162</v>
      </c>
      <c r="X12" s="15"/>
      <c r="Y12" s="15">
        <v>8925</v>
      </c>
      <c r="Z12" s="15"/>
    </row>
    <row r="13" ht="20.05" customHeight="1">
      <c r="B13" s="13"/>
      <c r="C13" s="14">
        <v>2511</v>
      </c>
      <c r="D13" s="15">
        <v>76.75</v>
      </c>
      <c r="E13" s="15">
        <v>816</v>
      </c>
      <c r="F13" s="15">
        <v>10076</v>
      </c>
      <c r="G13" s="15">
        <v>98874</v>
      </c>
      <c r="H13" s="15">
        <v>115866</v>
      </c>
      <c r="I13" s="15">
        <v>2500</v>
      </c>
      <c r="J13" s="15">
        <v>-367</v>
      </c>
      <c r="K13" s="15">
        <v>4772</v>
      </c>
      <c r="L13" s="15">
        <v>0</v>
      </c>
      <c r="M13" s="15">
        <v>0</v>
      </c>
      <c r="N13" s="15">
        <f>SUM(C10:C13)/4</f>
        <v>2441.25</v>
      </c>
      <c r="O13" s="15"/>
      <c r="P13" s="16">
        <f>C13/C12-1</f>
        <v>0.0712457337883959</v>
      </c>
      <c r="Q13" s="16">
        <f>(D10+D11+D12+D13+E10+E11+E12+E13-C10-C11-C12-C13)/(C10+C11+C12+C13)</f>
        <v>-0.618637992831541</v>
      </c>
      <c r="R13" s="16"/>
      <c r="S13" s="15">
        <f>SUM(J10:K13)/4</f>
        <v>1389.75</v>
      </c>
      <c r="T13" s="15"/>
      <c r="U13" s="15">
        <f>-(L13+M13)+U12</f>
        <v>3851</v>
      </c>
      <c r="V13" s="17"/>
      <c r="W13" s="15">
        <f>F13-G13</f>
        <v>-88798</v>
      </c>
      <c r="X13" s="15"/>
      <c r="Y13" s="15">
        <v>7975</v>
      </c>
      <c r="Z13" s="15"/>
    </row>
    <row r="14" ht="20.05" customHeight="1">
      <c r="B14" s="13"/>
      <c r="C14" s="14">
        <v>2564</v>
      </c>
      <c r="D14" s="15">
        <v>96.75</v>
      </c>
      <c r="E14" s="15">
        <v>967</v>
      </c>
      <c r="F14" s="15">
        <v>12348</v>
      </c>
      <c r="G14" s="15">
        <v>101459</v>
      </c>
      <c r="H14" s="15">
        <v>119764</v>
      </c>
      <c r="I14" s="15">
        <v>2839</v>
      </c>
      <c r="J14" s="15">
        <v>-1124</v>
      </c>
      <c r="K14" s="15">
        <v>3396</v>
      </c>
      <c r="L14" s="15">
        <v>0</v>
      </c>
      <c r="M14" s="15">
        <v>0</v>
      </c>
      <c r="N14" s="15">
        <f>SUM(C11:C14)/4</f>
        <v>2499.75</v>
      </c>
      <c r="O14" s="15"/>
      <c r="P14" s="16">
        <f>C14/C13-1</f>
        <v>0.0211071286340104</v>
      </c>
      <c r="Q14" s="16">
        <f>(D11+D12+D13+D14+E11+E12+E13+E14-C11-C12-C13-C14)/(C11+C12+C13+C14)</f>
        <v>-0.5857085708570861</v>
      </c>
      <c r="R14" s="16"/>
      <c r="S14" s="15">
        <f>SUM(J11:K14)/4</f>
        <v>2437.25</v>
      </c>
      <c r="T14" s="15"/>
      <c r="U14" s="15">
        <f>-(L14+M14)+U13</f>
        <v>3851</v>
      </c>
      <c r="V14" s="17"/>
      <c r="W14" s="15">
        <f>F14-G14</f>
        <v>-89111</v>
      </c>
      <c r="X14" s="15"/>
      <c r="Y14" s="15">
        <v>8700</v>
      </c>
      <c r="Z14" s="15"/>
    </row>
    <row r="15" ht="20.05" customHeight="1">
      <c r="B15" s="13"/>
      <c r="C15" s="14">
        <v>2812</v>
      </c>
      <c r="D15" s="15">
        <v>124.75</v>
      </c>
      <c r="E15" s="15">
        <v>1478</v>
      </c>
      <c r="F15" s="15">
        <v>17592.3</v>
      </c>
      <c r="G15" s="15">
        <v>113735</v>
      </c>
      <c r="H15" s="15">
        <v>132879</v>
      </c>
      <c r="I15" s="15">
        <v>3101</v>
      </c>
      <c r="J15" s="15">
        <v>-4674</v>
      </c>
      <c r="K15" s="15">
        <v>9634</v>
      </c>
      <c r="L15" s="15">
        <v>4</v>
      </c>
      <c r="M15" s="15">
        <v>0</v>
      </c>
      <c r="N15" s="15">
        <f>SUM(C12:C15)/4</f>
        <v>2557.75</v>
      </c>
      <c r="O15" s="15"/>
      <c r="P15" s="16">
        <f>C15/C14-1</f>
        <v>0.09672386895475819</v>
      </c>
      <c r="Q15" s="16">
        <f>(D12+D13+D14+D15+E12+E13+E14+E15-C12-C13-C14-C15)/(C12+C13+C14+C15)</f>
        <v>-0.5719870980353829</v>
      </c>
      <c r="R15" s="16"/>
      <c r="S15" s="15">
        <f>SUM(J12:K15)/4</f>
        <v>2999.25</v>
      </c>
      <c r="T15" s="15"/>
      <c r="U15" s="15">
        <f>-(L15+M15)+U14</f>
        <v>3847</v>
      </c>
      <c r="V15" s="17"/>
      <c r="W15" s="15">
        <f>F15-G15</f>
        <v>-96142.7</v>
      </c>
      <c r="X15" s="15"/>
      <c r="Y15" s="15">
        <v>8475</v>
      </c>
      <c r="Z15" s="15"/>
    </row>
    <row r="16" ht="20.05" customHeight="1">
      <c r="B16" s="21">
        <v>2022</v>
      </c>
      <c r="C16" s="14">
        <v>2356.7</v>
      </c>
      <c r="D16" s="15">
        <v>114.4</v>
      </c>
      <c r="E16" s="15">
        <v>703.7</v>
      </c>
      <c r="F16" s="15">
        <v>10653.6</v>
      </c>
      <c r="G16" s="15">
        <v>96290</v>
      </c>
      <c r="H16" s="15">
        <v>113195</v>
      </c>
      <c r="I16" s="15">
        <v>2351.5</v>
      </c>
      <c r="J16" s="15">
        <v>-6955.7</v>
      </c>
      <c r="K16" s="15">
        <v>3102</v>
      </c>
      <c r="L16" s="15">
        <v>-285</v>
      </c>
      <c r="M16" s="15">
        <v>-2800</v>
      </c>
      <c r="N16" s="15">
        <f>SUM(C13:C16)/4</f>
        <v>2560.925</v>
      </c>
      <c r="O16" s="15">
        <v>2783.88</v>
      </c>
      <c r="P16" s="16">
        <f>C16/C15-1</f>
        <v>-0.161913229018492</v>
      </c>
      <c r="Q16" s="16">
        <f>(D13+D14+D15+D16+E13+E14+E15+E16-C13-C14-C15-C16)/(C13+C14+C15+C16)</f>
        <v>-0.572678817224245</v>
      </c>
      <c r="R16" s="16">
        <v>-0.577473642777577</v>
      </c>
      <c r="S16" s="15">
        <f>SUM(J13:K16)/4</f>
        <v>1945.825</v>
      </c>
      <c r="T16" s="15">
        <v>1006.375098546750</v>
      </c>
      <c r="U16" s="15">
        <f>-(L16+M16)+U15</f>
        <v>6932</v>
      </c>
      <c r="V16" s="15"/>
      <c r="W16" s="15">
        <f>F16-G16</f>
        <v>-85636.399999999994</v>
      </c>
      <c r="X16" s="15"/>
      <c r="Y16" s="15">
        <v>6400</v>
      </c>
      <c r="Z16" s="23">
        <v>12273.0465415055</v>
      </c>
    </row>
    <row r="17" ht="20.05" customHeight="1">
      <c r="B17" s="13"/>
      <c r="C17" s="14">
        <v>2591</v>
      </c>
      <c r="D17" s="15">
        <v>117.4</v>
      </c>
      <c r="E17" s="15">
        <v>789.6</v>
      </c>
      <c r="F17" s="15">
        <v>12380.6</v>
      </c>
      <c r="G17" s="15">
        <v>106327</v>
      </c>
      <c r="H17" s="15">
        <v>123549</v>
      </c>
      <c r="I17" s="15">
        <v>2532</v>
      </c>
      <c r="J17" s="15">
        <v>16606.7</v>
      </c>
      <c r="K17" s="15">
        <v>-15624.5</v>
      </c>
      <c r="L17" s="15">
        <v>744.8</v>
      </c>
      <c r="M17" s="15">
        <v>0</v>
      </c>
      <c r="N17" s="15">
        <f>SUM(C14:C17)/4</f>
        <v>2580.925</v>
      </c>
      <c r="O17" s="15">
        <v>2558.5065</v>
      </c>
      <c r="P17" s="16">
        <f>C17/C16-1</f>
        <v>0.0994186786608393</v>
      </c>
      <c r="Q17" s="16">
        <f>(D14+D15+D16+D17+E14+E15+E16+E17-C14-C15-C16-C17)/(C14+C15+C16+C17)</f>
        <v>-0.574609878241328</v>
      </c>
      <c r="R17" s="16">
        <v>-0.577473642777577</v>
      </c>
      <c r="S17" s="15">
        <f>SUM(J14:K17)/4</f>
        <v>1090.125</v>
      </c>
      <c r="T17" s="15">
        <v>1006.375098546750</v>
      </c>
      <c r="U17" s="15">
        <f>-(L17+M17)+U16</f>
        <v>6187.2</v>
      </c>
      <c r="V17" s="15"/>
      <c r="W17" s="15">
        <f>F17-G17</f>
        <v>-93946.399999999994</v>
      </c>
      <c r="X17" s="15"/>
      <c r="Y17" s="15">
        <v>5225</v>
      </c>
      <c r="Z17" s="23">
        <v>12273.0465415055</v>
      </c>
    </row>
    <row r="18" ht="20.05" customHeight="1">
      <c r="B18" s="13"/>
      <c r="C18" s="14">
        <v>2998.2</v>
      </c>
      <c r="D18" s="15">
        <v>93.90000000000001</v>
      </c>
      <c r="E18" s="15">
        <v>1147.4</v>
      </c>
      <c r="F18" s="15">
        <v>10780.2</v>
      </c>
      <c r="G18" s="15">
        <v>108049</v>
      </c>
      <c r="H18" s="15">
        <v>126172</v>
      </c>
      <c r="I18" s="15">
        <v>2715.5</v>
      </c>
      <c r="J18" s="15">
        <v>21.7</v>
      </c>
      <c r="K18" s="15">
        <v>-2476.1</v>
      </c>
      <c r="L18" s="15">
        <v>854</v>
      </c>
      <c r="M18" s="15">
        <v>0</v>
      </c>
      <c r="N18" s="15">
        <f>SUM(C15:C18)/4</f>
        <v>2689.475</v>
      </c>
      <c r="O18" s="15">
        <v>2483.382</v>
      </c>
      <c r="P18" s="16">
        <f>C18/C17-1</f>
        <v>0.157159397915863</v>
      </c>
      <c r="Q18" s="16">
        <f>(D15+D16+D17+D18+E15+E16+E17+E18-C15-C16-C17-C18)/(C15+C16+C17+C18)</f>
        <v>-0.575274914249063</v>
      </c>
      <c r="R18" s="16">
        <v>-0.578119830056645</v>
      </c>
      <c r="S18" s="15">
        <f>SUM(J15:K18)/4</f>
        <v>-91.47499999999999</v>
      </c>
      <c r="T18" s="15">
        <v>840.897428712060</v>
      </c>
      <c r="U18" s="15">
        <f>-(L18+M18)+U17</f>
        <v>5333.2</v>
      </c>
      <c r="V18" s="15">
        <f>U18</f>
        <v>5333.2</v>
      </c>
      <c r="W18" s="15">
        <f>F18-G18</f>
        <v>-97268.8</v>
      </c>
      <c r="X18" s="15">
        <f>W18</f>
        <v>-97268.8</v>
      </c>
      <c r="Y18" s="15">
        <v>5750</v>
      </c>
      <c r="Z18" s="23">
        <v>6569.7189047836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23">
        <f>AVERAGE(AB32:AE32)</f>
        <v>3050.738927718</v>
      </c>
      <c r="P19" s="17"/>
      <c r="Q19" s="17"/>
      <c r="R19" s="35">
        <f>AB33</f>
        <v>-0.575274914249063</v>
      </c>
      <c r="S19" s="17"/>
      <c r="T19" s="15">
        <f>SUM(AB36:AE36)/4</f>
        <v>902.005352678748</v>
      </c>
      <c r="U19" s="17"/>
      <c r="V19" s="15">
        <f>-SUM(AB57:AE57)+U18</f>
        <v>6326.140066301850</v>
      </c>
      <c r="W19" s="17"/>
      <c r="X19" s="15">
        <f>AE56</f>
        <v>-94610.5055380948</v>
      </c>
      <c r="Y19" s="15">
        <v>5375</v>
      </c>
      <c r="Z19" s="23">
        <v>12273.0465415055</v>
      </c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f>SUM(N16:N18)</f>
        <v>7831.325</v>
      </c>
      <c r="O20" s="15">
        <f>SUM(O16:O18)</f>
        <v>7825.7685</v>
      </c>
      <c r="P20" s="17"/>
      <c r="Q20" s="17"/>
      <c r="R20" s="17"/>
      <c r="S20" s="17"/>
      <c r="T20" s="17"/>
      <c r="U20" s="17"/>
      <c r="V20" s="17"/>
      <c r="W20" s="17"/>
      <c r="X20" s="15"/>
      <c r="Y20" s="15"/>
      <c r="Z20" s="15">
        <f>AE69</f>
        <v>4916.858234096680</v>
      </c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5"/>
      <c r="Y21" s="15"/>
      <c r="Z21" s="15"/>
    </row>
    <row r="22" ht="20.05" customHeight="1">
      <c r="B22" s="13"/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5"/>
      <c r="Y22" s="15"/>
      <c r="Z22" s="15"/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5"/>
      <c r="Y23" s="15"/>
      <c r="Z23" s="15"/>
    </row>
    <row r="24" ht="20.05" customHeight="1">
      <c r="B24" s="13"/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/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  <row r="27" ht="27.65" customHeight="1">
      <c r="AA27" t="s" s="2">
        <v>282</v>
      </c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</row>
    <row r="28" ht="20.25" customHeight="1">
      <c r="AA28" t="s" s="28">
        <v>366</v>
      </c>
      <c r="AB28" t="s" s="29">
        <v>24</v>
      </c>
      <c r="AC28" t="s" s="29">
        <v>25</v>
      </c>
      <c r="AD28" t="s" s="29">
        <v>26</v>
      </c>
      <c r="AE28" t="s" s="29">
        <v>23</v>
      </c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</row>
    <row r="29" ht="20.25" customHeight="1">
      <c r="AA29" t="s" s="31">
        <v>15</v>
      </c>
      <c r="AB29" s="32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</row>
    <row r="30" ht="20.05" customHeight="1">
      <c r="AA30" t="s" s="33">
        <v>27</v>
      </c>
      <c r="AB30" s="71">
        <f>AVERAGE(P15:P18)</f>
        <v>0.0478471791282421</v>
      </c>
      <c r="AC30" s="35"/>
      <c r="AD30" s="35"/>
      <c r="AE30" s="35">
        <f>AVERAGE(AB31:AE31)</f>
        <v>0.01</v>
      </c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</row>
    <row r="31" ht="20.05" customHeight="1">
      <c r="AA31" t="s" s="33">
        <v>13</v>
      </c>
      <c r="AB31" s="37">
        <v>0.01</v>
      </c>
      <c r="AC31" s="35">
        <v>-0.01</v>
      </c>
      <c r="AD31" s="35">
        <v>0.02</v>
      </c>
      <c r="AE31" s="35">
        <v>0.02</v>
      </c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</row>
    <row r="32" ht="20.05" customHeight="1">
      <c r="AA32" t="s" s="33">
        <v>28</v>
      </c>
      <c r="AB32" s="38">
        <f>C18*(1+AB31)</f>
        <v>3028.182</v>
      </c>
      <c r="AC32" s="23">
        <f>AB32*(1+AC31)</f>
        <v>2997.90018</v>
      </c>
      <c r="AD32" s="23">
        <f>AC32*(1+AD31)</f>
        <v>3057.8581836</v>
      </c>
      <c r="AE32" s="23">
        <f>AD32*(1+AE31)</f>
        <v>3119.015347272</v>
      </c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</row>
    <row r="33" ht="20.05" customHeight="1">
      <c r="AA33" t="s" s="33">
        <v>570</v>
      </c>
      <c r="AB33" s="37">
        <f>AVERAGE(Q18)</f>
        <v>-0.575274914249063</v>
      </c>
      <c r="AC33" s="35">
        <f>AB33</f>
        <v>-0.575274914249063</v>
      </c>
      <c r="AD33" s="35">
        <f>AC33</f>
        <v>-0.575274914249063</v>
      </c>
      <c r="AE33" s="35">
        <f>AD33</f>
        <v>-0.575274914249063</v>
      </c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</row>
    <row r="34" ht="20.05" customHeight="1">
      <c r="AA34" t="s" s="33">
        <v>571</v>
      </c>
      <c r="AB34" s="14">
        <f>AB32*AB33</f>
        <v>-1742.037140380560</v>
      </c>
      <c r="AC34" s="15">
        <f>AC32*AC33</f>
        <v>-1724.616768976750</v>
      </c>
      <c r="AD34" s="15">
        <f>AD32*AD33</f>
        <v>-1759.109104356290</v>
      </c>
      <c r="AE34" s="15">
        <f>AE32*AE33</f>
        <v>-1794.291286443410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</row>
    <row r="35" ht="20.05" customHeight="1">
      <c r="AA35" t="s" s="33">
        <v>29</v>
      </c>
      <c r="AB35" s="14">
        <f>AVERAGE(K14:K18)</f>
        <v>-393.72</v>
      </c>
      <c r="AC35" s="15">
        <f>AB35</f>
        <v>-393.72</v>
      </c>
      <c r="AD35" s="15">
        <f>AC35</f>
        <v>-393.72</v>
      </c>
      <c r="AE35" s="15">
        <f>AD35</f>
        <v>-393.72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</row>
    <row r="36" ht="20.05" customHeight="1">
      <c r="AA36" t="s" s="33">
        <v>30</v>
      </c>
      <c r="AB36" s="14">
        <f>AB32+AB34+AB35</f>
        <v>892.424859619440</v>
      </c>
      <c r="AC36" s="15">
        <f>AC32+AC34+AC35</f>
        <v>879.563411023250</v>
      </c>
      <c r="AD36" s="15">
        <f>AD32+AD34+AD35</f>
        <v>905.029079243710</v>
      </c>
      <c r="AE36" s="15">
        <f>AE32+AE34+AE35</f>
        <v>931.004060828590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</row>
    <row r="37" ht="20.05" customHeight="1">
      <c r="AA37" t="s" s="33">
        <v>31</v>
      </c>
      <c r="AB37" s="14">
        <f>-G18/10000</f>
        <v>-10.8049</v>
      </c>
      <c r="AC37" s="15">
        <f>-AB52/10000</f>
        <v>-10.80381951</v>
      </c>
      <c r="AD37" s="15">
        <f>-AC52/10000</f>
        <v>-10.802739128049</v>
      </c>
      <c r="AE37" s="15">
        <f>-AD52/10000</f>
        <v>-10.8016588541362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</row>
    <row r="38" ht="20.05" customHeight="1">
      <c r="AA38" t="s" s="33">
        <v>32</v>
      </c>
      <c r="AB38" s="39">
        <v>-0.2</v>
      </c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</row>
    <row r="39" ht="20.05" customHeight="1">
      <c r="AA39" t="s" s="33">
        <v>33</v>
      </c>
      <c r="AB39" s="14">
        <f>IF(AB47&gt;0,AB47*$AB$38,0)</f>
        <v>-235.515638590554</v>
      </c>
      <c r="AC39" s="15">
        <f>IF(AC47&gt;0,AC47*$AB$38,0)</f>
        <v>-232.943348871316</v>
      </c>
      <c r="AD39" s="15">
        <f>IF(AD47&gt;0,AD47*$AB$38,0)</f>
        <v>-238.036482515408</v>
      </c>
      <c r="AE39" s="15">
        <f>IF(AE47&gt;0,AE47*$AB$38,0)</f>
        <v>-243.231478832384</v>
      </c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</row>
    <row r="40" ht="20.05" customHeight="1">
      <c r="AA40" t="s" s="33">
        <v>34</v>
      </c>
      <c r="AB40" s="14">
        <f>AB36+AB37+AB39</f>
        <v>646.104321028886</v>
      </c>
      <c r="AC40" s="15">
        <f>AC36+AC37+AC39</f>
        <v>635.816242641934</v>
      </c>
      <c r="AD40" s="15">
        <f>AD36+AD37+AD39</f>
        <v>656.189857600253</v>
      </c>
      <c r="AE40" s="15">
        <f>AE36+AE37+AE39</f>
        <v>676.970923142070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</row>
    <row r="41" ht="20.05" customHeight="1">
      <c r="AA41" t="s" s="33">
        <v>35</v>
      </c>
      <c r="AB41" s="14">
        <f>-MIN(0,AB40)</f>
        <v>0</v>
      </c>
      <c r="AC41" s="15">
        <f>-MIN(AB53,AC40)</f>
        <v>0</v>
      </c>
      <c r="AD41" s="15">
        <f>-MIN(AC53,AD40)</f>
        <v>0</v>
      </c>
      <c r="AE41" s="15">
        <f>-MIN(AD53,AE40)</f>
        <v>0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</row>
    <row r="42" ht="20.05" customHeight="1">
      <c r="AA42" t="s" s="33">
        <v>36</v>
      </c>
      <c r="AB42" s="14">
        <f>F18</f>
        <v>10780.2</v>
      </c>
      <c r="AC42" s="15">
        <f>AB44</f>
        <v>11426.3043210289</v>
      </c>
      <c r="AD42" s="15">
        <f>AC44</f>
        <v>12062.1205636708</v>
      </c>
      <c r="AE42" s="15">
        <f>AD44</f>
        <v>12718.3104212711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</row>
    <row r="43" ht="20.05" customHeight="1">
      <c r="AA43" t="s" s="33">
        <v>37</v>
      </c>
      <c r="AB43" s="14">
        <f>AB36+AB37+AB39+AB41</f>
        <v>646.104321028886</v>
      </c>
      <c r="AC43" s="15">
        <f>AC36+AC37+AC39+AC41</f>
        <v>635.816242641934</v>
      </c>
      <c r="AD43" s="15">
        <f>AD36+AD37+AD39+AD41</f>
        <v>656.189857600253</v>
      </c>
      <c r="AE43" s="15">
        <f>AE36+AE37+AE39+AE41</f>
        <v>676.970923142070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38</v>
      </c>
      <c r="AB44" s="14">
        <f>AB42+AB43</f>
        <v>11426.3043210289</v>
      </c>
      <c r="AC44" s="15">
        <f>AC42+AC43</f>
        <v>12062.1205636708</v>
      </c>
      <c r="AD44" s="15">
        <f>AD42+AD43</f>
        <v>12718.3104212711</v>
      </c>
      <c r="AE44" s="15">
        <f>AE42+AE43</f>
        <v>13395.2813444132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41">
        <v>4</v>
      </c>
      <c r="AB45" s="14"/>
      <c r="AC45" s="15"/>
      <c r="AD45" s="15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</row>
    <row r="46" ht="20.05" customHeight="1">
      <c r="AA46" t="s" s="33">
        <v>3</v>
      </c>
      <c r="AB46" s="14">
        <f>-AVERAGE(D16:D18)</f>
        <v>-108.566666666667</v>
      </c>
      <c r="AC46" s="15">
        <f>AB46</f>
        <v>-108.566666666667</v>
      </c>
      <c r="AD46" s="15">
        <f>AC46</f>
        <v>-108.566666666667</v>
      </c>
      <c r="AE46" s="15">
        <f>AD46</f>
        <v>-108.566666666667</v>
      </c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</row>
    <row r="47" ht="20.05" customHeight="1">
      <c r="AA47" t="s" s="33">
        <v>4</v>
      </c>
      <c r="AB47" s="14">
        <f>AB32+AB34+AB46</f>
        <v>1177.578192952770</v>
      </c>
      <c r="AC47" s="15">
        <f>AC32+AC34+AC46</f>
        <v>1164.716744356580</v>
      </c>
      <c r="AD47" s="15">
        <f>AD32+AD34+AD46</f>
        <v>1190.182412577040</v>
      </c>
      <c r="AE47" s="15">
        <f>AE32+AE34+AE46</f>
        <v>1216.157394161920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41">
        <v>39</v>
      </c>
      <c r="AB48" s="14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33">
        <v>40</v>
      </c>
      <c r="AB49" s="14">
        <f>H18-F18-AB35</f>
        <v>115785.52</v>
      </c>
      <c r="AC49" s="15">
        <f>AB49-AC35</f>
        <v>116179.24</v>
      </c>
      <c r="AD49" s="15">
        <f>AC49-AD35</f>
        <v>116572.96</v>
      </c>
      <c r="AE49" s="15">
        <f>AD49-AE35</f>
        <v>116966.68</v>
      </c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41</v>
      </c>
      <c r="AB50" s="14">
        <f>0-AB46</f>
        <v>108.566666666667</v>
      </c>
      <c r="AC50" s="15">
        <f>AB50-AC46</f>
        <v>217.133333333334</v>
      </c>
      <c r="AD50" s="15">
        <f>AC50-AD46</f>
        <v>325.700000000001</v>
      </c>
      <c r="AE50" s="15">
        <f>AD50-AE46</f>
        <v>434.266666666668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42</v>
      </c>
      <c r="AB51" s="14">
        <f>AB49-AB50</f>
        <v>115676.953333333</v>
      </c>
      <c r="AC51" s="15">
        <f>AC49-AC50</f>
        <v>115962.106666667</v>
      </c>
      <c r="AD51" s="15">
        <f>AD49-AD50</f>
        <v>116247.26</v>
      </c>
      <c r="AE51" s="15">
        <f>AE49-AE50</f>
        <v>116532.413333333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6</v>
      </c>
      <c r="AB52" s="14">
        <f>G18+AB37</f>
        <v>108038.1951</v>
      </c>
      <c r="AC52" s="15">
        <f>AB52+AC37</f>
        <v>108027.39128049</v>
      </c>
      <c r="AD52" s="15">
        <f>AC52+AD37</f>
        <v>108016.588541362</v>
      </c>
      <c r="AE52" s="15">
        <f>AD52+AE37</f>
        <v>108005.786882508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33">
        <v>35</v>
      </c>
      <c r="AB53" s="14">
        <f>AB41</f>
        <v>0</v>
      </c>
      <c r="AC53" s="15">
        <f>AB53+AC41</f>
        <v>0</v>
      </c>
      <c r="AD53" s="15">
        <f>AC53+AD41</f>
        <v>0</v>
      </c>
      <c r="AE53" s="15">
        <f>AD53+AE41</f>
        <v>0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</row>
    <row r="54" ht="20.05" customHeight="1">
      <c r="AA54" t="s" s="33">
        <v>11</v>
      </c>
      <c r="AB54" s="14">
        <f>(H18-G18)+AB47+AB39</f>
        <v>19065.0625543622</v>
      </c>
      <c r="AC54" s="15">
        <f>AB54+AC47+AC39</f>
        <v>19996.8359498475</v>
      </c>
      <c r="AD54" s="15">
        <f>AC54+AD47+AD39</f>
        <v>20948.9818799091</v>
      </c>
      <c r="AE54" s="15">
        <f>AD54+AE47+AE39</f>
        <v>21921.9077952386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</row>
    <row r="55" ht="20.05" customHeight="1">
      <c r="AA55" t="s" s="33">
        <v>43</v>
      </c>
      <c r="AB55" s="14">
        <f>AB52+AB53+AB54-AB44-AB51</f>
        <v>3e-10</v>
      </c>
      <c r="AC55" s="15">
        <f>AC52+AC53+AC54-AC44-AC51</f>
        <v>-3e-10</v>
      </c>
      <c r="AD55" s="15">
        <f>AD52+AD53+AD54-AD44-AD51</f>
        <v>0</v>
      </c>
      <c r="AE55" s="15">
        <f>AE52+AE53+AE54-AE44-AE51</f>
        <v>4e-10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33">
        <v>18</v>
      </c>
      <c r="AB56" s="14">
        <f>AB44-AB52-AB53</f>
        <v>-96611.890778971094</v>
      </c>
      <c r="AC56" s="15">
        <f>AC44-AC52-AC53</f>
        <v>-95965.2707168192</v>
      </c>
      <c r="AD56" s="15">
        <f>AD44-AD52-AD53</f>
        <v>-95298.278120090894</v>
      </c>
      <c r="AE56" s="15">
        <f>AE44-AE52-AE53</f>
        <v>-94610.5055380948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33">
        <v>44</v>
      </c>
      <c r="AB57" s="14">
        <f>AB37+AB39+AB41</f>
        <v>-246.320538590554</v>
      </c>
      <c r="AC57" s="15">
        <f>AC37+AC39+AC41</f>
        <v>-243.747168381316</v>
      </c>
      <c r="AD57" s="15">
        <f>AD37+AD39+AD41</f>
        <v>-248.839221643457</v>
      </c>
      <c r="AE57" s="15">
        <f>AE37+AE39+AE41</f>
        <v>-254.033137686520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45</v>
      </c>
      <c r="AB58" s="14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282</v>
      </c>
      <c r="AB59" s="14"/>
      <c r="AC59" s="15"/>
      <c r="AD59" s="15"/>
      <c r="AE59" s="15">
        <v>5375</v>
      </c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33">
        <f>$AA59</f>
        <v>674</v>
      </c>
      <c r="AB60" s="14"/>
      <c r="AC60" s="15"/>
      <c r="AD60" s="15"/>
      <c r="AE60" s="15">
        <v>63107339392000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20.05" customHeight="1">
      <c r="AA61" t="s" s="33">
        <v>46</v>
      </c>
      <c r="AB61" s="14"/>
      <c r="AC61" s="15"/>
      <c r="AD61" s="15"/>
      <c r="AE61" s="15">
        <f>AE60/1000000000</f>
        <v>63107.339392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47</v>
      </c>
      <c r="AB62" s="14"/>
      <c r="AC62" s="15"/>
      <c r="AD62" s="15"/>
      <c r="AE62" s="15">
        <f>AE61/AE59</f>
        <v>11.740900352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48</v>
      </c>
      <c r="AB63" s="14"/>
      <c r="AC63" s="15"/>
      <c r="AD63" s="15"/>
      <c r="AE63" s="43">
        <f>AE61/(AE44+AE51)</f>
        <v>0.485711222295772</v>
      </c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</row>
    <row r="64" ht="20.05" customHeight="1">
      <c r="AA64" t="s" s="33">
        <v>49</v>
      </c>
      <c r="AB64" s="14"/>
      <c r="AC64" s="15"/>
      <c r="AD64" s="15"/>
      <c r="AE64" s="16">
        <f>-(AB39+AC39+AD39+AE39)/AE61</f>
        <v>0.0150493897850819</v>
      </c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</row>
    <row r="65" ht="20.05" customHeight="1">
      <c r="AA65" t="s" s="33">
        <v>50</v>
      </c>
      <c r="AB65" s="14"/>
      <c r="AC65" s="15"/>
      <c r="AD65" s="15"/>
      <c r="AE65" s="15">
        <f>SUM(AB36:AE36)</f>
        <v>3608.021410714990</v>
      </c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</row>
    <row r="66" ht="20.05" customHeight="1">
      <c r="AA66" t="s" s="33">
        <v>51</v>
      </c>
      <c r="AB66" s="14"/>
      <c r="AC66" s="15"/>
      <c r="AD66" s="15"/>
      <c r="AE66" s="15">
        <f>(H18+F18)/AE65</f>
        <v>37.9577015793985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33">
        <v>52</v>
      </c>
      <c r="AB67" s="14"/>
      <c r="AC67" s="15"/>
      <c r="AD67" s="15">
        <f>AE61/AE65</f>
        <v>17.4908439303009</v>
      </c>
      <c r="AE67" s="15">
        <v>16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20.05" customHeight="1">
      <c r="AA68" t="s" s="33">
        <v>53</v>
      </c>
      <c r="AB68" s="14"/>
      <c r="AC68" s="15"/>
      <c r="AD68" s="15"/>
      <c r="AE68" s="15">
        <f>AE65*AE67</f>
        <v>57728.3425714398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20.05" customHeight="1">
      <c r="AA69" t="s" s="33">
        <v>54</v>
      </c>
      <c r="AB69" s="14"/>
      <c r="AC69" s="15"/>
      <c r="AD69" s="15"/>
      <c r="AE69" s="15">
        <f>AE68/AE62</f>
        <v>4916.858234096680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55</v>
      </c>
      <c r="AB70" s="38"/>
      <c r="AC70" s="23"/>
      <c r="AD70" s="23"/>
      <c r="AE70" s="16">
        <f>AE69/AE59-1</f>
        <v>-0.0852356773773619</v>
      </c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</row>
    <row r="71" ht="20.05" customHeight="1">
      <c r="AA71" t="s" s="33">
        <v>56</v>
      </c>
      <c r="AB71" s="38"/>
      <c r="AC71" s="23"/>
      <c r="AD71" s="23"/>
      <c r="AE71" s="16">
        <f>C18/C14-1</f>
        <v>0.169344773790952</v>
      </c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</row>
    <row r="72" ht="20.05" customHeight="1">
      <c r="AA72" t="s" s="33">
        <v>57</v>
      </c>
      <c r="AB72" s="38"/>
      <c r="AC72" s="23"/>
      <c r="AD72" s="23"/>
      <c r="AE72" s="16">
        <f>O20/N20-1</f>
        <v>-0.000709522334981628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</row>
    <row r="73" ht="8.35" customHeight="1" hidden="1">
      <c r="AA73" s="36"/>
      <c r="AB73" s="38"/>
      <c r="AC73" s="23"/>
      <c r="AD73" s="23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</row>
    <row r="74" ht="8.35" customHeight="1" hidden="1">
      <c r="AA74" s="36"/>
      <c r="AB74" t="s" s="45">
        <f>$AA59</f>
        <v>674</v>
      </c>
      <c r="AC74" t="s" s="44">
        <v>60</v>
      </c>
      <c r="AD74" s="15">
        <f>AE59</f>
        <v>5375</v>
      </c>
      <c r="AE74" t="s" s="44">
        <v>61</v>
      </c>
      <c r="AF74" s="15">
        <f>AE69</f>
        <v>4916.858234096680</v>
      </c>
      <c r="AG74" t="s" s="44">
        <f>IF(AH74&gt;0,"+","")</f>
      </c>
      <c r="AH74" s="16">
        <f>AF74/AD74-1</f>
        <v>-0.0852356773773619</v>
      </c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</row>
    <row r="75" ht="8.35" customHeight="1" hidden="1">
      <c r="AA75" s="36"/>
      <c r="AB75" s="46">
        <f>TODAY()</f>
        <v>44942</v>
      </c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</row>
    <row r="76" ht="8.35" customHeight="1" hidden="1">
      <c r="AA76" s="36"/>
      <c r="AB76" t="s" s="45">
        <v>62</v>
      </c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</row>
    <row r="77" ht="8.35" customHeight="1" hidden="1">
      <c r="AA77" s="36"/>
      <c r="AB77" t="s" s="45">
        <v>63</v>
      </c>
      <c r="AC77" t="s" s="44">
        <v>64</v>
      </c>
      <c r="AD77" t="s" s="44">
        <f>IF(AE77&gt;0,"+","")</f>
        <v>361</v>
      </c>
      <c r="AE77" s="16">
        <f>AF84/AB84-1</f>
        <v>0.169344773790952</v>
      </c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</row>
    <row r="78" ht="8.35" customHeight="1" hidden="1">
      <c r="AA78" s="36"/>
      <c r="AB78" t="s" s="45">
        <v>63</v>
      </c>
      <c r="AC78" t="s" s="44">
        <v>65</v>
      </c>
      <c r="AD78" t="s" s="44">
        <f>IF(AE78&gt;0,"+","")</f>
      </c>
      <c r="AE78" s="16">
        <f>SUM(AC97:AF98)/AC114</f>
        <v>-0.0057980577778309</v>
      </c>
      <c r="AF78" t="s" s="44">
        <v>66</v>
      </c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</row>
    <row r="79" ht="8.35" customHeight="1" hidden="1">
      <c r="AA79" s="36"/>
      <c r="AB79" t="s" s="45">
        <v>63</v>
      </c>
      <c r="AC79" t="s" s="44">
        <v>17</v>
      </c>
      <c r="AD79" t="s" s="44">
        <f>IF(AE79&gt;0,"+","")</f>
        <v>361</v>
      </c>
      <c r="AE79" s="16">
        <f>SUM(AC111:AF112)/AC114</f>
        <v>0.0234869670355315</v>
      </c>
      <c r="AF79" t="s" s="44">
        <f>AF78</f>
        <v>66</v>
      </c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</row>
    <row r="80" ht="8.35" customHeight="1" hidden="1">
      <c r="AA80" s="36"/>
      <c r="AB80" t="s" s="45">
        <v>68</v>
      </c>
      <c r="AC80" t="s" s="44">
        <v>369</v>
      </c>
      <c r="AD80" s="16">
        <f>AM107/AC114</f>
        <v>-1.54132310024673</v>
      </c>
      <c r="AE80" t="s" s="44">
        <f>AF79</f>
        <v>66</v>
      </c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</row>
    <row r="81" ht="8.35" customHeight="1" hidden="1">
      <c r="AA81" s="36"/>
      <c r="AB81" t="s" s="45">
        <v>28</v>
      </c>
      <c r="AC81" t="s" s="44">
        <f>AC85</f>
        <v>362</v>
      </c>
      <c r="AD81" s="16">
        <f>AD85</f>
        <v>0.157159397915863</v>
      </c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</row>
    <row r="82" ht="8.35" customHeight="1" hidden="1">
      <c r="AA82" s="36"/>
      <c r="AB82" t="s" s="45">
        <v>70</v>
      </c>
      <c r="AC82" t="s" s="44">
        <v>371</v>
      </c>
      <c r="AD82" t="s" s="44">
        <f>AJ85</f>
        <v>372</v>
      </c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</row>
    <row r="83" ht="8.35" customHeight="1" hidden="1">
      <c r="AA83" s="36"/>
      <c r="AB83" s="71">
        <f>P14</f>
        <v>0.0211071286340104</v>
      </c>
      <c r="AC83" s="16">
        <f>P15</f>
        <v>0.09672386895475819</v>
      </c>
      <c r="AD83" s="16">
        <f>P16</f>
        <v>-0.161913229018492</v>
      </c>
      <c r="AE83" s="16">
        <f>P17</f>
        <v>0.0994186786608393</v>
      </c>
      <c r="AF83" s="16">
        <f>P18</f>
        <v>0.157159397915863</v>
      </c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</row>
    <row r="84" ht="8.35" customHeight="1" hidden="1">
      <c r="AA84" s="36"/>
      <c r="AB84" s="14">
        <f>C14</f>
        <v>2564</v>
      </c>
      <c r="AC84" s="15">
        <f>C15</f>
        <v>2812</v>
      </c>
      <c r="AD84" s="15">
        <f>C16</f>
        <v>2356.7</v>
      </c>
      <c r="AE84" s="15">
        <f>C17</f>
        <v>2591</v>
      </c>
      <c r="AF84" s="15">
        <f>C18</f>
        <v>2998.2</v>
      </c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</row>
    <row r="85" ht="8.35" customHeight="1" hidden="1">
      <c r="AA85" s="36"/>
      <c r="AB85" t="s" s="45">
        <v>2</v>
      </c>
      <c r="AC85" t="s" s="44">
        <f>IF(AD85&lt;0,"declined","grew")</f>
        <v>362</v>
      </c>
      <c r="AD85" s="16">
        <f>AF84/AE84-1</f>
        <v>0.157159397915863</v>
      </c>
      <c r="AE85" t="s" s="44">
        <v>73</v>
      </c>
      <c r="AF85" t="s" s="44">
        <v>74</v>
      </c>
      <c r="AG85" t="s" s="44">
        <v>75</v>
      </c>
      <c r="AH85" t="s" s="44">
        <v>76</v>
      </c>
      <c r="AI85" s="15">
        <f>AF84</f>
        <v>2998.2</v>
      </c>
      <c r="AJ85" t="s" s="44">
        <v>372</v>
      </c>
      <c r="AK85" t="s" s="44">
        <v>378</v>
      </c>
      <c r="AL85" s="16">
        <v>0.0297063450445726</v>
      </c>
      <c r="AM85" t="s" s="44">
        <v>78</v>
      </c>
      <c r="AN85" s="17"/>
      <c r="AO85" s="17"/>
      <c r="AP85" s="17"/>
      <c r="AQ85" s="17"/>
      <c r="AR85" s="17"/>
      <c r="AS85" s="17"/>
    </row>
    <row r="86" ht="8.35" customHeight="1" hidden="1">
      <c r="AA86" s="36"/>
      <c r="AB86" t="s" s="45">
        <v>79</v>
      </c>
      <c r="AC86" s="16">
        <f>AVERAGE(AC83:AF83)</f>
        <v>0.0478471791282421</v>
      </c>
      <c r="AD86" t="s" s="44">
        <v>80</v>
      </c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</row>
    <row r="87" ht="8.35" customHeight="1" hidden="1">
      <c r="AA87" s="36"/>
      <c r="AB87" t="s" s="45">
        <v>81</v>
      </c>
      <c r="AC87" s="35">
        <f>AE30</f>
        <v>0.01</v>
      </c>
      <c r="AD87" t="s" s="44">
        <v>82</v>
      </c>
      <c r="AE87" t="s" s="44">
        <v>83</v>
      </c>
      <c r="AF87" s="23">
        <f>AE32</f>
        <v>3119.015347272</v>
      </c>
      <c r="AG87" t="s" s="44">
        <f>AJ85</f>
        <v>372</v>
      </c>
      <c r="AH87" t="s" s="44">
        <v>84</v>
      </c>
      <c r="AI87" t="s" s="44">
        <f>AF85</f>
        <v>74</v>
      </c>
      <c r="AJ87" t="s" s="44">
        <f>AG85</f>
        <v>75</v>
      </c>
      <c r="AK87" t="s" s="44">
        <v>85</v>
      </c>
      <c r="AL87" s="17"/>
      <c r="AM87" s="17"/>
      <c r="AN87" s="17"/>
      <c r="AO87" s="17"/>
      <c r="AP87" s="17"/>
      <c r="AQ87" s="17"/>
      <c r="AR87" s="17"/>
      <c r="AS87" s="17"/>
    </row>
    <row r="88" ht="8.35" customHeight="1" hidden="1">
      <c r="AA88" s="36"/>
      <c r="AB88" t="s" s="45">
        <v>574</v>
      </c>
      <c r="AC88" t="s" s="44">
        <f>IF(AE92&lt;AC92,"up","down")</f>
        <v>108</v>
      </c>
      <c r="AD88" t="s" s="44">
        <v>86</v>
      </c>
      <c r="AE88" t="s" s="44">
        <f>IF(AI92&gt;AG92,"up","down")</f>
        <v>108</v>
      </c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</row>
    <row r="89" ht="8.35" customHeight="1" hidden="1">
      <c r="AA89" s="36"/>
      <c r="AB89" t="s" s="45">
        <f>AB82</f>
        <v>70</v>
      </c>
      <c r="AC89" t="s" s="44">
        <v>575</v>
      </c>
      <c r="AD89" t="s" s="44">
        <f>AJ85</f>
        <v>372</v>
      </c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</row>
    <row r="90" ht="8.35" customHeight="1" hidden="1">
      <c r="AA90" s="36"/>
      <c r="AB90" s="71">
        <f>Q14</f>
        <v>-0.5857085708570861</v>
      </c>
      <c r="AC90" s="16">
        <f>Q15</f>
        <v>-0.5719870980353829</v>
      </c>
      <c r="AD90" s="16">
        <f>Q16</f>
        <v>-0.572678817224245</v>
      </c>
      <c r="AE90" s="16">
        <f>Q17</f>
        <v>-0.574609878241328</v>
      </c>
      <c r="AF90" s="16">
        <f>Q18</f>
        <v>-0.575274914249063</v>
      </c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</row>
    <row r="91" ht="8.35" customHeight="1" hidden="1">
      <c r="AA91" s="36"/>
      <c r="AB91" s="14">
        <f>E14</f>
        <v>967</v>
      </c>
      <c r="AC91" s="15">
        <f>E15</f>
        <v>1478</v>
      </c>
      <c r="AD91" s="15">
        <f>E16</f>
        <v>703.7</v>
      </c>
      <c r="AE91" s="15">
        <f>E17</f>
        <v>789.6</v>
      </c>
      <c r="AF91" s="15">
        <f>E18</f>
        <v>1147.4</v>
      </c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</row>
    <row r="92" ht="8.35" customHeight="1" hidden="1">
      <c r="AA92" s="36"/>
      <c r="AB92" t="s" s="45">
        <v>576</v>
      </c>
      <c r="AC92" s="16">
        <f>AE90</f>
        <v>-0.574609878241328</v>
      </c>
      <c r="AD92" t="s" s="44">
        <v>76</v>
      </c>
      <c r="AE92" s="16">
        <f>AF90</f>
        <v>-0.575274914249063</v>
      </c>
      <c r="AF92" t="s" s="44">
        <v>90</v>
      </c>
      <c r="AG92" s="15">
        <f>AE91</f>
        <v>789.6</v>
      </c>
      <c r="AH92" t="s" s="44">
        <v>76</v>
      </c>
      <c r="AI92" s="15">
        <f>AF91</f>
        <v>1147.4</v>
      </c>
      <c r="AJ92" t="s" s="44">
        <f>AG87</f>
        <v>372</v>
      </c>
      <c r="AK92" t="s" s="44">
        <v>73</v>
      </c>
      <c r="AL92" t="s" s="44">
        <f>AI87</f>
        <v>74</v>
      </c>
      <c r="AM92" t="s" s="44">
        <v>91</v>
      </c>
      <c r="AN92" s="17"/>
      <c r="AO92" s="17"/>
      <c r="AP92" s="17"/>
      <c r="AQ92" s="17"/>
      <c r="AR92" s="17"/>
      <c r="AS92" s="17"/>
    </row>
    <row r="93" ht="8.35" customHeight="1" hidden="1">
      <c r="AA93" s="36"/>
      <c r="AB93" t="s" s="45">
        <v>577</v>
      </c>
      <c r="AC93" s="16">
        <f>AVERAGE(AC90:AF90)</f>
        <v>-0.573637676937505</v>
      </c>
      <c r="AD93" t="s" s="44">
        <v>78</v>
      </c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</row>
    <row r="94" ht="8.35" customHeight="1" hidden="1">
      <c r="AA94" s="36"/>
      <c r="AB94" t="s" s="45">
        <v>93</v>
      </c>
      <c r="AC94" s="35">
        <f>AB33</f>
        <v>-0.575274914249063</v>
      </c>
      <c r="AD94" t="s" s="44">
        <v>559</v>
      </c>
      <c r="AE94" s="15">
        <f>AE47</f>
        <v>1216.157394161920</v>
      </c>
      <c r="AF94" t="s" s="44">
        <f>AJ92</f>
        <v>372</v>
      </c>
      <c r="AG94" t="s" s="44">
        <v>95</v>
      </c>
      <c r="AH94" t="s" s="44">
        <f>AL92</f>
        <v>74</v>
      </c>
      <c r="AI94" t="s" s="44">
        <f>AG85</f>
        <v>75</v>
      </c>
      <c r="AJ94" t="s" s="44">
        <f>AK87</f>
        <v>85</v>
      </c>
      <c r="AK94" s="17"/>
      <c r="AL94" s="17"/>
      <c r="AM94" s="17"/>
      <c r="AN94" s="17"/>
      <c r="AO94" s="17"/>
      <c r="AP94" s="17"/>
      <c r="AQ94" s="17"/>
      <c r="AR94" s="17"/>
      <c r="AS94" s="17"/>
    </row>
    <row r="95" ht="8.35" customHeight="1" hidden="1">
      <c r="AA95" s="36"/>
      <c r="AB95" t="s" s="45">
        <v>15</v>
      </c>
      <c r="AC95" t="s" s="44">
        <f>IF(AE99&lt;AC99,"lower","higher")</f>
        <v>104</v>
      </c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</row>
    <row r="96" ht="8.35" customHeight="1" hidden="1">
      <c r="AA96" s="36"/>
      <c r="AB96" t="s" s="45">
        <f>AB89</f>
        <v>70</v>
      </c>
      <c r="AC96" t="s" s="44">
        <v>96</v>
      </c>
      <c r="AD96" t="s" s="44">
        <f>AJ85</f>
        <v>372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</row>
    <row r="97" ht="8.35" customHeight="1" hidden="1">
      <c r="AA97" s="36"/>
      <c r="AB97" s="14">
        <f>J14</f>
        <v>-1124</v>
      </c>
      <c r="AC97" s="15">
        <f>J15</f>
        <v>-4674</v>
      </c>
      <c r="AD97" s="15">
        <f>J16</f>
        <v>-6955.7</v>
      </c>
      <c r="AE97" s="15">
        <f>J17</f>
        <v>16606.7</v>
      </c>
      <c r="AF97" s="15">
        <f>J18</f>
        <v>21.7</v>
      </c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</row>
    <row r="98" ht="8.35" customHeight="1" hidden="1">
      <c r="AA98" s="36"/>
      <c r="AB98" s="14">
        <f>K14</f>
        <v>3396</v>
      </c>
      <c r="AC98" s="15">
        <f>K15</f>
        <v>9634</v>
      </c>
      <c r="AD98" s="15">
        <f>K16</f>
        <v>3102</v>
      </c>
      <c r="AE98" s="15">
        <f>K17</f>
        <v>-15624.5</v>
      </c>
      <c r="AF98" s="15">
        <f>K18</f>
        <v>-2476.1</v>
      </c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</row>
    <row r="99" ht="8.35" customHeight="1" hidden="1">
      <c r="AA99" s="36"/>
      <c r="AB99" t="s" s="45">
        <v>97</v>
      </c>
      <c r="AC99" s="15">
        <f>AE97+AE98</f>
        <v>982.2</v>
      </c>
      <c r="AD99" t="s" s="44">
        <v>76</v>
      </c>
      <c r="AE99" s="15">
        <f>AF97+AF98</f>
        <v>-2454.4</v>
      </c>
      <c r="AF99" t="s" s="44">
        <f>AF94</f>
        <v>372</v>
      </c>
      <c r="AG99" t="s" s="44">
        <v>84</v>
      </c>
      <c r="AH99" t="s" s="44">
        <f>AH94</f>
        <v>74</v>
      </c>
      <c r="AI99" t="s" s="44">
        <v>98</v>
      </c>
      <c r="AJ99" s="15">
        <f>AF98</f>
        <v>-2476.1</v>
      </c>
      <c r="AK99" t="s" s="44">
        <f>AJ85</f>
        <v>372</v>
      </c>
      <c r="AL99" t="s" s="44">
        <v>99</v>
      </c>
      <c r="AM99" s="17"/>
      <c r="AN99" s="17"/>
      <c r="AO99" s="17"/>
      <c r="AP99" s="17"/>
      <c r="AQ99" s="17"/>
      <c r="AR99" s="17"/>
      <c r="AS99" s="17"/>
    </row>
    <row r="100" ht="8.35" customHeight="1" hidden="1">
      <c r="AA100" s="36"/>
      <c r="AB100" t="s" s="45">
        <v>100</v>
      </c>
      <c r="AC100" s="15">
        <f>SUM(AC97:AF98)/4</f>
        <v>-91.47499999999999</v>
      </c>
      <c r="AD100" t="s" s="44">
        <f>AJ85</f>
        <v>372</v>
      </c>
      <c r="AE100" t="s" s="44">
        <v>78</v>
      </c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</row>
    <row r="101" ht="8.35" customHeight="1" hidden="1">
      <c r="AA101" s="36"/>
      <c r="AB101" t="s" s="45">
        <v>101</v>
      </c>
      <c r="AC101" s="15">
        <f>AB35</f>
        <v>-393.72</v>
      </c>
      <c r="AD101" t="s" s="44">
        <f>AD100</f>
        <v>372</v>
      </c>
      <c r="AE101" t="s" s="44">
        <v>102</v>
      </c>
      <c r="AF101" t="s" s="44">
        <v>103</v>
      </c>
      <c r="AG101" t="s" s="44">
        <f>IF(AF87&gt;AI85,"higher","lower")</f>
        <v>363</v>
      </c>
      <c r="AH101" t="s" s="44">
        <v>105</v>
      </c>
      <c r="AI101" s="15">
        <f>SUM(AB36:AE36)/4</f>
        <v>902.005352678748</v>
      </c>
      <c r="AJ101" t="s" s="44">
        <f>AD101</f>
        <v>372</v>
      </c>
      <c r="AK101" t="s" s="44">
        <v>106</v>
      </c>
      <c r="AL101" t="s" s="44">
        <v>107</v>
      </c>
      <c r="AM101" s="17"/>
      <c r="AN101" s="17"/>
      <c r="AO101" s="17"/>
      <c r="AP101" s="17"/>
      <c r="AQ101" s="17"/>
      <c r="AR101" s="17"/>
      <c r="AS101" s="17"/>
    </row>
    <row r="102" ht="8.35" customHeight="1" hidden="1">
      <c r="AA102" s="36"/>
      <c r="AB102" t="s" s="45">
        <v>18</v>
      </c>
      <c r="AC102" t="s" s="44">
        <f>AJ107</f>
        <v>87</v>
      </c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</row>
    <row r="103" ht="8.35" customHeight="1" hidden="1">
      <c r="AA103" s="36"/>
      <c r="AB103" t="s" s="45">
        <f>AB82</f>
        <v>70</v>
      </c>
      <c r="AC103" t="s" s="44">
        <v>109</v>
      </c>
      <c r="AD103" t="s" s="44">
        <f>AJ85</f>
        <v>372</v>
      </c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</row>
    <row r="104" ht="8.35" customHeight="1" hidden="1">
      <c r="AA104" s="36"/>
      <c r="AB104" s="14">
        <f>F14</f>
        <v>12348</v>
      </c>
      <c r="AC104" s="15">
        <f>F15</f>
        <v>17592.3</v>
      </c>
      <c r="AD104" s="15">
        <f>F16</f>
        <v>10653.6</v>
      </c>
      <c r="AE104" s="15">
        <f>F17</f>
        <v>12380.6</v>
      </c>
      <c r="AF104" s="15">
        <f>F18</f>
        <v>10780.2</v>
      </c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</row>
    <row r="105" ht="8.35" customHeight="1" hidden="1">
      <c r="AA105" s="36"/>
      <c r="AB105" s="14">
        <f>G14</f>
        <v>101459</v>
      </c>
      <c r="AC105" s="15">
        <f>G15</f>
        <v>113735</v>
      </c>
      <c r="AD105" s="15">
        <f>G16</f>
        <v>96290</v>
      </c>
      <c r="AE105" s="15">
        <f>G17</f>
        <v>106327</v>
      </c>
      <c r="AF105" s="15">
        <f>G18</f>
        <v>108049</v>
      </c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</row>
    <row r="106" ht="8.35" customHeight="1" hidden="1">
      <c r="AA106" s="36"/>
      <c r="AB106" t="s" s="45">
        <v>110</v>
      </c>
      <c r="AC106" t="s" s="44">
        <f>IF(AF106&lt;AD106,"declined","increased")</f>
        <v>370</v>
      </c>
      <c r="AD106" s="15">
        <f>AE104</f>
        <v>12380.6</v>
      </c>
      <c r="AE106" t="s" s="44">
        <v>76</v>
      </c>
      <c r="AF106" s="15">
        <f>AF104</f>
        <v>10780.2</v>
      </c>
      <c r="AG106" t="s" s="44">
        <f>AJ101</f>
        <v>372</v>
      </c>
      <c r="AH106" t="s" s="44">
        <v>84</v>
      </c>
      <c r="AI106" t="s" s="44">
        <f>AF85</f>
        <v>74</v>
      </c>
      <c r="AJ106" t="s" s="44">
        <f>AM92</f>
        <v>91</v>
      </c>
      <c r="AK106" s="17"/>
      <c r="AL106" s="17"/>
      <c r="AM106" s="17"/>
      <c r="AN106" s="17"/>
      <c r="AO106" s="17"/>
      <c r="AP106" s="17"/>
      <c r="AQ106" s="17"/>
      <c r="AR106" s="17"/>
      <c r="AS106" s="17"/>
    </row>
    <row r="107" ht="8.35" customHeight="1" hidden="1">
      <c r="AA107" s="36"/>
      <c r="AB107" t="s" s="45">
        <v>112</v>
      </c>
      <c r="AC107" t="s" s="44">
        <f>IF(AF107&lt;AD107,"declined","increased")</f>
        <v>111</v>
      </c>
      <c r="AD107" s="15">
        <f>AE105</f>
        <v>106327</v>
      </c>
      <c r="AE107" t="s" s="44">
        <v>76</v>
      </c>
      <c r="AF107" s="15">
        <f>AF105</f>
        <v>108049</v>
      </c>
      <c r="AG107" t="s" s="44">
        <f>AG106</f>
        <v>372</v>
      </c>
      <c r="AH107" t="s" s="44">
        <v>113</v>
      </c>
      <c r="AI107" t="s" s="44">
        <v>114</v>
      </c>
      <c r="AJ107" t="s" s="44">
        <f>IF(AM107&lt;AK107,"down","up")</f>
        <v>87</v>
      </c>
      <c r="AK107" s="15">
        <f>AD106-AD107</f>
        <v>-93946.399999999994</v>
      </c>
      <c r="AL107" t="s" s="44">
        <v>76</v>
      </c>
      <c r="AM107" s="15">
        <f>AF106-AF107</f>
        <v>-97268.8</v>
      </c>
      <c r="AN107" t="s" s="44">
        <f>AG107</f>
        <v>372</v>
      </c>
      <c r="AO107" t="s" s="44">
        <v>115</v>
      </c>
      <c r="AP107" s="17"/>
      <c r="AQ107" s="17"/>
      <c r="AR107" s="17"/>
      <c r="AS107" s="17"/>
    </row>
    <row r="108" ht="8.35" customHeight="1" hidden="1">
      <c r="AA108" s="36"/>
      <c r="AB108" t="s" s="45">
        <v>116</v>
      </c>
      <c r="AC108" s="15">
        <f>SUM(AB39:AE39)</f>
        <v>-949.726948809662</v>
      </c>
      <c r="AD108" t="s" s="44">
        <f>AG107</f>
        <v>372</v>
      </c>
      <c r="AE108" t="s" s="44">
        <v>117</v>
      </c>
      <c r="AF108" t="s" s="44">
        <f>IF(AG108&gt;0,"+","")</f>
      </c>
      <c r="AG108" s="15">
        <f>AB37+AC37+AD37+AE37+AB41+AC41+AD41+AE41</f>
        <v>-43.2131174921852</v>
      </c>
      <c r="AH108" t="s" s="44">
        <f>AN107</f>
        <v>372</v>
      </c>
      <c r="AI108" t="s" s="44">
        <v>118</v>
      </c>
      <c r="AJ108" t="s" s="44">
        <v>119</v>
      </c>
      <c r="AK108" s="15">
        <f>AE56</f>
        <v>-94610.5055380948</v>
      </c>
      <c r="AL108" t="s" s="44">
        <f>AG107</f>
        <v>372</v>
      </c>
      <c r="AM108" t="s" s="44">
        <v>120</v>
      </c>
      <c r="AN108" s="17"/>
      <c r="AO108" s="17"/>
      <c r="AP108" s="17"/>
      <c r="AQ108" s="17"/>
      <c r="AR108" s="17"/>
      <c r="AS108" s="17"/>
    </row>
    <row r="109" ht="8.35" customHeight="1" hidden="1">
      <c r="AA109" s="36"/>
      <c r="AB109" t="s" s="45">
        <v>17</v>
      </c>
      <c r="AC109" t="s" s="44">
        <f>AC113</f>
        <v>121</v>
      </c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</row>
    <row r="110" ht="8.35" customHeight="1" hidden="1">
      <c r="AA110" s="36"/>
      <c r="AB110" t="s" s="45">
        <f>AB82</f>
        <v>70</v>
      </c>
      <c r="AC110" t="s" s="44">
        <v>379</v>
      </c>
      <c r="AD110" t="s" s="44">
        <f>AJ85</f>
        <v>372</v>
      </c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</row>
    <row r="111" ht="8.35" customHeight="1" hidden="1">
      <c r="AA111" s="36"/>
      <c r="AB111" s="14">
        <f>-L14</f>
        <v>0</v>
      </c>
      <c r="AC111" s="15">
        <f>-L15</f>
        <v>-4</v>
      </c>
      <c r="AD111" s="15">
        <f>-L16</f>
        <v>285</v>
      </c>
      <c r="AE111" s="15">
        <f>-L17</f>
        <v>-744.8</v>
      </c>
      <c r="AF111" s="15">
        <f>-L18</f>
        <v>-854</v>
      </c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</row>
    <row r="112" ht="8.35" customHeight="1" hidden="1">
      <c r="AA112" s="36"/>
      <c r="AB112" s="14">
        <f>-M14</f>
        <v>0</v>
      </c>
      <c r="AC112" s="15">
        <f>-M15</f>
        <v>0</v>
      </c>
      <c r="AD112" s="15">
        <f>-M16</f>
        <v>2800</v>
      </c>
      <c r="AE112" s="15">
        <f>-M17</f>
        <v>0</v>
      </c>
      <c r="AF112" s="15">
        <f>-M18</f>
        <v>0</v>
      </c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</row>
    <row r="113" ht="8.35" customHeight="1" hidden="1">
      <c r="AA113" s="36"/>
      <c r="AB113" t="s" s="45">
        <f>AB74</f>
        <v>674</v>
      </c>
      <c r="AC113" t="s" s="44">
        <f>IF(AD113&gt;0,"paid","(raised)")</f>
        <v>121</v>
      </c>
      <c r="AD113" s="15">
        <f>SUM(AF111:AF112)</f>
        <v>-854</v>
      </c>
      <c r="AE113" t="s" s="44">
        <f>AJ85</f>
        <v>372</v>
      </c>
      <c r="AF113" t="s" s="44">
        <f>AE85</f>
        <v>73</v>
      </c>
      <c r="AG113" t="s" s="44">
        <f>AF85</f>
        <v>74</v>
      </c>
      <c r="AH113" t="s" s="44">
        <f>AG85</f>
        <v>75</v>
      </c>
      <c r="AI113" s="15">
        <f>AF111</f>
        <v>-854</v>
      </c>
      <c r="AJ113" t="s" s="44">
        <f>AJ85</f>
        <v>372</v>
      </c>
      <c r="AK113" t="s" s="44">
        <v>123</v>
      </c>
      <c r="AL113" s="15">
        <f>AF112</f>
        <v>0</v>
      </c>
      <c r="AM113" t="s" s="44">
        <f>AJ85</f>
        <v>372</v>
      </c>
      <c r="AN113" t="s" s="44">
        <v>389</v>
      </c>
      <c r="AO113" t="s" s="44">
        <v>475</v>
      </c>
      <c r="AP113" t="s" s="44">
        <f>IF(AQ113&gt;0,"pay","raise")</f>
        <v>364</v>
      </c>
      <c r="AQ113" s="15">
        <f>-SUM(AB57:AE57)</f>
        <v>992.940066301847</v>
      </c>
      <c r="AR113" t="s" s="44">
        <f>AJ85</f>
        <v>372</v>
      </c>
      <c r="AS113" t="s" s="44">
        <v>126</v>
      </c>
    </row>
    <row r="114" ht="8.35" customHeight="1" hidden="1">
      <c r="AA114" s="36"/>
      <c r="AB114" t="s" s="45">
        <v>375</v>
      </c>
      <c r="AC114" s="15">
        <f>AE61</f>
        <v>63107.339392</v>
      </c>
      <c r="AD114" t="s" s="44">
        <f>AJ85</f>
        <v>372</v>
      </c>
      <c r="AE114" t="s" s="44">
        <v>128</v>
      </c>
      <c r="AF114" t="s" s="44">
        <v>129</v>
      </c>
      <c r="AG114" s="26">
        <f>AE63</f>
        <v>0.485711222295772</v>
      </c>
      <c r="AH114" t="s" s="44">
        <v>130</v>
      </c>
      <c r="AI114" t="s" s="44">
        <v>131</v>
      </c>
      <c r="AJ114" t="s" s="44">
        <v>132</v>
      </c>
      <c r="AK114" s="15">
        <f>AE66</f>
        <v>37.9577015793985</v>
      </c>
      <c r="AL114" t="s" s="44">
        <v>133</v>
      </c>
      <c r="AM114" s="16">
        <f>-AC108/AC114</f>
        <v>0.0150493897850819</v>
      </c>
      <c r="AN114" t="s" s="44">
        <v>134</v>
      </c>
      <c r="AO114" s="17"/>
      <c r="AP114" s="17"/>
      <c r="AQ114" s="17"/>
      <c r="AR114" s="17"/>
      <c r="AS114" s="17"/>
    </row>
    <row r="115" ht="8.35" customHeight="1" hidden="1">
      <c r="AA115" s="36"/>
      <c r="AB115" t="s" s="45">
        <v>135</v>
      </c>
      <c r="AC115" s="15">
        <f>AE65</f>
        <v>3608.021410714990</v>
      </c>
      <c r="AD115" t="s" s="44">
        <f>AD114</f>
        <v>372</v>
      </c>
      <c r="AE115" t="s" s="44">
        <v>136</v>
      </c>
      <c r="AF115" s="15">
        <f>AC114/AC115</f>
        <v>17.4908439303009</v>
      </c>
      <c r="AG115" t="s" s="44">
        <v>130</v>
      </c>
      <c r="AH115" t="s" s="44">
        <v>137</v>
      </c>
      <c r="AI115" t="s" s="44">
        <v>138</v>
      </c>
      <c r="AJ115" s="15">
        <f>AE67</f>
        <v>16</v>
      </c>
      <c r="AK115" t="s" s="44">
        <v>139</v>
      </c>
      <c r="AL115" t="s" s="44">
        <v>140</v>
      </c>
      <c r="AM115" t="s" s="44">
        <v>141</v>
      </c>
      <c r="AN115" s="16">
        <f>AH74</f>
        <v>-0.0852356773773619</v>
      </c>
      <c r="AO115" t="s" s="44">
        <f>IF(AN115&gt;0,"higher","lower")</f>
        <v>104</v>
      </c>
      <c r="AP115" t="s" s="44">
        <v>142</v>
      </c>
      <c r="AQ115" s="15">
        <f>AF74</f>
        <v>4916.858234096680</v>
      </c>
      <c r="AR115" t="s" s="44">
        <v>143</v>
      </c>
      <c r="AS115" s="17"/>
    </row>
    <row r="116" ht="8.35" customHeight="1" hidden="1">
      <c r="AA116" s="36"/>
      <c r="AB116" s="34"/>
      <c r="AC116" s="17"/>
      <c r="AD116" s="17"/>
      <c r="AE116" s="17"/>
      <c r="AF116" s="15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</row>
    <row r="117" ht="8.35" customHeight="1" hidden="1">
      <c r="AA117" s="36"/>
      <c r="AB117" s="14">
        <f>AB84</f>
        <v>2564</v>
      </c>
      <c r="AC117" s="15">
        <f>AC84</f>
        <v>2812</v>
      </c>
      <c r="AD117" s="15">
        <f>AD84</f>
        <v>2356.7</v>
      </c>
      <c r="AE117" s="15">
        <f>AE84</f>
        <v>2591</v>
      </c>
      <c r="AF117" s="15">
        <f>AF84</f>
        <v>2998.2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</row>
    <row r="118" ht="8.35" customHeight="1" hidden="1">
      <c r="AA118" s="36"/>
      <c r="AB118" s="14">
        <f>SUM(AB97:AB98)</f>
        <v>2272</v>
      </c>
      <c r="AC118" s="15">
        <f>SUM(AC97:AC98)</f>
        <v>4960</v>
      </c>
      <c r="AD118" s="15">
        <f>SUM(AD97:AD98)</f>
        <v>-3853.7</v>
      </c>
      <c r="AE118" s="15">
        <f>SUM(AE97:AE98)</f>
        <v>982.2</v>
      </c>
      <c r="AF118" s="15">
        <f>SUM(AF97:AF98)</f>
        <v>-2454.4</v>
      </c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</row>
    <row r="119" ht="8.35" customHeight="1" hidden="1">
      <c r="AA119" s="36"/>
      <c r="AB119" s="14">
        <f>SUM(AB111:AB112)</f>
        <v>0</v>
      </c>
      <c r="AC119" s="15">
        <f>SUM(AC111:AC112)</f>
        <v>-4</v>
      </c>
      <c r="AD119" s="15">
        <f>SUM(AD111:AD112)</f>
        <v>3085</v>
      </c>
      <c r="AE119" s="15">
        <f>SUM(AE111:AE112)</f>
        <v>-744.8</v>
      </c>
      <c r="AF119" s="15">
        <f>SUM(AF111:AF112)</f>
        <v>-854</v>
      </c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</row>
    <row r="120" ht="8.35" customHeight="1" hidden="1">
      <c r="AA120" s="36"/>
      <c r="AB120" s="34"/>
      <c r="AC120" s="17"/>
      <c r="AD120" s="17"/>
      <c r="AE120" s="17"/>
      <c r="AF120" s="15">
        <f>AQ115</f>
        <v>4916.858234096680</v>
      </c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</row>
    <row r="121" ht="8.35" customHeight="1" hidden="1">
      <c r="AA121" s="36"/>
      <c r="AB121" s="34"/>
      <c r="AC121" s="17"/>
      <c r="AD121" s="17"/>
      <c r="AE121" s="17"/>
      <c r="AF121" s="15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</row>
    <row r="122" ht="8.35" customHeight="1" hidden="1">
      <c r="AA122" s="36"/>
      <c r="AB122" s="34"/>
      <c r="AC122" s="17"/>
      <c r="AD122" s="17"/>
      <c r="AE122" s="17"/>
      <c r="AF122" s="15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</row>
    <row r="123" ht="8.35" customHeight="1" hidden="1">
      <c r="AA123" s="36"/>
      <c r="AB123" s="34"/>
      <c r="AC123" s="17"/>
      <c r="AD123" s="17"/>
      <c r="AE123" s="17"/>
      <c r="AF123" s="15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</row>
    <row r="124" ht="8.35" customHeight="1" hidden="1">
      <c r="AA124" s="36"/>
      <c r="AB124" s="34"/>
      <c r="AC124" s="17"/>
      <c r="AD124" s="17"/>
      <c r="AE124" s="17"/>
      <c r="AF124" s="15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</row>
    <row r="125" ht="8.35" customHeight="1" hidden="1">
      <c r="AA125" s="36"/>
      <c r="AB125" s="34"/>
      <c r="AC125" s="17"/>
      <c r="AD125" s="17"/>
      <c r="AE125" s="17"/>
      <c r="AF125" s="15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</row>
    <row r="126" ht="8.35" customHeight="1" hidden="1">
      <c r="AA126" s="36"/>
      <c r="AB126" s="34"/>
      <c r="AC126" s="17"/>
      <c r="AD126" s="17"/>
      <c r="AE126" s="17"/>
      <c r="AF126" s="15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</row>
    <row r="127" ht="8.35" customHeight="1" hidden="1">
      <c r="AA127" s="36"/>
      <c r="AB127" s="34"/>
      <c r="AC127" s="17"/>
      <c r="AD127" s="17"/>
      <c r="AE127" s="17"/>
      <c r="AF127" s="15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</row>
  </sheetData>
  <mergeCells count="2">
    <mergeCell ref="B2:Z2"/>
    <mergeCell ref="AA27:AS2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4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S12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18" customWidth="1"/>
    <col min="2" max="26" width="10.4844" style="318" customWidth="1"/>
    <col min="27" max="27" width="18.9766" style="319" customWidth="1"/>
    <col min="28" max="31" width="9" style="319" customWidth="1"/>
    <col min="32" max="45" hidden="1" width="16.3333" style="319" customWidth="1"/>
    <col min="46" max="16384" width="16.3516" style="319" customWidth="1"/>
  </cols>
  <sheetData>
    <row r="1" ht="11.65" customHeight="1"/>
    <row r="2" ht="27.65" customHeight="1">
      <c r="B2" t="s" s="2">
        <v>675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493</v>
      </c>
      <c r="R3" t="s" s="3">
        <v>12</v>
      </c>
      <c r="S3" t="s" s="3">
        <v>15</v>
      </c>
      <c r="T3" t="s" s="3">
        <v>12</v>
      </c>
      <c r="U3" t="s" s="3">
        <v>17</v>
      </c>
      <c r="V3" t="s" s="3">
        <v>12</v>
      </c>
      <c r="W3" t="s" s="3">
        <v>18</v>
      </c>
      <c r="X3" t="s" s="3">
        <v>12</v>
      </c>
      <c r="Y3" t="s" s="3">
        <v>279</v>
      </c>
      <c r="Z3" t="s" s="3">
        <v>19</v>
      </c>
    </row>
    <row r="4" ht="20.25" customHeight="1">
      <c r="B4" s="6">
        <v>2019</v>
      </c>
      <c r="C4" s="7">
        <v>163</v>
      </c>
      <c r="D4" s="8">
        <v>5.5</v>
      </c>
      <c r="E4" s="8">
        <v>12</v>
      </c>
      <c r="F4" s="8">
        <v>364</v>
      </c>
      <c r="G4" s="8">
        <v>723</v>
      </c>
      <c r="H4" s="8">
        <v>1253</v>
      </c>
      <c r="I4" s="8">
        <v>209</v>
      </c>
      <c r="J4" s="8">
        <v>-24.3</v>
      </c>
      <c r="K4" s="8">
        <v>-13</v>
      </c>
      <c r="L4" s="8">
        <v>0</v>
      </c>
      <c r="M4" s="8">
        <v>-1.3</v>
      </c>
      <c r="N4" s="8">
        <f>SUM(C4)/4</f>
        <v>40.75</v>
      </c>
      <c r="O4" s="9"/>
      <c r="P4" s="55"/>
      <c r="Q4" s="55"/>
      <c r="R4" s="9"/>
      <c r="S4" s="9"/>
      <c r="T4" s="9"/>
      <c r="U4" s="8">
        <f>-(L4+M4)</f>
        <v>1.3</v>
      </c>
      <c r="V4" s="9"/>
      <c r="W4" s="8">
        <f>F4-G4</f>
        <v>-359</v>
      </c>
      <c r="X4" s="73"/>
      <c r="Y4" s="10">
        <v>3990</v>
      </c>
      <c r="Z4" s="73"/>
    </row>
    <row r="5" ht="20.05" customHeight="1">
      <c r="B5" s="13"/>
      <c r="C5" s="14">
        <v>154</v>
      </c>
      <c r="D5" s="15">
        <v>5.5</v>
      </c>
      <c r="E5" s="15">
        <v>-6</v>
      </c>
      <c r="F5" s="15">
        <v>78</v>
      </c>
      <c r="G5" s="15">
        <v>324</v>
      </c>
      <c r="H5" s="15">
        <v>849</v>
      </c>
      <c r="I5" s="15">
        <v>371</v>
      </c>
      <c r="J5" s="15">
        <v>-282.7</v>
      </c>
      <c r="K5" s="15">
        <v>-5</v>
      </c>
      <c r="L5" s="15">
        <v>0</v>
      </c>
      <c r="M5" s="15">
        <v>0</v>
      </c>
      <c r="N5" s="15">
        <f>SUM(C4:C5)/4</f>
        <v>79.25</v>
      </c>
      <c r="O5" s="17"/>
      <c r="P5" s="16"/>
      <c r="Q5" s="16"/>
      <c r="R5" s="17"/>
      <c r="S5" s="17"/>
      <c r="T5" s="17"/>
      <c r="U5" s="15">
        <f>-(L5+M5)+U4</f>
        <v>1.3</v>
      </c>
      <c r="V5" s="17"/>
      <c r="W5" s="15">
        <f>F5-G5</f>
        <v>-246</v>
      </c>
      <c r="X5" s="24"/>
      <c r="Y5" s="18">
        <v>3980</v>
      </c>
      <c r="Z5" s="24"/>
    </row>
    <row r="6" ht="20.05" customHeight="1">
      <c r="B6" s="13"/>
      <c r="C6" s="14">
        <v>181</v>
      </c>
      <c r="D6" s="15">
        <v>5.5</v>
      </c>
      <c r="E6" s="15">
        <v>11</v>
      </c>
      <c r="F6" s="15">
        <v>83</v>
      </c>
      <c r="G6" s="15">
        <v>266</v>
      </c>
      <c r="H6" s="15">
        <v>801</v>
      </c>
      <c r="I6" s="15">
        <v>295</v>
      </c>
      <c r="J6" s="15">
        <v>12</v>
      </c>
      <c r="K6" s="15">
        <v>-5</v>
      </c>
      <c r="L6" s="15">
        <v>0</v>
      </c>
      <c r="M6" s="15">
        <v>0</v>
      </c>
      <c r="N6" s="15">
        <f>SUM(C4:C6)/4</f>
        <v>124.5</v>
      </c>
      <c r="O6" s="17"/>
      <c r="P6" s="16"/>
      <c r="Q6" s="16"/>
      <c r="R6" s="17"/>
      <c r="S6" s="17"/>
      <c r="T6" s="17"/>
      <c r="U6" s="15">
        <f>-(L6+M6)+U5</f>
        <v>1.3</v>
      </c>
      <c r="V6" s="17"/>
      <c r="W6" s="15">
        <f>F6-G6</f>
        <v>-183</v>
      </c>
      <c r="X6" s="24"/>
      <c r="Y6" s="18">
        <v>2810</v>
      </c>
      <c r="Z6" s="24"/>
    </row>
    <row r="7" ht="20.05" customHeight="1">
      <c r="B7" s="13"/>
      <c r="C7" s="14">
        <v>247</v>
      </c>
      <c r="D7" s="15">
        <v>5.5</v>
      </c>
      <c r="E7" s="15">
        <v>61</v>
      </c>
      <c r="F7" s="15">
        <v>162</v>
      </c>
      <c r="G7" s="15">
        <v>307</v>
      </c>
      <c r="H7" s="15">
        <v>901</v>
      </c>
      <c r="I7" s="15">
        <v>283</v>
      </c>
      <c r="J7" s="15">
        <v>84</v>
      </c>
      <c r="K7" s="15">
        <v>-7</v>
      </c>
      <c r="L7" s="15">
        <v>0</v>
      </c>
      <c r="M7" s="15">
        <v>0.3</v>
      </c>
      <c r="N7" s="15">
        <f>SUM(C4:C7)/4</f>
        <v>186.25</v>
      </c>
      <c r="O7" s="17"/>
      <c r="P7" s="16"/>
      <c r="Q7" s="16">
        <f>(D4+D5+D6+D7+E4+E5+E6+E7-C4-C5-C6-C7)/(C4+C5+C6+C7)</f>
        <v>-0.865771812080537</v>
      </c>
      <c r="R7" s="17"/>
      <c r="S7" s="15">
        <f>SUM(J4:K7)/4</f>
        <v>-60.25</v>
      </c>
      <c r="T7" s="17"/>
      <c r="U7" s="15">
        <f>-(L7+M7)+U6</f>
        <v>1</v>
      </c>
      <c r="V7" s="17"/>
      <c r="W7" s="15">
        <f>F7-G7</f>
        <v>-145</v>
      </c>
      <c r="X7" s="24"/>
      <c r="Y7" s="18">
        <v>2850</v>
      </c>
      <c r="Z7" s="24"/>
    </row>
    <row r="8" ht="20.05" customHeight="1">
      <c r="B8" s="21">
        <v>2020</v>
      </c>
      <c r="C8" s="14">
        <v>162</v>
      </c>
      <c r="D8" s="15">
        <v>7.75</v>
      </c>
      <c r="E8" s="15">
        <v>35</v>
      </c>
      <c r="F8" s="15">
        <v>119</v>
      </c>
      <c r="G8" s="15">
        <v>335</v>
      </c>
      <c r="H8" s="15">
        <v>964</v>
      </c>
      <c r="I8" s="15">
        <v>281</v>
      </c>
      <c r="J8" s="15">
        <v>-38.5</v>
      </c>
      <c r="K8" s="15">
        <v>-3.6</v>
      </c>
      <c r="L8" s="15">
        <v>0</v>
      </c>
      <c r="M8" s="15">
        <v>-0.5</v>
      </c>
      <c r="N8" s="15">
        <f>SUM(C5:C8)/4</f>
        <v>186</v>
      </c>
      <c r="O8" s="15"/>
      <c r="P8" s="16">
        <f>C8/C7-1</f>
        <v>-0.34412955465587</v>
      </c>
      <c r="Q8" s="16">
        <f>(D5+D6+D7+D8+E5+E6+E7+E8-C5-C6-C7-C8)/(C5+C6+C7+C8)</f>
        <v>-0.831653225806452</v>
      </c>
      <c r="R8" s="17"/>
      <c r="S8" s="15">
        <f>SUM(J5:K8)/4</f>
        <v>-61.45</v>
      </c>
      <c r="T8" s="17"/>
      <c r="U8" s="15">
        <f>-(L8+M8)+U7</f>
        <v>1.5</v>
      </c>
      <c r="V8" s="17"/>
      <c r="W8" s="15">
        <f>F8-G8</f>
        <v>-216</v>
      </c>
      <c r="X8" s="24"/>
      <c r="Y8" s="18">
        <v>1740</v>
      </c>
      <c r="Z8" s="24"/>
    </row>
    <row r="9" ht="20.05" customHeight="1">
      <c r="B9" s="13"/>
      <c r="C9" s="14">
        <v>121</v>
      </c>
      <c r="D9" s="15">
        <v>7.75</v>
      </c>
      <c r="E9" s="15">
        <v>-3</v>
      </c>
      <c r="F9" s="15">
        <v>87</v>
      </c>
      <c r="G9" s="15">
        <v>328</v>
      </c>
      <c r="H9" s="15">
        <v>955</v>
      </c>
      <c r="I9" s="15">
        <v>266</v>
      </c>
      <c r="J9" s="15">
        <v>-31</v>
      </c>
      <c r="K9" s="15">
        <v>-1</v>
      </c>
      <c r="L9" s="15">
        <v>0</v>
      </c>
      <c r="M9" s="15">
        <v>0</v>
      </c>
      <c r="N9" s="15">
        <f>SUM(C6:C9)/4</f>
        <v>177.75</v>
      </c>
      <c r="O9" s="15"/>
      <c r="P9" s="16">
        <f>C9/C8-1</f>
        <v>-0.253086419753086</v>
      </c>
      <c r="Q9" s="16">
        <f>(D6+D7+D8+D9+E6+E7+E8+E9-C6-C7-C8-C9)/(C6+C7+C8+C9)</f>
        <v>-0.816455696202532</v>
      </c>
      <c r="R9" s="17"/>
      <c r="S9" s="15">
        <f>SUM(J6:K9)/4</f>
        <v>2.475</v>
      </c>
      <c r="T9" s="17"/>
      <c r="U9" s="15">
        <f>-(L9+M9)+U8</f>
        <v>1.5</v>
      </c>
      <c r="V9" s="17"/>
      <c r="W9" s="15">
        <f>F9-G9</f>
        <v>-241</v>
      </c>
      <c r="X9" s="24"/>
      <c r="Y9" s="18">
        <v>2750</v>
      </c>
      <c r="Z9" s="24"/>
    </row>
    <row r="10" ht="20.05" customHeight="1">
      <c r="B10" s="13"/>
      <c r="C10" s="14">
        <v>157</v>
      </c>
      <c r="D10" s="15">
        <v>7.75</v>
      </c>
      <c r="E10" s="15">
        <v>23</v>
      </c>
      <c r="F10" s="15">
        <v>70</v>
      </c>
      <c r="G10" s="15">
        <v>334</v>
      </c>
      <c r="H10" s="15">
        <v>932</v>
      </c>
      <c r="I10" s="15">
        <v>339</v>
      </c>
      <c r="J10" s="15">
        <v>48.1</v>
      </c>
      <c r="K10" s="15">
        <v>-7.6</v>
      </c>
      <c r="L10" s="15">
        <v>0</v>
      </c>
      <c r="M10" s="15">
        <v>-58.5</v>
      </c>
      <c r="N10" s="15">
        <f>SUM(C7:C10)/4</f>
        <v>171.75</v>
      </c>
      <c r="O10" s="15"/>
      <c r="P10" s="16">
        <f>C10/C9-1</f>
        <v>0.297520661157025</v>
      </c>
      <c r="Q10" s="16">
        <f>(D7+D8+D9+D10+E7+E8+E9+E10-C7-C8-C9-C10)/(C7+C8+C9+C10)</f>
        <v>-0.789301310043668</v>
      </c>
      <c r="R10" s="17"/>
      <c r="S10" s="15">
        <f>SUM(J7:K10)/4</f>
        <v>10.85</v>
      </c>
      <c r="T10" s="17"/>
      <c r="U10" s="15">
        <f>-(L10+M10)+U9</f>
        <v>60</v>
      </c>
      <c r="V10" s="17"/>
      <c r="W10" s="15">
        <f>F10-G10</f>
        <v>-264</v>
      </c>
      <c r="X10" s="24"/>
      <c r="Y10" s="18">
        <v>2910</v>
      </c>
      <c r="Z10" s="24"/>
    </row>
    <row r="11" ht="20.05" customHeight="1">
      <c r="B11" s="13"/>
      <c r="C11" s="14">
        <v>216</v>
      </c>
      <c r="D11" s="15">
        <v>7.75</v>
      </c>
      <c r="E11" s="15">
        <v>17</v>
      </c>
      <c r="F11" s="15">
        <v>135</v>
      </c>
      <c r="G11" s="15">
        <v>317</v>
      </c>
      <c r="H11" s="15">
        <v>930</v>
      </c>
      <c r="I11" s="15">
        <v>349</v>
      </c>
      <c r="J11" s="15">
        <v>83.40000000000001</v>
      </c>
      <c r="K11" s="15">
        <v>-18.8</v>
      </c>
      <c r="L11" s="15">
        <v>0</v>
      </c>
      <c r="M11" s="15">
        <v>1</v>
      </c>
      <c r="N11" s="15">
        <f>SUM(C8:C11)/4</f>
        <v>164</v>
      </c>
      <c r="O11" s="15"/>
      <c r="P11" s="16">
        <f>C11/C10-1</f>
        <v>0.375796178343949</v>
      </c>
      <c r="Q11" s="16">
        <f>(D8+D9+D10+D11+E8+E9+E10+E11-C8-C9-C10-C11)/(C8+C9+C10+C11)</f>
        <v>-0.842987804878049</v>
      </c>
      <c r="R11" s="17"/>
      <c r="S11" s="15">
        <f>SUM(J8:K11)/4</f>
        <v>7.75</v>
      </c>
      <c r="T11" s="17"/>
      <c r="U11" s="15">
        <f>-(L11+M11)+U10</f>
        <v>59</v>
      </c>
      <c r="V11" s="17"/>
      <c r="W11" s="15">
        <f>F11-G11</f>
        <v>-182</v>
      </c>
      <c r="X11" s="24"/>
      <c r="Y11" s="18">
        <v>3280</v>
      </c>
      <c r="Z11" s="24"/>
    </row>
    <row r="12" ht="20.05" customHeight="1">
      <c r="B12" s="21">
        <v>2021</v>
      </c>
      <c r="C12" s="14">
        <v>253</v>
      </c>
      <c r="D12" s="15">
        <v>7.5</v>
      </c>
      <c r="E12" s="15">
        <v>53</v>
      </c>
      <c r="F12" s="15">
        <v>165</v>
      </c>
      <c r="G12" s="15">
        <v>222</v>
      </c>
      <c r="H12" s="15">
        <v>888</v>
      </c>
      <c r="I12" s="15">
        <v>259</v>
      </c>
      <c r="J12" s="15">
        <v>49.4</v>
      </c>
      <c r="K12" s="15">
        <v>-18</v>
      </c>
      <c r="L12" s="15">
        <v>0</v>
      </c>
      <c r="M12" s="15">
        <v>-1.1</v>
      </c>
      <c r="N12" s="15">
        <f>SUM(C9:C12)/4</f>
        <v>186.75</v>
      </c>
      <c r="O12" s="15"/>
      <c r="P12" s="16">
        <f>C12/C11-1</f>
        <v>0.171296296296296</v>
      </c>
      <c r="Q12" s="16">
        <f>(D9+D10+D11+D12+E9+E10+E11+E12-C9-C10-C11-C12)/(C9+C10+C11+C12)</f>
        <v>-0.838353413654618</v>
      </c>
      <c r="R12" s="17"/>
      <c r="S12" s="15">
        <f>SUM(J9:K12)/4</f>
        <v>26.125</v>
      </c>
      <c r="T12" s="17"/>
      <c r="U12" s="15">
        <f>-(L12+M12)+U11</f>
        <v>60.1</v>
      </c>
      <c r="V12" s="17"/>
      <c r="W12" s="15">
        <f>F12-G12</f>
        <v>-57</v>
      </c>
      <c r="X12" s="15"/>
      <c r="Y12" s="18">
        <v>3170</v>
      </c>
      <c r="Z12" s="15"/>
    </row>
    <row r="13" ht="20.05" customHeight="1">
      <c r="B13" s="13"/>
      <c r="C13" s="14">
        <v>254</v>
      </c>
      <c r="D13" s="15">
        <v>7.5</v>
      </c>
      <c r="E13" s="15">
        <v>29</v>
      </c>
      <c r="F13" s="15">
        <v>220</v>
      </c>
      <c r="G13" s="15">
        <v>246</v>
      </c>
      <c r="H13" s="15">
        <v>940</v>
      </c>
      <c r="I13" s="15">
        <v>255</v>
      </c>
      <c r="J13" s="15">
        <v>61.3</v>
      </c>
      <c r="K13" s="15">
        <v>-6</v>
      </c>
      <c r="L13" s="15">
        <v>0</v>
      </c>
      <c r="M13" s="15">
        <v>-0.1</v>
      </c>
      <c r="N13" s="15">
        <f>SUM(C10:C13)/4</f>
        <v>220</v>
      </c>
      <c r="O13" s="15"/>
      <c r="P13" s="16">
        <f>C13/C12-1</f>
        <v>0.00395256916996047</v>
      </c>
      <c r="Q13" s="16">
        <f>(D10+D11+D12+D13+E10+E11+E12+E13-C10-C11-C12-C13)/(C10+C11+C12+C13)</f>
        <v>-0.826704545454545</v>
      </c>
      <c r="R13" s="17"/>
      <c r="S13" s="15">
        <f>SUM(J10:K13)/4</f>
        <v>47.95</v>
      </c>
      <c r="T13" s="17"/>
      <c r="U13" s="15">
        <f>-(L13+M13)+U12</f>
        <v>60.2</v>
      </c>
      <c r="V13" s="17"/>
      <c r="W13" s="15">
        <f>F13-G13</f>
        <v>-26</v>
      </c>
      <c r="X13" s="15"/>
      <c r="Y13" s="18">
        <v>3300</v>
      </c>
      <c r="Z13" s="15"/>
    </row>
    <row r="14" ht="20.05" customHeight="1">
      <c r="B14" s="13"/>
      <c r="C14" s="14">
        <v>279</v>
      </c>
      <c r="D14" s="15">
        <v>7.5</v>
      </c>
      <c r="E14" s="15">
        <v>36</v>
      </c>
      <c r="F14" s="15">
        <v>217</v>
      </c>
      <c r="G14" s="15">
        <v>249</v>
      </c>
      <c r="H14" s="15">
        <v>925</v>
      </c>
      <c r="I14" s="15">
        <v>302</v>
      </c>
      <c r="J14" s="15">
        <v>49.3</v>
      </c>
      <c r="K14" s="15">
        <v>2</v>
      </c>
      <c r="L14" s="15">
        <v>0</v>
      </c>
      <c r="M14" s="15">
        <v>-54.8</v>
      </c>
      <c r="N14" s="15">
        <f>SUM(C11:C14)/4</f>
        <v>250.5</v>
      </c>
      <c r="O14" s="15"/>
      <c r="P14" s="16">
        <f>C14/C13-1</f>
        <v>0.09842519685039371</v>
      </c>
      <c r="Q14" s="16">
        <f>(D11+D12+D13+D14+E11+E12+E13+E14-C11-C12-C13-C14)/(C11+C12+C13+C14)</f>
        <v>-0.835079840319361</v>
      </c>
      <c r="R14" s="17"/>
      <c r="S14" s="15">
        <f>SUM(J11:K14)/4</f>
        <v>50.65</v>
      </c>
      <c r="T14" s="17"/>
      <c r="U14" s="15">
        <f>-(L14+M14)+U13</f>
        <v>115</v>
      </c>
      <c r="V14" s="17"/>
      <c r="W14" s="15">
        <f>F14-G14</f>
        <v>-32</v>
      </c>
      <c r="X14" s="15"/>
      <c r="Y14" s="18">
        <v>3290</v>
      </c>
      <c r="Z14" s="15"/>
    </row>
    <row r="15" ht="20.05" customHeight="1">
      <c r="B15" s="13"/>
      <c r="C15" s="14">
        <v>278</v>
      </c>
      <c r="D15" s="15">
        <v>7.5</v>
      </c>
      <c r="E15" s="15">
        <v>14</v>
      </c>
      <c r="F15" s="15">
        <v>196</v>
      </c>
      <c r="G15" s="15">
        <v>342</v>
      </c>
      <c r="H15" s="15">
        <v>1026</v>
      </c>
      <c r="I15" s="15">
        <v>211</v>
      </c>
      <c r="J15" s="15">
        <v>0</v>
      </c>
      <c r="K15" s="15">
        <v>-21</v>
      </c>
      <c r="L15" s="15">
        <v>0</v>
      </c>
      <c r="M15" s="15">
        <v>1</v>
      </c>
      <c r="N15" s="15">
        <f>SUM(C12:C15)/4</f>
        <v>266</v>
      </c>
      <c r="O15" s="15"/>
      <c r="P15" s="16">
        <f>C15/C14-1</f>
        <v>-0.003584229390681</v>
      </c>
      <c r="Q15" s="16">
        <f>(D12+D13+D14+D15+E12+E13+E14+E15-C12-C13-C14-C15)/(C12+C13+C14+C15)</f>
        <v>-0.847744360902256</v>
      </c>
      <c r="R15" s="17"/>
      <c r="S15" s="15">
        <f>SUM(J12:K15)/4</f>
        <v>29.25</v>
      </c>
      <c r="T15" s="17"/>
      <c r="U15" s="15">
        <f>-(L15+M15)+U14</f>
        <v>114</v>
      </c>
      <c r="V15" s="17"/>
      <c r="W15" s="15">
        <f>F15-G15</f>
        <v>-146</v>
      </c>
      <c r="X15" s="15"/>
      <c r="Y15" s="15">
        <v>3690</v>
      </c>
      <c r="Z15" s="15"/>
    </row>
    <row r="16" ht="20.05" customHeight="1">
      <c r="B16" s="21">
        <v>2022</v>
      </c>
      <c r="C16" s="14">
        <v>302</v>
      </c>
      <c r="D16" s="15">
        <v>5</v>
      </c>
      <c r="E16" s="15">
        <v>63</v>
      </c>
      <c r="F16" s="15">
        <v>237</v>
      </c>
      <c r="G16" s="15">
        <v>314</v>
      </c>
      <c r="H16" s="15">
        <v>1067</v>
      </c>
      <c r="I16" s="15">
        <v>329</v>
      </c>
      <c r="J16" s="15">
        <v>46.5</v>
      </c>
      <c r="K16" s="15">
        <v>-5</v>
      </c>
      <c r="L16" s="15">
        <v>0</v>
      </c>
      <c r="M16" s="15">
        <v>-0.4</v>
      </c>
      <c r="N16" s="15">
        <f>SUM(C13:C16)/4</f>
        <v>278.25</v>
      </c>
      <c r="O16" s="15"/>
      <c r="P16" s="16">
        <f>C16/C15-1</f>
        <v>0.08633093525179859</v>
      </c>
      <c r="Q16" s="16">
        <f>(D13+D14+D15+D16+E13+E14+E15+E16-C13-C14-C15-C16)/(C13+C14+C15+C16)</f>
        <v>-0.847708894878706</v>
      </c>
      <c r="R16" s="16"/>
      <c r="S16" s="15">
        <f>SUM(J13:K16)/4</f>
        <v>31.775</v>
      </c>
      <c r="T16" s="15"/>
      <c r="U16" s="15">
        <f>-(L16+M16)+U15</f>
        <v>114.4</v>
      </c>
      <c r="V16" s="15"/>
      <c r="W16" s="15">
        <f>F16-G16</f>
        <v>-77</v>
      </c>
      <c r="X16" s="15"/>
      <c r="Y16" s="15">
        <v>4010</v>
      </c>
      <c r="Z16" s="140"/>
    </row>
    <row r="17" ht="20.05" customHeight="1">
      <c r="B17" s="13"/>
      <c r="C17" s="14">
        <v>298</v>
      </c>
      <c r="D17" s="15">
        <v>5</v>
      </c>
      <c r="E17" s="15">
        <v>60</v>
      </c>
      <c r="F17" s="15">
        <v>129</v>
      </c>
      <c r="G17" s="15">
        <v>289</v>
      </c>
      <c r="H17" s="15">
        <v>988</v>
      </c>
      <c r="I17" s="15">
        <v>335</v>
      </c>
      <c r="J17" s="15">
        <v>3.2</v>
      </c>
      <c r="K17" s="15">
        <v>-4</v>
      </c>
      <c r="L17" s="15">
        <v>0</v>
      </c>
      <c r="M17" s="15">
        <v>-106.6</v>
      </c>
      <c r="N17" s="15">
        <f>SUM(C14:C17)/4</f>
        <v>289.25</v>
      </c>
      <c r="O17" s="15">
        <v>292.94</v>
      </c>
      <c r="P17" s="16">
        <f>C17/C16-1</f>
        <v>-0.0132450331125828</v>
      </c>
      <c r="Q17" s="16">
        <f>(D14+D15+D16+D17+E14+E15+E16+E17-C14-C15-C16-C17)/(C14+C15+C16+C17)</f>
        <v>-0.828867761452031</v>
      </c>
      <c r="R17" s="16">
        <v>-0.856299212598425</v>
      </c>
      <c r="S17" s="15">
        <f>SUM(J14:K17)/4</f>
        <v>17.75</v>
      </c>
      <c r="T17" s="15">
        <v>47.923671436199</v>
      </c>
      <c r="U17" s="15">
        <f>-(L17+M17)+U16</f>
        <v>221</v>
      </c>
      <c r="V17" s="15"/>
      <c r="W17" s="15">
        <f>F17-G17</f>
        <v>-160</v>
      </c>
      <c r="X17" s="15">
        <v>41.391717886047</v>
      </c>
      <c r="Y17" s="15">
        <v>4080</v>
      </c>
      <c r="Z17" s="140"/>
    </row>
    <row r="18" ht="20.05" customHeight="1">
      <c r="B18" s="13"/>
      <c r="C18" s="14">
        <v>269.2</v>
      </c>
      <c r="D18" s="15">
        <v>8.199999999999999</v>
      </c>
      <c r="E18" s="15">
        <v>26.7</v>
      </c>
      <c r="F18" s="15">
        <v>110</v>
      </c>
      <c r="G18" s="15">
        <v>225</v>
      </c>
      <c r="H18" s="15">
        <v>951</v>
      </c>
      <c r="I18" s="15">
        <v>271.1</v>
      </c>
      <c r="J18" s="15">
        <v>-21.4</v>
      </c>
      <c r="K18" s="15">
        <v>1.3</v>
      </c>
      <c r="L18" s="15">
        <v>0</v>
      </c>
      <c r="M18" s="15">
        <v>-0.1</v>
      </c>
      <c r="N18" s="15">
        <f>SUM(C15:C18)/4</f>
        <v>286.8</v>
      </c>
      <c r="O18" s="15">
        <v>305.9</v>
      </c>
      <c r="P18" s="16">
        <f>C18/C17-1</f>
        <v>-0.09664429530201341</v>
      </c>
      <c r="Q18" s="16">
        <f>(D15+D16+D17+D18+E15+E16+E17+E18-C15-C16-C17-C18)/(C15+C16+C17+C18)</f>
        <v>-0.834902370990237</v>
      </c>
      <c r="R18" s="16">
        <v>-0.830865380931485</v>
      </c>
      <c r="S18" s="15">
        <f>SUM(J15:K18)/4</f>
        <v>-0.1</v>
      </c>
      <c r="T18" s="15">
        <v>49.1554748800715</v>
      </c>
      <c r="U18" s="15">
        <f>-(L18+M18)+U17</f>
        <v>221.1</v>
      </c>
      <c r="V18" s="15">
        <f>U18</f>
        <v>221.1</v>
      </c>
      <c r="W18" s="15">
        <f>F18-G18</f>
        <v>-115</v>
      </c>
      <c r="X18" s="15">
        <v>-142.416259108974</v>
      </c>
      <c r="Y18" s="15">
        <v>5000</v>
      </c>
      <c r="Z18" s="140">
        <v>8777.763371441340</v>
      </c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7"/>
      <c r="O19" s="26">
        <f>AVERAGE(AB33:AE33)</f>
        <v>285.710709</v>
      </c>
      <c r="P19" s="17"/>
      <c r="Q19" s="17"/>
      <c r="R19" s="35">
        <f>AB34</f>
        <v>-0.834902370990237</v>
      </c>
      <c r="S19" s="17"/>
      <c r="T19" s="15">
        <f>SUM(AB37:AE37)/4</f>
        <v>45.8201606385983</v>
      </c>
      <c r="U19" s="17"/>
      <c r="V19" s="15">
        <f>-SUM(AB58:AE58)+U18</f>
        <v>394.367274460181</v>
      </c>
      <c r="W19" s="17"/>
      <c r="X19" s="15">
        <f>AE57</f>
        <v>-63.250538155787</v>
      </c>
      <c r="Y19" s="15">
        <v>4790</v>
      </c>
      <c r="Z19" s="15">
        <v>8557.798440943070</v>
      </c>
    </row>
    <row r="20" ht="20.05" customHeight="1">
      <c r="B20" s="21">
        <v>2023</v>
      </c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>
        <f>SUM(N17:N18)</f>
        <v>576.05</v>
      </c>
      <c r="O20" s="15">
        <f>SUM(O17:O18)</f>
        <v>598.84</v>
      </c>
      <c r="P20" s="17"/>
      <c r="Q20" s="17"/>
      <c r="R20" s="17"/>
      <c r="S20" s="17"/>
      <c r="T20" s="17"/>
      <c r="U20" s="17"/>
      <c r="V20" s="17"/>
      <c r="W20" s="17"/>
      <c r="X20" s="15"/>
      <c r="Y20" s="15"/>
      <c r="Z20" s="15">
        <f>AE70</f>
        <v>7773.0629654765</v>
      </c>
    </row>
    <row r="21" ht="20.05" customHeight="1">
      <c r="B21" s="13"/>
      <c r="C21" s="14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5"/>
      <c r="Y21" s="15"/>
      <c r="Z21" s="15"/>
    </row>
    <row r="22" ht="20.05" customHeight="1">
      <c r="B22" t="s" s="56">
        <v>477</v>
      </c>
      <c r="C22" s="14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5"/>
      <c r="Y22" s="15"/>
      <c r="Z22" s="15"/>
    </row>
    <row r="23" ht="20.05" customHeight="1">
      <c r="B23" s="13"/>
      <c r="C23" s="14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5"/>
      <c r="Y23" s="15"/>
      <c r="Z23" s="15"/>
    </row>
    <row r="24" ht="20.05" customHeight="1">
      <c r="B24" s="13"/>
      <c r="C24" s="14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5"/>
      <c r="Y24" s="15"/>
      <c r="Z24" s="15"/>
    </row>
    <row r="25" ht="20.05" customHeight="1">
      <c r="B25" s="13"/>
      <c r="C25" s="14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5"/>
      <c r="Y25" s="15"/>
      <c r="Z25" s="15"/>
    </row>
    <row r="26" ht="20.05" customHeight="1">
      <c r="B26" s="13"/>
      <c r="C26" s="14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5"/>
      <c r="Y26" s="15"/>
      <c r="Z26" s="15"/>
    </row>
    <row r="28" ht="27.65" customHeight="1">
      <c r="AA28" t="s" s="2">
        <v>279</v>
      </c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</row>
    <row r="29" ht="20.25" customHeight="1">
      <c r="AA29" t="s" s="28">
        <v>366</v>
      </c>
      <c r="AB29" t="s" s="29">
        <v>24</v>
      </c>
      <c r="AC29" t="s" s="29">
        <v>25</v>
      </c>
      <c r="AD29" t="s" s="29">
        <v>26</v>
      </c>
      <c r="AE29" t="s" s="29">
        <v>23</v>
      </c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</row>
    <row r="30" ht="20.25" customHeight="1">
      <c r="AA30" t="s" s="31">
        <v>15</v>
      </c>
      <c r="AB30" s="32"/>
      <c r="AC30" s="9"/>
      <c r="AD30" s="9"/>
      <c r="AE30" s="9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</row>
    <row r="31" ht="20.05" customHeight="1">
      <c r="AA31" t="s" s="33">
        <v>27</v>
      </c>
      <c r="AB31" s="71">
        <f>AVERAGE(P15:P18)</f>
        <v>-0.00678565563836965</v>
      </c>
      <c r="AC31" s="35"/>
      <c r="AD31" s="35"/>
      <c r="AE31" s="35">
        <f>AVERAGE(AB32:AE32)</f>
        <v>0.015</v>
      </c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</row>
    <row r="32" ht="20.05" customHeight="1">
      <c r="AA32" t="s" s="33">
        <v>13</v>
      </c>
      <c r="AB32" s="37">
        <v>0</v>
      </c>
      <c r="AC32" s="35">
        <v>0.1</v>
      </c>
      <c r="AD32" s="35">
        <v>-0.01</v>
      </c>
      <c r="AE32" s="35">
        <v>-0.03</v>
      </c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</row>
    <row r="33" ht="20.05" customHeight="1">
      <c r="AA33" t="s" s="33">
        <v>28</v>
      </c>
      <c r="AB33" s="38">
        <f>C18*(1+AB32)</f>
        <v>269.2</v>
      </c>
      <c r="AC33" s="23">
        <f>AB33*(1+AC32)</f>
        <v>296.12</v>
      </c>
      <c r="AD33" s="23">
        <f>AC33*(1+AD32)</f>
        <v>293.1588</v>
      </c>
      <c r="AE33" s="23">
        <f>AD33*(1+AE32)</f>
        <v>284.364036</v>
      </c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</row>
    <row r="34" ht="20.05" customHeight="1">
      <c r="AA34" t="s" s="33">
        <v>570</v>
      </c>
      <c r="AB34" s="37">
        <f>AVERAGE(Q18)</f>
        <v>-0.834902370990237</v>
      </c>
      <c r="AC34" s="35">
        <f>AB34</f>
        <v>-0.834902370990237</v>
      </c>
      <c r="AD34" s="35">
        <f>AC34</f>
        <v>-0.834902370990237</v>
      </c>
      <c r="AE34" s="35">
        <f>AD34</f>
        <v>-0.834902370990237</v>
      </c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</row>
    <row r="35" ht="20.05" customHeight="1">
      <c r="AA35" t="s" s="33">
        <v>571</v>
      </c>
      <c r="AB35" s="14">
        <f>AB33*AB34</f>
        <v>-224.755718270572</v>
      </c>
      <c r="AC35" s="15">
        <f>AC33*AC34</f>
        <v>-247.231290097629</v>
      </c>
      <c r="AD35" s="15">
        <f>AD33*AD34</f>
        <v>-244.758977196653</v>
      </c>
      <c r="AE35" s="15">
        <f>AE33*AE34</f>
        <v>-237.416207880753</v>
      </c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</row>
    <row r="36" ht="20.05" customHeight="1">
      <c r="AA36" t="s" s="33">
        <v>29</v>
      </c>
      <c r="AB36" s="14">
        <f>AVERAGE(K17:K18)</f>
        <v>-1.35</v>
      </c>
      <c r="AC36" s="15">
        <f>AB36</f>
        <v>-1.35</v>
      </c>
      <c r="AD36" s="15">
        <f>AC36</f>
        <v>-1.35</v>
      </c>
      <c r="AE36" s="15">
        <f>AD36</f>
        <v>-1.35</v>
      </c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</row>
    <row r="37" ht="20.05" customHeight="1">
      <c r="AA37" t="s" s="33">
        <v>30</v>
      </c>
      <c r="AB37" s="14">
        <f>AB33+AB35+AB36</f>
        <v>43.094281729428</v>
      </c>
      <c r="AC37" s="15">
        <f>AC33+AC35+AC36</f>
        <v>47.538709902371</v>
      </c>
      <c r="AD37" s="15">
        <f>AD33+AD35+AD36</f>
        <v>47.049822803347</v>
      </c>
      <c r="AE37" s="15">
        <f>AE33+AE35+AE36</f>
        <v>45.597828119247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</row>
    <row r="38" ht="20.05" customHeight="1">
      <c r="AA38" t="s" s="33">
        <v>31</v>
      </c>
      <c r="AB38" s="14">
        <f>-G18/20</f>
        <v>-11.25</v>
      </c>
      <c r="AC38" s="15">
        <f>-AB53/20</f>
        <v>-10.6875</v>
      </c>
      <c r="AD38" s="15">
        <f>-AC53/20</f>
        <v>-10.153125</v>
      </c>
      <c r="AE38" s="15">
        <f>-AD53/20</f>
        <v>-9.645468749999999</v>
      </c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</row>
    <row r="39" ht="20.05" customHeight="1">
      <c r="AA39" t="s" s="33">
        <v>32</v>
      </c>
      <c r="AB39" s="39">
        <v>-0.8</v>
      </c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</row>
    <row r="40" ht="20.05" customHeight="1">
      <c r="AA40" t="s" s="33">
        <v>33</v>
      </c>
      <c r="AB40" s="14">
        <f>IF(AB48&gt;0,AB48*$AB$39,0)</f>
        <v>-30.702092050209</v>
      </c>
      <c r="AC40" s="15">
        <f>IF(AC48&gt;0,AC48*$AB$39,0)</f>
        <v>-34.2576345885634</v>
      </c>
      <c r="AD40" s="15">
        <f>IF(AD48&gt;0,AD48*$AB$39,0)</f>
        <v>-33.8665249093442</v>
      </c>
      <c r="AE40" s="15">
        <f>IF(AE48&gt;0,AE48*$AB$39,0)</f>
        <v>-32.7049291620642</v>
      </c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</row>
    <row r="41" ht="20.05" customHeight="1">
      <c r="AA41" t="s" s="33">
        <v>34</v>
      </c>
      <c r="AB41" s="14">
        <f>AB37+AB38+AB40</f>
        <v>1.142189679219</v>
      </c>
      <c r="AC41" s="15">
        <f>AC37+AC38+AC40</f>
        <v>2.5935753138076</v>
      </c>
      <c r="AD41" s="15">
        <f>AD37+AD38+AD40</f>
        <v>3.0301728940028</v>
      </c>
      <c r="AE41" s="15">
        <f>AE37+AE38+AE40</f>
        <v>3.2474302071828</v>
      </c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</row>
    <row r="42" ht="20.05" customHeight="1">
      <c r="AA42" t="s" s="33">
        <v>35</v>
      </c>
      <c r="AB42" s="14">
        <f>-MIN(0,AB41)</f>
        <v>0</v>
      </c>
      <c r="AC42" s="15">
        <f>-MIN(AB54,AC41)</f>
        <v>0</v>
      </c>
      <c r="AD42" s="15">
        <f>-MIN(AC54,AD41)</f>
        <v>0</v>
      </c>
      <c r="AE42" s="15">
        <f>-MIN(AD54,AE41)</f>
        <v>0</v>
      </c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</row>
    <row r="43" ht="20.05" customHeight="1">
      <c r="AA43" t="s" s="33">
        <v>36</v>
      </c>
      <c r="AB43" s="14">
        <f>F18</f>
        <v>110</v>
      </c>
      <c r="AC43" s="15">
        <f>AB45</f>
        <v>111.142189679219</v>
      </c>
      <c r="AD43" s="15">
        <f>AC45</f>
        <v>113.735764993027</v>
      </c>
      <c r="AE43" s="15">
        <f>AD45</f>
        <v>116.765937887030</v>
      </c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</row>
    <row r="44" ht="20.05" customHeight="1">
      <c r="AA44" t="s" s="33">
        <v>37</v>
      </c>
      <c r="AB44" s="14">
        <f>AB37+AB38+AB40+AB42</f>
        <v>1.142189679219</v>
      </c>
      <c r="AC44" s="15">
        <f>AC37+AC38+AC40+AC42</f>
        <v>2.5935753138076</v>
      </c>
      <c r="AD44" s="15">
        <f>AD37+AD38+AD40+AD42</f>
        <v>3.0301728940028</v>
      </c>
      <c r="AE44" s="15">
        <f>AE37+AE38+AE40+AE42</f>
        <v>3.2474302071828</v>
      </c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</row>
    <row r="45" ht="20.05" customHeight="1">
      <c r="AA45" t="s" s="33">
        <v>38</v>
      </c>
      <c r="AB45" s="14">
        <f>AB43+AB44</f>
        <v>111.142189679219</v>
      </c>
      <c r="AC45" s="15">
        <f>AC43+AC44</f>
        <v>113.735764993027</v>
      </c>
      <c r="AD45" s="15">
        <f>AD43+AD44</f>
        <v>116.765937887030</v>
      </c>
      <c r="AE45" s="15">
        <f>AE43+AE44</f>
        <v>120.013368094213</v>
      </c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</row>
    <row r="46" ht="20.05" customHeight="1">
      <c r="AA46" t="s" s="41">
        <v>4</v>
      </c>
      <c r="AB46" s="14"/>
      <c r="AC46" s="15"/>
      <c r="AD46" s="15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</row>
    <row r="47" ht="20.05" customHeight="1">
      <c r="AA47" t="s" s="33">
        <v>3</v>
      </c>
      <c r="AB47" s="14">
        <f>-AVERAGE(D16:D18)</f>
        <v>-6.06666666666667</v>
      </c>
      <c r="AC47" s="15">
        <f>AB47</f>
        <v>-6.06666666666667</v>
      </c>
      <c r="AD47" s="15">
        <f>AC47</f>
        <v>-6.06666666666667</v>
      </c>
      <c r="AE47" s="15">
        <f>AD47</f>
        <v>-6.06666666666667</v>
      </c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</row>
    <row r="48" ht="20.05" customHeight="1">
      <c r="AA48" t="s" s="33">
        <v>4</v>
      </c>
      <c r="AB48" s="14">
        <f>AB33+AB35+AB47</f>
        <v>38.3776150627613</v>
      </c>
      <c r="AC48" s="15">
        <f>AC33+AC35+AC47</f>
        <v>42.8220432357043</v>
      </c>
      <c r="AD48" s="15">
        <f>AD33+AD35+AD47</f>
        <v>42.3331561366803</v>
      </c>
      <c r="AE48" s="15">
        <f>AE33+AE35+AE47</f>
        <v>40.8811614525803</v>
      </c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</row>
    <row r="49" ht="20.05" customHeight="1">
      <c r="AA49" t="s" s="41">
        <v>39</v>
      </c>
      <c r="AB49" s="14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</row>
    <row r="50" ht="20.05" customHeight="1">
      <c r="AA50" t="s" s="33">
        <v>40</v>
      </c>
      <c r="AB50" s="14">
        <f>H18-F18-AB36</f>
        <v>842.35</v>
      </c>
      <c r="AC50" s="15">
        <f>AB50-AC36</f>
        <v>843.7</v>
      </c>
      <c r="AD50" s="15">
        <f>AC50-AD36</f>
        <v>845.05</v>
      </c>
      <c r="AE50" s="15">
        <f>AD50-AE36</f>
        <v>846.4</v>
      </c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</row>
    <row r="51" ht="20.05" customHeight="1">
      <c r="AA51" t="s" s="33">
        <v>41</v>
      </c>
      <c r="AB51" s="14">
        <f>0-AB47</f>
        <v>6.06666666666667</v>
      </c>
      <c r="AC51" s="15">
        <f>AB51-AC47</f>
        <v>12.1333333333333</v>
      </c>
      <c r="AD51" s="15">
        <f>AC51-AD47</f>
        <v>18.2</v>
      </c>
      <c r="AE51" s="15">
        <f>AD51-AE47</f>
        <v>24.2666666666667</v>
      </c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</row>
    <row r="52" ht="20.05" customHeight="1">
      <c r="AA52" t="s" s="33">
        <v>42</v>
      </c>
      <c r="AB52" s="14">
        <f>AB50-AB51</f>
        <v>836.283333333333</v>
      </c>
      <c r="AC52" s="15">
        <f>AC50-AC51</f>
        <v>831.5666666666669</v>
      </c>
      <c r="AD52" s="15">
        <f>AD50-AD51</f>
        <v>826.85</v>
      </c>
      <c r="AE52" s="15">
        <f>AE50-AE51</f>
        <v>822.133333333333</v>
      </c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</row>
    <row r="53" ht="20.05" customHeight="1">
      <c r="AA53" t="s" s="33">
        <v>6</v>
      </c>
      <c r="AB53" s="14">
        <f>G18+AB38</f>
        <v>213.75</v>
      </c>
      <c r="AC53" s="15">
        <f>AB53+AC38</f>
        <v>203.0625</v>
      </c>
      <c r="AD53" s="15">
        <f>AC53+AD38</f>
        <v>192.909375</v>
      </c>
      <c r="AE53" s="15">
        <f>AD53+AE38</f>
        <v>183.26390625</v>
      </c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</row>
    <row r="54" ht="20.05" customHeight="1">
      <c r="AA54" t="s" s="33">
        <v>35</v>
      </c>
      <c r="AB54" s="14">
        <f>AB42</f>
        <v>0</v>
      </c>
      <c r="AC54" s="15">
        <f>AB54+AC42</f>
        <v>0</v>
      </c>
      <c r="AD54" s="15">
        <f>AC54+AD42</f>
        <v>0</v>
      </c>
      <c r="AE54" s="15">
        <f>AD54+AE42</f>
        <v>0</v>
      </c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</row>
    <row r="55" ht="20.05" customHeight="1">
      <c r="AA55" t="s" s="33">
        <v>11</v>
      </c>
      <c r="AB55" s="14">
        <f>(H18-G18)+AB48+AB40</f>
        <v>733.675523012552</v>
      </c>
      <c r="AC55" s="15">
        <f>AB55+AC48+AC40</f>
        <v>742.239931659693</v>
      </c>
      <c r="AD55" s="15">
        <f>AC55+AD48+AD40</f>
        <v>750.706562887029</v>
      </c>
      <c r="AE55" s="15">
        <f>AD55+AE48+AE40</f>
        <v>758.8827951775449</v>
      </c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</row>
    <row r="56" ht="20.05" customHeight="1">
      <c r="AA56" t="s" s="33">
        <v>43</v>
      </c>
      <c r="AB56" s="14">
        <f>AB53+AB54+AB55-AB45-AB52</f>
        <v>0</v>
      </c>
      <c r="AC56" s="15">
        <f>AC53+AC54+AC55-AC45-AC52</f>
        <v>-1e-12</v>
      </c>
      <c r="AD56" s="15">
        <f>AD53+AD54+AD55-AD45-AD52</f>
        <v>-1e-12</v>
      </c>
      <c r="AE56" s="15">
        <f>AE53+AE54+AE55-AE45-AE52</f>
        <v>-1e-12</v>
      </c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</row>
    <row r="57" ht="20.05" customHeight="1">
      <c r="AA57" t="s" s="33">
        <v>18</v>
      </c>
      <c r="AB57" s="14">
        <f>AB45-AB53-AB54</f>
        <v>-102.607810320781</v>
      </c>
      <c r="AC57" s="15">
        <f>AC45-AC53-AC54</f>
        <v>-89.326735006973</v>
      </c>
      <c r="AD57" s="15">
        <f>AD45-AD53-AD54</f>
        <v>-76.14343711297001</v>
      </c>
      <c r="AE57" s="15">
        <f>AE45-AE53-AE54</f>
        <v>-63.250538155787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</row>
    <row r="58" ht="20.05" customHeight="1">
      <c r="AA58" t="s" s="33">
        <v>44</v>
      </c>
      <c r="AB58" s="14">
        <f>AB38+AB40+AB42</f>
        <v>-41.952092050209</v>
      </c>
      <c r="AC58" s="15">
        <f>AC38+AC40+AC42</f>
        <v>-44.9451345885634</v>
      </c>
      <c r="AD58" s="15">
        <f>AD38+AD40+AD42</f>
        <v>-44.0196499093442</v>
      </c>
      <c r="AE58" s="15">
        <f>AE38+AE40+AE42</f>
        <v>-42.3503979120642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</row>
    <row r="59" ht="20.05" customHeight="1">
      <c r="AA59" t="s" s="33">
        <v>45</v>
      </c>
      <c r="AB59" s="14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</row>
    <row r="60" ht="20.05" customHeight="1">
      <c r="AA60" t="s" s="96">
        <v>279</v>
      </c>
      <c r="AB60" s="14"/>
      <c r="AC60" s="15"/>
      <c r="AD60" s="15"/>
      <c r="AE60" s="15">
        <v>4790</v>
      </c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</row>
    <row r="61" ht="8.35" customHeight="1" hidden="1">
      <c r="AA61" t="s" s="33">
        <f>$AA60</f>
        <v>676</v>
      </c>
      <c r="AB61" s="14"/>
      <c r="AC61" s="15"/>
      <c r="AD61" s="15"/>
      <c r="AE61" s="15">
        <v>2145920000000</v>
      </c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</row>
    <row r="62" ht="20.05" customHeight="1">
      <c r="AA62" t="s" s="33">
        <v>46</v>
      </c>
      <c r="AB62" s="14"/>
      <c r="AC62" s="15"/>
      <c r="AD62" s="15"/>
      <c r="AE62" s="15">
        <f>AE61/1000000000</f>
        <v>2145.92</v>
      </c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</row>
    <row r="63" ht="20.05" customHeight="1">
      <c r="AA63" t="s" s="33">
        <v>47</v>
      </c>
      <c r="AB63" s="14"/>
      <c r="AC63" s="15"/>
      <c r="AD63" s="15"/>
      <c r="AE63" s="15">
        <f>AE62/AE60</f>
        <v>0.448</v>
      </c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</row>
    <row r="64" ht="20.05" customHeight="1">
      <c r="AA64" t="s" s="33">
        <v>48</v>
      </c>
      <c r="AB64" s="14"/>
      <c r="AC64" s="15"/>
      <c r="AD64" s="15"/>
      <c r="AE64" s="43">
        <f>AE62/(AE45+AE52)</f>
        <v>2.27769199504545</v>
      </c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</row>
    <row r="65" ht="20.05" customHeight="1">
      <c r="AA65" t="s" s="33">
        <v>49</v>
      </c>
      <c r="AB65" s="14"/>
      <c r="AC65" s="15"/>
      <c r="AD65" s="15"/>
      <c r="AE65" s="16">
        <f>-(AB40+AC40+AD40+AE40)/AE62</f>
        <v>0.0612936086667633</v>
      </c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</row>
    <row r="66" ht="20.05" customHeight="1">
      <c r="AA66" t="s" s="33">
        <v>50</v>
      </c>
      <c r="AB66" s="14"/>
      <c r="AC66" s="15"/>
      <c r="AD66" s="15"/>
      <c r="AE66" s="15">
        <f>SUM(AB37:AE37)</f>
        <v>183.280642554393</v>
      </c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</row>
    <row r="67" ht="20.05" customHeight="1">
      <c r="AA67" t="s" s="33">
        <v>51</v>
      </c>
      <c r="AB67" s="14"/>
      <c r="AC67" s="15"/>
      <c r="AD67" s="15"/>
      <c r="AE67" s="15">
        <f>(H18+F18)/AE66</f>
        <v>5.78893649221642</v>
      </c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</row>
    <row r="68" ht="20.05" customHeight="1">
      <c r="AA68" t="s" s="33">
        <v>52</v>
      </c>
      <c r="AB68" s="14"/>
      <c r="AC68" s="15"/>
      <c r="AD68" s="15">
        <f>AE62/AE66</f>
        <v>11.708383220902</v>
      </c>
      <c r="AE68" s="15">
        <v>19</v>
      </c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</row>
    <row r="69" ht="20.05" customHeight="1">
      <c r="AA69" t="s" s="33">
        <v>53</v>
      </c>
      <c r="AB69" s="14"/>
      <c r="AC69" s="15"/>
      <c r="AD69" s="15"/>
      <c r="AE69" s="15">
        <f>AE66*AE68</f>
        <v>3482.332208533470</v>
      </c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</row>
    <row r="70" ht="20.05" customHeight="1">
      <c r="AA70" t="s" s="33">
        <v>54</v>
      </c>
      <c r="AB70" s="14"/>
      <c r="AC70" s="15"/>
      <c r="AD70" s="15"/>
      <c r="AE70" s="15">
        <f>AE69/AE63</f>
        <v>7773.0629654765</v>
      </c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</row>
    <row r="71" ht="20.05" customHeight="1">
      <c r="AA71" t="s" s="33">
        <v>55</v>
      </c>
      <c r="AB71" s="38"/>
      <c r="AC71" s="23"/>
      <c r="AD71" s="23"/>
      <c r="AE71" s="16">
        <f>AE70/AE60-1</f>
        <v>0.622768886320772</v>
      </c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</row>
    <row r="72" ht="20.05" customHeight="1">
      <c r="AA72" t="s" s="33">
        <v>56</v>
      </c>
      <c r="AB72" s="38"/>
      <c r="AC72" s="23"/>
      <c r="AD72" s="23"/>
      <c r="AE72" s="16">
        <f>C18/C14-1</f>
        <v>-0.0351254480286738</v>
      </c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</row>
    <row r="73" ht="20.05" customHeight="1">
      <c r="AA73" t="s" s="33">
        <v>57</v>
      </c>
      <c r="AB73" s="38"/>
      <c r="AC73" s="23"/>
      <c r="AD73" s="23"/>
      <c r="AE73" s="16">
        <f>O20/N20-1</f>
        <v>0.0395625379741342</v>
      </c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</row>
    <row r="74" ht="8.35" customHeight="1" hidden="1">
      <c r="AA74" s="98"/>
      <c r="AB74" s="38"/>
      <c r="AC74" s="23"/>
      <c r="AD74" s="23"/>
      <c r="AE74" s="16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</row>
    <row r="75" ht="8.35" customHeight="1" hidden="1">
      <c r="AA75" s="36"/>
      <c r="AB75" t="s" s="100">
        <f>$AA60</f>
        <v>677</v>
      </c>
      <c r="AC75" t="s" s="44">
        <v>60</v>
      </c>
      <c r="AD75" s="15">
        <f>AE60</f>
        <v>4790</v>
      </c>
      <c r="AE75" t="s" s="44">
        <v>61</v>
      </c>
      <c r="AF75" s="198">
        <f>AE70</f>
        <v>7773.0629654765</v>
      </c>
      <c r="AG75" t="s" s="102">
        <f>IF(AH75&gt;0,"+","")</f>
        <v>361</v>
      </c>
      <c r="AH75" s="99">
        <f>AF75/AD75-1</f>
        <v>0.622768886320772</v>
      </c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</row>
    <row r="76" ht="8.35" customHeight="1" hidden="1">
      <c r="AA76" s="36"/>
      <c r="AB76" s="46">
        <f>TODAY()</f>
        <v>44942</v>
      </c>
      <c r="AC76" s="17"/>
      <c r="AD76" s="17"/>
      <c r="AE76" s="17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</row>
    <row r="77" ht="8.35" customHeight="1" hidden="1">
      <c r="AA77" s="36"/>
      <c r="AB77" t="s" s="45">
        <v>62</v>
      </c>
      <c r="AC77" s="17"/>
      <c r="AD77" s="17"/>
      <c r="AE77" s="17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</row>
    <row r="78" ht="8.35" customHeight="1" hidden="1">
      <c r="AA78" s="36"/>
      <c r="AB78" t="s" s="45">
        <v>63</v>
      </c>
      <c r="AC78" t="s" s="44">
        <v>64</v>
      </c>
      <c r="AD78" t="s" s="44">
        <f>IF(AE78&gt;0,"+","")</f>
      </c>
      <c r="AE78" s="16">
        <f>AF85/AB85-1</f>
        <v>-0.0351254480286738</v>
      </c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</row>
    <row r="79" ht="8.35" customHeight="1" hidden="1">
      <c r="AA79" s="36"/>
      <c r="AB79" t="s" s="45">
        <v>63</v>
      </c>
      <c r="AC79" t="s" s="44">
        <v>65</v>
      </c>
      <c r="AD79" t="s" s="44">
        <f>IF(AE79&gt;0,"+","")</f>
      </c>
      <c r="AE79" s="16">
        <f>SUM(AC98:AF99)/AC115</f>
        <v>-0.000186400238592305</v>
      </c>
      <c r="AF79" t="s" s="102">
        <v>66</v>
      </c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</row>
    <row r="80" ht="8.35" customHeight="1" hidden="1">
      <c r="AA80" s="36"/>
      <c r="AB80" t="s" s="45">
        <v>63</v>
      </c>
      <c r="AC80" t="s" s="44">
        <v>17</v>
      </c>
      <c r="AD80" t="s" s="44">
        <f>IF(AE80&gt;0,"+","")</f>
        <v>361</v>
      </c>
      <c r="AE80" s="16">
        <f>SUM(AC112:AF113)/AC115</f>
        <v>0.049442663286609</v>
      </c>
      <c r="AF80" t="s" s="102">
        <f>AF79</f>
        <v>66</v>
      </c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</row>
    <row r="81" ht="8.35" customHeight="1" hidden="1">
      <c r="AA81" s="36"/>
      <c r="AB81" t="s" s="45">
        <v>68</v>
      </c>
      <c r="AC81" t="s" s="44">
        <v>369</v>
      </c>
      <c r="AD81" s="16">
        <f>AM108/AC115</f>
        <v>-0.0535900685952878</v>
      </c>
      <c r="AE81" t="s" s="44">
        <f>AF80</f>
        <v>66</v>
      </c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</row>
    <row r="82" ht="8.35" customHeight="1" hidden="1">
      <c r="AA82" s="36"/>
      <c r="AB82" t="s" s="45">
        <v>28</v>
      </c>
      <c r="AC82" t="s" s="44">
        <f>AC86</f>
        <v>370</v>
      </c>
      <c r="AD82" s="16">
        <f>AD86</f>
        <v>-0.09664429530201341</v>
      </c>
      <c r="AE82" s="17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</row>
    <row r="83" ht="8.35" customHeight="1" hidden="1">
      <c r="AA83" s="36"/>
      <c r="AB83" t="s" s="45">
        <v>70</v>
      </c>
      <c r="AC83" t="s" s="44">
        <v>371</v>
      </c>
      <c r="AD83" t="s" s="44">
        <f>AJ86</f>
        <v>372</v>
      </c>
      <c r="AE83" s="17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</row>
    <row r="84" ht="8.35" customHeight="1" hidden="1">
      <c r="AA84" s="36"/>
      <c r="AB84" s="71">
        <f>P14</f>
        <v>0.09842519685039371</v>
      </c>
      <c r="AC84" s="16">
        <f>P15</f>
        <v>-0.003584229390681</v>
      </c>
      <c r="AD84" s="16">
        <f>P16</f>
        <v>0.08633093525179859</v>
      </c>
      <c r="AE84" s="16">
        <f>P17</f>
        <v>-0.0132450331125828</v>
      </c>
      <c r="AF84" s="99">
        <f>P18</f>
        <v>-0.09664429530201341</v>
      </c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</row>
    <row r="85" ht="8.35" customHeight="1" hidden="1">
      <c r="AA85" s="36"/>
      <c r="AB85" s="67">
        <f>C14</f>
        <v>279</v>
      </c>
      <c r="AC85" s="15">
        <f>C15</f>
        <v>278</v>
      </c>
      <c r="AD85" s="15">
        <f>C16</f>
        <v>302</v>
      </c>
      <c r="AE85" s="26">
        <f>C17</f>
        <v>298</v>
      </c>
      <c r="AF85" s="198">
        <f>C18</f>
        <v>269.2</v>
      </c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</row>
    <row r="86" ht="8.35" customHeight="1" hidden="1">
      <c r="AA86" s="36"/>
      <c r="AB86" t="s" s="45">
        <v>2</v>
      </c>
      <c r="AC86" t="s" s="44">
        <f>IF(AD86&lt;0,"declined","grew")</f>
        <v>370</v>
      </c>
      <c r="AD86" s="16">
        <f>AF85/AE85-1</f>
        <v>-0.09664429530201341</v>
      </c>
      <c r="AE86" t="s" s="44">
        <v>73</v>
      </c>
      <c r="AF86" t="s" s="102">
        <v>74</v>
      </c>
      <c r="AG86" t="s" s="102">
        <v>75</v>
      </c>
      <c r="AH86" t="s" s="102">
        <v>76</v>
      </c>
      <c r="AI86" s="198">
        <f>AF85</f>
        <v>269.2</v>
      </c>
      <c r="AJ86" t="s" s="102">
        <v>372</v>
      </c>
      <c r="AK86" t="s" s="102">
        <v>378</v>
      </c>
      <c r="AL86" s="99">
        <v>0.0297063450445726</v>
      </c>
      <c r="AM86" t="s" s="102">
        <v>78</v>
      </c>
      <c r="AN86" s="103"/>
      <c r="AO86" s="103"/>
      <c r="AP86" s="103"/>
      <c r="AQ86" s="103"/>
      <c r="AR86" s="103"/>
      <c r="AS86" s="103"/>
    </row>
    <row r="87" ht="8.35" customHeight="1" hidden="1">
      <c r="AA87" s="36"/>
      <c r="AB87" t="s" s="45">
        <v>79</v>
      </c>
      <c r="AC87" s="16">
        <f>AVERAGE(AC84:AF84)</f>
        <v>-0.00678565563836965</v>
      </c>
      <c r="AD87" t="s" s="44">
        <v>80</v>
      </c>
      <c r="AE87" s="17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</row>
    <row r="88" ht="8.35" customHeight="1" hidden="1">
      <c r="AA88" s="36"/>
      <c r="AB88" t="s" s="45">
        <v>81</v>
      </c>
      <c r="AC88" s="35">
        <f>AE31</f>
        <v>0.015</v>
      </c>
      <c r="AD88" t="s" s="44">
        <v>82</v>
      </c>
      <c r="AE88" t="s" s="44">
        <v>83</v>
      </c>
      <c r="AF88" s="101">
        <f>AE33</f>
        <v>284.364036</v>
      </c>
      <c r="AG88" t="s" s="102">
        <f>AJ86</f>
        <v>372</v>
      </c>
      <c r="AH88" t="s" s="102">
        <v>84</v>
      </c>
      <c r="AI88" t="s" s="102">
        <f>AF86</f>
        <v>74</v>
      </c>
      <c r="AJ88" t="s" s="102">
        <f>AG86</f>
        <v>75</v>
      </c>
      <c r="AK88" t="s" s="102">
        <v>85</v>
      </c>
      <c r="AL88" s="103"/>
      <c r="AM88" s="103"/>
      <c r="AN88" s="103"/>
      <c r="AO88" s="103"/>
      <c r="AP88" s="103"/>
      <c r="AQ88" s="103"/>
      <c r="AR88" s="103"/>
      <c r="AS88" s="103"/>
    </row>
    <row r="89" ht="8.35" customHeight="1" hidden="1">
      <c r="AA89" s="36"/>
      <c r="AB89" t="s" s="45">
        <v>574</v>
      </c>
      <c r="AC89" t="s" s="44">
        <f>IF(AE93&lt;AC93,"up","down")</f>
        <v>108</v>
      </c>
      <c r="AD89" t="s" s="44">
        <v>86</v>
      </c>
      <c r="AE89" t="s" s="44">
        <f>IF(AI93&gt;AG93,"up","down")</f>
        <v>87</v>
      </c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</row>
    <row r="90" ht="8.35" customHeight="1" hidden="1">
      <c r="AA90" s="36"/>
      <c r="AB90" t="s" s="45">
        <f>AB83</f>
        <v>70</v>
      </c>
      <c r="AC90" t="s" s="44">
        <v>575</v>
      </c>
      <c r="AD90" t="s" s="44">
        <f>AJ86</f>
        <v>372</v>
      </c>
      <c r="AE90" s="17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</row>
    <row r="91" ht="8.35" customHeight="1" hidden="1">
      <c r="AA91" s="36"/>
      <c r="AB91" s="71">
        <f>Q14</f>
        <v>-0.835079840319361</v>
      </c>
      <c r="AC91" s="16">
        <f>Q15</f>
        <v>-0.847744360902256</v>
      </c>
      <c r="AD91" s="16">
        <f>Q16</f>
        <v>-0.847708894878706</v>
      </c>
      <c r="AE91" s="16">
        <f>Q17</f>
        <v>-0.828867761452031</v>
      </c>
      <c r="AF91" s="99">
        <f>Q18</f>
        <v>-0.834902370990237</v>
      </c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</row>
    <row r="92" ht="8.35" customHeight="1" hidden="1">
      <c r="AA92" s="36"/>
      <c r="AB92" s="67">
        <f>E14</f>
        <v>36</v>
      </c>
      <c r="AC92" s="15">
        <f>E15</f>
        <v>14</v>
      </c>
      <c r="AD92" s="15">
        <f>E16</f>
        <v>63</v>
      </c>
      <c r="AE92" s="26">
        <f>E17</f>
        <v>60</v>
      </c>
      <c r="AF92" s="198">
        <f>E18</f>
        <v>26.7</v>
      </c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</row>
    <row r="93" ht="8.35" customHeight="1" hidden="1">
      <c r="AA93" s="36"/>
      <c r="AB93" t="s" s="45">
        <v>576</v>
      </c>
      <c r="AC93" s="16">
        <f>AE91</f>
        <v>-0.828867761452031</v>
      </c>
      <c r="AD93" t="s" s="44">
        <v>76</v>
      </c>
      <c r="AE93" s="16">
        <f>AF91</f>
        <v>-0.834902370990237</v>
      </c>
      <c r="AF93" t="s" s="102">
        <v>90</v>
      </c>
      <c r="AG93" s="198">
        <f>AE92</f>
        <v>60</v>
      </c>
      <c r="AH93" t="s" s="102">
        <v>76</v>
      </c>
      <c r="AI93" s="198">
        <f>AF92</f>
        <v>26.7</v>
      </c>
      <c r="AJ93" t="s" s="102">
        <f>AG88</f>
        <v>372</v>
      </c>
      <c r="AK93" t="s" s="102">
        <v>73</v>
      </c>
      <c r="AL93" t="s" s="102">
        <f>AI88</f>
        <v>74</v>
      </c>
      <c r="AM93" t="s" s="102">
        <v>91</v>
      </c>
      <c r="AN93" s="103"/>
      <c r="AO93" s="103"/>
      <c r="AP93" s="103"/>
      <c r="AQ93" s="103"/>
      <c r="AR93" s="103"/>
      <c r="AS93" s="103"/>
    </row>
    <row r="94" ht="8.35" customHeight="1" hidden="1">
      <c r="AA94" s="36"/>
      <c r="AB94" t="s" s="45">
        <v>577</v>
      </c>
      <c r="AC94" s="16">
        <f>AVERAGE(AC91:AF91)</f>
        <v>-0.839805847055808</v>
      </c>
      <c r="AD94" t="s" s="44">
        <v>78</v>
      </c>
      <c r="AE94" s="17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</row>
    <row r="95" ht="8.35" customHeight="1" hidden="1">
      <c r="AA95" s="36"/>
      <c r="AB95" t="s" s="45">
        <v>93</v>
      </c>
      <c r="AC95" s="35">
        <f>AB34</f>
        <v>-0.834902370990237</v>
      </c>
      <c r="AD95" t="s" s="44">
        <v>559</v>
      </c>
      <c r="AE95" s="26">
        <f>AE48</f>
        <v>40.8811614525803</v>
      </c>
      <c r="AF95" t="s" s="102">
        <f>AJ93</f>
        <v>372</v>
      </c>
      <c r="AG95" t="s" s="102">
        <v>95</v>
      </c>
      <c r="AH95" t="s" s="102">
        <f>AL93</f>
        <v>74</v>
      </c>
      <c r="AI95" t="s" s="102">
        <f>AG86</f>
        <v>75</v>
      </c>
      <c r="AJ95" t="s" s="102">
        <f>AK88</f>
        <v>85</v>
      </c>
      <c r="AK95" s="103"/>
      <c r="AL95" s="103"/>
      <c r="AM95" s="103"/>
      <c r="AN95" s="103"/>
      <c r="AO95" s="103"/>
      <c r="AP95" s="103"/>
      <c r="AQ95" s="103"/>
      <c r="AR95" s="103"/>
      <c r="AS95" s="103"/>
    </row>
    <row r="96" ht="8.35" customHeight="1" hidden="1">
      <c r="AA96" s="36"/>
      <c r="AB96" t="s" s="45">
        <v>15</v>
      </c>
      <c r="AC96" t="s" s="44">
        <f>IF(AE100&lt;AC100,"lower","higher")</f>
        <v>104</v>
      </c>
      <c r="AD96" s="17"/>
      <c r="AE96" s="17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</row>
    <row r="97" ht="8.35" customHeight="1" hidden="1">
      <c r="AA97" s="36"/>
      <c r="AB97" t="s" s="45">
        <f>AB90</f>
        <v>70</v>
      </c>
      <c r="AC97" t="s" s="44">
        <v>96</v>
      </c>
      <c r="AD97" t="s" s="44">
        <f>AJ86</f>
        <v>372</v>
      </c>
      <c r="AE97" s="17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</row>
    <row r="98" ht="8.35" customHeight="1" hidden="1">
      <c r="AA98" s="36"/>
      <c r="AB98" s="67">
        <f>J14</f>
        <v>49.3</v>
      </c>
      <c r="AC98" s="15">
        <f>J15</f>
        <v>0</v>
      </c>
      <c r="AD98" s="15">
        <f>J16</f>
        <v>46.5</v>
      </c>
      <c r="AE98" s="26">
        <f>J17</f>
        <v>3.2</v>
      </c>
      <c r="AF98" s="198">
        <f>J18</f>
        <v>-21.4</v>
      </c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</row>
    <row r="99" ht="8.35" customHeight="1" hidden="1">
      <c r="AA99" s="36"/>
      <c r="AB99" s="67">
        <f>K14</f>
        <v>2</v>
      </c>
      <c r="AC99" s="15">
        <f>K15</f>
        <v>-21</v>
      </c>
      <c r="AD99" s="15">
        <f>K16</f>
        <v>-5</v>
      </c>
      <c r="AE99" s="26">
        <f>K17</f>
        <v>-4</v>
      </c>
      <c r="AF99" s="198">
        <f>K18</f>
        <v>1.3</v>
      </c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</row>
    <row r="100" ht="8.35" customHeight="1" hidden="1">
      <c r="AA100" s="36"/>
      <c r="AB100" t="s" s="45">
        <v>97</v>
      </c>
      <c r="AC100" s="15">
        <f>AE98+AE99</f>
        <v>-0.8</v>
      </c>
      <c r="AD100" t="s" s="44">
        <v>76</v>
      </c>
      <c r="AE100" s="26">
        <f>AF98+AF99</f>
        <v>-20.1</v>
      </c>
      <c r="AF100" t="s" s="102">
        <f>AF95</f>
        <v>372</v>
      </c>
      <c r="AG100" t="s" s="102">
        <v>84</v>
      </c>
      <c r="AH100" t="s" s="102">
        <f>AH95</f>
        <v>74</v>
      </c>
      <c r="AI100" t="s" s="102">
        <v>98</v>
      </c>
      <c r="AJ100" s="198">
        <f>AF99</f>
        <v>1.3</v>
      </c>
      <c r="AK100" t="s" s="102">
        <f>AJ86</f>
        <v>372</v>
      </c>
      <c r="AL100" t="s" s="102">
        <v>99</v>
      </c>
      <c r="AM100" s="103"/>
      <c r="AN100" s="103"/>
      <c r="AO100" s="103"/>
      <c r="AP100" s="103"/>
      <c r="AQ100" s="103"/>
      <c r="AR100" s="103"/>
      <c r="AS100" s="103"/>
    </row>
    <row r="101" ht="8.35" customHeight="1" hidden="1">
      <c r="AA101" s="36"/>
      <c r="AB101" t="s" s="45">
        <v>100</v>
      </c>
      <c r="AC101" s="15">
        <f>SUM(AC98:AF99)/4</f>
        <v>-0.1</v>
      </c>
      <c r="AD101" t="s" s="44">
        <f>AJ86</f>
        <v>372</v>
      </c>
      <c r="AE101" t="s" s="44">
        <v>78</v>
      </c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</row>
    <row r="102" ht="8.35" customHeight="1" hidden="1">
      <c r="AA102" s="36"/>
      <c r="AB102" t="s" s="45">
        <v>101</v>
      </c>
      <c r="AC102" s="15">
        <f>AB36</f>
        <v>-1.35</v>
      </c>
      <c r="AD102" t="s" s="44">
        <f>AD101</f>
        <v>372</v>
      </c>
      <c r="AE102" t="s" s="44">
        <v>102</v>
      </c>
      <c r="AF102" t="s" s="102">
        <v>103</v>
      </c>
      <c r="AG102" t="s" s="102">
        <f>IF(AF88&gt;AI86,"higher","lower")</f>
        <v>363</v>
      </c>
      <c r="AH102" t="s" s="102">
        <v>105</v>
      </c>
      <c r="AI102" s="198">
        <f>SUM(AB37:AE37)/4</f>
        <v>45.8201606385983</v>
      </c>
      <c r="AJ102" t="s" s="102">
        <f>AD102</f>
        <v>372</v>
      </c>
      <c r="AK102" t="s" s="102">
        <v>106</v>
      </c>
      <c r="AL102" t="s" s="102">
        <v>107</v>
      </c>
      <c r="AM102" s="103"/>
      <c r="AN102" s="103"/>
      <c r="AO102" s="103"/>
      <c r="AP102" s="103"/>
      <c r="AQ102" s="103"/>
      <c r="AR102" s="103"/>
      <c r="AS102" s="103"/>
    </row>
    <row r="103" ht="8.35" customHeight="1" hidden="1">
      <c r="AA103" s="36"/>
      <c r="AB103" t="s" s="45">
        <v>18</v>
      </c>
      <c r="AC103" t="s" s="44">
        <f>AJ108</f>
        <v>108</v>
      </c>
      <c r="AD103" s="17"/>
      <c r="AE103" s="17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</row>
    <row r="104" ht="8.35" customHeight="1" hidden="1">
      <c r="AA104" s="36"/>
      <c r="AB104" t="s" s="45">
        <f>AB83</f>
        <v>70</v>
      </c>
      <c r="AC104" t="s" s="44">
        <v>109</v>
      </c>
      <c r="AD104" t="s" s="44">
        <f>AJ86</f>
        <v>372</v>
      </c>
      <c r="AE104" s="17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</row>
    <row r="105" ht="8.35" customHeight="1" hidden="1">
      <c r="AA105" s="36"/>
      <c r="AB105" s="67">
        <f>F14</f>
        <v>217</v>
      </c>
      <c r="AC105" s="15">
        <f>F15</f>
        <v>196</v>
      </c>
      <c r="AD105" s="15">
        <f>F16</f>
        <v>237</v>
      </c>
      <c r="AE105" s="26">
        <f>F17</f>
        <v>129</v>
      </c>
      <c r="AF105" s="198">
        <f>F18</f>
        <v>110</v>
      </c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</row>
    <row r="106" ht="8.35" customHeight="1" hidden="1">
      <c r="AA106" s="36"/>
      <c r="AB106" s="67">
        <f>G14</f>
        <v>249</v>
      </c>
      <c r="AC106" s="15">
        <f>G15</f>
        <v>342</v>
      </c>
      <c r="AD106" s="15">
        <f>G16</f>
        <v>314</v>
      </c>
      <c r="AE106" s="26">
        <f>G17</f>
        <v>289</v>
      </c>
      <c r="AF106" s="198">
        <f>G18</f>
        <v>225</v>
      </c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</row>
    <row r="107" ht="8.35" customHeight="1" hidden="1">
      <c r="AA107" s="36"/>
      <c r="AB107" t="s" s="45">
        <v>110</v>
      </c>
      <c r="AC107" t="s" s="44">
        <f>IF(AF107&lt;AD107,"declined","increased")</f>
        <v>370</v>
      </c>
      <c r="AD107" s="15">
        <f>AE105</f>
        <v>129</v>
      </c>
      <c r="AE107" t="s" s="44">
        <v>76</v>
      </c>
      <c r="AF107" s="198">
        <f>AF105</f>
        <v>110</v>
      </c>
      <c r="AG107" t="s" s="102">
        <f>AJ102</f>
        <v>372</v>
      </c>
      <c r="AH107" t="s" s="102">
        <v>84</v>
      </c>
      <c r="AI107" t="s" s="102">
        <f>AF86</f>
        <v>74</v>
      </c>
      <c r="AJ107" t="s" s="102">
        <f>AM93</f>
        <v>91</v>
      </c>
      <c r="AK107" s="103"/>
      <c r="AL107" s="103"/>
      <c r="AM107" s="103"/>
      <c r="AN107" s="103"/>
      <c r="AO107" s="103"/>
      <c r="AP107" s="103"/>
      <c r="AQ107" s="103"/>
      <c r="AR107" s="103"/>
      <c r="AS107" s="103"/>
    </row>
    <row r="108" ht="8.35" customHeight="1" hidden="1">
      <c r="AA108" s="36"/>
      <c r="AB108" t="s" s="45">
        <v>112</v>
      </c>
      <c r="AC108" t="s" s="44">
        <f>IF(AF108&lt;AD108,"declined","increased")</f>
        <v>370</v>
      </c>
      <c r="AD108" s="15">
        <f>AE106</f>
        <v>289</v>
      </c>
      <c r="AE108" t="s" s="44">
        <v>76</v>
      </c>
      <c r="AF108" s="198">
        <f>AF106</f>
        <v>225</v>
      </c>
      <c r="AG108" t="s" s="102">
        <f>AG107</f>
        <v>372</v>
      </c>
      <c r="AH108" t="s" s="102">
        <v>113</v>
      </c>
      <c r="AI108" t="s" s="102">
        <v>114</v>
      </c>
      <c r="AJ108" t="s" s="102">
        <f>IF(AM108&lt;AK108,"down","up")</f>
        <v>108</v>
      </c>
      <c r="AK108" s="198">
        <f>AD107-AD108</f>
        <v>-160</v>
      </c>
      <c r="AL108" t="s" s="102">
        <v>76</v>
      </c>
      <c r="AM108" s="198">
        <f>AF107-AF108</f>
        <v>-115</v>
      </c>
      <c r="AN108" t="s" s="102">
        <f>AG108</f>
        <v>372</v>
      </c>
      <c r="AO108" t="s" s="102">
        <v>115</v>
      </c>
      <c r="AP108" s="103"/>
      <c r="AQ108" s="103"/>
      <c r="AR108" s="103"/>
      <c r="AS108" s="103"/>
    </row>
    <row r="109" ht="8.35" customHeight="1" hidden="1">
      <c r="AA109" s="36"/>
      <c r="AB109" t="s" s="45">
        <v>116</v>
      </c>
      <c r="AC109" s="15">
        <f>SUM(AB40:AE40)</f>
        <v>-131.531180710181</v>
      </c>
      <c r="AD109" t="s" s="44">
        <f>AG108</f>
        <v>372</v>
      </c>
      <c r="AE109" t="s" s="44">
        <v>117</v>
      </c>
      <c r="AF109" t="s" s="102">
        <f>IF(AG109&gt;0,"+","")</f>
      </c>
      <c r="AG109" s="198">
        <f>AB38+AC38+AD38+AE38+AB42+AC42+AD42+AE42</f>
        <v>-41.73609375</v>
      </c>
      <c r="AH109" t="s" s="102">
        <f>AN108</f>
        <v>372</v>
      </c>
      <c r="AI109" t="s" s="102">
        <v>118</v>
      </c>
      <c r="AJ109" t="s" s="102">
        <v>119</v>
      </c>
      <c r="AK109" s="198">
        <f>AE57</f>
        <v>-63.250538155787</v>
      </c>
      <c r="AL109" t="s" s="102">
        <f>AG108</f>
        <v>372</v>
      </c>
      <c r="AM109" t="s" s="102">
        <v>120</v>
      </c>
      <c r="AN109" s="103"/>
      <c r="AO109" s="103"/>
      <c r="AP109" s="103"/>
      <c r="AQ109" s="103"/>
      <c r="AR109" s="103"/>
      <c r="AS109" s="103"/>
    </row>
    <row r="110" ht="8.35" customHeight="1" hidden="1">
      <c r="AA110" s="36"/>
      <c r="AB110" t="s" s="45">
        <v>17</v>
      </c>
      <c r="AC110" t="s" s="44">
        <f>AC114</f>
        <v>374</v>
      </c>
      <c r="AD110" s="17"/>
      <c r="AE110" s="17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</row>
    <row r="111" ht="8.35" customHeight="1" hidden="1">
      <c r="AA111" s="36"/>
      <c r="AB111" t="s" s="45">
        <f>AB83</f>
        <v>70</v>
      </c>
      <c r="AC111" t="s" s="44">
        <v>379</v>
      </c>
      <c r="AD111" t="s" s="44">
        <f>AJ86</f>
        <v>372</v>
      </c>
      <c r="AE111" s="17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</row>
    <row r="112" ht="8.35" customHeight="1" hidden="1">
      <c r="AA112" s="36"/>
      <c r="AB112" s="67">
        <f>-L14</f>
        <v>0</v>
      </c>
      <c r="AC112" s="15">
        <f>-L15</f>
        <v>0</v>
      </c>
      <c r="AD112" s="15">
        <f>-L16</f>
        <v>0</v>
      </c>
      <c r="AE112" s="26">
        <f>-L17</f>
        <v>0</v>
      </c>
      <c r="AF112" s="198">
        <f>-L18</f>
        <v>0</v>
      </c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</row>
    <row r="113" ht="8.35" customHeight="1" hidden="1">
      <c r="AA113" s="36"/>
      <c r="AB113" s="67">
        <f>-M14</f>
        <v>54.8</v>
      </c>
      <c r="AC113" s="15">
        <f>-M15</f>
        <v>-1</v>
      </c>
      <c r="AD113" s="15">
        <f>-M16</f>
        <v>0.4</v>
      </c>
      <c r="AE113" s="26">
        <f>-M17</f>
        <v>106.6</v>
      </c>
      <c r="AF113" s="198">
        <f>-M18</f>
        <v>0.1</v>
      </c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</row>
    <row r="114" ht="8.35" customHeight="1" hidden="1">
      <c r="AA114" s="36"/>
      <c r="AB114" t="s" s="100">
        <f>AB75</f>
        <v>677</v>
      </c>
      <c r="AC114" t="s" s="44">
        <f>IF(AD114&gt;0,"paid","(raised)")</f>
        <v>374</v>
      </c>
      <c r="AD114" s="15">
        <f>SUM(AF112:AF113)</f>
        <v>0.1</v>
      </c>
      <c r="AE114" t="s" s="44">
        <f>AJ86</f>
        <v>372</v>
      </c>
      <c r="AF114" t="s" s="102">
        <f>AE86</f>
        <v>73</v>
      </c>
      <c r="AG114" t="s" s="102">
        <f>AF86</f>
        <v>74</v>
      </c>
      <c r="AH114" t="s" s="102">
        <f>AG86</f>
        <v>75</v>
      </c>
      <c r="AI114" s="198">
        <f>AF112</f>
        <v>0</v>
      </c>
      <c r="AJ114" t="s" s="102">
        <f>AJ86</f>
        <v>372</v>
      </c>
      <c r="AK114" t="s" s="102">
        <v>123</v>
      </c>
      <c r="AL114" s="198">
        <f>AF113</f>
        <v>0.1</v>
      </c>
      <c r="AM114" t="s" s="102">
        <f>AJ86</f>
        <v>372</v>
      </c>
      <c r="AN114" t="s" s="102">
        <v>389</v>
      </c>
      <c r="AO114" t="s" s="102">
        <v>475</v>
      </c>
      <c r="AP114" t="s" s="102">
        <f>IF(AQ114&gt;0,"pay","raise")</f>
        <v>364</v>
      </c>
      <c r="AQ114" s="198">
        <f>-SUM(AB58:AE58)</f>
        <v>173.267274460181</v>
      </c>
      <c r="AR114" t="s" s="102">
        <f>AJ86</f>
        <v>372</v>
      </c>
      <c r="AS114" t="s" s="102">
        <v>126</v>
      </c>
    </row>
    <row r="115" ht="8.35" customHeight="1" hidden="1">
      <c r="AA115" s="36"/>
      <c r="AB115" t="s" s="45">
        <v>375</v>
      </c>
      <c r="AC115" s="15">
        <f>AE62</f>
        <v>2145.92</v>
      </c>
      <c r="AD115" t="s" s="44">
        <f>AJ86</f>
        <v>372</v>
      </c>
      <c r="AE115" t="s" s="44">
        <v>128</v>
      </c>
      <c r="AF115" t="s" s="102">
        <v>129</v>
      </c>
      <c r="AG115" s="101">
        <f>AE64</f>
        <v>2.27769199504545</v>
      </c>
      <c r="AH115" t="s" s="102">
        <v>130</v>
      </c>
      <c r="AI115" t="s" s="102">
        <v>131</v>
      </c>
      <c r="AJ115" t="s" s="102">
        <v>132</v>
      </c>
      <c r="AK115" s="198">
        <f>AE67</f>
        <v>5.78893649221642</v>
      </c>
      <c r="AL115" t="s" s="102">
        <v>133</v>
      </c>
      <c r="AM115" s="99">
        <f>-AC109/AC115</f>
        <v>0.0612936086667634</v>
      </c>
      <c r="AN115" t="s" s="102">
        <v>134</v>
      </c>
      <c r="AO115" s="103"/>
      <c r="AP115" s="103"/>
      <c r="AQ115" s="103"/>
      <c r="AR115" s="103"/>
      <c r="AS115" s="103"/>
    </row>
    <row r="116" ht="8.35" customHeight="1" hidden="1">
      <c r="AA116" s="36"/>
      <c r="AB116" t="s" s="45">
        <v>135</v>
      </c>
      <c r="AC116" s="15">
        <f>AE66</f>
        <v>183.280642554393</v>
      </c>
      <c r="AD116" t="s" s="44">
        <f>AD115</f>
        <v>372</v>
      </c>
      <c r="AE116" t="s" s="44">
        <v>136</v>
      </c>
      <c r="AF116" s="198">
        <f>AC115/AC116</f>
        <v>11.708383220902</v>
      </c>
      <c r="AG116" t="s" s="102">
        <v>130</v>
      </c>
      <c r="AH116" t="s" s="102">
        <v>137</v>
      </c>
      <c r="AI116" t="s" s="102">
        <v>138</v>
      </c>
      <c r="AJ116" s="198">
        <f>AE68</f>
        <v>19</v>
      </c>
      <c r="AK116" t="s" s="102">
        <v>139</v>
      </c>
      <c r="AL116" t="s" s="102">
        <v>140</v>
      </c>
      <c r="AM116" t="s" s="102">
        <v>141</v>
      </c>
      <c r="AN116" s="99">
        <f>AH75</f>
        <v>0.622768886320772</v>
      </c>
      <c r="AO116" t="s" s="102">
        <f>IF(AN116&gt;0,"higher","lower")</f>
        <v>363</v>
      </c>
      <c r="AP116" t="s" s="102">
        <v>142</v>
      </c>
      <c r="AQ116" s="198">
        <f>AF75</f>
        <v>7773.0629654765</v>
      </c>
      <c r="AR116" t="s" s="102">
        <v>143</v>
      </c>
      <c r="AS116" s="103"/>
    </row>
    <row r="117" ht="8.35" customHeight="1" hidden="1">
      <c r="AA117" s="36"/>
      <c r="AB117" s="34"/>
      <c r="AC117" s="17"/>
      <c r="AD117" s="17"/>
      <c r="AE117" s="17"/>
      <c r="AF117" s="198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</row>
    <row r="118" ht="8.35" customHeight="1" hidden="1">
      <c r="AA118" s="36"/>
      <c r="AB118" s="67">
        <f>AB85</f>
        <v>279</v>
      </c>
      <c r="AC118" s="15">
        <f>AC85</f>
        <v>278</v>
      </c>
      <c r="AD118" s="15">
        <f>AD85</f>
        <v>302</v>
      </c>
      <c r="AE118" s="26">
        <f>AE85</f>
        <v>298</v>
      </c>
      <c r="AF118" s="198">
        <f>AF85</f>
        <v>269.2</v>
      </c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</row>
    <row r="119" ht="8.35" customHeight="1" hidden="1">
      <c r="AA119" s="36"/>
      <c r="AB119" s="67">
        <f>SUM(AB98:AB99)</f>
        <v>51.3</v>
      </c>
      <c r="AC119" s="15">
        <f>SUM(AC98:AC99)</f>
        <v>-21</v>
      </c>
      <c r="AD119" s="15">
        <f>SUM(AD98:AD99)</f>
        <v>41.5</v>
      </c>
      <c r="AE119" s="26">
        <f>SUM(AE98:AE99)</f>
        <v>-0.8</v>
      </c>
      <c r="AF119" s="198">
        <f>SUM(AF98:AF99)</f>
        <v>-20.1</v>
      </c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</row>
    <row r="120" ht="8.35" customHeight="1" hidden="1">
      <c r="AA120" s="36"/>
      <c r="AB120" s="67">
        <f>SUM(AB112:AB113)</f>
        <v>54.8</v>
      </c>
      <c r="AC120" s="15">
        <f>SUM(AC112:AC113)</f>
        <v>-1</v>
      </c>
      <c r="AD120" s="15">
        <f>SUM(AD112:AD113)</f>
        <v>0.4</v>
      </c>
      <c r="AE120" s="26">
        <f>SUM(AE112:AE113)</f>
        <v>106.6</v>
      </c>
      <c r="AF120" s="198">
        <f>SUM(AF112:AF113)</f>
        <v>0.1</v>
      </c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</row>
    <row r="121" ht="8.35" customHeight="1" hidden="1">
      <c r="AA121" s="36"/>
      <c r="AB121" s="67">
        <f>AB105-AB106</f>
        <v>-32</v>
      </c>
      <c r="AC121" s="15">
        <f>AC105-AC106</f>
        <v>-146</v>
      </c>
      <c r="AD121" s="15">
        <f>AD105-AD106</f>
        <v>-77</v>
      </c>
      <c r="AE121" s="26">
        <f>AE105-AE106</f>
        <v>-160</v>
      </c>
      <c r="AF121" s="198">
        <f>AF105-AF106</f>
        <v>-115</v>
      </c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</row>
    <row r="122" ht="8.35" customHeight="1" hidden="1">
      <c r="AA122" s="36"/>
      <c r="AB122" s="34"/>
      <c r="AC122" s="17"/>
      <c r="AD122" s="17"/>
      <c r="AE122" s="17"/>
      <c r="AF122" s="198">
        <f>AQ116</f>
        <v>7773.0629654765</v>
      </c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</row>
    <row r="123" ht="8.35" customHeight="1" hidden="1">
      <c r="AA123" s="36"/>
      <c r="AB123" s="34"/>
      <c r="AC123" s="17"/>
      <c r="AD123" s="17"/>
      <c r="AE123" s="17"/>
      <c r="AF123" s="198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</row>
    <row r="124" ht="8.35" customHeight="1" hidden="1">
      <c r="AA124" s="36"/>
      <c r="AB124" s="34"/>
      <c r="AC124" s="17"/>
      <c r="AD124" s="17"/>
      <c r="AE124" s="17"/>
      <c r="AF124" s="198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</row>
    <row r="125" ht="8.35" customHeight="1" hidden="1">
      <c r="AA125" s="36"/>
      <c r="AB125" s="34"/>
      <c r="AC125" s="17"/>
      <c r="AD125" s="17"/>
      <c r="AE125" s="17"/>
      <c r="AF125" s="198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</row>
    <row r="126" ht="8.35" customHeight="1" hidden="1">
      <c r="AA126" s="36"/>
      <c r="AB126" s="34"/>
      <c r="AC126" s="17"/>
      <c r="AD126" s="17"/>
      <c r="AE126" s="17"/>
      <c r="AF126" s="198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</row>
    <row r="127" ht="8.35" customHeight="1" hidden="1">
      <c r="AA127" s="36"/>
      <c r="AB127" s="34"/>
      <c r="AC127" s="17"/>
      <c r="AD127" s="17"/>
      <c r="AE127" s="17"/>
      <c r="AF127" s="198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</row>
    <row r="128" ht="8.35" customHeight="1" hidden="1">
      <c r="AA128" s="36"/>
      <c r="AB128" s="34"/>
      <c r="AC128" s="17"/>
      <c r="AD128" s="17"/>
      <c r="AE128" s="17"/>
      <c r="AF128" s="198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</row>
    <row r="129" ht="8.35" customHeight="1" hidden="1">
      <c r="AA129" s="36"/>
      <c r="AB129" s="34"/>
      <c r="AC129" s="17"/>
      <c r="AD129" s="17"/>
      <c r="AE129" s="17"/>
      <c r="AF129" s="198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</row>
  </sheetData>
  <mergeCells count="2">
    <mergeCell ref="B2:Z2"/>
    <mergeCell ref="AA28:AS28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5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8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20" customWidth="1"/>
    <col min="2" max="28" width="10.4844" style="320" customWidth="1"/>
    <col min="29" max="29" width="18.9766" style="321" customWidth="1"/>
    <col min="30" max="48" width="9" style="321" customWidth="1"/>
    <col min="49" max="16384" width="16.3516" style="321" customWidth="1"/>
  </cols>
  <sheetData>
    <row r="1" ht="11.65" customHeight="1"/>
    <row r="2" ht="27.65" customHeight="1">
      <c r="B2" t="s" s="2">
        <v>678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679</v>
      </c>
      <c r="AA3" t="s" s="3">
        <v>19</v>
      </c>
      <c r="AB3" t="s" s="3">
        <v>20</v>
      </c>
    </row>
    <row r="4" ht="20.25" customHeight="1">
      <c r="B4" s="6">
        <v>2017</v>
      </c>
      <c r="C4" s="7">
        <v>177</v>
      </c>
      <c r="D4" s="8">
        <v>22.4</v>
      </c>
      <c r="E4" s="8">
        <v>71.59999999999999</v>
      </c>
      <c r="F4" s="8">
        <v>526</v>
      </c>
      <c r="G4" s="8">
        <v>2808</v>
      </c>
      <c r="H4" s="8">
        <v>5579</v>
      </c>
      <c r="I4" s="8">
        <v>186</v>
      </c>
      <c r="J4" s="8">
        <v>83.8</v>
      </c>
      <c r="K4" s="8">
        <v>-163.4</v>
      </c>
      <c r="L4" s="8">
        <v>-24.25</v>
      </c>
      <c r="M4" s="8">
        <v>0</v>
      </c>
      <c r="N4" s="8"/>
      <c r="O4" s="8"/>
      <c r="P4" s="9"/>
      <c r="Q4" s="9"/>
      <c r="R4" s="9"/>
      <c r="S4" s="9"/>
      <c r="T4" s="9"/>
      <c r="U4" s="9"/>
      <c r="V4" s="8">
        <f>-(L4+M4)</f>
        <v>24.25</v>
      </c>
      <c r="W4" s="9"/>
      <c r="X4" s="8">
        <f>F4-G4</f>
        <v>-2282</v>
      </c>
      <c r="Y4" s="9"/>
      <c r="Z4" s="8"/>
      <c r="AA4" s="11"/>
      <c r="AB4" s="12">
        <v>13.3</v>
      </c>
    </row>
    <row r="5" ht="20.05" customHeight="1">
      <c r="B5" s="13"/>
      <c r="C5" s="14">
        <v>178</v>
      </c>
      <c r="D5" s="15">
        <v>22</v>
      </c>
      <c r="E5" s="15">
        <v>39</v>
      </c>
      <c r="F5" s="15">
        <v>527</v>
      </c>
      <c r="G5" s="15">
        <v>2811</v>
      </c>
      <c r="H5" s="15">
        <v>5680</v>
      </c>
      <c r="I5" s="15">
        <v>169.3</v>
      </c>
      <c r="J5" s="15">
        <v>66.2</v>
      </c>
      <c r="K5" s="15">
        <v>-43.6</v>
      </c>
      <c r="L5" s="15">
        <v>-24.25</v>
      </c>
      <c r="M5" s="15">
        <v>0</v>
      </c>
      <c r="N5" s="15"/>
      <c r="O5" s="15"/>
      <c r="P5" s="16"/>
      <c r="Q5" s="17"/>
      <c r="R5" s="17"/>
      <c r="S5" s="17"/>
      <c r="T5" s="17"/>
      <c r="U5" s="17"/>
      <c r="V5" s="15">
        <f>-(L5+M5)+V4</f>
        <v>48.5</v>
      </c>
      <c r="W5" s="17"/>
      <c r="X5" s="15">
        <f>F5-G5</f>
        <v>-2284</v>
      </c>
      <c r="Y5" s="17"/>
      <c r="Z5" s="15"/>
      <c r="AA5" s="19"/>
      <c r="AB5" s="20">
        <v>13.327</v>
      </c>
    </row>
    <row r="6" ht="20.05" customHeight="1">
      <c r="B6" s="13"/>
      <c r="C6" s="14">
        <v>189</v>
      </c>
      <c r="D6" s="15">
        <v>22.6</v>
      </c>
      <c r="E6" s="15">
        <v>-12.3</v>
      </c>
      <c r="F6" s="15">
        <v>471</v>
      </c>
      <c r="G6" s="15">
        <v>2886</v>
      </c>
      <c r="H6" s="15">
        <v>5785</v>
      </c>
      <c r="I6" s="15">
        <v>162.4</v>
      </c>
      <c r="J6" s="15">
        <v>-29</v>
      </c>
      <c r="K6" s="15">
        <v>-72</v>
      </c>
      <c r="L6" s="15">
        <v>-24.25</v>
      </c>
      <c r="M6" s="15">
        <v>0</v>
      </c>
      <c r="N6" s="15"/>
      <c r="O6" s="15"/>
      <c r="P6" s="16"/>
      <c r="Q6" s="17"/>
      <c r="R6" s="17"/>
      <c r="S6" s="17"/>
      <c r="T6" s="17"/>
      <c r="U6" s="17"/>
      <c r="V6" s="15">
        <f>-(L6+M6)+V5</f>
        <v>72.75</v>
      </c>
      <c r="W6" s="17"/>
      <c r="X6" s="15">
        <f>F6-G6</f>
        <v>-2415</v>
      </c>
      <c r="Y6" s="17"/>
      <c r="Z6" s="15"/>
      <c r="AA6" s="19"/>
      <c r="AB6" s="20">
        <v>13.305</v>
      </c>
    </row>
    <row r="7" ht="20.05" customHeight="1">
      <c r="B7" s="13"/>
      <c r="C7" s="14">
        <v>200</v>
      </c>
      <c r="D7" s="15">
        <v>37</v>
      </c>
      <c r="E7" s="15">
        <v>-5.3</v>
      </c>
      <c r="F7" s="15">
        <v>637</v>
      </c>
      <c r="G7" s="15">
        <v>2785</v>
      </c>
      <c r="H7" s="15">
        <v>5320</v>
      </c>
      <c r="I7" s="15">
        <v>202.3</v>
      </c>
      <c r="J7" s="15">
        <v>48</v>
      </c>
      <c r="K7" s="15">
        <v>204</v>
      </c>
      <c r="L7" s="15">
        <v>-24.25</v>
      </c>
      <c r="M7" s="15">
        <v>0</v>
      </c>
      <c r="N7" s="15"/>
      <c r="O7" s="15"/>
      <c r="P7" s="16"/>
      <c r="Q7" s="17"/>
      <c r="R7" s="17"/>
      <c r="S7" s="17"/>
      <c r="T7" s="17"/>
      <c r="U7" s="17"/>
      <c r="V7" s="15">
        <f>-(L7+M7)+V6</f>
        <v>97</v>
      </c>
      <c r="W7" s="17"/>
      <c r="X7" s="15">
        <f>F7-G7</f>
        <v>-2148</v>
      </c>
      <c r="Y7" s="17"/>
      <c r="Z7" s="15"/>
      <c r="AA7" s="19"/>
      <c r="AB7" s="20">
        <v>13.557</v>
      </c>
    </row>
    <row r="8" ht="20.05" customHeight="1">
      <c r="B8" s="21">
        <v>2018</v>
      </c>
      <c r="C8" s="14">
        <v>198</v>
      </c>
      <c r="D8" s="15">
        <v>27</v>
      </c>
      <c r="E8" s="15">
        <v>63.7</v>
      </c>
      <c r="F8" s="15">
        <v>574</v>
      </c>
      <c r="G8" s="15">
        <v>2746</v>
      </c>
      <c r="H8" s="15">
        <v>5237</v>
      </c>
      <c r="I8" s="15">
        <v>189</v>
      </c>
      <c r="J8" s="15">
        <v>39.6</v>
      </c>
      <c r="K8" s="15">
        <v>-87</v>
      </c>
      <c r="L8" s="15">
        <v>-120.5</v>
      </c>
      <c r="M8" s="15">
        <v>101.25</v>
      </c>
      <c r="N8" s="15">
        <f>SUM(C5:C8)/4</f>
        <v>191.25</v>
      </c>
      <c r="O8" s="15"/>
      <c r="P8" s="16"/>
      <c r="Q8" s="16">
        <f>(E8+D8)/C8</f>
        <v>0.458080808080808</v>
      </c>
      <c r="R8" s="16"/>
      <c r="S8" s="17"/>
      <c r="T8" s="15">
        <f>SUM(J5:K8)/4</f>
        <v>31.55</v>
      </c>
      <c r="U8" s="25"/>
      <c r="V8" s="15">
        <f>-(L8+M8)+V7</f>
        <v>116.25</v>
      </c>
      <c r="W8" s="17"/>
      <c r="X8" s="15">
        <f>F8-G8</f>
        <v>-2172</v>
      </c>
      <c r="Y8" s="24"/>
      <c r="Z8" s="25">
        <v>202</v>
      </c>
      <c r="AA8" s="22"/>
      <c r="AB8" s="20">
        <v>13.761</v>
      </c>
    </row>
    <row r="9" ht="20.05" customHeight="1">
      <c r="B9" s="13"/>
      <c r="C9" s="14">
        <v>169</v>
      </c>
      <c r="D9" s="15">
        <v>28.3</v>
      </c>
      <c r="E9" s="15">
        <v>75.09999999999999</v>
      </c>
      <c r="F9" s="15">
        <v>584</v>
      </c>
      <c r="G9" s="15">
        <v>1126</v>
      </c>
      <c r="H9" s="15">
        <v>3509</v>
      </c>
      <c r="I9" s="15">
        <v>175</v>
      </c>
      <c r="J9" s="15">
        <v>40.1</v>
      </c>
      <c r="K9" s="15">
        <v>584.8</v>
      </c>
      <c r="L9" s="15">
        <v>-120.5</v>
      </c>
      <c r="M9" s="15">
        <v>101.25</v>
      </c>
      <c r="N9" s="15">
        <f>SUM(C6:C9)/4</f>
        <v>189</v>
      </c>
      <c r="O9" s="15"/>
      <c r="P9" s="16"/>
      <c r="Q9" s="16">
        <f>(E9+D9)/C9</f>
        <v>0.611834319526627</v>
      </c>
      <c r="R9" s="16"/>
      <c r="S9" s="17"/>
      <c r="T9" s="15">
        <f>SUM(J6:K9)/4</f>
        <v>182.125</v>
      </c>
      <c r="U9" s="25"/>
      <c r="V9" s="15">
        <f>-(L9+M9)+V8</f>
        <v>135.5</v>
      </c>
      <c r="W9" s="17"/>
      <c r="X9" s="15">
        <f>F13-G9</f>
        <v>-519</v>
      </c>
      <c r="Y9" s="24"/>
      <c r="Z9" s="25">
        <v>197</v>
      </c>
      <c r="AA9" s="22"/>
      <c r="AB9" s="20">
        <v>14</v>
      </c>
    </row>
    <row r="10" ht="20.05" customHeight="1">
      <c r="B10" s="13"/>
      <c r="C10" s="14">
        <v>145.6</v>
      </c>
      <c r="D10" s="15">
        <v>23.7</v>
      </c>
      <c r="E10" s="15">
        <v>68.2</v>
      </c>
      <c r="F10" s="15">
        <v>194</v>
      </c>
      <c r="G10" s="15">
        <v>1322</v>
      </c>
      <c r="H10" s="15">
        <v>3772</v>
      </c>
      <c r="I10" s="15">
        <v>-8</v>
      </c>
      <c r="J10" s="15">
        <v>6.3</v>
      </c>
      <c r="K10" s="15">
        <v>-334.3</v>
      </c>
      <c r="L10" s="15">
        <v>-120.5</v>
      </c>
      <c r="M10" s="15">
        <v>101.25</v>
      </c>
      <c r="N10" s="15">
        <f>SUM(C7:C10)/4</f>
        <v>178.15</v>
      </c>
      <c r="O10" s="15"/>
      <c r="P10" s="16">
        <f>C10/C9-1</f>
        <v>-0.138461538461538</v>
      </c>
      <c r="Q10" s="16">
        <f>(E10+D10)/C10</f>
        <v>0.631181318681319</v>
      </c>
      <c r="R10" s="16"/>
      <c r="S10" s="17"/>
      <c r="T10" s="15">
        <f>SUM(J7:K10)/4</f>
        <v>125.375</v>
      </c>
      <c r="U10" s="25"/>
      <c r="V10" s="15">
        <f>-(L10+M10)+V9</f>
        <v>154.75</v>
      </c>
      <c r="W10" s="17"/>
      <c r="X10" s="15">
        <f>F10-G10</f>
        <v>-1128</v>
      </c>
      <c r="Y10" s="24"/>
      <c r="Z10" s="25">
        <v>243</v>
      </c>
      <c r="AA10" s="22"/>
      <c r="AB10" s="20">
        <v>14.902</v>
      </c>
    </row>
    <row r="11" ht="20.05" customHeight="1">
      <c r="B11" s="13"/>
      <c r="C11" s="14">
        <v>160.2</v>
      </c>
      <c r="D11" s="15">
        <v>15.4</v>
      </c>
      <c r="E11" s="15">
        <v>10</v>
      </c>
      <c r="F11" s="15">
        <v>664</v>
      </c>
      <c r="G11" s="15">
        <v>1327</v>
      </c>
      <c r="H11" s="15">
        <v>4306</v>
      </c>
      <c r="I11" s="15">
        <v>310</v>
      </c>
      <c r="J11" s="15">
        <v>91.5</v>
      </c>
      <c r="K11" s="15">
        <v>-238.5</v>
      </c>
      <c r="L11" s="15">
        <v>-120.5</v>
      </c>
      <c r="M11" s="15">
        <v>101.25</v>
      </c>
      <c r="N11" s="15">
        <f>SUM(C8:C11)/4</f>
        <v>168.2</v>
      </c>
      <c r="O11" s="15"/>
      <c r="P11" s="16">
        <f>C11/C10-1</f>
        <v>0.100274725274725</v>
      </c>
      <c r="Q11" s="16">
        <f>(E11+D11)/C11</f>
        <v>0.158551810237203</v>
      </c>
      <c r="R11" s="16"/>
      <c r="S11" s="17"/>
      <c r="T11" s="15">
        <f>SUM(J8:K11)/4</f>
        <v>25.625</v>
      </c>
      <c r="U11" s="25"/>
      <c r="V11" s="15">
        <f>-(L11+M11)+V10</f>
        <v>174</v>
      </c>
      <c r="W11" s="17"/>
      <c r="X11" s="15">
        <f>F11-G11</f>
        <v>-663</v>
      </c>
      <c r="Y11" s="24"/>
      <c r="Z11" s="25">
        <v>206</v>
      </c>
      <c r="AA11" s="22"/>
      <c r="AB11" s="20">
        <v>14.38</v>
      </c>
    </row>
    <row r="12" ht="20.05" customHeight="1">
      <c r="B12" s="21">
        <v>2019</v>
      </c>
      <c r="C12" s="14">
        <v>155</v>
      </c>
      <c r="D12" s="15">
        <v>40.8</v>
      </c>
      <c r="E12" s="15">
        <v>67.8</v>
      </c>
      <c r="F12" s="15">
        <v>629</v>
      </c>
      <c r="G12" s="15">
        <v>1249</v>
      </c>
      <c r="H12" s="15">
        <v>4280</v>
      </c>
      <c r="I12" s="15">
        <v>158</v>
      </c>
      <c r="J12" s="15">
        <v>111</v>
      </c>
      <c r="K12" s="15">
        <v>-100.8</v>
      </c>
      <c r="L12" s="15">
        <v>68.75</v>
      </c>
      <c r="M12" s="15">
        <v>2</v>
      </c>
      <c r="N12" s="15">
        <f>SUM(C9:C12)/4</f>
        <v>157.45</v>
      </c>
      <c r="O12" s="23"/>
      <c r="P12" s="16">
        <f>C12/C11-1</f>
        <v>-0.0324594257178527</v>
      </c>
      <c r="Q12" s="16">
        <f>(E12+D12)/C12</f>
        <v>0.7006451612903229</v>
      </c>
      <c r="R12" s="16">
        <f>AVERAGE(Q9:Q12)</f>
        <v>0.525553152433868</v>
      </c>
      <c r="S12" s="17"/>
      <c r="T12" s="15">
        <f>SUM(J9:K12)/4</f>
        <v>40.025</v>
      </c>
      <c r="U12" s="25"/>
      <c r="V12" s="15">
        <f>-(L12+M12)+V11</f>
        <v>103.25</v>
      </c>
      <c r="W12" s="17"/>
      <c r="X12" s="15">
        <f>F12-G12</f>
        <v>-620</v>
      </c>
      <c r="Y12" s="24"/>
      <c r="Z12" s="25">
        <v>204</v>
      </c>
      <c r="AA12" s="22"/>
      <c r="AB12" s="20">
        <v>14.24</v>
      </c>
    </row>
    <row r="13" ht="20.05" customHeight="1">
      <c r="B13" s="13"/>
      <c r="C13" s="14">
        <v>149.6</v>
      </c>
      <c r="D13" s="15">
        <v>-1.6</v>
      </c>
      <c r="E13" s="15">
        <v>58.2</v>
      </c>
      <c r="F13" s="15">
        <v>607</v>
      </c>
      <c r="G13" s="15">
        <v>1245</v>
      </c>
      <c r="H13" s="15">
        <v>4372</v>
      </c>
      <c r="I13" s="15">
        <v>157.3</v>
      </c>
      <c r="J13" s="15">
        <v>-9.300000000000001</v>
      </c>
      <c r="K13" s="15">
        <v>-8.199999999999999</v>
      </c>
      <c r="L13" s="15">
        <v>68.75</v>
      </c>
      <c r="M13" s="15">
        <v>2</v>
      </c>
      <c r="N13" s="15">
        <f>SUM(C10:C13)/4</f>
        <v>152.6</v>
      </c>
      <c r="O13" s="23"/>
      <c r="P13" s="16">
        <f>C13/C12-1</f>
        <v>-0.0348387096774194</v>
      </c>
      <c r="Q13" s="16">
        <f>(E13+D13)/C13</f>
        <v>0.378342245989305</v>
      </c>
      <c r="R13" s="16">
        <f>AVERAGE(Q10:Q13)</f>
        <v>0.467180134049538</v>
      </c>
      <c r="S13" s="17"/>
      <c r="T13" s="15">
        <f>SUM(J10:K13)/4</f>
        <v>-120.575</v>
      </c>
      <c r="U13" s="25"/>
      <c r="V13" s="15">
        <f>-(L13+M13)+V12</f>
        <v>32.5</v>
      </c>
      <c r="W13" s="17"/>
      <c r="X13" s="15">
        <f>F13-G13</f>
        <v>-638</v>
      </c>
      <c r="Y13" s="24"/>
      <c r="Z13" s="25">
        <v>195</v>
      </c>
      <c r="AA13" s="24"/>
      <c r="AB13" s="15">
        <v>14.127</v>
      </c>
    </row>
    <row r="14" ht="20.05" customHeight="1">
      <c r="B14" s="13"/>
      <c r="C14" s="14">
        <v>164.3</v>
      </c>
      <c r="D14" s="15">
        <v>17.9</v>
      </c>
      <c r="E14" s="15">
        <v>55</v>
      </c>
      <c r="F14" s="15">
        <v>587</v>
      </c>
      <c r="G14" s="15">
        <v>1708</v>
      </c>
      <c r="H14" s="15">
        <v>4885</v>
      </c>
      <c r="I14" s="15">
        <v>176.022</v>
      </c>
      <c r="J14" s="15">
        <v>70.8</v>
      </c>
      <c r="K14" s="15">
        <v>-175</v>
      </c>
      <c r="L14" s="15">
        <v>68.75</v>
      </c>
      <c r="M14" s="15">
        <v>2</v>
      </c>
      <c r="N14" s="15">
        <f>SUM(C11:C14)/4</f>
        <v>157.275</v>
      </c>
      <c r="O14" s="23"/>
      <c r="P14" s="16">
        <f>C14/C13-1</f>
        <v>0.0982620320855615</v>
      </c>
      <c r="Q14" s="16">
        <f>(E14+D14)/C14</f>
        <v>0.443700547778454</v>
      </c>
      <c r="R14" s="16">
        <f>AVERAGE(Q11:Q14)</f>
        <v>0.420309941323821</v>
      </c>
      <c r="S14" s="17"/>
      <c r="T14" s="15">
        <f>SUM(J11:K14)/4</f>
        <v>-64.625</v>
      </c>
      <c r="U14" s="25"/>
      <c r="V14" s="15">
        <f>-(L14+M14)+V13</f>
        <v>-38.25</v>
      </c>
      <c r="W14" s="17"/>
      <c r="X14" s="15">
        <f>F14-G14</f>
        <v>-1121</v>
      </c>
      <c r="Y14" s="24"/>
      <c r="Z14" s="25">
        <v>195</v>
      </c>
      <c r="AA14" s="24"/>
      <c r="AB14" s="15">
        <v>14.195</v>
      </c>
    </row>
    <row r="15" ht="20.05" customHeight="1">
      <c r="B15" s="13"/>
      <c r="C15" s="14">
        <v>161.27</v>
      </c>
      <c r="D15" s="15">
        <v>28.2</v>
      </c>
      <c r="E15" s="15">
        <v>24</v>
      </c>
      <c r="F15" s="15">
        <v>590</v>
      </c>
      <c r="G15" s="15">
        <v>1884</v>
      </c>
      <c r="H15" s="15">
        <v>5077</v>
      </c>
      <c r="I15" s="15">
        <v>178.637</v>
      </c>
      <c r="J15" s="15">
        <v>199.002</v>
      </c>
      <c r="K15" s="15">
        <v>-440.563</v>
      </c>
      <c r="L15" s="15">
        <v>68.75</v>
      </c>
      <c r="M15" s="15">
        <v>2</v>
      </c>
      <c r="N15" s="15">
        <f>SUM(C12:C15)/4</f>
        <v>157.5425</v>
      </c>
      <c r="O15" s="15"/>
      <c r="P15" s="16">
        <f>C15/C14-1</f>
        <v>-0.0184418746195983</v>
      </c>
      <c r="Q15" s="16">
        <f>(E15+D15)/C15</f>
        <v>0.323680783778756</v>
      </c>
      <c r="R15" s="16">
        <f>AVERAGE(Q12:Q15)</f>
        <v>0.46159218470921</v>
      </c>
      <c r="S15" s="17"/>
      <c r="T15" s="15">
        <f>SUM(J12:K15)/4</f>
        <v>-88.26524999999999</v>
      </c>
      <c r="U15" s="25"/>
      <c r="V15" s="15">
        <f>-(L15+M15)+V14</f>
        <v>-109</v>
      </c>
      <c r="W15" s="17"/>
      <c r="X15" s="15">
        <f>F15-G15</f>
        <v>-1294</v>
      </c>
      <c r="Y15" s="24"/>
      <c r="Z15" s="15">
        <v>220</v>
      </c>
      <c r="AA15" s="24"/>
      <c r="AB15" s="15">
        <v>13.882</v>
      </c>
    </row>
    <row r="16" ht="20.05" customHeight="1">
      <c r="B16" s="21">
        <v>2020</v>
      </c>
      <c r="C16" s="14">
        <v>142.052</v>
      </c>
      <c r="D16" s="15">
        <v>20.6</v>
      </c>
      <c r="E16" s="15">
        <v>55</v>
      </c>
      <c r="F16" s="15">
        <v>548</v>
      </c>
      <c r="G16" s="15">
        <v>2293</v>
      </c>
      <c r="H16" s="15">
        <v>5619</v>
      </c>
      <c r="I16" s="15">
        <v>143.2</v>
      </c>
      <c r="J16" s="15">
        <v>49.9</v>
      </c>
      <c r="K16" s="15">
        <v>-201.6</v>
      </c>
      <c r="L16" s="15">
        <v>161.75</v>
      </c>
      <c r="M16" s="15">
        <v>21</v>
      </c>
      <c r="N16" s="15">
        <f>SUM(C13:C16)/4</f>
        <v>154.3055</v>
      </c>
      <c r="O16" s="23"/>
      <c r="P16" s="16">
        <f>C16/C15-1</f>
        <v>-0.119166614993489</v>
      </c>
      <c r="Q16" s="16">
        <f>(E16+D16)/C16</f>
        <v>0.532199476248134</v>
      </c>
      <c r="R16" s="16">
        <f>AVERAGE(Q13:Q16)</f>
        <v>0.419480763448662</v>
      </c>
      <c r="S16" s="17"/>
      <c r="T16" s="15">
        <f>SUM(J13:K16)/4</f>
        <v>-128.74025</v>
      </c>
      <c r="U16" s="25"/>
      <c r="V16" s="15">
        <f>-(L16+M16)+V15</f>
        <v>-291.75</v>
      </c>
      <c r="W16" s="17"/>
      <c r="X16" s="15">
        <f>F16-G16</f>
        <v>-1745</v>
      </c>
      <c r="Y16" s="24"/>
      <c r="Z16" s="15">
        <v>120</v>
      </c>
      <c r="AA16" s="15"/>
      <c r="AB16" s="15">
        <v>16.31</v>
      </c>
    </row>
    <row r="17" ht="20.05" customHeight="1">
      <c r="B17" s="13"/>
      <c r="C17" s="14">
        <v>101</v>
      </c>
      <c r="D17" s="15">
        <v>14.2</v>
      </c>
      <c r="E17" s="15">
        <v>-2.2</v>
      </c>
      <c r="F17" s="15">
        <v>513</v>
      </c>
      <c r="G17" s="15">
        <v>2395</v>
      </c>
      <c r="H17" s="15">
        <v>5712</v>
      </c>
      <c r="I17" s="15">
        <v>82.23</v>
      </c>
      <c r="J17" s="15">
        <v>-25.55</v>
      </c>
      <c r="K17" s="15">
        <v>-194.4</v>
      </c>
      <c r="L17" s="15">
        <v>161.75</v>
      </c>
      <c r="M17" s="15">
        <v>21</v>
      </c>
      <c r="N17" s="15">
        <f>SUM(C14:C17)/4</f>
        <v>142.1555</v>
      </c>
      <c r="O17" s="15">
        <v>156.59</v>
      </c>
      <c r="P17" s="16">
        <f>C17/C16-1</f>
        <v>-0.288992763213471</v>
      </c>
      <c r="Q17" s="16">
        <f>(E17+D17)/C17</f>
        <v>0.118811881188119</v>
      </c>
      <c r="R17" s="16">
        <f>AVERAGE(Q14:Q17)</f>
        <v>0.354598172248366</v>
      </c>
      <c r="S17" s="17"/>
      <c r="T17" s="25">
        <f>SUM(J14:K17)/4</f>
        <v>-179.35275</v>
      </c>
      <c r="U17" s="25"/>
      <c r="V17" s="15">
        <f>-(L17+M17)+V16</f>
        <v>-474.5</v>
      </c>
      <c r="W17" s="17"/>
      <c r="X17" s="15">
        <f>F17-G17</f>
        <v>-1882</v>
      </c>
      <c r="Y17" s="24"/>
      <c r="Z17" s="15">
        <v>105</v>
      </c>
      <c r="AA17" s="15"/>
      <c r="AB17" s="15">
        <v>14.255</v>
      </c>
    </row>
    <row r="18" ht="20.05" customHeight="1">
      <c r="B18" s="13"/>
      <c r="C18" s="14">
        <v>130.385</v>
      </c>
      <c r="D18" s="15">
        <v>17.2</v>
      </c>
      <c r="E18" s="15">
        <v>29.6</v>
      </c>
      <c r="F18" s="15">
        <v>452</v>
      </c>
      <c r="G18" s="15">
        <v>2526</v>
      </c>
      <c r="H18" s="15">
        <v>5881</v>
      </c>
      <c r="I18" s="15">
        <v>154.61</v>
      </c>
      <c r="J18" s="15">
        <v>14.237</v>
      </c>
      <c r="K18" s="15">
        <v>-323</v>
      </c>
      <c r="L18" s="15">
        <v>161.75</v>
      </c>
      <c r="M18" s="15">
        <v>21</v>
      </c>
      <c r="N18" s="15">
        <f>SUM(C15:C18)/4</f>
        <v>133.67675</v>
      </c>
      <c r="O18" s="15">
        <v>142.73</v>
      </c>
      <c r="P18" s="16">
        <f>C18/C17-1</f>
        <v>0.290940594059406</v>
      </c>
      <c r="Q18" s="16">
        <f>(E18+D18)/C18</f>
        <v>0.358936994286153</v>
      </c>
      <c r="R18" s="16">
        <f>AVERAGE(Q15:Q18)</f>
        <v>0.333407283875291</v>
      </c>
      <c r="S18" s="17"/>
      <c r="T18" s="25">
        <f>SUM(J15:K18)/4</f>
        <v>-230.4935</v>
      </c>
      <c r="U18" s="25"/>
      <c r="V18" s="15">
        <f>-(L18+M18)+V17</f>
        <v>-657.25</v>
      </c>
      <c r="W18" s="17"/>
      <c r="X18" s="15">
        <f>F18-G18</f>
        <v>-2074</v>
      </c>
      <c r="Y18" s="24"/>
      <c r="Z18" s="15">
        <v>103</v>
      </c>
      <c r="AA18" s="15"/>
      <c r="AB18" s="15">
        <v>14.79</v>
      </c>
    </row>
    <row r="19" ht="20.05" customHeight="1">
      <c r="B19" s="13"/>
      <c r="C19" s="14">
        <v>143.763</v>
      </c>
      <c r="D19" s="15">
        <v>27.6</v>
      </c>
      <c r="E19" s="15">
        <v>30.2</v>
      </c>
      <c r="F19" s="15">
        <v>366</v>
      </c>
      <c r="G19" s="15">
        <v>2492</v>
      </c>
      <c r="H19" s="15">
        <v>5847</v>
      </c>
      <c r="I19" s="15">
        <v>122.26</v>
      </c>
      <c r="J19" s="15">
        <v>226.313</v>
      </c>
      <c r="K19" s="15">
        <v>-497.8</v>
      </c>
      <c r="L19" s="15">
        <v>161.75</v>
      </c>
      <c r="M19" s="15">
        <v>21</v>
      </c>
      <c r="N19" s="15">
        <f>SUM(C16:C19)/4</f>
        <v>129.3</v>
      </c>
      <c r="O19" s="15">
        <v>143.8812625</v>
      </c>
      <c r="P19" s="16">
        <f>C19/C18-1</f>
        <v>0.102603827127354</v>
      </c>
      <c r="Q19" s="16">
        <f>(E19+D19)/C19</f>
        <v>0.402050597163387</v>
      </c>
      <c r="R19" s="16">
        <f>AVERAGE(Q16:Q19)</f>
        <v>0.352999737221448</v>
      </c>
      <c r="S19" s="17"/>
      <c r="T19" s="25">
        <f>SUM(J16:K19)/4</f>
        <v>-237.975</v>
      </c>
      <c r="U19" s="25"/>
      <c r="V19" s="15">
        <f>-(L19+M19)+V18</f>
        <v>-840</v>
      </c>
      <c r="W19" s="17"/>
      <c r="X19" s="15">
        <f>F19-G19</f>
        <v>-2126</v>
      </c>
      <c r="Y19" s="24"/>
      <c r="Z19" s="15">
        <v>224</v>
      </c>
      <c r="AA19" s="17"/>
      <c r="AB19" s="15">
        <v>14.1</v>
      </c>
    </row>
    <row r="20" ht="20.05" customHeight="1">
      <c r="B20" s="21">
        <v>2021</v>
      </c>
      <c r="C20" s="14">
        <v>144.6</v>
      </c>
      <c r="D20" s="15">
        <v>20.5</v>
      </c>
      <c r="E20" s="15">
        <v>34.4</v>
      </c>
      <c r="F20" s="15">
        <v>397</v>
      </c>
      <c r="G20" s="15">
        <v>2646</v>
      </c>
      <c r="H20" s="15">
        <v>6027</v>
      </c>
      <c r="I20" s="15">
        <v>147.3</v>
      </c>
      <c r="J20" s="15">
        <v>41.6</v>
      </c>
      <c r="K20" s="15">
        <v>-42</v>
      </c>
      <c r="L20" s="15">
        <v>35.791</v>
      </c>
      <c r="M20" s="15">
        <v>0</v>
      </c>
      <c r="N20" s="15">
        <f>SUM(C17:C20)/4</f>
        <v>129.937</v>
      </c>
      <c r="O20" s="15">
        <v>137.185037875</v>
      </c>
      <c r="P20" s="16">
        <f>C20/C19-1</f>
        <v>0.00582208217691617</v>
      </c>
      <c r="Q20" s="16">
        <f>(E20+D20)/C20</f>
        <v>0.379668049792531</v>
      </c>
      <c r="R20" s="16">
        <f>AVERAGE(Q17:Q20)</f>
        <v>0.314866880607548</v>
      </c>
      <c r="S20" s="17"/>
      <c r="T20" s="25">
        <f>SUM(J17:K20)/4</f>
        <v>-200.15</v>
      </c>
      <c r="U20" s="25"/>
      <c r="V20" s="15">
        <f>-(L20+M20)+V19</f>
        <v>-875.7910000000001</v>
      </c>
      <c r="W20" s="17"/>
      <c r="X20" s="15">
        <f>F20-G20</f>
        <v>-2249</v>
      </c>
      <c r="Y20" s="15"/>
      <c r="Z20" s="15">
        <v>145</v>
      </c>
      <c r="AA20" s="15"/>
      <c r="AB20" s="15">
        <v>14.606</v>
      </c>
    </row>
    <row r="21" ht="20.05" customHeight="1">
      <c r="B21" s="13"/>
      <c r="C21" s="14">
        <v>166.1</v>
      </c>
      <c r="D21" s="15">
        <v>27.4</v>
      </c>
      <c r="E21" s="15">
        <v>4.3</v>
      </c>
      <c r="F21" s="15">
        <v>330</v>
      </c>
      <c r="G21" s="15">
        <v>2594</v>
      </c>
      <c r="H21" s="15">
        <v>5979</v>
      </c>
      <c r="I21" s="15">
        <v>177.1</v>
      </c>
      <c r="J21" s="15">
        <v>-22.6</v>
      </c>
      <c r="K21" s="15">
        <v>-169.6</v>
      </c>
      <c r="L21" s="15">
        <v>103.209</v>
      </c>
      <c r="M21" s="15">
        <v>0</v>
      </c>
      <c r="N21" s="15">
        <f>SUM(C18:C21)/4</f>
        <v>146.212</v>
      </c>
      <c r="O21" s="15">
        <v>140.036537875</v>
      </c>
      <c r="P21" s="16">
        <f>C21/C20-1</f>
        <v>0.148686030428769</v>
      </c>
      <c r="Q21" s="16">
        <f>(E21+D21)/C21</f>
        <v>0.190848886213125</v>
      </c>
      <c r="R21" s="16">
        <f>AVERAGE(Q18:Q21)</f>
        <v>0.332876131863799</v>
      </c>
      <c r="S21" s="17"/>
      <c r="T21" s="25">
        <f>SUM(J18:K21)/4</f>
        <v>-193.2125</v>
      </c>
      <c r="U21" s="25"/>
      <c r="V21" s="15">
        <f>-(L21+M21)+V20</f>
        <v>-979</v>
      </c>
      <c r="W21" s="17"/>
      <c r="X21" s="15">
        <f>F21-G21</f>
        <v>-2264</v>
      </c>
      <c r="Y21" s="15"/>
      <c r="Z21" s="15">
        <v>126</v>
      </c>
      <c r="AA21" s="15"/>
      <c r="AB21" s="15">
        <v>14.45</v>
      </c>
    </row>
    <row r="22" ht="20.05" customHeight="1">
      <c r="B22" s="13"/>
      <c r="C22" s="14">
        <v>155.4</v>
      </c>
      <c r="D22" s="15">
        <v>33.5</v>
      </c>
      <c r="E22" s="15">
        <v>-9.800000000000001</v>
      </c>
      <c r="F22" s="15">
        <v>308</v>
      </c>
      <c r="G22" s="15">
        <v>3339</v>
      </c>
      <c r="H22" s="15">
        <v>6712</v>
      </c>
      <c r="I22" s="15">
        <v>154.3</v>
      </c>
      <c r="J22" s="15">
        <v>86.40000000000001</v>
      </c>
      <c r="K22" s="15">
        <v>-95.09999999999999</v>
      </c>
      <c r="L22" s="15">
        <v>783.282</v>
      </c>
      <c r="M22" s="15">
        <v>0</v>
      </c>
      <c r="N22" s="15">
        <f>SUM(C19:C22)/4</f>
        <v>152.46575</v>
      </c>
      <c r="O22" s="15">
        <v>154.054787875</v>
      </c>
      <c r="P22" s="16">
        <f>C22/C21-1</f>
        <v>-0.0644190246839253</v>
      </c>
      <c r="Q22" s="16">
        <f>(E22+D22)/C22</f>
        <v>0.152509652509653</v>
      </c>
      <c r="R22" s="16">
        <f>AVERAGE(Q19:Q22)</f>
        <v>0.281269296419674</v>
      </c>
      <c r="S22" s="17"/>
      <c r="T22" s="25">
        <f>SUM(J19:K22)/4</f>
        <v>-118.19675</v>
      </c>
      <c r="U22" s="25"/>
      <c r="V22" s="15">
        <f>-(L22+M22)+V21</f>
        <v>-1762.282</v>
      </c>
      <c r="W22" s="17"/>
      <c r="X22" s="15">
        <f>F22-G22</f>
        <v>-3031</v>
      </c>
      <c r="Y22" s="15"/>
      <c r="Z22" s="15">
        <v>126</v>
      </c>
      <c r="AA22" s="17"/>
      <c r="AB22" s="15">
        <v>14.328</v>
      </c>
    </row>
    <row r="23" ht="20.05" customHeight="1">
      <c r="B23" s="13"/>
      <c r="C23" s="14">
        <v>195.5</v>
      </c>
      <c r="D23" s="15">
        <v>39.2</v>
      </c>
      <c r="E23" s="15">
        <v>-3.1</v>
      </c>
      <c r="F23" s="15">
        <v>986</v>
      </c>
      <c r="G23" s="15">
        <v>3226</v>
      </c>
      <c r="H23" s="15">
        <v>6587</v>
      </c>
      <c r="I23" s="15">
        <v>197.4</v>
      </c>
      <c r="J23" s="15">
        <v>13.6</v>
      </c>
      <c r="K23" s="15">
        <v>-22.7</v>
      </c>
      <c r="L23" s="15">
        <v>-82</v>
      </c>
      <c r="M23" s="15">
        <v>-10.2</v>
      </c>
      <c r="N23" s="15">
        <f>SUM(C20:C23)/4</f>
        <v>165.4</v>
      </c>
      <c r="O23" s="15">
        <v>158.402025375</v>
      </c>
      <c r="P23" s="16">
        <f>C23/C22-1</f>
        <v>0.258043758043758</v>
      </c>
      <c r="Q23" s="16">
        <f>(E23+D23)/C23</f>
        <v>0.184654731457801</v>
      </c>
      <c r="R23" s="16">
        <f>AVERAGE(Q20:Q23)</f>
        <v>0.226920329993278</v>
      </c>
      <c r="S23" s="17"/>
      <c r="T23" s="25">
        <f>SUM(J20:K23)/4</f>
        <v>-52.6</v>
      </c>
      <c r="U23" s="25"/>
      <c r="V23" s="15">
        <f>-(L23+M23)+V22</f>
        <v>-1670.082</v>
      </c>
      <c r="W23" s="17"/>
      <c r="X23" s="15">
        <f>F23-G23</f>
        <v>-2240</v>
      </c>
      <c r="Y23" s="15"/>
      <c r="Z23" s="15">
        <v>114</v>
      </c>
      <c r="AA23" s="15">
        <v>125.228755367289</v>
      </c>
      <c r="AB23" s="15">
        <v>14.275</v>
      </c>
    </row>
    <row r="24" ht="20.05" customHeight="1">
      <c r="B24" s="21">
        <v>2022</v>
      </c>
      <c r="C24" s="14">
        <v>188.6</v>
      </c>
      <c r="D24" s="15">
        <v>31</v>
      </c>
      <c r="E24" s="15">
        <v>28.3</v>
      </c>
      <c r="F24" s="15">
        <v>725</v>
      </c>
      <c r="G24" s="15">
        <v>3205</v>
      </c>
      <c r="H24" s="15">
        <v>6596</v>
      </c>
      <c r="I24" s="15">
        <v>192.5</v>
      </c>
      <c r="J24" s="15">
        <v>46.5</v>
      </c>
      <c r="K24" s="15">
        <v>-217.7</v>
      </c>
      <c r="L24" s="15">
        <v>-42.2</v>
      </c>
      <c r="M24" s="15">
        <v>0</v>
      </c>
      <c r="N24" s="15">
        <f>SUM(C21:C24)/4</f>
        <v>176.4</v>
      </c>
      <c r="O24" s="15">
        <v>161.64425</v>
      </c>
      <c r="P24" s="16">
        <f>C24/C23-1</f>
        <v>-0.0352941176470588</v>
      </c>
      <c r="Q24" s="16">
        <f>(E24+D24)/C24</f>
        <v>0.314422057264051</v>
      </c>
      <c r="R24" s="16">
        <f>AVERAGE(Q21:Q24)</f>
        <v>0.210608831861158</v>
      </c>
      <c r="S24" s="35"/>
      <c r="T24" s="25">
        <f>SUM(J21:K24)/4</f>
        <v>-95.3</v>
      </c>
      <c r="U24" s="15">
        <v>33.419576460698</v>
      </c>
      <c r="V24" s="15">
        <f>-(L24+M24)+V23</f>
        <v>-1627.882</v>
      </c>
      <c r="W24" s="15"/>
      <c r="X24" s="15">
        <f>F24-G24</f>
        <v>-2480</v>
      </c>
      <c r="Y24" s="15">
        <v>-2904.062689747160</v>
      </c>
      <c r="Z24" s="15">
        <v>112</v>
      </c>
      <c r="AA24" s="15">
        <v>107.991443050925</v>
      </c>
      <c r="AB24" s="15">
        <v>14.327</v>
      </c>
    </row>
    <row r="25" ht="20.05" customHeight="1">
      <c r="B25" s="13"/>
      <c r="C25" s="14">
        <v>207.1</v>
      </c>
      <c r="D25" s="15">
        <v>33.1</v>
      </c>
      <c r="E25" s="15">
        <v>31.5</v>
      </c>
      <c r="F25" s="15">
        <v>665</v>
      </c>
      <c r="G25" s="15">
        <v>3144</v>
      </c>
      <c r="H25" s="15">
        <v>6573</v>
      </c>
      <c r="I25" s="15">
        <v>186.8</v>
      </c>
      <c r="J25" s="15">
        <v>5.8</v>
      </c>
      <c r="K25" s="15">
        <v>-48.2</v>
      </c>
      <c r="L25" s="15">
        <v>-26.3</v>
      </c>
      <c r="M25" s="15">
        <v>0</v>
      </c>
      <c r="N25" s="15">
        <f>SUM(C22:C25)/4</f>
        <v>186.65</v>
      </c>
      <c r="O25" s="15">
        <v>174.64025</v>
      </c>
      <c r="P25" s="16">
        <f>C25/C24-1</f>
        <v>0.0980911983032874</v>
      </c>
      <c r="Q25" s="16">
        <f>(E25+D25)/C25</f>
        <v>0.311926605504587</v>
      </c>
      <c r="R25" s="16">
        <f>AVERAGE(Q22:Q25)</f>
        <v>0.240878261684023</v>
      </c>
      <c r="S25" s="35"/>
      <c r="T25" s="25">
        <f>SUM(J22:K25)/4</f>
        <v>-57.85</v>
      </c>
      <c r="U25" s="15">
        <v>-78.585282959192</v>
      </c>
      <c r="V25" s="15">
        <f>-(L25+M25)+V24</f>
        <v>-1601.582</v>
      </c>
      <c r="W25" s="15"/>
      <c r="X25" s="15">
        <f>F25-G25</f>
        <v>-2479</v>
      </c>
      <c r="Y25" s="15">
        <v>-2803.739774309240</v>
      </c>
      <c r="Z25" s="15">
        <v>116</v>
      </c>
      <c r="AA25" s="15">
        <v>104.202269610541</v>
      </c>
      <c r="AB25" s="15">
        <v>14.66</v>
      </c>
    </row>
    <row r="26" ht="20.05" customHeight="1">
      <c r="B26" s="13"/>
      <c r="C26" s="14">
        <v>206.4</v>
      </c>
      <c r="D26" s="15">
        <v>35.9</v>
      </c>
      <c r="E26" s="15">
        <v>39.7</v>
      </c>
      <c r="F26" s="15">
        <v>616</v>
      </c>
      <c r="G26" s="15">
        <v>3285</v>
      </c>
      <c r="H26" s="15">
        <v>6744</v>
      </c>
      <c r="I26" s="15">
        <v>230.2</v>
      </c>
      <c r="J26" s="15">
        <v>84.3</v>
      </c>
      <c r="K26" s="15">
        <v>-234.5</v>
      </c>
      <c r="L26" s="15">
        <v>114.1</v>
      </c>
      <c r="M26" s="15">
        <v>0</v>
      </c>
      <c r="N26" s="15">
        <f>SUM(C23:C26)/4</f>
        <v>199.4</v>
      </c>
      <c r="O26" s="15">
        <v>181.05575</v>
      </c>
      <c r="P26" s="16">
        <f>C26/C25-1</f>
        <v>-0.00338000965717045</v>
      </c>
      <c r="Q26" s="16">
        <f>(E26+D26)/C26</f>
        <v>0.366279069767442</v>
      </c>
      <c r="R26" s="16">
        <f>AVERAGE(Q23:Q26)</f>
        <v>0.29432061599847</v>
      </c>
      <c r="S26" s="35">
        <f>S27</f>
        <v>0.339102837636015</v>
      </c>
      <c r="T26" s="25">
        <f>SUM(J23:K26)/4</f>
        <v>-93.22499999999999</v>
      </c>
      <c r="U26" s="15">
        <v>6.52781228353275</v>
      </c>
      <c r="V26" s="15">
        <f>-(L26+M26)+V25</f>
        <v>-1715.682</v>
      </c>
      <c r="W26" s="15">
        <f>W27</f>
        <v>-1610.391916783950</v>
      </c>
      <c r="X26" s="15">
        <f>F26-G26</f>
        <v>-2669</v>
      </c>
      <c r="Y26" s="15">
        <v>-2452.888750865870</v>
      </c>
      <c r="Z26" s="15">
        <v>142</v>
      </c>
      <c r="AA26" s="15">
        <v>182.361124930007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AVERAGE(AE52:AH52)</f>
        <v>219.76377822</v>
      </c>
      <c r="P27" s="17"/>
      <c r="Q27" s="17"/>
      <c r="R27" s="17"/>
      <c r="S27" s="35">
        <f>AE53</f>
        <v>0.339102837636015</v>
      </c>
      <c r="T27" s="25"/>
      <c r="U27" s="15">
        <f>SUM(AE55:AH55)/4</f>
        <v>26.3225208040139</v>
      </c>
      <c r="V27" s="17"/>
      <c r="W27" s="15">
        <f>-SUM(AE76:AH76)+V26</f>
        <v>-1610.391916783950</v>
      </c>
      <c r="X27" s="26"/>
      <c r="Y27" s="15">
        <f>AH75</f>
        <v>-2563.709916783950</v>
      </c>
      <c r="Z27" s="15">
        <v>119</v>
      </c>
      <c r="AA27" s="15">
        <v>104.202269610541</v>
      </c>
      <c r="AB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SUM(N17:N26)</f>
        <v>1561.597</v>
      </c>
      <c r="O28" s="15">
        <f>SUM(O17:O26)</f>
        <v>1550.2199015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AH88</f>
        <v>82.9289774986522</v>
      </c>
      <c r="AB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6" ht="27.65" customHeight="1">
      <c r="AC46" t="s" s="2">
        <v>679</v>
      </c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</row>
    <row r="47" ht="20.25" customHeight="1">
      <c r="AC47" t="s" s="28">
        <v>366</v>
      </c>
      <c r="AD47" t="s" s="29">
        <v>23</v>
      </c>
      <c r="AE47" t="s" s="29">
        <v>24</v>
      </c>
      <c r="AF47" t="s" s="29">
        <v>25</v>
      </c>
      <c r="AG47" t="s" s="29">
        <v>26</v>
      </c>
      <c r="AH47" t="s" s="29">
        <v>23</v>
      </c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</row>
    <row r="48" ht="20.25" customHeight="1">
      <c r="AC48" t="s" s="31">
        <v>15</v>
      </c>
      <c r="AD48" s="32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</row>
    <row r="49" ht="20.05" customHeight="1">
      <c r="AC49" t="s" s="33">
        <v>27</v>
      </c>
      <c r="AD49" s="34"/>
      <c r="AE49" s="16">
        <f>AVERAGE(P23:P26)</f>
        <v>0.07936520726070399</v>
      </c>
      <c r="AF49" s="35"/>
      <c r="AG49" s="35"/>
      <c r="AH49" s="35">
        <f>AVERAGE(AE51:AH51)</f>
        <v>0.025</v>
      </c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</row>
    <row r="50" ht="20.05" customHeight="1">
      <c r="AC50" s="36"/>
      <c r="AD50" s="37"/>
      <c r="AE50" s="35">
        <f>P23</f>
        <v>0.258043758043758</v>
      </c>
      <c r="AF50" s="35">
        <f>P24</f>
        <v>-0.0352941176470588</v>
      </c>
      <c r="AG50" s="35">
        <f>P25</f>
        <v>0.0980911983032874</v>
      </c>
      <c r="AH50" s="35">
        <f>P26</f>
        <v>-0.00338000965717045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t="s" s="33">
        <v>13</v>
      </c>
      <c r="AD51" s="37"/>
      <c r="AE51" s="35">
        <v>0.05</v>
      </c>
      <c r="AF51" s="35">
        <v>-0.03</v>
      </c>
      <c r="AG51" s="35">
        <v>0.07000000000000001</v>
      </c>
      <c r="AH51" s="35">
        <v>0.01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28</v>
      </c>
      <c r="AD52" s="38">
        <f>C26</f>
        <v>206.4</v>
      </c>
      <c r="AE52" s="23">
        <f>C26*(1+AE51)</f>
        <v>216.72</v>
      </c>
      <c r="AF52" s="23">
        <f>AE52*(1+AF51)</f>
        <v>210.2184</v>
      </c>
      <c r="AG52" s="23">
        <f>AF52*(1+AG51)</f>
        <v>224.933688</v>
      </c>
      <c r="AH52" s="23">
        <f>AG52*(1+AH51)</f>
        <v>227.18302488</v>
      </c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</row>
    <row r="53" ht="20.05" customHeight="1">
      <c r="AC53" t="s" s="33">
        <v>14</v>
      </c>
      <c r="AD53" s="37"/>
      <c r="AE53" s="35">
        <f>AVERAGE(Q25:Q26)</f>
        <v>0.339102837636015</v>
      </c>
      <c r="AF53" s="35">
        <f>AE53</f>
        <v>0.339102837636015</v>
      </c>
      <c r="AG53" s="35">
        <f>AF53</f>
        <v>0.339102837636015</v>
      </c>
      <c r="AH53" s="35">
        <f>AG53</f>
        <v>0.339102837636015</v>
      </c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</row>
    <row r="54" ht="20.05" customHeight="1">
      <c r="AC54" t="s" s="33">
        <v>29</v>
      </c>
      <c r="AD54" s="14"/>
      <c r="AE54" s="15">
        <f>AVERAGE(K25)</f>
        <v>-48.2</v>
      </c>
      <c r="AF54" s="15">
        <f>AE54</f>
        <v>-48.2</v>
      </c>
      <c r="AG54" s="15">
        <f>AF54</f>
        <v>-48.2</v>
      </c>
      <c r="AH54" s="15">
        <f>AG54</f>
        <v>-48.2</v>
      </c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</row>
    <row r="55" ht="20.05" customHeight="1">
      <c r="AC55" t="s" s="33">
        <v>30</v>
      </c>
      <c r="AD55" s="14"/>
      <c r="AE55" s="15">
        <f>(AE52*AE53)+AE54</f>
        <v>25.2903669724772</v>
      </c>
      <c r="AF55" s="15">
        <f>(AF52*AF53)+AF54</f>
        <v>23.0856559633029</v>
      </c>
      <c r="AG55" s="15">
        <f>(AG52*AG53)+AG54</f>
        <v>28.0756518807341</v>
      </c>
      <c r="AH55" s="15">
        <f>(AH52*AH53)+AH54</f>
        <v>28.8384083995414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31</v>
      </c>
      <c r="AD56" s="14"/>
      <c r="AE56" s="15">
        <f>-G26/20</f>
        <v>-164.25</v>
      </c>
      <c r="AF56" s="15">
        <f>-AE71/20</f>
        <v>-156.0375</v>
      </c>
      <c r="AG56" s="15">
        <f>-AF71/20</f>
        <v>-148.235625</v>
      </c>
      <c r="AH56" s="15">
        <f>-AG71/20</f>
        <v>-140.82384375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32</v>
      </c>
      <c r="AD57" s="39"/>
      <c r="AE57" s="40">
        <v>0</v>
      </c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33</v>
      </c>
      <c r="AD58" s="14"/>
      <c r="AE58" s="15">
        <f>IF(AE66&gt;0,AE66*$AE$57,0)</f>
        <v>0</v>
      </c>
      <c r="AF58" s="15">
        <f>IF(AF66&gt;0,AF66*$AE$57,0)</f>
        <v>0</v>
      </c>
      <c r="AG58" s="15">
        <f>IF(AG66&gt;0,AG66*$AE$57,0)</f>
        <v>0</v>
      </c>
      <c r="AH58" s="15">
        <f>IF(AH66&gt;0,AH66*$AE$57,0)</f>
        <v>0</v>
      </c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34</v>
      </c>
      <c r="AD59" s="14"/>
      <c r="AE59" s="15">
        <f>AE55+AE56+AE58</f>
        <v>-138.959633027523</v>
      </c>
      <c r="AF59" s="15">
        <f>AF55+AF56+AF58</f>
        <v>-132.951844036697</v>
      </c>
      <c r="AG59" s="15">
        <f>AG55+AG56+AG58</f>
        <v>-120.159973119266</v>
      </c>
      <c r="AH59" s="15">
        <f>AH55+AH56+AH58</f>
        <v>-111.985435350459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35</v>
      </c>
      <c r="AD60" s="14"/>
      <c r="AE60" s="15">
        <f>-MIN(0,AE59)</f>
        <v>138.959633027523</v>
      </c>
      <c r="AF60" s="15">
        <f>-MIN(AE72,AF59)</f>
        <v>132.951844036697</v>
      </c>
      <c r="AG60" s="15">
        <f>-MIN(AF72,AG59)</f>
        <v>120.159973119266</v>
      </c>
      <c r="AH60" s="15">
        <f>-MIN(AG72,AH59)</f>
        <v>111.985435350459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36</v>
      </c>
      <c r="AD61" s="14"/>
      <c r="AE61" s="15">
        <f>F26</f>
        <v>616</v>
      </c>
      <c r="AF61" s="15">
        <f>AE63</f>
        <v>616</v>
      </c>
      <c r="AG61" s="15">
        <f>AF63</f>
        <v>616</v>
      </c>
      <c r="AH61" s="15">
        <f>AG63</f>
        <v>616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37</v>
      </c>
      <c r="AD62" s="14"/>
      <c r="AE62" s="15">
        <f>AE55+AE56+AE58+AE60</f>
        <v>2e-13</v>
      </c>
      <c r="AF62" s="15">
        <f>AF55+AF56+AF58+AF60</f>
        <v>-1e-13</v>
      </c>
      <c r="AG62" s="15">
        <f>AG55+AG56+AG58+AG60</f>
        <v>1e-13</v>
      </c>
      <c r="AH62" s="15">
        <f>AH55+AH56+AH58+AH60</f>
        <v>4e-13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38</v>
      </c>
      <c r="AD63" s="14"/>
      <c r="AE63" s="15">
        <f>AE61+AE62</f>
        <v>616</v>
      </c>
      <c r="AF63" s="15">
        <f>AF61+AF62</f>
        <v>616</v>
      </c>
      <c r="AG63" s="15">
        <f>AG61+AG62</f>
        <v>616</v>
      </c>
      <c r="AH63" s="15">
        <f>AH61+AH62</f>
        <v>616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41">
        <v>4</v>
      </c>
      <c r="AD64" s="14"/>
      <c r="AE64" s="15"/>
      <c r="AF64" s="15"/>
      <c r="AG64" s="15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</row>
    <row r="65" ht="20.05" customHeight="1">
      <c r="AC65" t="s" s="33">
        <v>3</v>
      </c>
      <c r="AD65" s="14"/>
      <c r="AE65" s="15">
        <f>-AVERAGE(D24:D26)</f>
        <v>-33.3333333333333</v>
      </c>
      <c r="AF65" s="15">
        <f>AE65</f>
        <v>-33.3333333333333</v>
      </c>
      <c r="AG65" s="15">
        <f>AF65</f>
        <v>-33.3333333333333</v>
      </c>
      <c r="AH65" s="15">
        <f>AG65</f>
        <v>-33.3333333333333</v>
      </c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</row>
    <row r="66" ht="20.05" customHeight="1">
      <c r="AC66" t="s" s="33">
        <v>4</v>
      </c>
      <c r="AD66" s="14"/>
      <c r="AE66" s="15">
        <f>(AE52*AE53)+AE65</f>
        <v>40.1570336391439</v>
      </c>
      <c r="AF66" s="15">
        <f>(AF52*AF53)+AF65</f>
        <v>37.9523226299696</v>
      </c>
      <c r="AG66" s="15">
        <f>(AG52*AG53)+AG65</f>
        <v>42.9423185474008</v>
      </c>
      <c r="AH66" s="15">
        <f>(AH52*AH53)+AH65</f>
        <v>43.7050750662081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41">
        <v>39</v>
      </c>
      <c r="AD67" s="14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33">
        <v>40</v>
      </c>
      <c r="AD68" s="14"/>
      <c r="AE68" s="15">
        <f>H26-F26-AE54</f>
        <v>6176.2</v>
      </c>
      <c r="AF68" s="15">
        <f>AE68-AF54</f>
        <v>6224.4</v>
      </c>
      <c r="AG68" s="15">
        <f>AF68-AG54</f>
        <v>6272.6</v>
      </c>
      <c r="AH68" s="15">
        <f>AG68-AH54</f>
        <v>6320.8</v>
      </c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41</v>
      </c>
      <c r="AD69" s="14"/>
      <c r="AE69" s="15">
        <f>0-AE65</f>
        <v>33.3333333333333</v>
      </c>
      <c r="AF69" s="15">
        <f>AE69-AF65</f>
        <v>66.6666666666666</v>
      </c>
      <c r="AG69" s="15">
        <f>AF69-AG65</f>
        <v>99.9999999999999</v>
      </c>
      <c r="AH69" s="15">
        <f>AG69-AH65</f>
        <v>133.333333333333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42</v>
      </c>
      <c r="AD70" s="14"/>
      <c r="AE70" s="15">
        <f>AE68-AE69</f>
        <v>6142.866666666670</v>
      </c>
      <c r="AF70" s="15">
        <f>AF68-AF69</f>
        <v>6157.733333333330</v>
      </c>
      <c r="AG70" s="15">
        <f>AG68-AG69</f>
        <v>6172.6</v>
      </c>
      <c r="AH70" s="15">
        <f>AH68-AH69</f>
        <v>6187.466666666670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6</v>
      </c>
      <c r="AD71" s="14"/>
      <c r="AE71" s="15">
        <f>G26+AE56</f>
        <v>3120.75</v>
      </c>
      <c r="AF71" s="15">
        <f>AE71+AF56</f>
        <v>2964.7125</v>
      </c>
      <c r="AG71" s="15">
        <f>AF71+AG56</f>
        <v>2816.476875</v>
      </c>
      <c r="AH71" s="15">
        <f>AG71+AH56</f>
        <v>2675.65303125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35</v>
      </c>
      <c r="AD72" s="14"/>
      <c r="AE72" s="15">
        <f>AE60</f>
        <v>138.959633027523</v>
      </c>
      <c r="AF72" s="15">
        <f>AE72+AF60</f>
        <v>271.911477064220</v>
      </c>
      <c r="AG72" s="15">
        <f>AF72+AG60</f>
        <v>392.071450183486</v>
      </c>
      <c r="AH72" s="15">
        <f>AG72+AH60</f>
        <v>504.056885533945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11</v>
      </c>
      <c r="AD73" s="14"/>
      <c r="AE73" s="15">
        <f>(H26-G26)+AE66+AE58</f>
        <v>3499.157033639140</v>
      </c>
      <c r="AF73" s="15">
        <f>AE73+AF66+AF58</f>
        <v>3537.109356269110</v>
      </c>
      <c r="AG73" s="15">
        <f>AF73+AG66+AG58</f>
        <v>3580.051674816510</v>
      </c>
      <c r="AH73" s="15">
        <f>AG73+AH66+AH58</f>
        <v>3623.756749882720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43</v>
      </c>
      <c r="AD74" s="14"/>
      <c r="AE74" s="15">
        <f>AE71+AE72+AE73-AE63-AE70</f>
        <v>-7e-12</v>
      </c>
      <c r="AF74" s="15">
        <f>AF71+AF72+AF73-AF63-AF70</f>
        <v>0</v>
      </c>
      <c r="AG74" s="15">
        <f>AG71+AG72+AG73-AG63-AG70</f>
        <v>-4e-12</v>
      </c>
      <c r="AH74" s="15">
        <f>AH71+AH72+AH73-AH63-AH70</f>
        <v>-5e-12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18</v>
      </c>
      <c r="AD75" s="14"/>
      <c r="AE75" s="15">
        <f>AE63-AE71-AE72</f>
        <v>-2643.709633027520</v>
      </c>
      <c r="AF75" s="15">
        <f>AF63-AF71-AF72</f>
        <v>-2620.623977064220</v>
      </c>
      <c r="AG75" s="15">
        <f>AG63-AG71-AG72</f>
        <v>-2592.548325183490</v>
      </c>
      <c r="AH75" s="15">
        <f>AH63-AH71-AH72</f>
        <v>-2563.709916783950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44</v>
      </c>
      <c r="AD76" s="14"/>
      <c r="AE76" s="15">
        <f>AE56+AE58+AE60</f>
        <v>-25.290366972477</v>
      </c>
      <c r="AF76" s="15">
        <f>AF56+AF58+AF60</f>
        <v>-23.085655963303</v>
      </c>
      <c r="AG76" s="15">
        <f>AG56+AG58+AG60</f>
        <v>-28.075651880734</v>
      </c>
      <c r="AH76" s="15">
        <f>AH56+AH58+AH60</f>
        <v>-28.838408399541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45</v>
      </c>
      <c r="AD77" s="14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f>Z$3</f>
        <v>680</v>
      </c>
      <c r="AD78" s="14"/>
      <c r="AE78" s="15"/>
      <c r="AF78" s="15"/>
      <c r="AG78" s="15"/>
      <c r="AH78" s="15">
        <v>119</v>
      </c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$AC78</f>
        <v>680</v>
      </c>
      <c r="AD79" s="14"/>
      <c r="AE79" s="15"/>
      <c r="AF79" s="15"/>
      <c r="AG79" s="15"/>
      <c r="AH79" s="15">
        <v>1813048265728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v>46</v>
      </c>
      <c r="AD80" s="14"/>
      <c r="AE80" s="15"/>
      <c r="AF80" s="15"/>
      <c r="AG80" s="15"/>
      <c r="AH80" s="15">
        <f>AH79/1000000000</f>
        <v>1813.048265728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47</v>
      </c>
      <c r="AD81" s="14"/>
      <c r="AE81" s="15"/>
      <c r="AF81" s="15"/>
      <c r="AG81" s="15"/>
      <c r="AH81" s="15">
        <f>AH80/AH78</f>
        <v>15.235699712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48</v>
      </c>
      <c r="AD82" s="14"/>
      <c r="AE82" s="15"/>
      <c r="AF82" s="15"/>
      <c r="AG82" s="15"/>
      <c r="AH82" s="43">
        <f>AH80/(AH63+AH70)</f>
        <v>0.266488887879904</v>
      </c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</row>
    <row r="83" ht="20.05" customHeight="1">
      <c r="AC83" t="s" s="33">
        <v>49</v>
      </c>
      <c r="AD83" s="14"/>
      <c r="AE83" s="15"/>
      <c r="AF83" s="15"/>
      <c r="AG83" s="15"/>
      <c r="AH83" s="16">
        <f>-(AE58+AF58+AG58+AH58)/AH80</f>
        <v>0</v>
      </c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</row>
    <row r="84" ht="20.05" customHeight="1">
      <c r="AC84" t="s" s="33">
        <v>50</v>
      </c>
      <c r="AD84" s="14"/>
      <c r="AE84" s="15"/>
      <c r="AF84" s="15"/>
      <c r="AG84" s="15"/>
      <c r="AH84" s="15">
        <f>SUM(AE55:AH55)</f>
        <v>105.290083216056</v>
      </c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</row>
    <row r="85" ht="20.05" customHeight="1">
      <c r="AC85" t="s" s="33">
        <v>51</v>
      </c>
      <c r="AD85" s="14"/>
      <c r="AE85" s="15"/>
      <c r="AF85" s="15"/>
      <c r="AG85" s="15"/>
      <c r="AH85" s="15">
        <f>AH70/AH84</f>
        <v>58.7659015709005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52</v>
      </c>
      <c r="AD86" s="14"/>
      <c r="AE86" s="15"/>
      <c r="AF86" s="15"/>
      <c r="AG86" s="15">
        <f>AH80/AH84</f>
        <v>17.2195539252031</v>
      </c>
      <c r="AH86" s="15">
        <v>12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53</v>
      </c>
      <c r="AD87" s="14"/>
      <c r="AE87" s="15"/>
      <c r="AF87" s="15"/>
      <c r="AG87" s="15"/>
      <c r="AH87" s="15">
        <f>AH84*AH86</f>
        <v>1263.480998592670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54</v>
      </c>
      <c r="AD88" s="14"/>
      <c r="AE88" s="15"/>
      <c r="AF88" s="15"/>
      <c r="AG88" s="15"/>
      <c r="AH88" s="15">
        <f>(AH87/AH81)</f>
        <v>82.9289774986522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55</v>
      </c>
      <c r="AD89" s="38"/>
      <c r="AE89" s="23"/>
      <c r="AF89" s="23"/>
      <c r="AG89" s="23"/>
      <c r="AH89" s="16">
        <f>AH88/AH78-1</f>
        <v>-0.30311783614578</v>
      </c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</row>
    <row r="90" ht="20.05" customHeight="1">
      <c r="AC90" t="s" s="33">
        <v>56</v>
      </c>
      <c r="AD90" s="38"/>
      <c r="AE90" s="23"/>
      <c r="AF90" s="23"/>
      <c r="AG90" s="23"/>
      <c r="AH90" s="16">
        <f>C26/C22-1</f>
        <v>0.328185328185328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57</v>
      </c>
      <c r="AD91" s="38"/>
      <c r="AE91" s="23"/>
      <c r="AF91" s="23"/>
      <c r="AG91" s="23"/>
      <c r="AH91" s="16">
        <f>O28/N28-1</f>
        <v>-0.00728555350708281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s="36"/>
      <c r="AD92" s="38"/>
      <c r="AE92" s="23"/>
      <c r="AF92" s="23"/>
      <c r="AG92" s="23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45"/>
      <c r="AE94" t="s" s="44">
        <f>$AC78</f>
        <v>680</v>
      </c>
      <c r="AF94" t="s" s="44">
        <v>60</v>
      </c>
      <c r="AG94" s="15">
        <f>AH78</f>
        <v>119</v>
      </c>
      <c r="AH94" t="s" s="44">
        <v>61</v>
      </c>
      <c r="AI94" s="15">
        <f>AH88</f>
        <v>82.9289774986522</v>
      </c>
      <c r="AJ94" t="s" s="44">
        <f>IF(AK94&gt;0,"+","")</f>
      </c>
      <c r="AK94" s="16">
        <f>AI94/AG94-1</f>
        <v>-0.30311783614578</v>
      </c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</row>
    <row r="95" ht="20.05" customHeight="1">
      <c r="AC95" s="36"/>
      <c r="AD95" s="46"/>
      <c r="AE95" s="47">
        <f>TODAY()</f>
        <v>44942</v>
      </c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32.05" customHeight="1">
      <c r="AC96" s="36"/>
      <c r="AD96" s="34"/>
      <c r="AE96" t="s" s="44">
        <v>62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63</v>
      </c>
      <c r="AF97" t="s" s="44">
        <v>64</v>
      </c>
      <c r="AG97" t="s" s="44">
        <f>IF(AH97&gt;0,"+","")</f>
        <v>361</v>
      </c>
      <c r="AH97" s="16">
        <f>AM104/AE104-1</f>
        <v>0.328185328185328</v>
      </c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65</v>
      </c>
      <c r="AG98" t="s" s="44">
        <f>IF(AH98&gt;0,"+","")</f>
      </c>
      <c r="AH98" s="16">
        <f>(AG117+AG118+AI117+AI118+AK117+AK118+AM117+AM118)/AF134</f>
        <v>-0.205675715891804</v>
      </c>
      <c r="AI98" t="s" s="44">
        <v>66</v>
      </c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17</v>
      </c>
      <c r="AG99" t="s" s="44">
        <f>IF(AH99&gt;0,"+","")</f>
        <v>361</v>
      </c>
      <c r="AH99" s="16">
        <f>(AG131+AG132+AI131+AI132+AK131+AK132+AM131+AM132)/AF134</f>
        <v>0.0257025700202683</v>
      </c>
      <c r="AI99" t="s" s="44">
        <f>AI98</f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68</v>
      </c>
      <c r="AF100" t="s" s="44">
        <v>369</v>
      </c>
      <c r="AG100" s="16">
        <f>AP127/AF134</f>
        <v>-1.47210642455142</v>
      </c>
      <c r="AH100" t="s" s="44">
        <f>AI99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20.05" customHeight="1">
      <c r="AC101" s="36"/>
      <c r="AD101" s="34"/>
      <c r="AE101" t="s" s="44">
        <v>28</v>
      </c>
      <c r="AF101" t="s" s="44">
        <f>AF105</f>
        <v>370</v>
      </c>
      <c r="AG101" s="16">
        <f>AG105</f>
        <v>-0.00338000965717045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32.05" customHeight="1">
      <c r="AC102" s="36"/>
      <c r="AD102" s="34"/>
      <c r="AE102" t="s" s="44">
        <v>70</v>
      </c>
      <c r="AF102" t="s" s="44">
        <v>371</v>
      </c>
      <c r="AG102" t="s" s="44">
        <f>AM105</f>
        <v>372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20.05" customHeight="1">
      <c r="AC103" s="36"/>
      <c r="AD103" s="34"/>
      <c r="AE103" s="16">
        <f>P22</f>
        <v>-0.0644190246839253</v>
      </c>
      <c r="AF103" s="16">
        <f>P23</f>
        <v>0.258043758043758</v>
      </c>
      <c r="AG103" s="16">
        <f>P24</f>
        <v>-0.0352941176470588</v>
      </c>
      <c r="AH103" s="16">
        <f>P25</f>
        <v>0.0980911983032874</v>
      </c>
      <c r="AI103" s="16">
        <f>P26</f>
        <v>-0.00338000965717045</v>
      </c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5">
        <f>C22</f>
        <v>155.4</v>
      </c>
      <c r="AF104" t="s" s="44">
        <v>72</v>
      </c>
      <c r="AG104" s="15">
        <f>C23</f>
        <v>195.5</v>
      </c>
      <c r="AH104" t="s" s="44">
        <v>72</v>
      </c>
      <c r="AI104" s="15">
        <f>C24</f>
        <v>188.6</v>
      </c>
      <c r="AJ104" t="s" s="44">
        <v>72</v>
      </c>
      <c r="AK104" s="15">
        <f>C25</f>
        <v>207.1</v>
      </c>
      <c r="AL104" t="s" s="44">
        <v>72</v>
      </c>
      <c r="AM104" s="15">
        <f>C26</f>
        <v>206.4</v>
      </c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44.05" customHeight="1">
      <c r="AC105" s="36"/>
      <c r="AD105" s="34"/>
      <c r="AE105" t="s" s="44">
        <v>2</v>
      </c>
      <c r="AF105" t="s" s="44">
        <f>IF(AG105&lt;0,"declined","grew")</f>
        <v>370</v>
      </c>
      <c r="AG105" s="16">
        <f>AM104/AK104-1</f>
        <v>-0.00338000965717045</v>
      </c>
      <c r="AH105" t="s" s="44">
        <v>73</v>
      </c>
      <c r="AI105" t="s" s="44">
        <v>74</v>
      </c>
      <c r="AJ105" t="s" s="44">
        <v>75</v>
      </c>
      <c r="AK105" t="s" s="44">
        <v>76</v>
      </c>
      <c r="AL105" s="15">
        <f>AM104</f>
        <v>206.4</v>
      </c>
      <c r="AM105" t="s" s="44">
        <v>372</v>
      </c>
      <c r="AN105" t="s" s="44">
        <v>373</v>
      </c>
      <c r="AO105" s="16">
        <f>AH91</f>
        <v>-0.00728555350708281</v>
      </c>
      <c r="AP105" t="s" s="44">
        <v>78</v>
      </c>
      <c r="AQ105" s="17"/>
      <c r="AR105" s="17"/>
      <c r="AS105" s="17"/>
      <c r="AT105" s="17"/>
      <c r="AU105" s="17"/>
      <c r="AV105" s="17"/>
    </row>
    <row r="106" ht="56.05" customHeight="1">
      <c r="AC106" s="36"/>
      <c r="AD106" s="34"/>
      <c r="AE106" t="s" s="44">
        <v>79</v>
      </c>
      <c r="AF106" s="16">
        <f>AVERAGE(AF103:AI103)</f>
        <v>0.07936520726070399</v>
      </c>
      <c r="AG106" t="s" s="44">
        <v>80</v>
      </c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81</v>
      </c>
      <c r="AF107" s="35">
        <f>AH49</f>
        <v>0.025</v>
      </c>
      <c r="AG107" t="s" s="44">
        <v>82</v>
      </c>
      <c r="AH107" t="s" s="44">
        <v>83</v>
      </c>
      <c r="AI107" s="23">
        <f>AH52</f>
        <v>227.18302488</v>
      </c>
      <c r="AJ107" t="s" s="44">
        <f>AM105</f>
        <v>372</v>
      </c>
      <c r="AK107" t="s" s="44">
        <v>84</v>
      </c>
      <c r="AL107" t="s" s="44">
        <f>AI105</f>
        <v>74</v>
      </c>
      <c r="AM107" t="s" s="44">
        <f>AJ105</f>
        <v>75</v>
      </c>
      <c r="AN107" t="s" s="44">
        <v>85</v>
      </c>
      <c r="AO107" s="17"/>
      <c r="AP107" s="17"/>
      <c r="AQ107" s="17"/>
      <c r="AR107" s="17"/>
      <c r="AS107" s="17"/>
      <c r="AT107" s="17"/>
      <c r="AU107" s="17"/>
      <c r="AV107" s="17"/>
    </row>
    <row r="108" ht="20.05" customHeight="1">
      <c r="AC108" s="36"/>
      <c r="AD108" s="34"/>
      <c r="AE108" t="s" s="44">
        <v>14</v>
      </c>
      <c r="AF108" t="s" s="44">
        <f>IF(AH112&lt;AF112,"down","up")</f>
        <v>108</v>
      </c>
      <c r="AG108" t="s" s="44">
        <v>86</v>
      </c>
      <c r="AH108" t="s" s="44">
        <f>IF(AL112&gt;AJ112,"up","down")</f>
        <v>108</v>
      </c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</row>
    <row r="109" ht="44.05" customHeight="1">
      <c r="AC109" s="36"/>
      <c r="AD109" s="34"/>
      <c r="AE109" t="s" s="44">
        <f>AE102</f>
        <v>70</v>
      </c>
      <c r="AF109" t="s" s="44">
        <v>88</v>
      </c>
      <c r="AG109" t="s" s="44">
        <f>AM105</f>
        <v>372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20.05" customHeight="1">
      <c r="AC110" s="36"/>
      <c r="AD110" s="34"/>
      <c r="AE110" s="16">
        <f>(D22+E22)/C22</f>
        <v>0.152509652509653</v>
      </c>
      <c r="AF110" s="16">
        <f>(D23+E23)/C23</f>
        <v>0.184654731457801</v>
      </c>
      <c r="AG110" s="16">
        <f>((E24+D24)/C24)</f>
        <v>0.314422057264051</v>
      </c>
      <c r="AH110" s="16">
        <f>(D25+E25)/C25</f>
        <v>0.311926605504587</v>
      </c>
      <c r="AI110" s="16">
        <f>(D26+E26)/C26</f>
        <v>0.366279069767442</v>
      </c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5">
        <f>E22</f>
        <v>-9.800000000000001</v>
      </c>
      <c r="AF111" t="s" s="44">
        <v>72</v>
      </c>
      <c r="AG111" s="15">
        <f>E23</f>
        <v>-3.1</v>
      </c>
      <c r="AH111" t="s" s="44">
        <v>72</v>
      </c>
      <c r="AI111" s="15">
        <f>E24</f>
        <v>28.3</v>
      </c>
      <c r="AJ111" t="s" s="44">
        <v>72</v>
      </c>
      <c r="AK111" s="15">
        <f>E25</f>
        <v>31.5</v>
      </c>
      <c r="AL111" t="s" s="44">
        <v>72</v>
      </c>
      <c r="AM111" s="15">
        <f>E26</f>
        <v>39.7</v>
      </c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44.05" customHeight="1">
      <c r="AC112" s="36"/>
      <c r="AD112" s="34"/>
      <c r="AE112" t="s" s="44">
        <v>89</v>
      </c>
      <c r="AF112" s="16">
        <f>AH110</f>
        <v>0.311926605504587</v>
      </c>
      <c r="AG112" t="s" s="44">
        <v>76</v>
      </c>
      <c r="AH112" s="16">
        <f>AI110</f>
        <v>0.366279069767442</v>
      </c>
      <c r="AI112" t="s" s="44">
        <v>90</v>
      </c>
      <c r="AJ112" s="15">
        <f>AK111</f>
        <v>31.5</v>
      </c>
      <c r="AK112" t="s" s="44">
        <v>76</v>
      </c>
      <c r="AL112" s="15">
        <f>AM111</f>
        <v>39.7</v>
      </c>
      <c r="AM112" t="s" s="44">
        <f>AJ107</f>
        <v>372</v>
      </c>
      <c r="AN112" t="s" s="44">
        <v>73</v>
      </c>
      <c r="AO112" t="s" s="44">
        <f>AL107</f>
        <v>74</v>
      </c>
      <c r="AP112" t="s" s="44">
        <v>91</v>
      </c>
      <c r="AQ112" s="17"/>
      <c r="AR112" s="17"/>
      <c r="AS112" s="17"/>
      <c r="AT112" s="17"/>
      <c r="AU112" s="17"/>
      <c r="AV112" s="17"/>
    </row>
    <row r="113" ht="68.05" customHeight="1">
      <c r="AC113" s="36"/>
      <c r="AD113" s="34"/>
      <c r="AE113" t="s" s="44">
        <v>92</v>
      </c>
      <c r="AF113" s="16">
        <f>AVERAGE(AF110:AI110)</f>
        <v>0.29432061599847</v>
      </c>
      <c r="AG113" t="s" s="44">
        <v>78</v>
      </c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</row>
    <row r="114" ht="44.05" customHeight="1">
      <c r="AC114" s="36"/>
      <c r="AD114" s="34"/>
      <c r="AE114" t="s" s="44">
        <v>93</v>
      </c>
      <c r="AF114" s="35">
        <f>AE53</f>
        <v>0.339102837636015</v>
      </c>
      <c r="AG114" t="s" s="44">
        <v>94</v>
      </c>
      <c r="AH114" s="15">
        <f>AH66</f>
        <v>43.7050750662081</v>
      </c>
      <c r="AI114" t="s" s="44">
        <f>AM112</f>
        <v>372</v>
      </c>
      <c r="AJ114" t="s" s="44">
        <v>95</v>
      </c>
      <c r="AK114" t="s" s="44">
        <f>AO112</f>
        <v>74</v>
      </c>
      <c r="AL114" t="s" s="44">
        <f>AJ105</f>
        <v>75</v>
      </c>
      <c r="AM114" t="s" s="44">
        <f>AN107</f>
        <v>85</v>
      </c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20.05" customHeight="1">
      <c r="AC115" s="36"/>
      <c r="AD115" s="34"/>
      <c r="AE115" t="s" s="44">
        <v>15</v>
      </c>
      <c r="AF115" t="s" s="44">
        <f>IF(AH119&lt;AF119,"lower","higher")</f>
        <v>104</v>
      </c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56.05" customHeight="1">
      <c r="AC116" s="36"/>
      <c r="AD116" s="34"/>
      <c r="AE116" t="s" s="44">
        <f>AE109</f>
        <v>70</v>
      </c>
      <c r="AF116" t="s" s="44">
        <v>96</v>
      </c>
      <c r="AG116" t="s" s="44">
        <f>AM105</f>
        <v>372</v>
      </c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20.05" customHeight="1">
      <c r="AC117" s="36"/>
      <c r="AD117" s="34"/>
      <c r="AE117" s="15">
        <f>J22</f>
        <v>86.40000000000001</v>
      </c>
      <c r="AF117" t="s" s="44">
        <v>72</v>
      </c>
      <c r="AG117" s="15">
        <f>J23</f>
        <v>13.6</v>
      </c>
      <c r="AH117" t="s" s="44">
        <v>72</v>
      </c>
      <c r="AI117" s="15">
        <f>J24</f>
        <v>46.5</v>
      </c>
      <c r="AJ117" t="s" s="44">
        <v>72</v>
      </c>
      <c r="AK117" s="15">
        <f>J25</f>
        <v>5.8</v>
      </c>
      <c r="AL117" t="s" s="44">
        <v>72</v>
      </c>
      <c r="AM117" s="15">
        <f>J26</f>
        <v>84.3</v>
      </c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K22</f>
        <v>-95.09999999999999</v>
      </c>
      <c r="AF118" t="s" s="44">
        <v>72</v>
      </c>
      <c r="AG118" s="15">
        <f>K23</f>
        <v>-22.7</v>
      </c>
      <c r="AH118" t="s" s="44">
        <v>72</v>
      </c>
      <c r="AI118" s="15">
        <f>K24</f>
        <v>-217.7</v>
      </c>
      <c r="AJ118" t="s" s="44">
        <v>72</v>
      </c>
      <c r="AK118" s="15">
        <f>K25</f>
        <v>-48.2</v>
      </c>
      <c r="AL118" t="s" s="44">
        <v>72</v>
      </c>
      <c r="AM118" s="15">
        <f>K26</f>
        <v>-234.5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44.05" customHeight="1">
      <c r="AC119" s="36"/>
      <c r="AD119" s="34"/>
      <c r="AE119" t="s" s="44">
        <v>97</v>
      </c>
      <c r="AF119" s="15">
        <f>AK117+AK118</f>
        <v>-42.4</v>
      </c>
      <c r="AG119" t="s" s="44">
        <v>76</v>
      </c>
      <c r="AH119" s="15">
        <f>AM117+AM118</f>
        <v>-150.2</v>
      </c>
      <c r="AI119" t="s" s="44">
        <f>AI114</f>
        <v>372</v>
      </c>
      <c r="AJ119" t="s" s="44">
        <v>84</v>
      </c>
      <c r="AK119" t="s" s="44">
        <f>AK114</f>
        <v>74</v>
      </c>
      <c r="AL119" t="s" s="44">
        <v>98</v>
      </c>
      <c r="AM119" s="15">
        <f>AM118</f>
        <v>-234.5</v>
      </c>
      <c r="AN119" t="s" s="44">
        <f>AM105</f>
        <v>372</v>
      </c>
      <c r="AO119" t="s" s="44">
        <v>99</v>
      </c>
      <c r="AP119" s="17"/>
      <c r="AQ119" s="17"/>
      <c r="AR119" s="17"/>
      <c r="AS119" s="17"/>
      <c r="AT119" s="17"/>
      <c r="AU119" s="17"/>
      <c r="AV119" s="17"/>
    </row>
    <row r="120" ht="56.05" customHeight="1">
      <c r="AC120" s="36"/>
      <c r="AD120" s="34"/>
      <c r="AE120" t="s" s="44">
        <v>100</v>
      </c>
      <c r="AF120" s="15">
        <f>(AG117+AG118+AI117+AI118+AK117+AK118+AM117+AM118)/4</f>
        <v>-93.22499999999999</v>
      </c>
      <c r="AG120" t="s" s="44">
        <f>AM105</f>
        <v>372</v>
      </c>
      <c r="AH120" t="s" s="44">
        <v>78</v>
      </c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</row>
    <row r="121" ht="44.05" customHeight="1">
      <c r="AC121" s="36"/>
      <c r="AD121" s="34"/>
      <c r="AE121" t="s" s="44">
        <v>101</v>
      </c>
      <c r="AF121" s="15">
        <f>AE54</f>
        <v>-48.2</v>
      </c>
      <c r="AG121" t="s" s="44">
        <f>AG120</f>
        <v>372</v>
      </c>
      <c r="AH121" t="s" s="44">
        <v>102</v>
      </c>
      <c r="AI121" t="s" s="44">
        <v>103</v>
      </c>
      <c r="AJ121" t="s" s="44">
        <f>IF(AI107&gt;AL105,"higher","lower")</f>
        <v>363</v>
      </c>
      <c r="AK121" t="s" s="44">
        <v>105</v>
      </c>
      <c r="AL121" s="15">
        <f>SUM(AE55:AH55)/4</f>
        <v>26.3225208040139</v>
      </c>
      <c r="AM121" t="s" s="44">
        <f>AG121</f>
        <v>372</v>
      </c>
      <c r="AN121" t="s" s="44">
        <v>106</v>
      </c>
      <c r="AO121" t="s" s="44">
        <v>107</v>
      </c>
      <c r="AP121" s="17"/>
      <c r="AQ121" s="17"/>
      <c r="AR121" s="17"/>
      <c r="AS121" s="17"/>
      <c r="AT121" s="17"/>
      <c r="AU121" s="17"/>
      <c r="AV121" s="17"/>
    </row>
    <row r="122" ht="20.05" customHeight="1">
      <c r="AC122" s="36"/>
      <c r="AD122" s="34"/>
      <c r="AE122" t="s" s="44">
        <v>18</v>
      </c>
      <c r="AF122" t="s" s="44">
        <f>AM127</f>
        <v>87</v>
      </c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</row>
    <row r="123" ht="32.05" customHeight="1">
      <c r="AC123" s="36"/>
      <c r="AD123" s="34"/>
      <c r="AE123" t="s" s="44">
        <f>AE102</f>
        <v>70</v>
      </c>
      <c r="AF123" t="s" s="44">
        <v>109</v>
      </c>
      <c r="AG123" t="s" s="44">
        <f>AM105</f>
        <v>372</v>
      </c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20.05" customHeight="1">
      <c r="AC124" s="36"/>
      <c r="AD124" s="34"/>
      <c r="AE124" s="15">
        <f>F22</f>
        <v>308</v>
      </c>
      <c r="AF124" t="s" s="44">
        <v>72</v>
      </c>
      <c r="AG124" s="15">
        <f>F23</f>
        <v>986</v>
      </c>
      <c r="AH124" t="s" s="44">
        <v>72</v>
      </c>
      <c r="AI124" s="15">
        <f>F24</f>
        <v>725</v>
      </c>
      <c r="AJ124" t="s" s="44">
        <v>72</v>
      </c>
      <c r="AK124" s="15">
        <f>F25</f>
        <v>665</v>
      </c>
      <c r="AL124" t="s" s="44">
        <v>72</v>
      </c>
      <c r="AM124" s="15">
        <f>F26</f>
        <v>616</v>
      </c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G22</f>
        <v>3339</v>
      </c>
      <c r="AF125" t="s" s="44">
        <v>72</v>
      </c>
      <c r="AG125" s="15">
        <f>G23</f>
        <v>3226</v>
      </c>
      <c r="AH125" t="s" s="44">
        <v>72</v>
      </c>
      <c r="AI125" s="15">
        <f>G24</f>
        <v>3205</v>
      </c>
      <c r="AJ125" t="s" s="44">
        <v>72</v>
      </c>
      <c r="AK125" s="15">
        <f>G25</f>
        <v>3144</v>
      </c>
      <c r="AL125" t="s" s="44">
        <v>72</v>
      </c>
      <c r="AM125" s="15">
        <f>G26</f>
        <v>3285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32.05" customHeight="1">
      <c r="AC126" s="36"/>
      <c r="AD126" s="34"/>
      <c r="AE126" t="s" s="44">
        <v>110</v>
      </c>
      <c r="AF126" t="s" s="44">
        <f>IF(AI126&lt;AG126,"declined","increased")</f>
        <v>370</v>
      </c>
      <c r="AG126" s="15">
        <f>AK124</f>
        <v>665</v>
      </c>
      <c r="AH126" t="s" s="44">
        <v>76</v>
      </c>
      <c r="AI126" s="15">
        <f>AM124</f>
        <v>616</v>
      </c>
      <c r="AJ126" t="s" s="44">
        <f>AM121</f>
        <v>372</v>
      </c>
      <c r="AK126" t="s" s="44">
        <v>84</v>
      </c>
      <c r="AL126" t="s" s="44">
        <f>AI105</f>
        <v>74</v>
      </c>
      <c r="AM126" t="s" s="44">
        <f>AP112</f>
        <v>91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112</v>
      </c>
      <c r="AF127" t="s" s="44">
        <f>IF(AI127&lt;AG127,"declined","increased")</f>
        <v>111</v>
      </c>
      <c r="AG127" s="15">
        <f>AK125</f>
        <v>3144</v>
      </c>
      <c r="AH127" t="s" s="44">
        <v>76</v>
      </c>
      <c r="AI127" s="15">
        <f>AM125</f>
        <v>3285</v>
      </c>
      <c r="AJ127" t="s" s="44">
        <f>AJ126</f>
        <v>372</v>
      </c>
      <c r="AK127" t="s" s="44">
        <v>113</v>
      </c>
      <c r="AL127" t="s" s="44">
        <v>114</v>
      </c>
      <c r="AM127" t="s" s="44">
        <f>IF(AP127&lt;AN127,"down","up")</f>
        <v>87</v>
      </c>
      <c r="AN127" s="15">
        <f>AG126-AG127</f>
        <v>-2479</v>
      </c>
      <c r="AO127" t="s" s="44">
        <v>76</v>
      </c>
      <c r="AP127" s="15">
        <f>AI126-AI127</f>
        <v>-2669</v>
      </c>
      <c r="AQ127" t="s" s="44">
        <f>AJ127</f>
        <v>372</v>
      </c>
      <c r="AR127" t="s" s="44">
        <v>115</v>
      </c>
      <c r="AS127" s="17"/>
      <c r="AT127" s="17"/>
      <c r="AU127" s="17"/>
      <c r="AV127" s="17"/>
    </row>
    <row r="128" ht="56.05" customHeight="1">
      <c r="AC128" s="36"/>
      <c r="AD128" s="34"/>
      <c r="AE128" t="s" s="44">
        <v>116</v>
      </c>
      <c r="AF128" s="15">
        <f>SUM(AE58:AH58)</f>
        <v>0</v>
      </c>
      <c r="AG128" t="s" s="44">
        <f>AJ127</f>
        <v>372</v>
      </c>
      <c r="AH128" t="s" s="44">
        <v>117</v>
      </c>
      <c r="AI128" t="s" s="44">
        <f>IF(AJ128&gt;0,"+","")</f>
      </c>
      <c r="AJ128" s="15">
        <f>AE56+AF56+AG56+AH56+AE60+AF60+AG60+AH60</f>
        <v>-105.290083216055</v>
      </c>
      <c r="AK128" t="s" s="44">
        <f>AQ127</f>
        <v>372</v>
      </c>
      <c r="AL128" t="s" s="44">
        <v>118</v>
      </c>
      <c r="AM128" t="s" s="44">
        <v>119</v>
      </c>
      <c r="AN128" s="15">
        <f>AH75</f>
        <v>-2563.709916783950</v>
      </c>
      <c r="AO128" t="s" s="44">
        <f>AJ127</f>
        <v>372</v>
      </c>
      <c r="AP128" t="s" s="44">
        <v>120</v>
      </c>
      <c r="AQ128" s="17"/>
      <c r="AR128" s="17"/>
      <c r="AS128" s="17"/>
      <c r="AT128" s="17"/>
      <c r="AU128" s="17"/>
      <c r="AV128" s="17"/>
    </row>
    <row r="129" ht="20.05" customHeight="1">
      <c r="AC129" s="36"/>
      <c r="AD129" s="34"/>
      <c r="AE129" t="s" s="44">
        <v>17</v>
      </c>
      <c r="AF129" t="s" s="44">
        <f>AF133</f>
        <v>121</v>
      </c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</row>
    <row r="130" ht="68.05" customHeight="1">
      <c r="AC130" s="36"/>
      <c r="AD130" s="34"/>
      <c r="AE130" t="s" s="44">
        <f>AE102</f>
        <v>70</v>
      </c>
      <c r="AF130" t="s" s="44">
        <v>122</v>
      </c>
      <c r="AG130" t="s" s="44">
        <f>AM105</f>
        <v>372</v>
      </c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20.05" customHeight="1">
      <c r="AC131" s="36"/>
      <c r="AD131" s="34"/>
      <c r="AE131" s="15">
        <f>-L22</f>
        <v>-783.282</v>
      </c>
      <c r="AF131" t="s" s="44">
        <v>72</v>
      </c>
      <c r="AG131" s="15">
        <f>-L23</f>
        <v>82</v>
      </c>
      <c r="AH131" t="s" s="44">
        <v>72</v>
      </c>
      <c r="AI131" s="15">
        <f>-L24</f>
        <v>42.2</v>
      </c>
      <c r="AJ131" t="s" s="44">
        <v>72</v>
      </c>
      <c r="AK131" s="15">
        <f>-L25</f>
        <v>26.3</v>
      </c>
      <c r="AL131" t="s" s="44">
        <v>72</v>
      </c>
      <c r="AM131" s="15">
        <f>-L26</f>
        <v>-114.1</v>
      </c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-M22</f>
        <v>0</v>
      </c>
      <c r="AF132" t="s" s="44">
        <v>72</v>
      </c>
      <c r="AG132" s="15">
        <f>-M23</f>
        <v>10.2</v>
      </c>
      <c r="AH132" t="s" s="44">
        <v>72</v>
      </c>
      <c r="AI132" s="15">
        <f>-M24</f>
        <v>0</v>
      </c>
      <c r="AJ132" t="s" s="44">
        <v>72</v>
      </c>
      <c r="AK132" s="15">
        <f>-M25</f>
        <v>0</v>
      </c>
      <c r="AL132" t="s" s="44">
        <v>72</v>
      </c>
      <c r="AM132" s="15">
        <f>-M26</f>
        <v>0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44.05" customHeight="1">
      <c r="AC133" s="36"/>
      <c r="AD133" s="34"/>
      <c r="AE133" t="s" s="44">
        <f>AE94</f>
        <v>680</v>
      </c>
      <c r="AF133" t="s" s="44">
        <f>IF(AG133&gt;0,"paid","(raised)")</f>
        <v>121</v>
      </c>
      <c r="AG133" s="15">
        <f>SUM(AM131:AM132)</f>
        <v>-114.1</v>
      </c>
      <c r="AH133" t="s" s="44">
        <f>AM105</f>
        <v>372</v>
      </c>
      <c r="AI133" t="s" s="44">
        <f>AH105</f>
        <v>73</v>
      </c>
      <c r="AJ133" t="s" s="44">
        <f>AI105</f>
        <v>74</v>
      </c>
      <c r="AK133" t="s" s="44">
        <f>AJ105</f>
        <v>75</v>
      </c>
      <c r="AL133" s="15">
        <f>AM131</f>
        <v>-114.1</v>
      </c>
      <c r="AM133" t="s" s="44">
        <f>AM105</f>
        <v>372</v>
      </c>
      <c r="AN133" t="s" s="44">
        <v>123</v>
      </c>
      <c r="AO133" s="15">
        <f>AM132</f>
        <v>0</v>
      </c>
      <c r="AP133" t="s" s="44">
        <f>AM105</f>
        <v>372</v>
      </c>
      <c r="AQ133" t="s" s="44">
        <v>124</v>
      </c>
      <c r="AR133" t="s" s="44">
        <v>125</v>
      </c>
      <c r="AS133" t="s" s="44">
        <f>IF(AT133&gt;0,"pay","raise")</f>
        <v>364</v>
      </c>
      <c r="AT133" s="15">
        <f>-SUM(AE76:AH76)</f>
        <v>105.290083216055</v>
      </c>
      <c r="AU133" t="s" s="44">
        <f>AM105</f>
        <v>372</v>
      </c>
      <c r="AV133" t="s" s="44">
        <v>126</v>
      </c>
    </row>
    <row r="134" ht="56.05" customHeight="1">
      <c r="AC134" s="36"/>
      <c r="AD134" s="34"/>
      <c r="AE134" t="s" s="44">
        <v>375</v>
      </c>
      <c r="AF134" s="15">
        <f>AH80</f>
        <v>1813.048265728</v>
      </c>
      <c r="AG134" t="s" s="44">
        <f>AM105</f>
        <v>372</v>
      </c>
      <c r="AH134" t="s" s="44">
        <v>128</v>
      </c>
      <c r="AI134" t="s" s="44">
        <v>129</v>
      </c>
      <c r="AJ134" s="43">
        <f>AH82</f>
        <v>0.266488887879904</v>
      </c>
      <c r="AK134" t="s" s="44">
        <v>130</v>
      </c>
      <c r="AL134" t="s" s="44">
        <v>131</v>
      </c>
      <c r="AM134" t="s" s="44">
        <v>132</v>
      </c>
      <c r="AN134" s="15">
        <f>AH85</f>
        <v>58.7659015709005</v>
      </c>
      <c r="AO134" t="s" s="44">
        <v>133</v>
      </c>
      <c r="AP134" s="16">
        <f>-AF128/AF134</f>
        <v>0</v>
      </c>
      <c r="AQ134" t="s" s="44">
        <v>134</v>
      </c>
      <c r="AR134" s="17"/>
      <c r="AS134" s="17"/>
      <c r="AT134" s="17"/>
      <c r="AU134" s="17"/>
      <c r="AV134" s="17"/>
    </row>
    <row r="135" ht="56.05" customHeight="1">
      <c r="AC135" s="36"/>
      <c r="AD135" s="34"/>
      <c r="AE135" t="s" s="44">
        <v>135</v>
      </c>
      <c r="AF135" s="15">
        <f>AH84</f>
        <v>105.290083216056</v>
      </c>
      <c r="AG135" t="s" s="44">
        <f>AG134</f>
        <v>372</v>
      </c>
      <c r="AH135" t="s" s="44">
        <v>136</v>
      </c>
      <c r="AI135" s="15">
        <f>AF134/AF135</f>
        <v>17.2195539252031</v>
      </c>
      <c r="AJ135" t="s" s="44">
        <v>130</v>
      </c>
      <c r="AK135" t="s" s="44">
        <v>137</v>
      </c>
      <c r="AL135" t="s" s="44">
        <v>138</v>
      </c>
      <c r="AM135" s="15">
        <f>AH86</f>
        <v>12</v>
      </c>
      <c r="AN135" t="s" s="44">
        <v>139</v>
      </c>
      <c r="AO135" t="s" s="44">
        <v>140</v>
      </c>
      <c r="AP135" t="s" s="44">
        <v>141</v>
      </c>
      <c r="AQ135" s="16">
        <f>AK94</f>
        <v>-0.30311783614578</v>
      </c>
      <c r="AR135" t="s" s="44">
        <f>IF(AQ135&gt;0,"higher","lower")</f>
        <v>104</v>
      </c>
      <c r="AS135" t="s" s="44">
        <v>142</v>
      </c>
      <c r="AT135" s="15">
        <f>AI94</f>
        <v>82.9289774986522</v>
      </c>
      <c r="AU135" t="s" s="44">
        <v>143</v>
      </c>
      <c r="AV135" s="17"/>
    </row>
    <row r="136" ht="20.05" customHeight="1">
      <c r="AC136" s="36"/>
      <c r="AD136" s="34"/>
      <c r="AE136" s="17"/>
      <c r="AF136" s="17"/>
      <c r="AG136" s="17"/>
      <c r="AH136" s="17"/>
      <c r="AI136" s="15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</row>
    <row r="137" ht="20.05" customHeight="1">
      <c r="AC137" t="s" s="33">
        <v>28</v>
      </c>
      <c r="AD137" s="14">
        <f>AE104</f>
        <v>155.4</v>
      </c>
      <c r="AE137" s="15">
        <f>AG104</f>
        <v>195.5</v>
      </c>
      <c r="AF137" s="15">
        <f>AI104</f>
        <v>188.6</v>
      </c>
      <c r="AG137" s="15">
        <f>AK104</f>
        <v>207.1</v>
      </c>
      <c r="AH137" s="15">
        <f>AM104</f>
        <v>206.4</v>
      </c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144</v>
      </c>
      <c r="AD138" s="14">
        <f>SUM(AE117:AE118)</f>
        <v>-8.699999999999999</v>
      </c>
      <c r="AE138" s="15">
        <f>SUM(AG117:AG118)</f>
        <v>-9.1</v>
      </c>
      <c r="AF138" s="15">
        <f>SUM(AI117:AI118)</f>
        <v>-171.2</v>
      </c>
      <c r="AG138" s="15">
        <f>SUM(AK117:AK118)</f>
        <v>-42.4</v>
      </c>
      <c r="AH138" s="15">
        <f>SUM(AM117:AM118)</f>
        <v>-150.2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145</v>
      </c>
      <c r="AD139" s="14">
        <f>SUM(AE131:AE132)</f>
        <v>-783.282</v>
      </c>
      <c r="AE139" s="15">
        <f>SUM(AG131:AG132)</f>
        <v>92.2</v>
      </c>
      <c r="AF139" s="15">
        <f>SUM(AI131:AI132)</f>
        <v>42.2</v>
      </c>
      <c r="AG139" s="15">
        <f>SUM(AK131:AK132)</f>
        <v>26.3</v>
      </c>
      <c r="AH139" s="15">
        <f>SUM(AM131:AM132)</f>
        <v>-114.1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146</v>
      </c>
      <c r="AD140" s="14">
        <f>(AE124-AE125)</f>
        <v>-3031</v>
      </c>
      <c r="AE140" s="15">
        <f>(AG124-AG125)</f>
        <v>-2240</v>
      </c>
      <c r="AF140" s="15">
        <f>(AI124-AI125)</f>
        <v>-2480</v>
      </c>
      <c r="AG140" s="15">
        <f>(AK124-AK125)</f>
        <v>-2479</v>
      </c>
      <c r="AH140" s="15">
        <f>(AM124-AM125)</f>
        <v>-2669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s="36"/>
      <c r="AD141" s="34"/>
      <c r="AE141" s="17"/>
      <c r="AF141" s="17"/>
      <c r="AG141" s="17"/>
      <c r="AH141" s="15">
        <f>AT135</f>
        <v>82.9289774986522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7"/>
      <c r="AI142" s="15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</sheetData>
  <mergeCells count="2">
    <mergeCell ref="B2:AB2"/>
    <mergeCell ref="AC46:AV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6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V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22" customWidth="1"/>
    <col min="2" max="28" width="10.4844" style="322" customWidth="1"/>
    <col min="29" max="29" width="18.9766" style="323" customWidth="1"/>
    <col min="30" max="48" width="9" style="323" customWidth="1"/>
    <col min="49" max="16384" width="16.3516" style="323" customWidth="1"/>
  </cols>
  <sheetData>
    <row r="1" ht="11.65" customHeight="1"/>
    <row r="2" ht="27.65" customHeight="1">
      <c r="B2" t="s" s="2">
        <v>681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ht="32.25" customHeight="1">
      <c r="B3" t="s" s="3">
        <v>366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338</v>
      </c>
      <c r="AA3" t="s" s="3">
        <v>19</v>
      </c>
      <c r="AB3" t="s" s="3">
        <v>20</v>
      </c>
    </row>
    <row r="4" ht="20.25" customHeight="1">
      <c r="B4" s="6">
        <v>2017</v>
      </c>
      <c r="C4" s="7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9"/>
      <c r="Q4" s="9"/>
      <c r="R4" s="9"/>
      <c r="S4" s="9"/>
      <c r="T4" s="9"/>
      <c r="U4" s="9"/>
      <c r="V4" s="8">
        <f>-(L4+M4)</f>
        <v>0</v>
      </c>
      <c r="W4" s="9"/>
      <c r="X4" s="8">
        <f>F4-G4</f>
        <v>0</v>
      </c>
      <c r="Y4" s="9"/>
      <c r="Z4" s="73"/>
      <c r="AA4" s="11"/>
      <c r="AB4" s="12">
        <v>13.3</v>
      </c>
    </row>
    <row r="5" ht="20.05" customHeight="1">
      <c r="B5" s="13"/>
      <c r="C5" s="14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6"/>
      <c r="Q5" s="17"/>
      <c r="R5" s="17"/>
      <c r="S5" s="17"/>
      <c r="T5" s="17"/>
      <c r="U5" s="17"/>
      <c r="V5" s="15">
        <f>-(L5+M5)+V4</f>
        <v>0</v>
      </c>
      <c r="W5" s="17"/>
      <c r="X5" s="15">
        <f>F5-G5</f>
        <v>0</v>
      </c>
      <c r="Y5" s="17"/>
      <c r="Z5" s="24"/>
      <c r="AA5" s="19"/>
      <c r="AB5" s="20">
        <v>13.327</v>
      </c>
    </row>
    <row r="6" ht="20.05" customHeight="1">
      <c r="B6" s="13"/>
      <c r="C6" s="14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6"/>
      <c r="Q6" s="17"/>
      <c r="R6" s="17"/>
      <c r="S6" s="17"/>
      <c r="T6" s="17"/>
      <c r="U6" s="17"/>
      <c r="V6" s="15">
        <f>-(L6+M6)+V5</f>
        <v>0</v>
      </c>
      <c r="W6" s="17"/>
      <c r="X6" s="15">
        <f>F6-G6</f>
        <v>0</v>
      </c>
      <c r="Y6" s="17"/>
      <c r="Z6" s="24"/>
      <c r="AA6" s="19"/>
      <c r="AB6" s="20">
        <v>13.305</v>
      </c>
    </row>
    <row r="7" ht="20.05" customHeight="1">
      <c r="B7" s="13"/>
      <c r="C7" s="14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6"/>
      <c r="Q7" s="17"/>
      <c r="R7" s="17"/>
      <c r="S7" s="17"/>
      <c r="T7" s="17"/>
      <c r="U7" s="17"/>
      <c r="V7" s="15">
        <f>-(L7+M7)+V6</f>
        <v>0</v>
      </c>
      <c r="W7" s="17"/>
      <c r="X7" s="15">
        <f>F7-G7</f>
        <v>0</v>
      </c>
      <c r="Y7" s="17"/>
      <c r="Z7" s="24"/>
      <c r="AA7" s="19"/>
      <c r="AB7" s="20">
        <v>13.557</v>
      </c>
    </row>
    <row r="8" ht="20.05" customHeight="1">
      <c r="B8" s="21">
        <v>2018</v>
      </c>
      <c r="C8" s="14">
        <v>418.5</v>
      </c>
      <c r="D8" s="15">
        <v>10</v>
      </c>
      <c r="E8" s="15">
        <v>-9</v>
      </c>
      <c r="F8" s="15">
        <v>19</v>
      </c>
      <c r="G8" s="15">
        <v>0</v>
      </c>
      <c r="H8" s="15">
        <v>0</v>
      </c>
      <c r="I8" s="15">
        <v>422.5</v>
      </c>
      <c r="J8" s="15">
        <v>7.4</v>
      </c>
      <c r="K8" s="15">
        <v>-6.4</v>
      </c>
      <c r="L8" s="15">
        <v>-6</v>
      </c>
      <c r="M8" s="15">
        <v>0</v>
      </c>
      <c r="N8" s="15">
        <f>SUM(C5:C8)/4</f>
        <v>104.625</v>
      </c>
      <c r="O8" s="15"/>
      <c r="P8" s="16"/>
      <c r="Q8" s="16">
        <f>J8/I8</f>
        <v>0.0175147928994083</v>
      </c>
      <c r="R8" s="16"/>
      <c r="S8" s="17"/>
      <c r="T8" s="15">
        <f>SUM(J5:K8)/4</f>
        <v>0.25</v>
      </c>
      <c r="U8" s="25"/>
      <c r="V8" s="15">
        <f>-(L8+M8)+V7</f>
        <v>6</v>
      </c>
      <c r="W8" s="17"/>
      <c r="X8" s="15">
        <f>F8-G8</f>
        <v>19</v>
      </c>
      <c r="Y8" s="24"/>
      <c r="Z8" s="15">
        <v>422</v>
      </c>
      <c r="AA8" s="22"/>
      <c r="AB8" s="20">
        <v>13.761</v>
      </c>
    </row>
    <row r="9" ht="20.05" customHeight="1">
      <c r="B9" s="13"/>
      <c r="C9" s="14">
        <v>418.5</v>
      </c>
      <c r="D9" s="15">
        <v>10</v>
      </c>
      <c r="E9" s="15">
        <v>-9</v>
      </c>
      <c r="F9" s="15">
        <v>14</v>
      </c>
      <c r="G9" s="15">
        <v>587.5</v>
      </c>
      <c r="H9" s="15">
        <v>982</v>
      </c>
      <c r="I9" s="15">
        <v>422.5</v>
      </c>
      <c r="J9" s="15">
        <v>7.4</v>
      </c>
      <c r="K9" s="15">
        <v>-6.4</v>
      </c>
      <c r="L9" s="15">
        <v>-6</v>
      </c>
      <c r="M9" s="15">
        <v>0</v>
      </c>
      <c r="N9" s="15">
        <f>SUM(C6:C9)/4</f>
        <v>209.25</v>
      </c>
      <c r="O9" s="15"/>
      <c r="P9" s="16"/>
      <c r="Q9" s="16">
        <f>J9/I9</f>
        <v>0.0175147928994083</v>
      </c>
      <c r="R9" s="16"/>
      <c r="S9" s="17"/>
      <c r="T9" s="15">
        <f>SUM(J6:K9)/4</f>
        <v>0.5</v>
      </c>
      <c r="U9" s="25"/>
      <c r="V9" s="15">
        <f>-(L9+M9)+V8</f>
        <v>12</v>
      </c>
      <c r="W9" s="17"/>
      <c r="X9" s="15">
        <f>F13-G9</f>
        <v>-487.8</v>
      </c>
      <c r="Y9" s="24"/>
      <c r="Z9" s="15">
        <v>406</v>
      </c>
      <c r="AA9" s="22"/>
      <c r="AB9" s="20">
        <v>14</v>
      </c>
    </row>
    <row r="10" ht="20.05" customHeight="1">
      <c r="B10" s="13"/>
      <c r="C10" s="14">
        <v>633</v>
      </c>
      <c r="D10" s="15">
        <v>10</v>
      </c>
      <c r="E10" s="15">
        <v>68.7</v>
      </c>
      <c r="F10" s="15">
        <v>66</v>
      </c>
      <c r="G10" s="15">
        <v>423.7</v>
      </c>
      <c r="H10" s="15">
        <v>1045.7</v>
      </c>
      <c r="I10" s="15">
        <v>594</v>
      </c>
      <c r="J10" s="15">
        <v>46.4</v>
      </c>
      <c r="K10" s="15">
        <v>-21.4</v>
      </c>
      <c r="L10" s="15">
        <v>-131</v>
      </c>
      <c r="M10" s="15">
        <v>158</v>
      </c>
      <c r="N10" s="15">
        <f>SUM(C7:C10)/4</f>
        <v>367.5</v>
      </c>
      <c r="O10" s="15"/>
      <c r="P10" s="16">
        <f>C10/C9-1</f>
        <v>0.512544802867384</v>
      </c>
      <c r="Q10" s="16">
        <f>J10/I10</f>
        <v>0.07811447811447809</v>
      </c>
      <c r="R10" s="16"/>
      <c r="S10" s="17"/>
      <c r="T10" s="15">
        <f>SUM(J7:K10)/4</f>
        <v>6.75</v>
      </c>
      <c r="U10" s="25"/>
      <c r="V10" s="15">
        <f>-(L10+M10)+V9</f>
        <v>-15</v>
      </c>
      <c r="W10" s="17"/>
      <c r="X10" s="15">
        <f>F10-G10</f>
        <v>-357.7</v>
      </c>
      <c r="Y10" s="24"/>
      <c r="Z10" s="15">
        <v>895</v>
      </c>
      <c r="AA10" s="22"/>
      <c r="AB10" s="20">
        <v>14.902</v>
      </c>
    </row>
    <row r="11" ht="20.05" customHeight="1">
      <c r="B11" s="13"/>
      <c r="C11" s="14">
        <v>531</v>
      </c>
      <c r="D11" s="15">
        <v>10</v>
      </c>
      <c r="E11" s="15">
        <v>33.5</v>
      </c>
      <c r="F11" s="15">
        <v>114.4</v>
      </c>
      <c r="G11" s="15">
        <v>412.3</v>
      </c>
      <c r="H11" s="15">
        <v>1078</v>
      </c>
      <c r="I11" s="15">
        <v>556</v>
      </c>
      <c r="J11" s="15">
        <v>61.7</v>
      </c>
      <c r="K11" s="15">
        <v>-33.1</v>
      </c>
      <c r="L11" s="15">
        <v>19.8</v>
      </c>
      <c r="M11" s="15">
        <v>0</v>
      </c>
      <c r="N11" s="15">
        <f>SUM(C8:C11)/4</f>
        <v>500.25</v>
      </c>
      <c r="O11" s="15"/>
      <c r="P11" s="16">
        <f>C11/C10-1</f>
        <v>-0.161137440758294</v>
      </c>
      <c r="Q11" s="16">
        <f>J11/I11</f>
        <v>0.110971223021583</v>
      </c>
      <c r="R11" s="16"/>
      <c r="S11" s="17"/>
      <c r="T11" s="15">
        <f>SUM(J8:K11)/4</f>
        <v>13.9</v>
      </c>
      <c r="U11" s="25"/>
      <c r="V11" s="15">
        <f>-(L11+M11)+V10</f>
        <v>-34.8</v>
      </c>
      <c r="W11" s="17"/>
      <c r="X11" s="15">
        <f>F11-G11</f>
        <v>-297.9</v>
      </c>
      <c r="Y11" s="24"/>
      <c r="Z11" s="15">
        <v>890</v>
      </c>
      <c r="AA11" s="22"/>
      <c r="AB11" s="20">
        <v>14.38</v>
      </c>
    </row>
    <row r="12" ht="20.05" customHeight="1">
      <c r="B12" s="21">
        <v>2019</v>
      </c>
      <c r="C12" s="14">
        <v>444</v>
      </c>
      <c r="D12" s="15">
        <v>10.5</v>
      </c>
      <c r="E12" s="15">
        <v>7.1</v>
      </c>
      <c r="F12" s="15">
        <v>105.4</v>
      </c>
      <c r="G12" s="15">
        <v>394.6</v>
      </c>
      <c r="H12" s="15">
        <v>1067.6</v>
      </c>
      <c r="I12" s="15">
        <v>433</v>
      </c>
      <c r="J12" s="15">
        <v>33.8</v>
      </c>
      <c r="K12" s="15">
        <v>-29.7</v>
      </c>
      <c r="L12" s="15">
        <v>-13.1</v>
      </c>
      <c r="M12" s="15">
        <v>0</v>
      </c>
      <c r="N12" s="15">
        <f>SUM(C9:C12)/4</f>
        <v>506.625</v>
      </c>
      <c r="O12" s="23"/>
      <c r="P12" s="16">
        <f>C12/C11-1</f>
        <v>-0.163841807909605</v>
      </c>
      <c r="Q12" s="16">
        <f>J12/I12</f>
        <v>0.0780600461893764</v>
      </c>
      <c r="R12" s="16">
        <f>AVERAGE(Q9:Q12)</f>
        <v>0.0711651350562115</v>
      </c>
      <c r="S12" s="17"/>
      <c r="T12" s="15">
        <f>SUM(J9:K12)/4</f>
        <v>14.675</v>
      </c>
      <c r="U12" s="25"/>
      <c r="V12" s="15">
        <f>-(L12+M12)+V11</f>
        <v>-21.7</v>
      </c>
      <c r="W12" s="17"/>
      <c r="X12" s="15">
        <f>F12-G12</f>
        <v>-289.2</v>
      </c>
      <c r="Y12" s="24"/>
      <c r="Z12" s="15">
        <v>875</v>
      </c>
      <c r="AA12" s="22"/>
      <c r="AB12" s="20">
        <v>14.24</v>
      </c>
    </row>
    <row r="13" ht="20.05" customHeight="1">
      <c r="B13" s="13"/>
      <c r="C13" s="14">
        <v>373</v>
      </c>
      <c r="D13" s="15">
        <v>10.5</v>
      </c>
      <c r="E13" s="15">
        <v>-7.5</v>
      </c>
      <c r="F13" s="15">
        <v>99.7</v>
      </c>
      <c r="G13" s="15">
        <v>522.1</v>
      </c>
      <c r="H13" s="15">
        <v>1166.4</v>
      </c>
      <c r="I13" s="15">
        <v>366</v>
      </c>
      <c r="J13" s="15">
        <v>-20.1</v>
      </c>
      <c r="K13" s="15">
        <v>-78.7</v>
      </c>
      <c r="L13" s="15">
        <v>114.1</v>
      </c>
      <c r="M13" s="15">
        <v>-21</v>
      </c>
      <c r="N13" s="15">
        <f>SUM(C10:C13)/4</f>
        <v>495.25</v>
      </c>
      <c r="O13" s="23"/>
      <c r="P13" s="16">
        <f>C13/C12-1</f>
        <v>-0.15990990990991</v>
      </c>
      <c r="Q13" s="16">
        <f>J13/I13</f>
        <v>-0.0549180327868852</v>
      </c>
      <c r="R13" s="16">
        <f>AVERAGE(Q10:Q13)</f>
        <v>0.0530569286346381</v>
      </c>
      <c r="S13" s="17"/>
      <c r="T13" s="15">
        <f>SUM(J10:K13)/4</f>
        <v>-10.275</v>
      </c>
      <c r="U13" s="25"/>
      <c r="V13" s="15">
        <f>-(L13+M13)+V12</f>
        <v>-114.8</v>
      </c>
      <c r="W13" s="17"/>
      <c r="X13" s="15">
        <f>F13-G13</f>
        <v>-422.4</v>
      </c>
      <c r="Y13" s="24"/>
      <c r="Z13" s="15">
        <v>880</v>
      </c>
      <c r="AA13" s="24"/>
      <c r="AB13" s="15">
        <v>14.127</v>
      </c>
    </row>
    <row r="14" ht="20.05" customHeight="1">
      <c r="B14" s="13"/>
      <c r="C14" s="14">
        <v>550</v>
      </c>
      <c r="D14" s="15">
        <v>10.5</v>
      </c>
      <c r="E14" s="15">
        <v>30.4</v>
      </c>
      <c r="F14" s="15">
        <v>178.9</v>
      </c>
      <c r="G14" s="15">
        <v>645.4</v>
      </c>
      <c r="H14" s="15">
        <v>1319.8</v>
      </c>
      <c r="I14" s="15">
        <v>550</v>
      </c>
      <c r="J14" s="15">
        <v>67</v>
      </c>
      <c r="K14" s="15">
        <v>-90.40000000000001</v>
      </c>
      <c r="L14" s="15">
        <v>102.7</v>
      </c>
      <c r="M14" s="15">
        <v>-0.1</v>
      </c>
      <c r="N14" s="15">
        <f>SUM(C11:C14)/4</f>
        <v>474.5</v>
      </c>
      <c r="O14" s="23"/>
      <c r="P14" s="16">
        <f>C14/C13-1</f>
        <v>0.474530831099196</v>
      </c>
      <c r="Q14" s="16">
        <f>J14/I14</f>
        <v>0.121818181818182</v>
      </c>
      <c r="R14" s="16">
        <f>AVERAGE(Q11:Q14)</f>
        <v>0.0639828545605641</v>
      </c>
      <c r="S14" s="17"/>
      <c r="T14" s="15">
        <f>SUM(J11:K14)/4</f>
        <v>-22.375</v>
      </c>
      <c r="U14" s="25"/>
      <c r="V14" s="15">
        <f>-(L14+M14)+V13</f>
        <v>-217.4</v>
      </c>
      <c r="W14" s="17"/>
      <c r="X14" s="15">
        <f>F14-G14</f>
        <v>-466.5</v>
      </c>
      <c r="Y14" s="24"/>
      <c r="Z14" s="15">
        <v>885</v>
      </c>
      <c r="AA14" s="24"/>
      <c r="AB14" s="15">
        <v>14.195</v>
      </c>
    </row>
    <row r="15" ht="20.05" customHeight="1">
      <c r="B15" s="13"/>
      <c r="C15" s="14">
        <v>587</v>
      </c>
      <c r="D15" s="15">
        <v>10.5</v>
      </c>
      <c r="E15" s="15">
        <v>-4.4</v>
      </c>
      <c r="F15" s="15">
        <v>98.59999999999999</v>
      </c>
      <c r="G15" s="15">
        <v>658.7</v>
      </c>
      <c r="H15" s="15">
        <v>1360</v>
      </c>
      <c r="I15" s="15">
        <v>625</v>
      </c>
      <c r="J15" s="15">
        <v>13.1</v>
      </c>
      <c r="K15" s="15">
        <v>-121.2</v>
      </c>
      <c r="L15" s="15">
        <v>0.4</v>
      </c>
      <c r="M15" s="15">
        <v>27.4</v>
      </c>
      <c r="N15" s="15">
        <f>SUM(C12:C15)/4</f>
        <v>488.5</v>
      </c>
      <c r="O15" s="15"/>
      <c r="P15" s="16">
        <f>C15/C14-1</f>
        <v>0.0672727272727273</v>
      </c>
      <c r="Q15" s="16">
        <f>J15/I15</f>
        <v>0.02096</v>
      </c>
      <c r="R15" s="16">
        <f>AVERAGE(Q12:Q15)</f>
        <v>0.0414800488051683</v>
      </c>
      <c r="S15" s="17"/>
      <c r="T15" s="15">
        <f>SUM(J12:K15)/4</f>
        <v>-56.55</v>
      </c>
      <c r="U15" s="25"/>
      <c r="V15" s="15">
        <f>-(L15+M15)+V14</f>
        <v>-245.2</v>
      </c>
      <c r="W15" s="17"/>
      <c r="X15" s="15">
        <f>F15-G15</f>
        <v>-560.1</v>
      </c>
      <c r="Y15" s="24"/>
      <c r="Z15" s="15">
        <v>635</v>
      </c>
      <c r="AA15" s="24"/>
      <c r="AB15" s="15">
        <v>13.882</v>
      </c>
    </row>
    <row r="16" ht="20.05" customHeight="1">
      <c r="B16" s="21">
        <v>2020</v>
      </c>
      <c r="C16" s="14">
        <v>600</v>
      </c>
      <c r="D16" s="15">
        <v>17.075</v>
      </c>
      <c r="E16" s="15">
        <v>-16</v>
      </c>
      <c r="F16" s="15">
        <v>115.27</v>
      </c>
      <c r="G16" s="15">
        <v>710.7</v>
      </c>
      <c r="H16" s="15">
        <v>1394.7</v>
      </c>
      <c r="I16" s="15">
        <v>596</v>
      </c>
      <c r="J16" s="15">
        <v>2.07</v>
      </c>
      <c r="K16" s="15">
        <v>-23.9</v>
      </c>
      <c r="L16" s="15">
        <v>39.7</v>
      </c>
      <c r="M16" s="15">
        <v>-1.2</v>
      </c>
      <c r="N16" s="15">
        <f>SUM(C13:C16)/4</f>
        <v>527.5</v>
      </c>
      <c r="O16" s="15"/>
      <c r="P16" s="16">
        <f>C16/C15-1</f>
        <v>0.0221465076660988</v>
      </c>
      <c r="Q16" s="16">
        <f>J16/I16</f>
        <v>0.00347315436241611</v>
      </c>
      <c r="R16" s="16">
        <f>AVERAGE(Q13:Q16)</f>
        <v>0.0228333258484282</v>
      </c>
      <c r="S16" s="17"/>
      <c r="T16" s="15">
        <f>SUM(J13:K16)/4</f>
        <v>-63.0325</v>
      </c>
      <c r="U16" s="25"/>
      <c r="V16" s="15">
        <f>-(L16+M16)+V15</f>
        <v>-283.7</v>
      </c>
      <c r="W16" s="17"/>
      <c r="X16" s="15">
        <f>F16-G16</f>
        <v>-595.4299999999999</v>
      </c>
      <c r="Y16" s="24"/>
      <c r="Z16" s="15">
        <v>680</v>
      </c>
      <c r="AA16" s="24"/>
      <c r="AB16" s="15">
        <v>16.31</v>
      </c>
    </row>
    <row r="17" ht="20.05" customHeight="1">
      <c r="B17" s="13"/>
      <c r="C17" s="14">
        <v>685</v>
      </c>
      <c r="D17" s="15">
        <v>17.075</v>
      </c>
      <c r="E17" s="15">
        <v>-16</v>
      </c>
      <c r="F17" s="15">
        <v>82.40000000000001</v>
      </c>
      <c r="G17" s="15">
        <v>736</v>
      </c>
      <c r="H17" s="15">
        <v>1380</v>
      </c>
      <c r="I17" s="15">
        <v>671</v>
      </c>
      <c r="J17" s="15">
        <v>26.53</v>
      </c>
      <c r="K17" s="15">
        <v>-22.3</v>
      </c>
      <c r="L17" s="15">
        <v>-13</v>
      </c>
      <c r="M17" s="15">
        <v>-24.1</v>
      </c>
      <c r="N17" s="15">
        <f>SUM(C14:C17)/4</f>
        <v>605.5</v>
      </c>
      <c r="O17" s="15"/>
      <c r="P17" s="16">
        <f>C17/C16-1</f>
        <v>0.141666666666667</v>
      </c>
      <c r="Q17" s="16">
        <f>J17/I17</f>
        <v>0.0395380029806259</v>
      </c>
      <c r="R17" s="16">
        <f>AVERAGE(Q14:Q17)</f>
        <v>0.046447334790306</v>
      </c>
      <c r="S17" s="17"/>
      <c r="T17" s="25">
        <f>SUM(J14:K17)/4</f>
        <v>-37.275</v>
      </c>
      <c r="U17" s="25"/>
      <c r="V17" s="15">
        <f>-(L17+M17)+V16</f>
        <v>-246.6</v>
      </c>
      <c r="W17" s="17"/>
      <c r="X17" s="15">
        <f>F17-G17</f>
        <v>-653.6</v>
      </c>
      <c r="Y17" s="24"/>
      <c r="Z17" s="15">
        <v>800</v>
      </c>
      <c r="AA17" s="24"/>
      <c r="AB17" s="15">
        <v>14.255</v>
      </c>
    </row>
    <row r="18" ht="20.05" customHeight="1">
      <c r="B18" s="13"/>
      <c r="C18" s="14">
        <v>1251</v>
      </c>
      <c r="D18" s="15">
        <v>17.075</v>
      </c>
      <c r="E18" s="15">
        <v>-2.5</v>
      </c>
      <c r="F18" s="15">
        <v>78.2</v>
      </c>
      <c r="G18" s="15">
        <v>851.1</v>
      </c>
      <c r="H18" s="15">
        <v>1489.2</v>
      </c>
      <c r="I18" s="15">
        <v>1246</v>
      </c>
      <c r="J18" s="15">
        <v>17.9</v>
      </c>
      <c r="K18" s="15">
        <v>-18.7</v>
      </c>
      <c r="L18" s="15">
        <v>0.1</v>
      </c>
      <c r="M18" s="15">
        <v>-3.5</v>
      </c>
      <c r="N18" s="15">
        <f>SUM(C15:C18)/4</f>
        <v>780.75</v>
      </c>
      <c r="O18" s="15"/>
      <c r="P18" s="16">
        <f>C18/C17-1</f>
        <v>0.826277372262774</v>
      </c>
      <c r="Q18" s="16">
        <f>J18/I18</f>
        <v>0.0143659711075441</v>
      </c>
      <c r="R18" s="16">
        <f>AVERAGE(Q15:Q18)</f>
        <v>0.0195842821126465</v>
      </c>
      <c r="S18" s="17"/>
      <c r="T18" s="25">
        <f>SUM(J15:K18)/4</f>
        <v>-31.625</v>
      </c>
      <c r="U18" s="25"/>
      <c r="V18" s="15">
        <f>-(L18+M18)+V17</f>
        <v>-243.2</v>
      </c>
      <c r="W18" s="17"/>
      <c r="X18" s="15">
        <f>F18-G18</f>
        <v>-772.9</v>
      </c>
      <c r="Y18" s="24"/>
      <c r="Z18" s="15">
        <v>815</v>
      </c>
      <c r="AA18" s="24"/>
      <c r="AB18" s="15">
        <v>14.79</v>
      </c>
    </row>
    <row r="19" ht="20.05" customHeight="1">
      <c r="B19" s="13"/>
      <c r="C19" s="14">
        <v>1571</v>
      </c>
      <c r="D19" s="15">
        <v>17.075</v>
      </c>
      <c r="E19" s="15">
        <v>-15.5</v>
      </c>
      <c r="F19" s="15">
        <v>26.4</v>
      </c>
      <c r="G19" s="15">
        <v>810.5</v>
      </c>
      <c r="H19" s="15">
        <v>1434</v>
      </c>
      <c r="I19" s="15">
        <v>1564</v>
      </c>
      <c r="J19" s="15">
        <v>-127.1</v>
      </c>
      <c r="K19" s="15">
        <v>-7.3</v>
      </c>
      <c r="L19" s="15">
        <v>76.90000000000001</v>
      </c>
      <c r="M19" s="15">
        <v>5.7</v>
      </c>
      <c r="N19" s="15">
        <f>SUM(C16:C19)/4</f>
        <v>1026.75</v>
      </c>
      <c r="O19" s="15"/>
      <c r="P19" s="16">
        <f>C19/C18-1</f>
        <v>0.255795363709033</v>
      </c>
      <c r="Q19" s="16">
        <f>J19/I19</f>
        <v>-0.0812659846547315</v>
      </c>
      <c r="R19" s="16">
        <f>AVERAGE(Q16:Q19)</f>
        <v>-0.00597221405103635</v>
      </c>
      <c r="S19" s="17"/>
      <c r="T19" s="25">
        <f>SUM(J16:K19)/4</f>
        <v>-38.2</v>
      </c>
      <c r="U19" s="25"/>
      <c r="V19" s="15">
        <f>-(L19+M19)+V18</f>
        <v>-325.8</v>
      </c>
      <c r="W19" s="17"/>
      <c r="X19" s="15">
        <f>F19-G19</f>
        <v>-784.1</v>
      </c>
      <c r="Y19" s="24"/>
      <c r="Z19" s="15">
        <v>755</v>
      </c>
      <c r="AA19" s="24"/>
      <c r="AB19" s="15">
        <v>14.1</v>
      </c>
    </row>
    <row r="20" ht="20.05" customHeight="1">
      <c r="B20" s="21">
        <v>2021</v>
      </c>
      <c r="C20" s="14">
        <v>1235</v>
      </c>
      <c r="D20" s="15">
        <v>21.4</v>
      </c>
      <c r="E20" s="15">
        <v>-21.6</v>
      </c>
      <c r="F20" s="15">
        <v>263.4</v>
      </c>
      <c r="G20" s="15">
        <v>1101.7</v>
      </c>
      <c r="H20" s="15">
        <v>1703.5</v>
      </c>
      <c r="I20" s="15">
        <v>1129</v>
      </c>
      <c r="J20" s="15">
        <v>-60.3</v>
      </c>
      <c r="K20" s="15">
        <v>-17.5</v>
      </c>
      <c r="L20" s="15">
        <v>314.8</v>
      </c>
      <c r="M20" s="15">
        <v>0</v>
      </c>
      <c r="N20" s="15">
        <f>SUM(C17:C20)/4</f>
        <v>1185.5</v>
      </c>
      <c r="O20" s="15"/>
      <c r="P20" s="16">
        <f>C20/C19-1</f>
        <v>-0.213876511775939</v>
      </c>
      <c r="Q20" s="16">
        <f>J20/I20</f>
        <v>-0.0534100974313552</v>
      </c>
      <c r="R20" s="16">
        <f>AVERAGE(Q17:Q20)</f>
        <v>-0.0201930269994792</v>
      </c>
      <c r="S20" s="17"/>
      <c r="T20" s="25">
        <f>SUM(J17:K20)/4</f>
        <v>-52.1925</v>
      </c>
      <c r="U20" s="25"/>
      <c r="V20" s="15">
        <f>-(L20+M20)+V19</f>
        <v>-640.6</v>
      </c>
      <c r="W20" s="17"/>
      <c r="X20" s="15">
        <f>F20-G20</f>
        <v>-838.3</v>
      </c>
      <c r="Y20" s="15"/>
      <c r="Z20" s="15">
        <v>685</v>
      </c>
      <c r="AA20" s="15"/>
      <c r="AB20" s="15">
        <v>14.606</v>
      </c>
    </row>
    <row r="21" ht="20.05" customHeight="1">
      <c r="B21" s="13"/>
      <c r="C21" s="14">
        <v>1421</v>
      </c>
      <c r="D21" s="15">
        <v>21.4</v>
      </c>
      <c r="E21" s="15">
        <v>24.3</v>
      </c>
      <c r="F21" s="15">
        <v>114.6</v>
      </c>
      <c r="G21" s="15">
        <v>1138.5</v>
      </c>
      <c r="H21" s="15">
        <v>1758.9</v>
      </c>
      <c r="I21" s="15">
        <v>1530</v>
      </c>
      <c r="J21" s="15">
        <v>-176.3</v>
      </c>
      <c r="K21" s="15">
        <v>-7.4</v>
      </c>
      <c r="L21" s="15">
        <v>40.6</v>
      </c>
      <c r="M21" s="15">
        <v>-5.7</v>
      </c>
      <c r="N21" s="15">
        <f>SUM(C18:C21)/4</f>
        <v>1369.5</v>
      </c>
      <c r="O21" s="15"/>
      <c r="P21" s="16">
        <f>C21/C20-1</f>
        <v>0.150607287449393</v>
      </c>
      <c r="Q21" s="16">
        <f>J21/I21</f>
        <v>-0.115228758169935</v>
      </c>
      <c r="R21" s="16">
        <f>AVERAGE(Q18:Q21)</f>
        <v>-0.0588847172871194</v>
      </c>
      <c r="S21" s="17"/>
      <c r="T21" s="25">
        <f>SUM(J18:K21)/4</f>
        <v>-99.175</v>
      </c>
      <c r="U21" s="25"/>
      <c r="V21" s="15">
        <f>-(L21+M21)+V20</f>
        <v>-675.5</v>
      </c>
      <c r="W21" s="17"/>
      <c r="X21" s="15">
        <f>F21-G21</f>
        <v>-1023.9</v>
      </c>
      <c r="Y21" s="15"/>
      <c r="Z21" s="15">
        <v>755</v>
      </c>
      <c r="AA21" s="15"/>
      <c r="AB21" s="15">
        <v>14.45</v>
      </c>
    </row>
    <row r="22" ht="20.05" customHeight="1">
      <c r="B22" s="13"/>
      <c r="C22" s="14">
        <v>2113.9</v>
      </c>
      <c r="D22" s="15">
        <v>21.4</v>
      </c>
      <c r="E22" s="15">
        <v>54.5</v>
      </c>
      <c r="F22" s="15">
        <v>211.9</v>
      </c>
      <c r="G22" s="15">
        <v>1306.754</v>
      </c>
      <c r="H22" s="15">
        <v>1981.87</v>
      </c>
      <c r="I22" s="15">
        <v>2370.3</v>
      </c>
      <c r="J22" s="15">
        <v>164.5</v>
      </c>
      <c r="K22" s="15">
        <v>-7.2</v>
      </c>
      <c r="L22" s="15">
        <v>-60</v>
      </c>
      <c r="M22" s="15">
        <v>0</v>
      </c>
      <c r="N22" s="15">
        <f>SUM(C19:C22)/4</f>
        <v>1585.225</v>
      </c>
      <c r="O22" s="15"/>
      <c r="P22" s="16">
        <f>C22/C21-1</f>
        <v>0.487614356087262</v>
      </c>
      <c r="Q22" s="16">
        <f>J22/I22</f>
        <v>0.0694004978272792</v>
      </c>
      <c r="R22" s="16">
        <f>AVERAGE(Q19:Q22)</f>
        <v>-0.0451260856071856</v>
      </c>
      <c r="S22" s="17"/>
      <c r="T22" s="25">
        <f>SUM(J19:K22)/4</f>
        <v>-59.65</v>
      </c>
      <c r="U22" s="25"/>
      <c r="V22" s="15">
        <f>-(L22+M22)+V21</f>
        <v>-615.5</v>
      </c>
      <c r="W22" s="17"/>
      <c r="X22" s="15">
        <f>F22-G22</f>
        <v>-1094.854</v>
      </c>
      <c r="Y22" s="15"/>
      <c r="Z22" s="15">
        <v>965</v>
      </c>
      <c r="AA22" s="15"/>
      <c r="AB22" s="15">
        <v>14.328</v>
      </c>
    </row>
    <row r="23" ht="20.05" customHeight="1">
      <c r="B23" s="13"/>
      <c r="C23" s="14">
        <v>2543.2</v>
      </c>
      <c r="D23" s="15">
        <v>21.4</v>
      </c>
      <c r="E23" s="15">
        <v>32.6</v>
      </c>
      <c r="F23" s="15">
        <v>91</v>
      </c>
      <c r="G23" s="15">
        <v>1110</v>
      </c>
      <c r="H23" s="15">
        <v>1820</v>
      </c>
      <c r="I23" s="15">
        <v>2302.8</v>
      </c>
      <c r="J23" s="15">
        <v>-26.8</v>
      </c>
      <c r="K23" s="15">
        <v>-41.8</v>
      </c>
      <c r="L23" s="15">
        <v>-58</v>
      </c>
      <c r="M23" s="15">
        <v>5.7</v>
      </c>
      <c r="N23" s="15">
        <f>SUM(C20:C23)/4</f>
        <v>1828.275</v>
      </c>
      <c r="O23" s="15"/>
      <c r="P23" s="16">
        <f>C23/C22-1</f>
        <v>0.203084346468613</v>
      </c>
      <c r="Q23" s="16">
        <f>J23/I23</f>
        <v>-0.0116380059058537</v>
      </c>
      <c r="R23" s="16">
        <f>AVERAGE(Q20:Q23)</f>
        <v>-0.0277190909199662</v>
      </c>
      <c r="S23" s="17"/>
      <c r="T23" s="25">
        <f>SUM(J20:K23)/4</f>
        <v>-43.2</v>
      </c>
      <c r="U23" s="25"/>
      <c r="V23" s="15">
        <f>-(L23+M23)+V22</f>
        <v>-563.2</v>
      </c>
      <c r="W23" s="17"/>
      <c r="X23" s="15">
        <f>F23-G23</f>
        <v>-1019</v>
      </c>
      <c r="Y23" s="15"/>
      <c r="Z23" s="15">
        <v>850</v>
      </c>
      <c r="AA23" s="15"/>
      <c r="AB23" s="15">
        <v>14.275</v>
      </c>
    </row>
    <row r="24" ht="20.05" customHeight="1">
      <c r="B24" s="21">
        <v>2022</v>
      </c>
      <c r="C24" s="14">
        <v>2223.9</v>
      </c>
      <c r="D24" s="15">
        <v>22.3</v>
      </c>
      <c r="E24" s="15">
        <v>6.6</v>
      </c>
      <c r="F24" s="15">
        <v>109.2</v>
      </c>
      <c r="G24" s="15">
        <v>1472</v>
      </c>
      <c r="H24" s="15">
        <v>2188</v>
      </c>
      <c r="I24" s="15">
        <v>2116.5</v>
      </c>
      <c r="J24" s="15">
        <v>-281.7</v>
      </c>
      <c r="K24" s="15">
        <v>-3.1</v>
      </c>
      <c r="L24" s="15">
        <v>303</v>
      </c>
      <c r="M24" s="15">
        <v>0</v>
      </c>
      <c r="N24" s="15">
        <f>SUM(C21:C24)/4</f>
        <v>2075.5</v>
      </c>
      <c r="O24" s="15">
        <v>412.11225</v>
      </c>
      <c r="P24" s="16">
        <f>C24/C23-1</f>
        <v>-0.125550487574709</v>
      </c>
      <c r="Q24" s="16">
        <f>J24/I24</f>
        <v>-0.133097094259391</v>
      </c>
      <c r="R24" s="16">
        <f>AVERAGE(Q21:Q24)</f>
        <v>-0.0476408401269751</v>
      </c>
      <c r="S24" s="35"/>
      <c r="T24" s="25">
        <f>SUM(J21:K24)/4</f>
        <v>-94.95</v>
      </c>
      <c r="U24" s="15">
        <v>95.68870266592999</v>
      </c>
      <c r="V24" s="15">
        <f>-(L24+M24)+V23</f>
        <v>-866.2</v>
      </c>
      <c r="W24" s="15"/>
      <c r="X24" s="15">
        <f>F24-G24</f>
        <v>-1362.8</v>
      </c>
      <c r="Y24" s="15">
        <v>-776.341708008468</v>
      </c>
      <c r="Z24" s="15">
        <v>850</v>
      </c>
      <c r="AA24" s="15">
        <v>1105.832717434710</v>
      </c>
      <c r="AB24" s="15">
        <v>14.327</v>
      </c>
    </row>
    <row r="25" ht="20.05" customHeight="1">
      <c r="B25" s="13"/>
      <c r="C25" s="14">
        <v>1954.8</v>
      </c>
      <c r="D25" s="15">
        <v>21.2</v>
      </c>
      <c r="E25" s="15">
        <v>-13.9</v>
      </c>
      <c r="F25" s="15">
        <v>282.8</v>
      </c>
      <c r="G25" s="15">
        <v>1813</v>
      </c>
      <c r="H25" s="15">
        <v>2491</v>
      </c>
      <c r="I25" s="15">
        <v>1836.3</v>
      </c>
      <c r="J25" s="15">
        <v>-209.7</v>
      </c>
      <c r="K25" s="15">
        <v>-16.7</v>
      </c>
      <c r="L25" s="15">
        <v>424.7</v>
      </c>
      <c r="M25" s="15">
        <v>-24.7</v>
      </c>
      <c r="N25" s="15">
        <f>SUM(C22:C25)/4</f>
        <v>2208.95</v>
      </c>
      <c r="O25" s="15">
        <v>551.37225</v>
      </c>
      <c r="P25" s="16">
        <f>C25/C24-1</f>
        <v>-0.121003642250101</v>
      </c>
      <c r="Q25" s="16">
        <f>J25/I25</f>
        <v>-0.114197026629636</v>
      </c>
      <c r="R25" s="16">
        <f>AVERAGE(Q22:Q25)</f>
        <v>-0.0473829072419004</v>
      </c>
      <c r="S25" s="35"/>
      <c r="T25" s="25">
        <f>SUM(J22:K25)/4</f>
        <v>-105.625</v>
      </c>
      <c r="U25" s="15">
        <v>95.68870266592999</v>
      </c>
      <c r="V25" s="15">
        <f>-(L25+M25)+V24</f>
        <v>-1266.2</v>
      </c>
      <c r="W25" s="15"/>
      <c r="X25" s="15">
        <f>F25-G25</f>
        <v>-1530.2</v>
      </c>
      <c r="Y25" s="15">
        <v>-776.341708008468</v>
      </c>
      <c r="Z25" s="15">
        <v>895</v>
      </c>
      <c r="AA25" s="15">
        <v>952.675796782521</v>
      </c>
      <c r="AB25" s="15">
        <v>14.66</v>
      </c>
    </row>
    <row r="26" ht="20.05" customHeight="1">
      <c r="B26" s="13"/>
      <c r="C26" s="14">
        <v>1439.7</v>
      </c>
      <c r="D26" s="15">
        <v>25</v>
      </c>
      <c r="E26" s="15">
        <v>-54.8</v>
      </c>
      <c r="F26" s="15">
        <v>429.3</v>
      </c>
      <c r="G26" s="15">
        <v>2018</v>
      </c>
      <c r="H26" s="15">
        <v>2645</v>
      </c>
      <c r="I26" s="15">
        <v>1444</v>
      </c>
      <c r="J26" s="15">
        <v>47.6</v>
      </c>
      <c r="K26" s="15">
        <v>-48.3</v>
      </c>
      <c r="L26" s="15">
        <v>147.2</v>
      </c>
      <c r="M26" s="15">
        <v>0</v>
      </c>
      <c r="N26" s="15">
        <f>SUM(C23:C26)/4</f>
        <v>2040.4</v>
      </c>
      <c r="O26" s="15">
        <v>912.2105</v>
      </c>
      <c r="P26" s="16">
        <f>C26/C25-1</f>
        <v>-0.263505217925107</v>
      </c>
      <c r="Q26" s="16">
        <f>J26/I26</f>
        <v>0.0329639889196676</v>
      </c>
      <c r="R26" s="16">
        <f>AVERAGE(Q23:Q26)</f>
        <v>-0.0564920344688033</v>
      </c>
      <c r="S26" s="35">
        <f>S27</f>
        <v>0.0329639889196676</v>
      </c>
      <c r="T26" s="25">
        <f>SUM(J23:K26)/4</f>
        <v>-145.125</v>
      </c>
      <c r="U26" s="15">
        <v>64.585739315320</v>
      </c>
      <c r="V26" s="15">
        <f>-(L26+M26)+V25</f>
        <v>-1413.4</v>
      </c>
      <c r="W26" s="15">
        <f>W27</f>
        <v>-1298.032306313850</v>
      </c>
      <c r="X26" s="15">
        <f>F26-G26</f>
        <v>-1588.7</v>
      </c>
      <c r="Y26" s="15">
        <v>-1131.554772377950</v>
      </c>
      <c r="Z26" s="15">
        <v>835</v>
      </c>
      <c r="AA26" s="15">
        <v>952.675796782521</v>
      </c>
      <c r="AB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AVERAGE(AE53:AH53)</f>
        <v>1563.582718922250</v>
      </c>
      <c r="P27" s="17"/>
      <c r="Q27" s="17"/>
      <c r="R27" s="17"/>
      <c r="S27" s="35">
        <f>AE54</f>
        <v>0.0329639889196676</v>
      </c>
      <c r="T27" s="25"/>
      <c r="U27" s="15">
        <f>SUM(AE56:AH56)/4</f>
        <v>28.8419234215368</v>
      </c>
      <c r="V27" s="17"/>
      <c r="W27" s="15">
        <f>-SUM(AE77:AH77)+V26</f>
        <v>-1298.032306313850</v>
      </c>
      <c r="X27" s="26"/>
      <c r="Y27" s="15">
        <f>AH76</f>
        <v>-1473.332306313850</v>
      </c>
      <c r="Z27" s="15">
        <v>770</v>
      </c>
      <c r="AA27" s="15">
        <v>1302.887896477530</v>
      </c>
      <c r="AB27" s="17"/>
    </row>
    <row r="28" ht="20.05" customHeight="1">
      <c r="B28" s="21">
        <v>2023</v>
      </c>
      <c r="C28" s="14"/>
      <c r="D28" s="15"/>
      <c r="E28" s="17"/>
      <c r="F28" s="15"/>
      <c r="G28" s="15"/>
      <c r="H28" s="15"/>
      <c r="I28" s="15"/>
      <c r="J28" s="16"/>
      <c r="K28" s="15"/>
      <c r="L28" s="15"/>
      <c r="M28" s="15"/>
      <c r="N28" s="15">
        <f>SUM(N24:N26)</f>
        <v>6324.85</v>
      </c>
      <c r="O28" s="15">
        <f>SUM(O24:O26)</f>
        <v>1875.695</v>
      </c>
      <c r="P28" s="17"/>
      <c r="Q28" s="17"/>
      <c r="R28" s="17"/>
      <c r="S28" s="17"/>
      <c r="T28" s="17"/>
      <c r="U28" s="17"/>
      <c r="V28" s="17"/>
      <c r="W28" s="17"/>
      <c r="X28" s="26"/>
      <c r="Y28" s="15"/>
      <c r="Z28" s="15"/>
      <c r="AA28" s="15">
        <f>AH89</f>
        <v>589.063168072885</v>
      </c>
      <c r="AB28" s="15"/>
    </row>
    <row r="29" ht="20.05" customHeight="1">
      <c r="B29" s="13"/>
      <c r="C29" s="14"/>
      <c r="D29" s="15"/>
      <c r="E29" s="16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26"/>
      <c r="Y29" s="15"/>
      <c r="Z29" s="15"/>
      <c r="AA29" s="15"/>
      <c r="AB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  <c r="AB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  <c r="AB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  <c r="AB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  <c r="AB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  <c r="AB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  <c r="AB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  <c r="AB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  <c r="AB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  <c r="AB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  <c r="AB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  <c r="AB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  <c r="AB41" s="15"/>
    </row>
    <row r="42" ht="20.05" customHeight="1">
      <c r="B42" s="13"/>
      <c r="C42" s="14"/>
      <c r="D42" s="15"/>
      <c r="E42" s="16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26"/>
      <c r="Y42" s="15"/>
      <c r="Z42" s="15"/>
      <c r="AA42" s="15"/>
      <c r="AB42" s="15"/>
    </row>
    <row r="43" ht="20.05" customHeight="1">
      <c r="B43" s="13"/>
      <c r="C43" s="14"/>
      <c r="D43" s="15"/>
      <c r="E43" s="16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  <c r="AB43" s="15"/>
    </row>
    <row r="44" ht="20.05" customHeight="1">
      <c r="B44" s="13"/>
      <c r="C44" s="14"/>
      <c r="D44" s="15"/>
      <c r="E44" s="16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  <c r="AB44" s="15"/>
    </row>
    <row r="45" ht="20.05" customHeight="1">
      <c r="B45" s="13"/>
      <c r="C45" s="14"/>
      <c r="D45" s="15"/>
      <c r="E45" s="16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5"/>
      <c r="Z45" s="15"/>
      <c r="AA45" s="15"/>
      <c r="AB45" s="15"/>
    </row>
    <row r="47" ht="27.65" customHeight="1">
      <c r="AC47" t="s" s="2">
        <v>219</v>
      </c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</row>
    <row r="48" ht="20.25" customHeight="1">
      <c r="AC48" t="s" s="28">
        <v>366</v>
      </c>
      <c r="AD48" t="s" s="29">
        <v>23</v>
      </c>
      <c r="AE48" t="s" s="29">
        <v>24</v>
      </c>
      <c r="AF48" t="s" s="29">
        <v>25</v>
      </c>
      <c r="AG48" t="s" s="29">
        <v>26</v>
      </c>
      <c r="AH48" t="s" s="29">
        <v>23</v>
      </c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</row>
    <row r="49" ht="20.25" customHeight="1">
      <c r="AC49" t="s" s="31">
        <v>15</v>
      </c>
      <c r="AD49" s="32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</row>
    <row r="50" ht="20.05" customHeight="1">
      <c r="AC50" t="s" s="33">
        <v>27</v>
      </c>
      <c r="AD50" s="34"/>
      <c r="AE50" s="16">
        <f>AVERAGE(P23:P26)</f>
        <v>-0.076743750320326</v>
      </c>
      <c r="AF50" s="35"/>
      <c r="AG50" s="35"/>
      <c r="AH50" s="35">
        <f>AVERAGE(AE52:AH52)</f>
        <v>0.03</v>
      </c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</row>
    <row r="51" ht="20.05" customHeight="1">
      <c r="AC51" s="36"/>
      <c r="AD51" s="37"/>
      <c r="AE51" s="35">
        <f>P23</f>
        <v>0.203084346468613</v>
      </c>
      <c r="AF51" s="35">
        <f>P24</f>
        <v>-0.125550487574709</v>
      </c>
      <c r="AG51" s="35">
        <f>P25</f>
        <v>-0.121003642250101</v>
      </c>
      <c r="AH51" s="35">
        <f>P26</f>
        <v>-0.263505217925107</v>
      </c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</row>
    <row r="52" ht="20.05" customHeight="1">
      <c r="AC52" t="s" s="33">
        <v>13</v>
      </c>
      <c r="AD52" s="37"/>
      <c r="AE52" s="35">
        <v>0.07000000000000001</v>
      </c>
      <c r="AF52" s="35">
        <v>-0.01</v>
      </c>
      <c r="AG52" s="35">
        <v>0.03</v>
      </c>
      <c r="AH52" s="35">
        <v>0.03</v>
      </c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</row>
    <row r="53" ht="20.05" customHeight="1">
      <c r="AC53" t="s" s="33">
        <v>28</v>
      </c>
      <c r="AD53" s="38">
        <f>C26</f>
        <v>1439.7</v>
      </c>
      <c r="AE53" s="23">
        <f>C26*(1+AE52)</f>
        <v>1540.479</v>
      </c>
      <c r="AF53" s="23">
        <f>AE53*(1+AF52)</f>
        <v>1525.07421</v>
      </c>
      <c r="AG53" s="23">
        <f>AF53*(1+AG52)</f>
        <v>1570.8264363</v>
      </c>
      <c r="AH53" s="23">
        <f>AG53*(1+AH52)</f>
        <v>1617.951229389</v>
      </c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</row>
    <row r="54" ht="20.05" customHeight="1">
      <c r="AC54" t="s" s="33">
        <v>14</v>
      </c>
      <c r="AD54" s="37"/>
      <c r="AE54" s="35">
        <f>AVERAGE(Q26)</f>
        <v>0.0329639889196676</v>
      </c>
      <c r="AF54" s="35">
        <f>AE54</f>
        <v>0.0329639889196676</v>
      </c>
      <c r="AG54" s="35">
        <f>AF54</f>
        <v>0.0329639889196676</v>
      </c>
      <c r="AH54" s="35">
        <f>AG54</f>
        <v>0.0329639889196676</v>
      </c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</row>
    <row r="55" ht="20.05" customHeight="1">
      <c r="AC55" t="s" s="33">
        <v>29</v>
      </c>
      <c r="AD55" s="14"/>
      <c r="AE55" s="15">
        <f>AVERAGE(K24:K26)</f>
        <v>-22.7</v>
      </c>
      <c r="AF55" s="15">
        <f>AE55</f>
        <v>-22.7</v>
      </c>
      <c r="AG55" s="15">
        <f>AF55</f>
        <v>-22.7</v>
      </c>
      <c r="AH55" s="15">
        <f>AG55</f>
        <v>-22.7</v>
      </c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</row>
    <row r="56" ht="20.05" customHeight="1">
      <c r="AC56" t="s" s="33">
        <v>30</v>
      </c>
      <c r="AD56" s="14"/>
      <c r="AE56" s="15">
        <f>(AE53*AE54)+AE55</f>
        <v>28.0803326869806</v>
      </c>
      <c r="AF56" s="15">
        <f>(AF53*AF54)+AF55</f>
        <v>27.5725293601108</v>
      </c>
      <c r="AG56" s="15">
        <f>(AG53*AG54)+AG55</f>
        <v>29.0807052409141</v>
      </c>
      <c r="AH56" s="15">
        <f>(AH53*AH54)+AH55</f>
        <v>30.6341263981416</v>
      </c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</row>
    <row r="57" ht="20.05" customHeight="1">
      <c r="AC57" t="s" s="33">
        <v>31</v>
      </c>
      <c r="AD57" s="14"/>
      <c r="AE57" s="15">
        <f>-G26/20</f>
        <v>-100.9</v>
      </c>
      <c r="AF57" s="15">
        <f>-AE72/20</f>
        <v>-95.855</v>
      </c>
      <c r="AG57" s="15">
        <f>-AF72/20</f>
        <v>-91.06225000000001</v>
      </c>
      <c r="AH57" s="15">
        <f>-AG72/20</f>
        <v>-86.50913749999999</v>
      </c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</row>
    <row r="58" ht="20.05" customHeight="1">
      <c r="AC58" t="s" s="33">
        <v>32</v>
      </c>
      <c r="AD58" s="39"/>
      <c r="AE58" s="40">
        <v>0</v>
      </c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</row>
    <row r="59" ht="20.05" customHeight="1">
      <c r="AC59" t="s" s="33">
        <v>33</v>
      </c>
      <c r="AD59" s="14"/>
      <c r="AE59" s="15">
        <f>IF(AE67&gt;0,AE67*$AE$58,0)</f>
        <v>0</v>
      </c>
      <c r="AF59" s="15">
        <f>IF(AF67&gt;0,AF67*$AE$58,0)</f>
        <v>0</v>
      </c>
      <c r="AG59" s="15">
        <f>IF(AG67&gt;0,AG67*$AE$58,0)</f>
        <v>0</v>
      </c>
      <c r="AH59" s="15">
        <f>IF(AH67&gt;0,AH67*$AE$58,0)</f>
        <v>0</v>
      </c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</row>
    <row r="60" ht="20.05" customHeight="1">
      <c r="AC60" t="s" s="33">
        <v>34</v>
      </c>
      <c r="AD60" s="14"/>
      <c r="AE60" s="15">
        <f>AE56+AE57+AE59</f>
        <v>-72.81966731301939</v>
      </c>
      <c r="AF60" s="15">
        <f>AF56+AF57+AF59</f>
        <v>-68.2824706398892</v>
      </c>
      <c r="AG60" s="15">
        <f>AG56+AG57+AG59</f>
        <v>-61.9815447590859</v>
      </c>
      <c r="AH60" s="15">
        <f>AH56+AH57+AH59</f>
        <v>-55.8750111018584</v>
      </c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</row>
    <row r="61" ht="20.05" customHeight="1">
      <c r="AC61" t="s" s="33">
        <v>35</v>
      </c>
      <c r="AD61" s="14"/>
      <c r="AE61" s="15">
        <f>-MIN(0,AE60)</f>
        <v>72.81966731301939</v>
      </c>
      <c r="AF61" s="15">
        <f>-MIN(AE73,AF60)</f>
        <v>68.2824706398892</v>
      </c>
      <c r="AG61" s="15">
        <f>-MIN(AF73,AG60)</f>
        <v>61.9815447590859</v>
      </c>
      <c r="AH61" s="15">
        <f>-MIN(AG73,AH60)</f>
        <v>55.8750111018584</v>
      </c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</row>
    <row r="62" ht="20.05" customHeight="1">
      <c r="AC62" t="s" s="33">
        <v>36</v>
      </c>
      <c r="AD62" s="14"/>
      <c r="AE62" s="15">
        <f>F26</f>
        <v>429.3</v>
      </c>
      <c r="AF62" s="15">
        <f>AE64</f>
        <v>429.3</v>
      </c>
      <c r="AG62" s="15">
        <f>AF64</f>
        <v>429.3</v>
      </c>
      <c r="AH62" s="15">
        <f>AG64</f>
        <v>429.3</v>
      </c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</row>
    <row r="63" ht="20.05" customHeight="1">
      <c r="AC63" t="s" s="33">
        <v>37</v>
      </c>
      <c r="AD63" s="14"/>
      <c r="AE63" s="15">
        <f>AE56+AE57+AE59+AE61</f>
        <v>0</v>
      </c>
      <c r="AF63" s="15">
        <f>AF56+AF57+AF59+AF61</f>
        <v>0</v>
      </c>
      <c r="AG63" s="15">
        <f>AG56+AG57+AG59+AG61</f>
        <v>0</v>
      </c>
      <c r="AH63" s="15">
        <f>AH56+AH57+AH59+AH61</f>
        <v>0</v>
      </c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</row>
    <row r="64" ht="20.05" customHeight="1">
      <c r="AC64" t="s" s="33">
        <v>38</v>
      </c>
      <c r="AD64" s="14"/>
      <c r="AE64" s="15">
        <f>AE62+AE63</f>
        <v>429.3</v>
      </c>
      <c r="AF64" s="15">
        <f>AF62+AF63</f>
        <v>429.3</v>
      </c>
      <c r="AG64" s="15">
        <f>AG62+AG63</f>
        <v>429.3</v>
      </c>
      <c r="AH64" s="15">
        <f>AH62+AH63</f>
        <v>429.3</v>
      </c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</row>
    <row r="65" ht="20.05" customHeight="1">
      <c r="AC65" t="s" s="41">
        <v>4</v>
      </c>
      <c r="AD65" s="14"/>
      <c r="AE65" s="15"/>
      <c r="AF65" s="15"/>
      <c r="AG65" s="15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</row>
    <row r="66" ht="20.05" customHeight="1">
      <c r="AC66" t="s" s="33">
        <v>3</v>
      </c>
      <c r="AD66" s="14"/>
      <c r="AE66" s="15">
        <f>-AVERAGE(D24:D26)</f>
        <v>-22.8333333333333</v>
      </c>
      <c r="AF66" s="15">
        <f>AE66</f>
        <v>-22.8333333333333</v>
      </c>
      <c r="AG66" s="15">
        <f>AF66</f>
        <v>-22.8333333333333</v>
      </c>
      <c r="AH66" s="15">
        <f>AG66</f>
        <v>-22.8333333333333</v>
      </c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</row>
    <row r="67" ht="20.05" customHeight="1">
      <c r="AC67" t="s" s="33">
        <v>4</v>
      </c>
      <c r="AD67" s="14"/>
      <c r="AE67" s="15">
        <f>(AE53*AE54)+AE66</f>
        <v>27.9469993536473</v>
      </c>
      <c r="AF67" s="15">
        <f>(AF53*AF54)+AF66</f>
        <v>27.4391960267775</v>
      </c>
      <c r="AG67" s="15">
        <f>(AG53*AG54)+AG66</f>
        <v>28.9473719075808</v>
      </c>
      <c r="AH67" s="15">
        <f>(AH53*AH54)+AH66</f>
        <v>30.5007930648083</v>
      </c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</row>
    <row r="68" ht="20.05" customHeight="1">
      <c r="AC68" t="s" s="41">
        <v>39</v>
      </c>
      <c r="AD68" s="14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</row>
    <row r="69" ht="20.05" customHeight="1">
      <c r="AC69" t="s" s="33">
        <v>40</v>
      </c>
      <c r="AD69" s="14"/>
      <c r="AE69" s="15">
        <f>H26-F26-AE55</f>
        <v>2238.4</v>
      </c>
      <c r="AF69" s="15">
        <f>AE69-AF55</f>
        <v>2261.1</v>
      </c>
      <c r="AG69" s="15">
        <f>AF69-AG55</f>
        <v>2283.8</v>
      </c>
      <c r="AH69" s="15">
        <f>AG69-AH55</f>
        <v>2306.5</v>
      </c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</row>
    <row r="70" ht="20.05" customHeight="1">
      <c r="AC70" t="s" s="33">
        <v>41</v>
      </c>
      <c r="AD70" s="14"/>
      <c r="AE70" s="15">
        <f>0-AE66</f>
        <v>22.8333333333333</v>
      </c>
      <c r="AF70" s="15">
        <f>AE70-AF66</f>
        <v>45.6666666666666</v>
      </c>
      <c r="AG70" s="15">
        <f>AF70-AG66</f>
        <v>68.4999999999999</v>
      </c>
      <c r="AH70" s="15">
        <f>AG70-AH66</f>
        <v>91.3333333333332</v>
      </c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</row>
    <row r="71" ht="20.05" customHeight="1">
      <c r="AC71" t="s" s="33">
        <v>42</v>
      </c>
      <c r="AD71" s="14"/>
      <c r="AE71" s="15">
        <f>AE69-AE70</f>
        <v>2215.566666666670</v>
      </c>
      <c r="AF71" s="15">
        <f>AF69-AF70</f>
        <v>2215.433333333330</v>
      </c>
      <c r="AG71" s="15">
        <f>AG69-AG70</f>
        <v>2215.3</v>
      </c>
      <c r="AH71" s="15">
        <f>AH69-AH70</f>
        <v>2215.166666666670</v>
      </c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</row>
    <row r="72" ht="20.05" customHeight="1">
      <c r="AC72" t="s" s="33">
        <v>6</v>
      </c>
      <c r="AD72" s="14"/>
      <c r="AE72" s="15">
        <f>G26+AE57</f>
        <v>1917.1</v>
      </c>
      <c r="AF72" s="15">
        <f>AE72+AF57</f>
        <v>1821.245</v>
      </c>
      <c r="AG72" s="15">
        <f>AF72+AG57</f>
        <v>1730.18275</v>
      </c>
      <c r="AH72" s="15">
        <f>AG72+AH57</f>
        <v>1643.6736125</v>
      </c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</row>
    <row r="73" ht="20.05" customHeight="1">
      <c r="AC73" t="s" s="33">
        <v>35</v>
      </c>
      <c r="AD73" s="14"/>
      <c r="AE73" s="15">
        <f>AE61</f>
        <v>72.81966731301939</v>
      </c>
      <c r="AF73" s="15">
        <f>AE73+AF61</f>
        <v>141.102137952909</v>
      </c>
      <c r="AG73" s="15">
        <f>AF73+AG61</f>
        <v>203.083682711995</v>
      </c>
      <c r="AH73" s="15">
        <f>AG73+AH61</f>
        <v>258.958693813853</v>
      </c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</row>
    <row r="74" ht="20.05" customHeight="1">
      <c r="AC74" t="s" s="33">
        <v>11</v>
      </c>
      <c r="AD74" s="14"/>
      <c r="AE74" s="15">
        <f>(H26-G26)+AE67+AE59</f>
        <v>654.946999353647</v>
      </c>
      <c r="AF74" s="15">
        <f>AE74+AF67+AF59</f>
        <v>682.386195380425</v>
      </c>
      <c r="AG74" s="15">
        <f>AF74+AG67+AG59</f>
        <v>711.333567288006</v>
      </c>
      <c r="AH74" s="15">
        <f>AG74+AH67+AH59</f>
        <v>741.834360352814</v>
      </c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</row>
    <row r="75" ht="20.05" customHeight="1">
      <c r="AC75" t="s" s="33">
        <v>43</v>
      </c>
      <c r="AD75" s="14"/>
      <c r="AE75" s="15">
        <f>AE72+AE73+AE74-AE64-AE71</f>
        <v>-3.6e-12</v>
      </c>
      <c r="AF75" s="15">
        <f>AF72+AF73+AF74-AF64-AF71</f>
        <v>4e-12</v>
      </c>
      <c r="AG75" s="15">
        <f>AG72+AG73+AG74-AG64-AG71</f>
        <v>1e-12</v>
      </c>
      <c r="AH75" s="15">
        <f>AH72+AH73+AH74-AH64-AH71</f>
        <v>-3e-12</v>
      </c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</row>
    <row r="76" ht="20.05" customHeight="1">
      <c r="AC76" t="s" s="33">
        <v>18</v>
      </c>
      <c r="AD76" s="14"/>
      <c r="AE76" s="15">
        <f>AE64-AE72-AE73</f>
        <v>-1560.619667313020</v>
      </c>
      <c r="AF76" s="15">
        <f>AF64-AF72-AF73</f>
        <v>-1533.047137952910</v>
      </c>
      <c r="AG76" s="15">
        <f>AG64-AG72-AG73</f>
        <v>-1503.966432712</v>
      </c>
      <c r="AH76" s="15">
        <f>AH64-AH72-AH73</f>
        <v>-1473.332306313850</v>
      </c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</row>
    <row r="77" ht="20.05" customHeight="1">
      <c r="AC77" t="s" s="33">
        <v>44</v>
      </c>
      <c r="AD77" s="14"/>
      <c r="AE77" s="15">
        <f>AE57+AE59+AE61</f>
        <v>-28.0803326869806</v>
      </c>
      <c r="AF77" s="15">
        <f>AF57+AF59+AF61</f>
        <v>-27.5725293601108</v>
      </c>
      <c r="AG77" s="15">
        <f>AG57+AG59+AG61</f>
        <v>-29.0807052409141</v>
      </c>
      <c r="AH77" s="15">
        <f>AH57+AH59+AH61</f>
        <v>-30.6341263981416</v>
      </c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</row>
    <row r="78" ht="20.05" customHeight="1">
      <c r="AC78" t="s" s="33">
        <v>45</v>
      </c>
      <c r="AD78" s="14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</row>
    <row r="79" ht="20.05" customHeight="1">
      <c r="AC79" t="s" s="33">
        <f>Z$3</f>
        <v>682</v>
      </c>
      <c r="AD79" s="14"/>
      <c r="AE79" s="15"/>
      <c r="AF79" s="15"/>
      <c r="AG79" s="15"/>
      <c r="AH79" s="15">
        <v>770</v>
      </c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</row>
    <row r="80" ht="20.05" customHeight="1">
      <c r="AC80" t="s" s="33">
        <f>$AC79</f>
        <v>682</v>
      </c>
      <c r="AD80" s="14"/>
      <c r="AE80" s="15"/>
      <c r="AF80" s="15"/>
      <c r="AG80" s="15"/>
      <c r="AH80" s="15">
        <v>2714473287680</v>
      </c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</row>
    <row r="81" ht="20.05" customHeight="1">
      <c r="AC81" t="s" s="33">
        <v>46</v>
      </c>
      <c r="AD81" s="14"/>
      <c r="AE81" s="15"/>
      <c r="AF81" s="15"/>
      <c r="AG81" s="15"/>
      <c r="AH81" s="15">
        <f>AH80/1000000000</f>
        <v>2714.47328768</v>
      </c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</row>
    <row r="82" ht="20.05" customHeight="1">
      <c r="AC82" t="s" s="33">
        <v>47</v>
      </c>
      <c r="AD82" s="14"/>
      <c r="AE82" s="15"/>
      <c r="AF82" s="15"/>
      <c r="AG82" s="15"/>
      <c r="AH82" s="15">
        <f>AH81/AH79</f>
        <v>3.525289984</v>
      </c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</row>
    <row r="83" ht="20.05" customHeight="1">
      <c r="AC83" t="s" s="33">
        <v>48</v>
      </c>
      <c r="AD83" s="14"/>
      <c r="AE83" s="15"/>
      <c r="AF83" s="15"/>
      <c r="AG83" s="15"/>
      <c r="AH83" s="43">
        <f>AH81/(AH64+AH71)</f>
        <v>1.02647286951874</v>
      </c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</row>
    <row r="84" ht="20.05" customHeight="1">
      <c r="AC84" t="s" s="33">
        <v>49</v>
      </c>
      <c r="AD84" s="14"/>
      <c r="AE84" s="15"/>
      <c r="AF84" s="15"/>
      <c r="AG84" s="15"/>
      <c r="AH84" s="16">
        <f>-(AE59+AF59+AG59+AH59)/AH81</f>
        <v>0</v>
      </c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</row>
    <row r="85" ht="20.05" customHeight="1">
      <c r="AC85" t="s" s="33">
        <v>50</v>
      </c>
      <c r="AD85" s="14"/>
      <c r="AE85" s="15"/>
      <c r="AF85" s="15"/>
      <c r="AG85" s="15"/>
      <c r="AH85" s="15">
        <f>SUM(AE56:AH56)</f>
        <v>115.367693686147</v>
      </c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</row>
    <row r="86" ht="20.05" customHeight="1">
      <c r="AC86" t="s" s="33">
        <v>51</v>
      </c>
      <c r="AD86" s="14"/>
      <c r="AE86" s="15"/>
      <c r="AF86" s="15"/>
      <c r="AG86" s="15"/>
      <c r="AH86" s="15">
        <f>AH71/AH85</f>
        <v>19.2009270176878</v>
      </c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</row>
    <row r="87" ht="20.05" customHeight="1">
      <c r="AC87" t="s" s="33">
        <v>52</v>
      </c>
      <c r="AD87" s="14"/>
      <c r="AE87" s="15"/>
      <c r="AF87" s="15"/>
      <c r="AG87" s="15">
        <f>AH81/AH85</f>
        <v>23.528885782051</v>
      </c>
      <c r="AH87" s="15">
        <v>18</v>
      </c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</row>
    <row r="88" ht="20.05" customHeight="1">
      <c r="AC88" t="s" s="33">
        <v>53</v>
      </c>
      <c r="AD88" s="14"/>
      <c r="AE88" s="15"/>
      <c r="AF88" s="15"/>
      <c r="AG88" s="15"/>
      <c r="AH88" s="15">
        <f>AH85*AH87</f>
        <v>2076.618486350650</v>
      </c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</row>
    <row r="89" ht="20.05" customHeight="1">
      <c r="AC89" t="s" s="33">
        <v>54</v>
      </c>
      <c r="AD89" s="14"/>
      <c r="AE89" s="15"/>
      <c r="AF89" s="15"/>
      <c r="AG89" s="15"/>
      <c r="AH89" s="15">
        <f>(AH88/AH82)</f>
        <v>589.063168072885</v>
      </c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</row>
    <row r="90" ht="20.05" customHeight="1">
      <c r="AC90" t="s" s="33">
        <v>55</v>
      </c>
      <c r="AD90" s="38"/>
      <c r="AE90" s="23"/>
      <c r="AF90" s="23"/>
      <c r="AG90" s="23"/>
      <c r="AH90" s="16">
        <f>AH89/AH79-1</f>
        <v>-0.234982898606643</v>
      </c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</row>
    <row r="91" ht="20.05" customHeight="1">
      <c r="AC91" t="s" s="33">
        <v>56</v>
      </c>
      <c r="AD91" s="38"/>
      <c r="AE91" s="23"/>
      <c r="AF91" s="23"/>
      <c r="AG91" s="23"/>
      <c r="AH91" s="16">
        <f>C26/C22-1</f>
        <v>-0.318936562751313</v>
      </c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</row>
    <row r="92" ht="20.05" customHeight="1">
      <c r="AC92" t="s" s="33">
        <v>57</v>
      </c>
      <c r="AD92" s="38"/>
      <c r="AE92" s="23"/>
      <c r="AF92" s="23"/>
      <c r="AG92" s="23"/>
      <c r="AH92" s="16">
        <f>O28/N28-1</f>
        <v>-0.703440397795995</v>
      </c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</row>
    <row r="93" ht="20.05" customHeight="1">
      <c r="AC93" s="36"/>
      <c r="AD93" s="38"/>
      <c r="AE93" s="23"/>
      <c r="AF93" s="23"/>
      <c r="AG93" s="23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</row>
    <row r="94" ht="20.05" customHeight="1">
      <c r="AC94" s="36"/>
      <c r="AD94" s="38"/>
      <c r="AE94" s="23"/>
      <c r="AF94" s="23"/>
      <c r="AG94" s="23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</row>
    <row r="95" ht="20.05" customHeight="1">
      <c r="AC95" s="36"/>
      <c r="AD95" s="45"/>
      <c r="AE95" t="s" s="44">
        <f>$AC79</f>
        <v>682</v>
      </c>
      <c r="AF95" t="s" s="44">
        <v>60</v>
      </c>
      <c r="AG95" s="15">
        <f>AH79</f>
        <v>770</v>
      </c>
      <c r="AH95" t="s" s="44">
        <v>61</v>
      </c>
      <c r="AI95" s="15">
        <f>AH89</f>
        <v>589.063168072885</v>
      </c>
      <c r="AJ95" t="s" s="44">
        <f>IF(AK95&gt;0,"+","")</f>
      </c>
      <c r="AK95" s="16">
        <f>AI95/AG95-1</f>
        <v>-0.234982898606643</v>
      </c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</row>
    <row r="96" ht="20.05" customHeight="1">
      <c r="AC96" s="36"/>
      <c r="AD96" s="46"/>
      <c r="AE96" s="47">
        <f>TODAY()</f>
        <v>44942</v>
      </c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</row>
    <row r="97" ht="32.05" customHeight="1">
      <c r="AC97" s="36"/>
      <c r="AD97" s="34"/>
      <c r="AE97" t="s" s="44">
        <v>62</v>
      </c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</row>
    <row r="98" ht="32.05" customHeight="1">
      <c r="AC98" s="36"/>
      <c r="AD98" s="34"/>
      <c r="AE98" t="s" s="44">
        <v>63</v>
      </c>
      <c r="AF98" t="s" s="44">
        <v>64</v>
      </c>
      <c r="AG98" t="s" s="44">
        <f>IF(AH98&gt;0,"+","")</f>
      </c>
      <c r="AH98" s="16">
        <f>AM105/AE105-1</f>
        <v>-0.318936562751313</v>
      </c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</row>
    <row r="99" ht="32.05" customHeight="1">
      <c r="AC99" s="36"/>
      <c r="AD99" s="34"/>
      <c r="AE99" t="s" s="44">
        <v>63</v>
      </c>
      <c r="AF99" t="s" s="44">
        <v>65</v>
      </c>
      <c r="AG99" t="s" s="44">
        <f>IF(AH99&gt;0,"+","")</f>
      </c>
      <c r="AH99" s="16">
        <f>(AG118+AG119+AI118+AI119+AK118+AK119+AM118+AM119)/AF135</f>
        <v>-0.213853642485515</v>
      </c>
      <c r="AI99" t="s" s="44">
        <v>66</v>
      </c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</row>
    <row r="100" ht="32.05" customHeight="1">
      <c r="AC100" s="36"/>
      <c r="AD100" s="34"/>
      <c r="AE100" t="s" s="44">
        <v>63</v>
      </c>
      <c r="AF100" t="s" s="44">
        <v>17</v>
      </c>
      <c r="AG100" t="s" s="44">
        <f>IF(AH100&gt;0,"+","")</f>
      </c>
      <c r="AH100" s="16">
        <f>(AG132+AG133+AI132+AI133+AK132+AK133+AM132+AM133)/AF135</f>
        <v>-0.293942844684225</v>
      </c>
      <c r="AI100" t="s" s="44">
        <f>AI99</f>
        <v>66</v>
      </c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</row>
    <row r="101" ht="32.05" customHeight="1">
      <c r="AC101" s="36"/>
      <c r="AD101" s="34"/>
      <c r="AE101" t="s" s="44">
        <v>68</v>
      </c>
      <c r="AF101" t="s" s="44">
        <v>369</v>
      </c>
      <c r="AG101" s="16">
        <f>AP128/AF135</f>
        <v>-0.585270080648989</v>
      </c>
      <c r="AH101" t="s" s="44">
        <f>AI100</f>
        <v>66</v>
      </c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</row>
    <row r="102" ht="20.05" customHeight="1">
      <c r="AC102" s="36"/>
      <c r="AD102" s="34"/>
      <c r="AE102" t="s" s="44">
        <v>28</v>
      </c>
      <c r="AF102" t="s" s="44">
        <f>AF106</f>
        <v>370</v>
      </c>
      <c r="AG102" s="16">
        <f>AG106</f>
        <v>-0.263505217925107</v>
      </c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</row>
    <row r="103" ht="32.05" customHeight="1">
      <c r="AC103" s="36"/>
      <c r="AD103" s="34"/>
      <c r="AE103" t="s" s="44">
        <v>70</v>
      </c>
      <c r="AF103" t="s" s="44">
        <v>371</v>
      </c>
      <c r="AG103" t="s" s="44">
        <f>AM106</f>
        <v>372</v>
      </c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</row>
    <row r="104" ht="20.05" customHeight="1">
      <c r="AC104" s="36"/>
      <c r="AD104" s="34"/>
      <c r="AE104" s="16">
        <f>P22</f>
        <v>0.487614356087262</v>
      </c>
      <c r="AF104" s="16">
        <f>P23</f>
        <v>0.203084346468613</v>
      </c>
      <c r="AG104" s="16">
        <f>P24</f>
        <v>-0.125550487574709</v>
      </c>
      <c r="AH104" s="16">
        <f>P25</f>
        <v>-0.121003642250101</v>
      </c>
      <c r="AI104" s="16">
        <f>P26</f>
        <v>-0.263505217925107</v>
      </c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</row>
    <row r="105" ht="20.05" customHeight="1">
      <c r="AC105" s="36"/>
      <c r="AD105" s="34"/>
      <c r="AE105" s="15">
        <f>C22</f>
        <v>2113.9</v>
      </c>
      <c r="AF105" t="s" s="44">
        <v>72</v>
      </c>
      <c r="AG105" s="15">
        <f>C23</f>
        <v>2543.2</v>
      </c>
      <c r="AH105" t="s" s="44">
        <v>72</v>
      </c>
      <c r="AI105" s="15">
        <f>C24</f>
        <v>2223.9</v>
      </c>
      <c r="AJ105" t="s" s="44">
        <v>72</v>
      </c>
      <c r="AK105" s="15">
        <f>C25</f>
        <v>1954.8</v>
      </c>
      <c r="AL105" t="s" s="44">
        <v>72</v>
      </c>
      <c r="AM105" s="15">
        <f>C26</f>
        <v>1439.7</v>
      </c>
      <c r="AN105" s="17"/>
      <c r="AO105" s="17"/>
      <c r="AP105" s="17"/>
      <c r="AQ105" s="17"/>
      <c r="AR105" s="17"/>
      <c r="AS105" s="17"/>
      <c r="AT105" s="17"/>
      <c r="AU105" s="17"/>
      <c r="AV105" s="17"/>
    </row>
    <row r="106" ht="44.05" customHeight="1">
      <c r="AC106" s="36"/>
      <c r="AD106" s="34"/>
      <c r="AE106" t="s" s="44">
        <v>2</v>
      </c>
      <c r="AF106" t="s" s="44">
        <f>IF(AG106&lt;0,"declined","grew")</f>
        <v>370</v>
      </c>
      <c r="AG106" s="16">
        <f>AM105/AK105-1</f>
        <v>-0.263505217925107</v>
      </c>
      <c r="AH106" t="s" s="44">
        <v>73</v>
      </c>
      <c r="AI106" t="s" s="44">
        <v>74</v>
      </c>
      <c r="AJ106" t="s" s="44">
        <v>75</v>
      </c>
      <c r="AK106" t="s" s="44">
        <v>76</v>
      </c>
      <c r="AL106" s="15">
        <f>AM105</f>
        <v>1439.7</v>
      </c>
      <c r="AM106" t="s" s="44">
        <v>372</v>
      </c>
      <c r="AN106" t="s" s="44">
        <v>373</v>
      </c>
      <c r="AO106" s="16">
        <f>AH92</f>
        <v>-0.703440397795995</v>
      </c>
      <c r="AP106" t="s" s="44">
        <v>78</v>
      </c>
      <c r="AQ106" s="17"/>
      <c r="AR106" s="17"/>
      <c r="AS106" s="17"/>
      <c r="AT106" s="17"/>
      <c r="AU106" s="17"/>
      <c r="AV106" s="17"/>
    </row>
    <row r="107" ht="56.05" customHeight="1">
      <c r="AC107" s="36"/>
      <c r="AD107" s="34"/>
      <c r="AE107" t="s" s="44">
        <v>79</v>
      </c>
      <c r="AF107" s="16">
        <f>AVERAGE(AF104:AI104)</f>
        <v>-0.076743750320326</v>
      </c>
      <c r="AG107" t="s" s="44">
        <v>80</v>
      </c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</row>
    <row r="108" ht="56.05" customHeight="1">
      <c r="AC108" s="36"/>
      <c r="AD108" s="34"/>
      <c r="AE108" t="s" s="44">
        <v>81</v>
      </c>
      <c r="AF108" s="35">
        <f>AH50</f>
        <v>0.03</v>
      </c>
      <c r="AG108" t="s" s="44">
        <v>82</v>
      </c>
      <c r="AH108" t="s" s="44">
        <v>83</v>
      </c>
      <c r="AI108" s="23">
        <f>AH53</f>
        <v>1617.951229389</v>
      </c>
      <c r="AJ108" t="s" s="44">
        <f>AM106</f>
        <v>372</v>
      </c>
      <c r="AK108" t="s" s="44">
        <v>84</v>
      </c>
      <c r="AL108" t="s" s="44">
        <f>AI106</f>
        <v>74</v>
      </c>
      <c r="AM108" t="s" s="44">
        <f>AJ106</f>
        <v>75</v>
      </c>
      <c r="AN108" t="s" s="44">
        <v>85</v>
      </c>
      <c r="AO108" s="17"/>
      <c r="AP108" s="17"/>
      <c r="AQ108" s="17"/>
      <c r="AR108" s="17"/>
      <c r="AS108" s="17"/>
      <c r="AT108" s="17"/>
      <c r="AU108" s="17"/>
      <c r="AV108" s="17"/>
    </row>
    <row r="109" ht="20.05" customHeight="1">
      <c r="AC109" s="36"/>
      <c r="AD109" s="34"/>
      <c r="AE109" t="s" s="44">
        <v>14</v>
      </c>
      <c r="AF109" t="s" s="44">
        <f>IF(AH113&lt;AF113,"down","up")</f>
        <v>87</v>
      </c>
      <c r="AG109" t="s" s="44">
        <v>86</v>
      </c>
      <c r="AH109" t="s" s="44">
        <f>IF(AL113&gt;AJ113,"up","down")</f>
        <v>87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</row>
    <row r="110" ht="44.05" customHeight="1">
      <c r="AC110" s="36"/>
      <c r="AD110" s="34"/>
      <c r="AE110" t="s" s="44">
        <f>AE103</f>
        <v>70</v>
      </c>
      <c r="AF110" t="s" s="44">
        <v>88</v>
      </c>
      <c r="AG110" t="s" s="44">
        <f>AM106</f>
        <v>372</v>
      </c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</row>
    <row r="111" ht="20.05" customHeight="1">
      <c r="AC111" s="36"/>
      <c r="AD111" s="34"/>
      <c r="AE111" s="16">
        <f>(D22+E22)/C22</f>
        <v>0.0359051989214249</v>
      </c>
      <c r="AF111" s="16">
        <f>(D23+E23)/C23</f>
        <v>0.0212330921673482</v>
      </c>
      <c r="AG111" s="16">
        <f>((E24+D24)/C24)</f>
        <v>0.0129951886325824</v>
      </c>
      <c r="AH111" s="16">
        <f>(D25+E25)/C25</f>
        <v>0.00373439738080622</v>
      </c>
      <c r="AI111" s="16">
        <f>(D26+E26)/C26</f>
        <v>-0.0206987566854206</v>
      </c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</row>
    <row r="112" ht="20.05" customHeight="1">
      <c r="AC112" s="36"/>
      <c r="AD112" s="34"/>
      <c r="AE112" s="15">
        <f>E22</f>
        <v>54.5</v>
      </c>
      <c r="AF112" t="s" s="44">
        <v>72</v>
      </c>
      <c r="AG112" s="15">
        <f>E23</f>
        <v>32.6</v>
      </c>
      <c r="AH112" t="s" s="44">
        <v>72</v>
      </c>
      <c r="AI112" s="15">
        <f>E24</f>
        <v>6.6</v>
      </c>
      <c r="AJ112" t="s" s="44">
        <v>72</v>
      </c>
      <c r="AK112" s="15">
        <f>E25</f>
        <v>-13.9</v>
      </c>
      <c r="AL112" t="s" s="44">
        <v>72</v>
      </c>
      <c r="AM112" s="15">
        <f>E26</f>
        <v>-54.8</v>
      </c>
      <c r="AN112" s="17"/>
      <c r="AO112" s="17"/>
      <c r="AP112" s="17"/>
      <c r="AQ112" s="17"/>
      <c r="AR112" s="17"/>
      <c r="AS112" s="17"/>
      <c r="AT112" s="17"/>
      <c r="AU112" s="17"/>
      <c r="AV112" s="17"/>
    </row>
    <row r="113" ht="44.05" customHeight="1">
      <c r="AC113" s="36"/>
      <c r="AD113" s="34"/>
      <c r="AE113" t="s" s="44">
        <v>89</v>
      </c>
      <c r="AF113" s="16">
        <f>AH111</f>
        <v>0.00373439738080622</v>
      </c>
      <c r="AG113" t="s" s="44">
        <v>76</v>
      </c>
      <c r="AH113" s="16">
        <f>AI111</f>
        <v>-0.0206987566854206</v>
      </c>
      <c r="AI113" t="s" s="44">
        <v>90</v>
      </c>
      <c r="AJ113" s="15">
        <f>AK112</f>
        <v>-13.9</v>
      </c>
      <c r="AK113" t="s" s="44">
        <v>76</v>
      </c>
      <c r="AL113" s="15">
        <f>AM112</f>
        <v>-54.8</v>
      </c>
      <c r="AM113" t="s" s="44">
        <f>AJ108</f>
        <v>372</v>
      </c>
      <c r="AN113" t="s" s="44">
        <v>73</v>
      </c>
      <c r="AO113" t="s" s="44">
        <f>AL108</f>
        <v>74</v>
      </c>
      <c r="AP113" t="s" s="44">
        <v>91</v>
      </c>
      <c r="AQ113" s="17"/>
      <c r="AR113" s="17"/>
      <c r="AS113" s="17"/>
      <c r="AT113" s="17"/>
      <c r="AU113" s="17"/>
      <c r="AV113" s="17"/>
    </row>
    <row r="114" ht="68.05" customHeight="1">
      <c r="AC114" s="36"/>
      <c r="AD114" s="34"/>
      <c r="AE114" t="s" s="44">
        <v>92</v>
      </c>
      <c r="AF114" s="16">
        <f>AVERAGE(AF111:AI111)</f>
        <v>0.00431598037382906</v>
      </c>
      <c r="AG114" t="s" s="44">
        <v>78</v>
      </c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</row>
    <row r="115" ht="44.05" customHeight="1">
      <c r="AC115" s="36"/>
      <c r="AD115" s="34"/>
      <c r="AE115" t="s" s="44">
        <v>93</v>
      </c>
      <c r="AF115" s="35">
        <f>AE54</f>
        <v>0.0329639889196676</v>
      </c>
      <c r="AG115" t="s" s="44">
        <v>94</v>
      </c>
      <c r="AH115" s="15">
        <f>AH67</f>
        <v>30.5007930648083</v>
      </c>
      <c r="AI115" t="s" s="44">
        <f>AM113</f>
        <v>372</v>
      </c>
      <c r="AJ115" t="s" s="44">
        <v>95</v>
      </c>
      <c r="AK115" t="s" s="44">
        <f>AO113</f>
        <v>74</v>
      </c>
      <c r="AL115" t="s" s="44">
        <f>AJ106</f>
        <v>75</v>
      </c>
      <c r="AM115" t="s" s="44">
        <f>AN108</f>
        <v>85</v>
      </c>
      <c r="AN115" s="17"/>
      <c r="AO115" s="17"/>
      <c r="AP115" s="17"/>
      <c r="AQ115" s="17"/>
      <c r="AR115" s="17"/>
      <c r="AS115" s="17"/>
      <c r="AT115" s="17"/>
      <c r="AU115" s="17"/>
      <c r="AV115" s="17"/>
    </row>
    <row r="116" ht="20.05" customHeight="1">
      <c r="AC116" s="36"/>
      <c r="AD116" s="34"/>
      <c r="AE116" t="s" s="44">
        <v>15</v>
      </c>
      <c r="AF116" t="s" s="44">
        <f>IF(AH120&lt;AF120,"lower","higher")</f>
        <v>363</v>
      </c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</row>
    <row r="117" ht="56.05" customHeight="1">
      <c r="AC117" s="36"/>
      <c r="AD117" s="34"/>
      <c r="AE117" t="s" s="44">
        <f>AE110</f>
        <v>70</v>
      </c>
      <c r="AF117" t="s" s="44">
        <v>96</v>
      </c>
      <c r="AG117" t="s" s="44">
        <f>AM106</f>
        <v>372</v>
      </c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</row>
    <row r="118" ht="20.05" customHeight="1">
      <c r="AC118" s="36"/>
      <c r="AD118" s="34"/>
      <c r="AE118" s="15">
        <f>J22</f>
        <v>164.5</v>
      </c>
      <c r="AF118" t="s" s="44">
        <v>72</v>
      </c>
      <c r="AG118" s="15">
        <f>J23</f>
        <v>-26.8</v>
      </c>
      <c r="AH118" t="s" s="44">
        <v>72</v>
      </c>
      <c r="AI118" s="15">
        <f>J24</f>
        <v>-281.7</v>
      </c>
      <c r="AJ118" t="s" s="44">
        <v>72</v>
      </c>
      <c r="AK118" s="15">
        <f>J25</f>
        <v>-209.7</v>
      </c>
      <c r="AL118" t="s" s="44">
        <v>72</v>
      </c>
      <c r="AM118" s="15">
        <f>J26</f>
        <v>47.6</v>
      </c>
      <c r="AN118" s="17"/>
      <c r="AO118" s="17"/>
      <c r="AP118" s="17"/>
      <c r="AQ118" s="17"/>
      <c r="AR118" s="17"/>
      <c r="AS118" s="17"/>
      <c r="AT118" s="17"/>
      <c r="AU118" s="17"/>
      <c r="AV118" s="17"/>
    </row>
    <row r="119" ht="20.05" customHeight="1">
      <c r="AC119" s="36"/>
      <c r="AD119" s="34"/>
      <c r="AE119" s="15">
        <f>K22</f>
        <v>-7.2</v>
      </c>
      <c r="AF119" t="s" s="44">
        <v>72</v>
      </c>
      <c r="AG119" s="15">
        <f>K23</f>
        <v>-41.8</v>
      </c>
      <c r="AH119" t="s" s="44">
        <v>72</v>
      </c>
      <c r="AI119" s="15">
        <f>K24</f>
        <v>-3.1</v>
      </c>
      <c r="AJ119" t="s" s="44">
        <v>72</v>
      </c>
      <c r="AK119" s="15">
        <f>K25</f>
        <v>-16.7</v>
      </c>
      <c r="AL119" t="s" s="44">
        <v>72</v>
      </c>
      <c r="AM119" s="15">
        <f>K26</f>
        <v>-48.3</v>
      </c>
      <c r="AN119" s="17"/>
      <c r="AO119" s="17"/>
      <c r="AP119" s="17"/>
      <c r="AQ119" s="17"/>
      <c r="AR119" s="17"/>
      <c r="AS119" s="17"/>
      <c r="AT119" s="17"/>
      <c r="AU119" s="17"/>
      <c r="AV119" s="17"/>
    </row>
    <row r="120" ht="44.05" customHeight="1">
      <c r="AC120" s="36"/>
      <c r="AD120" s="34"/>
      <c r="AE120" t="s" s="44">
        <v>97</v>
      </c>
      <c r="AF120" s="15">
        <f>AK118+AK119</f>
        <v>-226.4</v>
      </c>
      <c r="AG120" t="s" s="44">
        <v>76</v>
      </c>
      <c r="AH120" s="15">
        <f>AM118+AM119</f>
        <v>-0.7</v>
      </c>
      <c r="AI120" t="s" s="44">
        <f>AI115</f>
        <v>372</v>
      </c>
      <c r="AJ120" t="s" s="44">
        <v>84</v>
      </c>
      <c r="AK120" t="s" s="44">
        <f>AK115</f>
        <v>74</v>
      </c>
      <c r="AL120" t="s" s="44">
        <v>98</v>
      </c>
      <c r="AM120" s="15">
        <f>AM119</f>
        <v>-48.3</v>
      </c>
      <c r="AN120" t="s" s="44">
        <f>AM106</f>
        <v>372</v>
      </c>
      <c r="AO120" t="s" s="44">
        <v>99</v>
      </c>
      <c r="AP120" s="17"/>
      <c r="AQ120" s="17"/>
      <c r="AR120" s="17"/>
      <c r="AS120" s="17"/>
      <c r="AT120" s="17"/>
      <c r="AU120" s="17"/>
      <c r="AV120" s="17"/>
    </row>
    <row r="121" ht="56.05" customHeight="1">
      <c r="AC121" s="36"/>
      <c r="AD121" s="34"/>
      <c r="AE121" t="s" s="44">
        <v>100</v>
      </c>
      <c r="AF121" s="15">
        <f>(AG118+AG119+AI118+AI119+AK118+AK119+AM118+AM119)/4</f>
        <v>-145.125</v>
      </c>
      <c r="AG121" t="s" s="44">
        <f>AM106</f>
        <v>372</v>
      </c>
      <c r="AH121" t="s" s="44">
        <v>78</v>
      </c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</row>
    <row r="122" ht="44.05" customHeight="1">
      <c r="AC122" s="36"/>
      <c r="AD122" s="34"/>
      <c r="AE122" t="s" s="44">
        <v>101</v>
      </c>
      <c r="AF122" s="15">
        <f>AE55</f>
        <v>-22.7</v>
      </c>
      <c r="AG122" t="s" s="44">
        <f>AG121</f>
        <v>372</v>
      </c>
      <c r="AH122" t="s" s="44">
        <v>102</v>
      </c>
      <c r="AI122" t="s" s="44">
        <v>103</v>
      </c>
      <c r="AJ122" t="s" s="44">
        <f>IF(AI108&gt;AL106,"higher","lower")</f>
        <v>363</v>
      </c>
      <c r="AK122" t="s" s="44">
        <v>105</v>
      </c>
      <c r="AL122" s="15">
        <f>SUM(AE56:AH56)/4</f>
        <v>28.8419234215368</v>
      </c>
      <c r="AM122" t="s" s="44">
        <f>AG122</f>
        <v>372</v>
      </c>
      <c r="AN122" t="s" s="44">
        <v>106</v>
      </c>
      <c r="AO122" t="s" s="44">
        <v>107</v>
      </c>
      <c r="AP122" s="17"/>
      <c r="AQ122" s="17"/>
      <c r="AR122" s="17"/>
      <c r="AS122" s="17"/>
      <c r="AT122" s="17"/>
      <c r="AU122" s="17"/>
      <c r="AV122" s="17"/>
    </row>
    <row r="123" ht="20.05" customHeight="1">
      <c r="AC123" s="36"/>
      <c r="AD123" s="34"/>
      <c r="AE123" t="s" s="44">
        <v>18</v>
      </c>
      <c r="AF123" t="s" s="44">
        <f>AM128</f>
        <v>87</v>
      </c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</row>
    <row r="124" ht="32.05" customHeight="1">
      <c r="AC124" s="36"/>
      <c r="AD124" s="34"/>
      <c r="AE124" t="s" s="44">
        <f>AE103</f>
        <v>70</v>
      </c>
      <c r="AF124" t="s" s="44">
        <v>109</v>
      </c>
      <c r="AG124" t="s" s="44">
        <f>AM106</f>
        <v>372</v>
      </c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</row>
    <row r="125" ht="20.05" customHeight="1">
      <c r="AC125" s="36"/>
      <c r="AD125" s="34"/>
      <c r="AE125" s="15">
        <f>F22</f>
        <v>211.9</v>
      </c>
      <c r="AF125" t="s" s="44">
        <v>72</v>
      </c>
      <c r="AG125" s="15">
        <f>F23</f>
        <v>91</v>
      </c>
      <c r="AH125" t="s" s="44">
        <v>72</v>
      </c>
      <c r="AI125" s="15">
        <f>F24</f>
        <v>109.2</v>
      </c>
      <c r="AJ125" t="s" s="44">
        <v>72</v>
      </c>
      <c r="AK125" s="15">
        <f>F25</f>
        <v>282.8</v>
      </c>
      <c r="AL125" t="s" s="44">
        <v>72</v>
      </c>
      <c r="AM125" s="15">
        <f>F26</f>
        <v>429.3</v>
      </c>
      <c r="AN125" s="17"/>
      <c r="AO125" s="17"/>
      <c r="AP125" s="17"/>
      <c r="AQ125" s="17"/>
      <c r="AR125" s="17"/>
      <c r="AS125" s="17"/>
      <c r="AT125" s="17"/>
      <c r="AU125" s="17"/>
      <c r="AV125" s="17"/>
    </row>
    <row r="126" ht="20.05" customHeight="1">
      <c r="AC126" s="36"/>
      <c r="AD126" s="34"/>
      <c r="AE126" s="15">
        <f>G22</f>
        <v>1306.754</v>
      </c>
      <c r="AF126" t="s" s="44">
        <v>72</v>
      </c>
      <c r="AG126" s="15">
        <f>G23</f>
        <v>1110</v>
      </c>
      <c r="AH126" t="s" s="44">
        <v>72</v>
      </c>
      <c r="AI126" s="15">
        <f>G24</f>
        <v>1472</v>
      </c>
      <c r="AJ126" t="s" s="44">
        <v>72</v>
      </c>
      <c r="AK126" s="15">
        <f>G25</f>
        <v>1813</v>
      </c>
      <c r="AL126" t="s" s="44">
        <v>72</v>
      </c>
      <c r="AM126" s="15">
        <f>G26</f>
        <v>2018</v>
      </c>
      <c r="AN126" s="17"/>
      <c r="AO126" s="17"/>
      <c r="AP126" s="17"/>
      <c r="AQ126" s="17"/>
      <c r="AR126" s="17"/>
      <c r="AS126" s="17"/>
      <c r="AT126" s="17"/>
      <c r="AU126" s="17"/>
      <c r="AV126" s="17"/>
    </row>
    <row r="127" ht="32.05" customHeight="1">
      <c r="AC127" s="36"/>
      <c r="AD127" s="34"/>
      <c r="AE127" t="s" s="44">
        <v>110</v>
      </c>
      <c r="AF127" t="s" s="44">
        <f>IF(AI127&lt;AG127,"declined","increased")</f>
        <v>111</v>
      </c>
      <c r="AG127" s="15">
        <f>AK125</f>
        <v>282.8</v>
      </c>
      <c r="AH127" t="s" s="44">
        <v>76</v>
      </c>
      <c r="AI127" s="15">
        <f>AM125</f>
        <v>429.3</v>
      </c>
      <c r="AJ127" t="s" s="44">
        <f>AM122</f>
        <v>372</v>
      </c>
      <c r="AK127" t="s" s="44">
        <v>84</v>
      </c>
      <c r="AL127" t="s" s="44">
        <f>AI106</f>
        <v>74</v>
      </c>
      <c r="AM127" t="s" s="44">
        <f>AP113</f>
        <v>91</v>
      </c>
      <c r="AN127" s="17"/>
      <c r="AO127" s="17"/>
      <c r="AP127" s="17"/>
      <c r="AQ127" s="17"/>
      <c r="AR127" s="17"/>
      <c r="AS127" s="17"/>
      <c r="AT127" s="17"/>
      <c r="AU127" s="17"/>
      <c r="AV127" s="17"/>
    </row>
    <row r="128" ht="32.05" customHeight="1">
      <c r="AC128" s="36"/>
      <c r="AD128" s="34"/>
      <c r="AE128" t="s" s="44">
        <v>112</v>
      </c>
      <c r="AF128" t="s" s="44">
        <f>IF(AI128&lt;AG128,"declined","increased")</f>
        <v>111</v>
      </c>
      <c r="AG128" s="15">
        <f>AK126</f>
        <v>1813</v>
      </c>
      <c r="AH128" t="s" s="44">
        <v>76</v>
      </c>
      <c r="AI128" s="15">
        <f>AM126</f>
        <v>2018</v>
      </c>
      <c r="AJ128" t="s" s="44">
        <f>AJ127</f>
        <v>372</v>
      </c>
      <c r="AK128" t="s" s="44">
        <v>113</v>
      </c>
      <c r="AL128" t="s" s="44">
        <v>114</v>
      </c>
      <c r="AM128" t="s" s="44">
        <f>IF(AP128&lt;AN128,"down","up")</f>
        <v>87</v>
      </c>
      <c r="AN128" s="15">
        <f>AG127-AG128</f>
        <v>-1530.2</v>
      </c>
      <c r="AO128" t="s" s="44">
        <v>76</v>
      </c>
      <c r="AP128" s="15">
        <f>AI127-AI128</f>
        <v>-1588.7</v>
      </c>
      <c r="AQ128" t="s" s="44">
        <f>AJ128</f>
        <v>372</v>
      </c>
      <c r="AR128" t="s" s="44">
        <v>115</v>
      </c>
      <c r="AS128" s="17"/>
      <c r="AT128" s="17"/>
      <c r="AU128" s="17"/>
      <c r="AV128" s="17"/>
    </row>
    <row r="129" ht="56.05" customHeight="1">
      <c r="AC129" s="36"/>
      <c r="AD129" s="34"/>
      <c r="AE129" t="s" s="44">
        <v>116</v>
      </c>
      <c r="AF129" s="15">
        <f>SUM(AE59:AH59)</f>
        <v>0</v>
      </c>
      <c r="AG129" t="s" s="44">
        <f>AJ128</f>
        <v>372</v>
      </c>
      <c r="AH129" t="s" s="44">
        <v>117</v>
      </c>
      <c r="AI129" t="s" s="44">
        <f>IF(AJ129&gt;0,"+","")</f>
      </c>
      <c r="AJ129" s="15">
        <f>AE57+AF57+AG57+AH57+AE61+AF61+AG61+AH61</f>
        <v>-115.367693686147</v>
      </c>
      <c r="AK129" t="s" s="44">
        <f>AQ128</f>
        <v>372</v>
      </c>
      <c r="AL129" t="s" s="44">
        <v>118</v>
      </c>
      <c r="AM129" t="s" s="44">
        <v>119</v>
      </c>
      <c r="AN129" s="15">
        <f>AH76</f>
        <v>-1473.332306313850</v>
      </c>
      <c r="AO129" t="s" s="44">
        <f>AJ128</f>
        <v>372</v>
      </c>
      <c r="AP129" t="s" s="44">
        <v>120</v>
      </c>
      <c r="AQ129" s="17"/>
      <c r="AR129" s="17"/>
      <c r="AS129" s="17"/>
      <c r="AT129" s="17"/>
      <c r="AU129" s="17"/>
      <c r="AV129" s="17"/>
    </row>
    <row r="130" ht="20.05" customHeight="1">
      <c r="AC130" s="36"/>
      <c r="AD130" s="34"/>
      <c r="AE130" t="s" s="44">
        <v>17</v>
      </c>
      <c r="AF130" t="s" s="44">
        <f>AF134</f>
        <v>121</v>
      </c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</row>
    <row r="131" ht="68.05" customHeight="1">
      <c r="AC131" s="36"/>
      <c r="AD131" s="34"/>
      <c r="AE131" t="s" s="44">
        <f>AE103</f>
        <v>70</v>
      </c>
      <c r="AF131" t="s" s="44">
        <v>122</v>
      </c>
      <c r="AG131" t="s" s="44">
        <f>AM106</f>
        <v>372</v>
      </c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</row>
    <row r="132" ht="20.05" customHeight="1">
      <c r="AC132" s="36"/>
      <c r="AD132" s="34"/>
      <c r="AE132" s="15">
        <f>-L22</f>
        <v>60</v>
      </c>
      <c r="AF132" t="s" s="44">
        <v>72</v>
      </c>
      <c r="AG132" s="15">
        <f>-L23</f>
        <v>58</v>
      </c>
      <c r="AH132" t="s" s="44">
        <v>72</v>
      </c>
      <c r="AI132" s="15">
        <f>-L24</f>
        <v>-303</v>
      </c>
      <c r="AJ132" t="s" s="44">
        <v>72</v>
      </c>
      <c r="AK132" s="15">
        <f>-L25</f>
        <v>-424.7</v>
      </c>
      <c r="AL132" t="s" s="44">
        <v>72</v>
      </c>
      <c r="AM132" s="15">
        <f>-L26</f>
        <v>-147.2</v>
      </c>
      <c r="AN132" s="17"/>
      <c r="AO132" s="17"/>
      <c r="AP132" s="17"/>
      <c r="AQ132" s="17"/>
      <c r="AR132" s="17"/>
      <c r="AS132" s="17"/>
      <c r="AT132" s="17"/>
      <c r="AU132" s="17"/>
      <c r="AV132" s="17"/>
    </row>
    <row r="133" ht="20.05" customHeight="1">
      <c r="AC133" s="36"/>
      <c r="AD133" s="34"/>
      <c r="AE133" s="15">
        <f>-M22</f>
        <v>0</v>
      </c>
      <c r="AF133" t="s" s="44">
        <v>72</v>
      </c>
      <c r="AG133" s="15">
        <f>-M23</f>
        <v>-5.7</v>
      </c>
      <c r="AH133" t="s" s="44">
        <v>72</v>
      </c>
      <c r="AI133" s="15">
        <f>-M24</f>
        <v>0</v>
      </c>
      <c r="AJ133" t="s" s="44">
        <v>72</v>
      </c>
      <c r="AK133" s="15">
        <f>-M25</f>
        <v>24.7</v>
      </c>
      <c r="AL133" t="s" s="44">
        <v>72</v>
      </c>
      <c r="AM133" s="15">
        <f>-M26</f>
        <v>0</v>
      </c>
      <c r="AN133" s="17"/>
      <c r="AO133" s="17"/>
      <c r="AP133" s="17"/>
      <c r="AQ133" s="17"/>
      <c r="AR133" s="17"/>
      <c r="AS133" s="17"/>
      <c r="AT133" s="17"/>
      <c r="AU133" s="17"/>
      <c r="AV133" s="17"/>
    </row>
    <row r="134" ht="44.05" customHeight="1">
      <c r="AC134" s="36"/>
      <c r="AD134" s="34"/>
      <c r="AE134" t="s" s="44">
        <f>AE95</f>
        <v>682</v>
      </c>
      <c r="AF134" t="s" s="44">
        <f>IF(AG134&gt;0,"paid","(raised)")</f>
        <v>121</v>
      </c>
      <c r="AG134" s="15">
        <f>SUM(AM132:AM133)</f>
        <v>-147.2</v>
      </c>
      <c r="AH134" t="s" s="44">
        <f>AM106</f>
        <v>372</v>
      </c>
      <c r="AI134" t="s" s="44">
        <f>AH106</f>
        <v>73</v>
      </c>
      <c r="AJ134" t="s" s="44">
        <f>AI106</f>
        <v>74</v>
      </c>
      <c r="AK134" t="s" s="44">
        <f>AJ106</f>
        <v>75</v>
      </c>
      <c r="AL134" s="15">
        <f>AM132</f>
        <v>-147.2</v>
      </c>
      <c r="AM134" t="s" s="44">
        <f>AM106</f>
        <v>372</v>
      </c>
      <c r="AN134" t="s" s="44">
        <v>123</v>
      </c>
      <c r="AO134" s="15">
        <f>AM133</f>
        <v>0</v>
      </c>
      <c r="AP134" t="s" s="44">
        <f>AM106</f>
        <v>372</v>
      </c>
      <c r="AQ134" t="s" s="44">
        <v>124</v>
      </c>
      <c r="AR134" t="s" s="44">
        <v>125</v>
      </c>
      <c r="AS134" t="s" s="44">
        <f>IF(AT134&gt;0,"pay","raise")</f>
        <v>364</v>
      </c>
      <c r="AT134" s="15">
        <f>-SUM(AE77:AH77)</f>
        <v>115.367693686147</v>
      </c>
      <c r="AU134" t="s" s="44">
        <f>AM106</f>
        <v>372</v>
      </c>
      <c r="AV134" t="s" s="44">
        <v>126</v>
      </c>
    </row>
    <row r="135" ht="56.05" customHeight="1">
      <c r="AC135" s="36"/>
      <c r="AD135" s="34"/>
      <c r="AE135" t="s" s="44">
        <v>375</v>
      </c>
      <c r="AF135" s="15">
        <f>AH81</f>
        <v>2714.47328768</v>
      </c>
      <c r="AG135" t="s" s="44">
        <f>AM106</f>
        <v>372</v>
      </c>
      <c r="AH135" t="s" s="44">
        <v>128</v>
      </c>
      <c r="AI135" t="s" s="44">
        <v>129</v>
      </c>
      <c r="AJ135" s="43">
        <f>AH83</f>
        <v>1.02647286951874</v>
      </c>
      <c r="AK135" t="s" s="44">
        <v>130</v>
      </c>
      <c r="AL135" t="s" s="44">
        <v>131</v>
      </c>
      <c r="AM135" t="s" s="44">
        <v>132</v>
      </c>
      <c r="AN135" s="15">
        <f>AH86</f>
        <v>19.2009270176878</v>
      </c>
      <c r="AO135" t="s" s="44">
        <v>133</v>
      </c>
      <c r="AP135" s="16">
        <f>-AF129/AF135</f>
        <v>0</v>
      </c>
      <c r="AQ135" t="s" s="44">
        <v>134</v>
      </c>
      <c r="AR135" s="17"/>
      <c r="AS135" s="17"/>
      <c r="AT135" s="17"/>
      <c r="AU135" s="17"/>
      <c r="AV135" s="17"/>
    </row>
    <row r="136" ht="56.05" customHeight="1">
      <c r="AC136" s="36"/>
      <c r="AD136" s="34"/>
      <c r="AE136" t="s" s="44">
        <v>135</v>
      </c>
      <c r="AF136" s="15">
        <f>AH85</f>
        <v>115.367693686147</v>
      </c>
      <c r="AG136" t="s" s="44">
        <f>AG135</f>
        <v>372</v>
      </c>
      <c r="AH136" t="s" s="44">
        <v>136</v>
      </c>
      <c r="AI136" s="15">
        <f>AF135/AF136</f>
        <v>23.528885782051</v>
      </c>
      <c r="AJ136" t="s" s="44">
        <v>130</v>
      </c>
      <c r="AK136" t="s" s="44">
        <v>137</v>
      </c>
      <c r="AL136" t="s" s="44">
        <v>138</v>
      </c>
      <c r="AM136" s="15">
        <f>AH87</f>
        <v>18</v>
      </c>
      <c r="AN136" t="s" s="44">
        <v>139</v>
      </c>
      <c r="AO136" t="s" s="44">
        <v>140</v>
      </c>
      <c r="AP136" t="s" s="44">
        <v>141</v>
      </c>
      <c r="AQ136" s="16">
        <f>AK95</f>
        <v>-0.234982898606643</v>
      </c>
      <c r="AR136" t="s" s="44">
        <f>IF(AQ136&gt;0,"higher","lower")</f>
        <v>104</v>
      </c>
      <c r="AS136" t="s" s="44">
        <v>142</v>
      </c>
      <c r="AT136" s="15">
        <f>AI95</f>
        <v>589.063168072885</v>
      </c>
      <c r="AU136" t="s" s="44">
        <v>143</v>
      </c>
      <c r="AV136" s="17"/>
    </row>
    <row r="137" ht="20.05" customHeight="1">
      <c r="AC137" s="36"/>
      <c r="AD137" s="34"/>
      <c r="AE137" s="17"/>
      <c r="AF137" s="17"/>
      <c r="AG137" s="17"/>
      <c r="AH137" s="17"/>
      <c r="AI137" s="15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</row>
    <row r="138" ht="20.05" customHeight="1">
      <c r="AC138" t="s" s="33">
        <v>28</v>
      </c>
      <c r="AD138" s="14">
        <f>AE105</f>
        <v>2113.9</v>
      </c>
      <c r="AE138" s="15">
        <f>AG105</f>
        <v>2543.2</v>
      </c>
      <c r="AF138" s="15">
        <f>AI105</f>
        <v>2223.9</v>
      </c>
      <c r="AG138" s="15">
        <f>AK105</f>
        <v>1954.8</v>
      </c>
      <c r="AH138" s="15">
        <f>AM105</f>
        <v>1439.7</v>
      </c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</row>
    <row r="139" ht="20.05" customHeight="1">
      <c r="AC139" t="s" s="33">
        <v>144</v>
      </c>
      <c r="AD139" s="14">
        <f>SUM(AE118:AE119)</f>
        <v>157.3</v>
      </c>
      <c r="AE139" s="15">
        <f>SUM(AG118:AG119)</f>
        <v>-68.59999999999999</v>
      </c>
      <c r="AF139" s="15">
        <f>SUM(AI118:AI119)</f>
        <v>-284.8</v>
      </c>
      <c r="AG139" s="15">
        <f>SUM(AK118:AK119)</f>
        <v>-226.4</v>
      </c>
      <c r="AH139" s="15">
        <f>SUM(AM118:AM119)</f>
        <v>-0.7</v>
      </c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</row>
    <row r="140" ht="20.05" customHeight="1">
      <c r="AC140" t="s" s="33">
        <v>145</v>
      </c>
      <c r="AD140" s="14">
        <f>SUM(AE132:AE133)</f>
        <v>60</v>
      </c>
      <c r="AE140" s="15">
        <f>SUM(AG132:AG133)</f>
        <v>52.3</v>
      </c>
      <c r="AF140" s="15">
        <f>SUM(AI132:AI133)</f>
        <v>-303</v>
      </c>
      <c r="AG140" s="15">
        <f>SUM(AK132:AK133)</f>
        <v>-400</v>
      </c>
      <c r="AH140" s="15">
        <f>SUM(AM132:AM133)</f>
        <v>-147.2</v>
      </c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</row>
    <row r="141" ht="20.05" customHeight="1">
      <c r="AC141" t="s" s="33">
        <v>146</v>
      </c>
      <c r="AD141" s="14">
        <f>(AE125-AE126)</f>
        <v>-1094.854</v>
      </c>
      <c r="AE141" s="15">
        <f>(AG125-AG126)</f>
        <v>-1019</v>
      </c>
      <c r="AF141" s="15">
        <f>(AI125-AI126)</f>
        <v>-1362.8</v>
      </c>
      <c r="AG141" s="15">
        <f>(AK125-AK126)</f>
        <v>-1530.2</v>
      </c>
      <c r="AH141" s="15">
        <f>(AM125-AM126)</f>
        <v>-1588.7</v>
      </c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</row>
    <row r="142" ht="20.05" customHeight="1">
      <c r="AC142" s="36"/>
      <c r="AD142" s="34"/>
      <c r="AE142" s="17"/>
      <c r="AF142" s="17"/>
      <c r="AG142" s="17"/>
      <c r="AH142" s="15">
        <f>AT136</f>
        <v>589.063168072885</v>
      </c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</row>
    <row r="143" ht="20.05" customHeight="1">
      <c r="AC143" s="36"/>
      <c r="AD143" s="34"/>
      <c r="AE143" s="17"/>
      <c r="AF143" s="17"/>
      <c r="AG143" s="17"/>
      <c r="AH143" s="17"/>
      <c r="AI143" s="15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</row>
    <row r="144" ht="20.05" customHeight="1">
      <c r="AC144" s="36"/>
      <c r="AD144" s="34"/>
      <c r="AE144" s="17"/>
      <c r="AF144" s="17"/>
      <c r="AG144" s="17"/>
      <c r="AH144" s="17"/>
      <c r="AI144" s="15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</row>
    <row r="145" ht="20.05" customHeight="1">
      <c r="AC145" s="36"/>
      <c r="AD145" s="34"/>
      <c r="AE145" s="17"/>
      <c r="AF145" s="17"/>
      <c r="AG145" s="17"/>
      <c r="AH145" s="17"/>
      <c r="AI145" s="15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</row>
    <row r="146" ht="20.05" customHeight="1">
      <c r="AC146" s="36"/>
      <c r="AD146" s="34"/>
      <c r="AE146" s="17"/>
      <c r="AF146" s="17"/>
      <c r="AG146" s="17"/>
      <c r="AH146" s="17"/>
      <c r="AI146" s="15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</row>
    <row r="147" ht="20.05" customHeight="1">
      <c r="AC147" s="36"/>
      <c r="AD147" s="34"/>
      <c r="AE147" s="17"/>
      <c r="AF147" s="17"/>
      <c r="AG147" s="17"/>
      <c r="AH147" s="17"/>
      <c r="AI147" s="15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</row>
    <row r="148" ht="20.05" customHeight="1">
      <c r="AC148" s="36"/>
      <c r="AD148" s="34"/>
      <c r="AE148" s="17"/>
      <c r="AF148" s="17"/>
      <c r="AG148" s="17"/>
      <c r="AH148" s="17"/>
      <c r="AI148" s="15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</row>
    <row r="149" ht="20.05" customHeight="1">
      <c r="AC149" s="36"/>
      <c r="AD149" s="34"/>
      <c r="AE149" s="17"/>
      <c r="AF149" s="17"/>
      <c r="AG149" s="17"/>
      <c r="AH149" s="17"/>
      <c r="AI149" s="15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</row>
  </sheetData>
  <mergeCells count="2">
    <mergeCell ref="B2:AB2"/>
    <mergeCell ref="AC47:AV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7.xml><?xml version="1.0" encoding="utf-8"?>
<worksheet xmlns:r="http://schemas.openxmlformats.org/officeDocument/2006/relationships" xmlns="http://schemas.openxmlformats.org/spreadsheetml/2006/main">
  <sheetPr>
    <pageSetUpPr fitToPage="1"/>
  </sheetPr>
  <dimension ref="A3:L26"/>
  <sheetViews>
    <sheetView workbookViewId="0" showGridLines="0" defaultGridColor="1">
      <pane topLeftCell="B4" xSplit="1" ySplit="3" activePane="bottomRight" state="frozen"/>
    </sheetView>
  </sheetViews>
  <sheetFormatPr defaultColWidth="16.3333" defaultRowHeight="19.9" customHeight="1" outlineLevelRow="0" outlineLevelCol="0"/>
  <cols>
    <col min="1" max="12" width="10.4844" style="324" customWidth="1"/>
    <col min="13" max="16384" width="16.3516" style="324" customWidth="1"/>
  </cols>
  <sheetData>
    <row r="1" ht="11.65" customHeight="1"/>
    <row r="2" ht="27.65" customHeight="1">
      <c r="A2" t="s" s="2">
        <v>683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ht="32.25" customHeight="1">
      <c r="A3" t="s" s="3">
        <v>366</v>
      </c>
      <c r="B3" t="s" s="3">
        <v>2</v>
      </c>
      <c r="C3" t="s" s="3">
        <v>3</v>
      </c>
      <c r="D3" t="s" s="3">
        <v>4</v>
      </c>
      <c r="E3" t="s" s="3">
        <v>5</v>
      </c>
      <c r="F3" t="s" s="3">
        <v>6</v>
      </c>
      <c r="G3" t="s" s="3">
        <v>7</v>
      </c>
      <c r="H3" t="s" s="3">
        <v>8</v>
      </c>
      <c r="I3" t="s" s="3">
        <v>9</v>
      </c>
      <c r="J3" t="s" s="3">
        <v>10</v>
      </c>
      <c r="K3" t="s" s="3">
        <v>6</v>
      </c>
      <c r="L3" t="s" s="3">
        <v>11</v>
      </c>
    </row>
    <row r="4" ht="20.25" customHeight="1">
      <c r="A4" s="6">
        <v>2017</v>
      </c>
      <c r="B4" s="65">
        <v>631.5</v>
      </c>
      <c r="C4" s="59">
        <v>27.6</v>
      </c>
      <c r="D4" s="59">
        <v>192.2</v>
      </c>
      <c r="E4" s="59">
        <v>745</v>
      </c>
      <c r="F4" s="59">
        <v>536</v>
      </c>
      <c r="G4" s="59">
        <v>4365</v>
      </c>
      <c r="H4" s="59">
        <v>624.3</v>
      </c>
      <c r="I4" s="59">
        <v>205.2</v>
      </c>
      <c r="J4" s="59">
        <v>-881.3</v>
      </c>
      <c r="K4" s="59">
        <v>0</v>
      </c>
      <c r="L4" s="59">
        <v>0</v>
      </c>
    </row>
    <row r="5" ht="20.05" customHeight="1">
      <c r="A5" s="13"/>
      <c r="B5" s="67">
        <v>605.5</v>
      </c>
      <c r="C5" s="26">
        <v>27.2</v>
      </c>
      <c r="D5" s="26">
        <v>172.7</v>
      </c>
      <c r="E5" s="15">
        <v>1267</v>
      </c>
      <c r="F5" s="15">
        <v>1027</v>
      </c>
      <c r="G5" s="15">
        <v>4525</v>
      </c>
      <c r="H5" s="15">
        <v>602.4</v>
      </c>
      <c r="I5" s="15">
        <v>155</v>
      </c>
      <c r="J5" s="15">
        <v>366.3</v>
      </c>
      <c r="K5" s="15">
        <v>0</v>
      </c>
      <c r="L5" s="26">
        <v>0</v>
      </c>
    </row>
    <row r="6" ht="20.05" customHeight="1">
      <c r="A6" s="13"/>
      <c r="B6" s="67">
        <v>610</v>
      </c>
      <c r="C6" s="26">
        <v>29.4</v>
      </c>
      <c r="D6" s="26">
        <v>177.8</v>
      </c>
      <c r="E6" s="15">
        <v>1085</v>
      </c>
      <c r="F6" s="15">
        <v>513</v>
      </c>
      <c r="G6" s="15">
        <v>4204</v>
      </c>
      <c r="H6" s="15">
        <v>604.5</v>
      </c>
      <c r="I6" s="15">
        <v>196.8</v>
      </c>
      <c r="J6" s="15">
        <v>116.5</v>
      </c>
      <c r="K6" s="15">
        <v>0</v>
      </c>
      <c r="L6" s="26">
        <v>0</v>
      </c>
    </row>
    <row r="7" ht="20.05" customHeight="1">
      <c r="A7" s="13"/>
      <c r="B7" s="67">
        <v>648.7</v>
      </c>
      <c r="C7" s="26">
        <v>29.3</v>
      </c>
      <c r="D7" s="26">
        <v>166</v>
      </c>
      <c r="E7" s="15">
        <v>743</v>
      </c>
      <c r="F7" s="15">
        <v>682</v>
      </c>
      <c r="G7" s="15">
        <v>4712</v>
      </c>
      <c r="H7" s="15">
        <v>646.6</v>
      </c>
      <c r="I7" s="15">
        <v>212.7</v>
      </c>
      <c r="J7" s="15">
        <v>-428.1</v>
      </c>
      <c r="K7" s="15">
        <v>0</v>
      </c>
      <c r="L7" s="26">
        <v>0</v>
      </c>
    </row>
    <row r="8" ht="20.05" customHeight="1">
      <c r="A8" s="21">
        <v>2018</v>
      </c>
      <c r="B8" s="67">
        <v>694.8</v>
      </c>
      <c r="C8" s="26">
        <v>31.2</v>
      </c>
      <c r="D8" s="26">
        <v>177</v>
      </c>
      <c r="E8" s="15">
        <v>940</v>
      </c>
      <c r="F8" s="15">
        <v>689</v>
      </c>
      <c r="G8" s="15">
        <v>4900</v>
      </c>
      <c r="H8" s="15">
        <v>665.9</v>
      </c>
      <c r="I8" s="15">
        <v>197.7</v>
      </c>
      <c r="J8" s="15">
        <v>0.167</v>
      </c>
      <c r="K8" s="15">
        <v>0</v>
      </c>
      <c r="L8" s="26">
        <v>0</v>
      </c>
    </row>
    <row r="9" ht="20.05" customHeight="1">
      <c r="A9" s="13"/>
      <c r="B9" s="67">
        <v>671.1</v>
      </c>
      <c r="C9" s="26">
        <v>31.6</v>
      </c>
      <c r="D9" s="26">
        <v>164</v>
      </c>
      <c r="E9" s="15">
        <v>597</v>
      </c>
      <c r="F9" s="15">
        <v>652</v>
      </c>
      <c r="G9" s="15">
        <v>4791</v>
      </c>
      <c r="H9" s="15">
        <v>619.49</v>
      </c>
      <c r="I9" s="15">
        <v>122.418</v>
      </c>
      <c r="J9" s="15">
        <v>-217.237</v>
      </c>
      <c r="K9" s="15">
        <v>0</v>
      </c>
      <c r="L9" s="26">
        <v>0</v>
      </c>
    </row>
    <row r="10" ht="20.05" customHeight="1">
      <c r="A10" s="13"/>
      <c r="B10" s="67">
        <v>666.8</v>
      </c>
      <c r="C10" s="26">
        <v>32.5</v>
      </c>
      <c r="D10" s="26">
        <v>177.4</v>
      </c>
      <c r="E10" s="15">
        <v>804</v>
      </c>
      <c r="F10" s="15">
        <v>718</v>
      </c>
      <c r="G10" s="15">
        <v>4976</v>
      </c>
      <c r="H10" s="15">
        <v>666.51</v>
      </c>
      <c r="I10" s="15">
        <v>233.382</v>
      </c>
      <c r="J10" s="15">
        <v>28.67</v>
      </c>
      <c r="K10" s="15">
        <v>0</v>
      </c>
      <c r="L10" s="26">
        <v>0</v>
      </c>
    </row>
    <row r="11" ht="20.05" customHeight="1">
      <c r="A11" s="13"/>
      <c r="B11" s="67">
        <v>680.38</v>
      </c>
      <c r="C11" s="26">
        <v>76.90000000000001</v>
      </c>
      <c r="D11" s="26">
        <v>140.3</v>
      </c>
      <c r="E11" s="15">
        <v>831</v>
      </c>
      <c r="F11" s="15">
        <v>639</v>
      </c>
      <c r="G11" s="15">
        <v>5089</v>
      </c>
      <c r="H11" s="15">
        <v>653.8</v>
      </c>
      <c r="I11" s="15">
        <v>189.7</v>
      </c>
      <c r="J11" s="15">
        <v>-120.19</v>
      </c>
      <c r="K11" s="15">
        <v>0</v>
      </c>
      <c r="L11" s="26">
        <v>0</v>
      </c>
    </row>
    <row r="12" ht="20.05" customHeight="1">
      <c r="A12" s="21">
        <v>2019</v>
      </c>
      <c r="B12" s="67">
        <v>804.6</v>
      </c>
      <c r="C12" s="26">
        <v>38.9</v>
      </c>
      <c r="D12" s="26">
        <v>205.1</v>
      </c>
      <c r="E12" s="15">
        <v>824</v>
      </c>
      <c r="F12" s="15">
        <v>782</v>
      </c>
      <c r="G12" s="15">
        <v>5418</v>
      </c>
      <c r="H12" s="15">
        <v>748.5</v>
      </c>
      <c r="I12" s="15">
        <v>291</v>
      </c>
      <c r="J12" s="15">
        <v>-202.6</v>
      </c>
      <c r="K12" s="15">
        <v>0</v>
      </c>
      <c r="L12" s="26">
        <v>0</v>
      </c>
    </row>
    <row r="13" ht="20.05" customHeight="1">
      <c r="A13" s="13"/>
      <c r="B13" s="67">
        <v>779.8</v>
      </c>
      <c r="C13" s="26">
        <v>39.4</v>
      </c>
      <c r="D13" s="26">
        <v>191.5</v>
      </c>
      <c r="E13" s="15">
        <v>677</v>
      </c>
      <c r="F13" s="15">
        <v>714</v>
      </c>
      <c r="G13" s="15">
        <v>5410</v>
      </c>
      <c r="H13" s="15">
        <v>760.1</v>
      </c>
      <c r="I13" s="15">
        <v>171.3</v>
      </c>
      <c r="J13" s="15">
        <v>-191.6</v>
      </c>
      <c r="K13" s="15">
        <v>0</v>
      </c>
      <c r="L13" s="26">
        <v>0</v>
      </c>
    </row>
    <row r="14" ht="20.05" customHeight="1">
      <c r="A14" s="13"/>
      <c r="B14" s="67">
        <v>798.5</v>
      </c>
      <c r="C14" s="26">
        <v>43</v>
      </c>
      <c r="D14" s="26">
        <v>190.7</v>
      </c>
      <c r="E14" s="15">
        <v>614</v>
      </c>
      <c r="F14" s="15">
        <v>758</v>
      </c>
      <c r="G14" s="15">
        <v>5399</v>
      </c>
      <c r="H14" s="15">
        <v>790.4</v>
      </c>
      <c r="I14" s="15">
        <v>254.8</v>
      </c>
      <c r="J14" s="15">
        <v>-54</v>
      </c>
      <c r="K14" s="15">
        <v>0</v>
      </c>
      <c r="L14" s="26">
        <v>0</v>
      </c>
    </row>
    <row r="15" ht="20.05" customHeight="1">
      <c r="A15" s="13"/>
      <c r="B15" s="67">
        <v>822.1</v>
      </c>
      <c r="C15" s="26">
        <v>39.5</v>
      </c>
      <c r="D15" s="26">
        <v>204.1</v>
      </c>
      <c r="E15" s="15">
        <v>568</v>
      </c>
      <c r="F15" s="15">
        <v>783</v>
      </c>
      <c r="G15" s="15">
        <v>5576</v>
      </c>
      <c r="H15" s="15">
        <v>773.2</v>
      </c>
      <c r="I15" s="15">
        <v>177.1</v>
      </c>
      <c r="J15" s="15">
        <v>-227</v>
      </c>
      <c r="K15" s="15">
        <v>0</v>
      </c>
      <c r="L15" s="26">
        <v>0</v>
      </c>
    </row>
    <row r="16" ht="20.05" customHeight="1">
      <c r="A16" s="21">
        <v>2020</v>
      </c>
      <c r="B16" s="67">
        <v>874.7</v>
      </c>
      <c r="C16" s="26">
        <v>45.1</v>
      </c>
      <c r="D16" s="26">
        <v>220.4</v>
      </c>
      <c r="E16" s="15">
        <v>795</v>
      </c>
      <c r="F16" s="15">
        <v>818</v>
      </c>
      <c r="G16" s="15">
        <v>5805</v>
      </c>
      <c r="H16" s="15">
        <v>894.5</v>
      </c>
      <c r="I16" s="15">
        <v>318.4</v>
      </c>
      <c r="J16" s="15">
        <v>-80.5</v>
      </c>
      <c r="K16" s="15">
        <v>-3.3</v>
      </c>
      <c r="L16" s="26">
        <v>-8.4</v>
      </c>
    </row>
    <row r="17" ht="20.05" customHeight="1">
      <c r="A17" s="13"/>
      <c r="B17" s="67">
        <v>566.6</v>
      </c>
      <c r="C17" s="26">
        <v>45.7</v>
      </c>
      <c r="D17" s="26">
        <v>97.2</v>
      </c>
      <c r="E17" s="15">
        <v>971</v>
      </c>
      <c r="F17" s="15">
        <v>1060</v>
      </c>
      <c r="G17" s="15">
        <v>5859</v>
      </c>
      <c r="H17" s="15">
        <v>587.2</v>
      </c>
      <c r="I17" s="15">
        <v>93.5</v>
      </c>
      <c r="J17" s="15">
        <v>84.59999999999999</v>
      </c>
      <c r="K17" s="15">
        <v>-1.8</v>
      </c>
      <c r="L17" s="26">
        <v>0</v>
      </c>
    </row>
    <row r="18" ht="20.05" customHeight="1">
      <c r="A18" s="13"/>
      <c r="B18" s="67">
        <v>874.6</v>
      </c>
      <c r="C18" s="26">
        <v>44.3</v>
      </c>
      <c r="D18" s="26">
        <v>252.5</v>
      </c>
      <c r="E18" s="15">
        <v>954</v>
      </c>
      <c r="F18" s="15">
        <v>822</v>
      </c>
      <c r="G18" s="15">
        <v>5877</v>
      </c>
      <c r="H18" s="15">
        <v>826.6</v>
      </c>
      <c r="I18" s="15">
        <v>347.2</v>
      </c>
      <c r="J18" s="15">
        <v>-64.90000000000001</v>
      </c>
      <c r="K18" s="15">
        <v>0</v>
      </c>
      <c r="L18" s="26">
        <v>-299.1</v>
      </c>
    </row>
    <row r="19" ht="20.05" customHeight="1">
      <c r="A19" s="13"/>
      <c r="B19" s="67">
        <v>1103.4</v>
      </c>
      <c r="C19" s="26">
        <v>45.1</v>
      </c>
      <c r="D19" s="26">
        <v>353.4</v>
      </c>
      <c r="E19" s="15">
        <v>705</v>
      </c>
      <c r="F19" s="15">
        <v>855</v>
      </c>
      <c r="G19" s="15">
        <v>6372</v>
      </c>
      <c r="H19" s="15">
        <v>955.8</v>
      </c>
      <c r="I19" s="15">
        <v>307</v>
      </c>
      <c r="J19" s="15">
        <v>-562.8</v>
      </c>
      <c r="K19" s="15">
        <v>0</v>
      </c>
      <c r="L19" s="26">
        <v>6.6</v>
      </c>
    </row>
    <row r="20" ht="20.05" customHeight="1">
      <c r="A20" s="21">
        <v>2021</v>
      </c>
      <c r="B20" s="67">
        <v>1203.7</v>
      </c>
      <c r="C20" s="26">
        <v>48.4</v>
      </c>
      <c r="D20" s="26">
        <v>373.68</v>
      </c>
      <c r="E20" s="15">
        <v>1100</v>
      </c>
      <c r="F20" s="15">
        <v>967</v>
      </c>
      <c r="G20" s="15">
        <v>6862</v>
      </c>
      <c r="H20" s="15">
        <v>1105.68</v>
      </c>
      <c r="I20" s="15">
        <v>478.2</v>
      </c>
      <c r="J20" s="15">
        <v>-83.25</v>
      </c>
      <c r="K20" s="15">
        <v>0</v>
      </c>
      <c r="L20" s="26">
        <v>0</v>
      </c>
    </row>
    <row r="21" ht="20.05" customHeight="1">
      <c r="A21" s="13"/>
      <c r="B21" s="67">
        <v>1186.1</v>
      </c>
      <c r="C21" s="26">
        <v>48.1</v>
      </c>
      <c r="D21" s="26">
        <v>338.22</v>
      </c>
      <c r="E21" s="15">
        <v>1694</v>
      </c>
      <c r="F21" s="15">
        <v>868</v>
      </c>
      <c r="G21" s="15">
        <v>7066</v>
      </c>
      <c r="H21" s="15">
        <v>1175.22</v>
      </c>
      <c r="I21" s="15">
        <v>339.5</v>
      </c>
      <c r="J21" s="15">
        <v>254.25</v>
      </c>
      <c r="K21" s="15">
        <v>0</v>
      </c>
      <c r="L21" s="26">
        <v>0</v>
      </c>
    </row>
    <row r="22" ht="20.05" customHeight="1">
      <c r="A22" s="13"/>
      <c r="B22" s="67">
        <v>1016.8</v>
      </c>
      <c r="C22" s="26">
        <v>43.9</v>
      </c>
      <c r="D22" s="26">
        <v>298</v>
      </c>
      <c r="E22" s="15">
        <v>1617</v>
      </c>
      <c r="F22" s="15">
        <v>902</v>
      </c>
      <c r="G22" s="15">
        <v>6705</v>
      </c>
      <c r="H22" s="15">
        <v>1042.5</v>
      </c>
      <c r="I22" s="15">
        <v>281.4</v>
      </c>
      <c r="J22" s="15">
        <v>322.6</v>
      </c>
      <c r="K22" s="15">
        <v>0</v>
      </c>
      <c r="L22" s="26">
        <v>-680.7</v>
      </c>
    </row>
    <row r="23" ht="20.05" customHeight="1">
      <c r="A23" s="13"/>
      <c r="B23" s="67">
        <v>946.3</v>
      </c>
      <c r="C23" s="26">
        <v>54.1</v>
      </c>
      <c r="D23" s="26">
        <v>351.6</v>
      </c>
      <c r="E23" s="15">
        <v>1283</v>
      </c>
      <c r="F23" s="15">
        <v>936</v>
      </c>
      <c r="G23" s="15">
        <v>6861</v>
      </c>
      <c r="H23" s="15">
        <v>1406</v>
      </c>
      <c r="I23" s="15">
        <v>990.4</v>
      </c>
      <c r="J23" s="15">
        <v>-1020.8</v>
      </c>
      <c r="K23" s="15">
        <v>-0.1</v>
      </c>
      <c r="L23" s="26">
        <v>-303.7</v>
      </c>
    </row>
    <row r="24" ht="20.05" customHeight="1">
      <c r="A24" s="21">
        <v>2022</v>
      </c>
      <c r="B24" s="67">
        <v>1092.7</v>
      </c>
      <c r="C24" s="26">
        <v>53</v>
      </c>
      <c r="D24" s="26">
        <v>295.2</v>
      </c>
      <c r="E24" s="15">
        <v>1763</v>
      </c>
      <c r="F24" s="15">
        <v>966</v>
      </c>
      <c r="G24" s="15">
        <v>6843</v>
      </c>
      <c r="H24" s="15">
        <v>820.8</v>
      </c>
      <c r="I24" s="15">
        <v>209.8</v>
      </c>
      <c r="J24" s="15">
        <v>616.6</v>
      </c>
      <c r="K24" s="15">
        <v>0</v>
      </c>
      <c r="L24" s="26">
        <v>-346.3</v>
      </c>
    </row>
    <row r="25" ht="20.05" customHeight="1">
      <c r="A25" s="13"/>
      <c r="B25" s="67">
        <v>980</v>
      </c>
      <c r="C25" s="26">
        <v>64.3</v>
      </c>
      <c r="D25" s="26">
        <v>281.4</v>
      </c>
      <c r="E25" s="15">
        <v>1352</v>
      </c>
      <c r="F25" s="15">
        <v>805</v>
      </c>
      <c r="G25" s="15">
        <v>6426</v>
      </c>
      <c r="H25" s="15">
        <v>1041.9</v>
      </c>
      <c r="I25" s="15">
        <v>155.3</v>
      </c>
      <c r="J25" s="15">
        <v>-47.7</v>
      </c>
      <c r="K25" s="15">
        <v>0</v>
      </c>
      <c r="L25" s="26">
        <v>-518.1</v>
      </c>
    </row>
    <row r="26" ht="20.05" customHeight="1">
      <c r="A26" s="13"/>
      <c r="B26" s="38">
        <v>1000.3</v>
      </c>
      <c r="C26" s="26">
        <v>65</v>
      </c>
      <c r="D26" s="26">
        <v>229.6</v>
      </c>
      <c r="E26" s="15">
        <v>1340</v>
      </c>
      <c r="F26" s="15">
        <v>863</v>
      </c>
      <c r="G26" s="15">
        <v>6707</v>
      </c>
      <c r="H26" s="15">
        <v>942.1</v>
      </c>
      <c r="I26" s="15">
        <v>296</v>
      </c>
      <c r="J26" s="15">
        <v>-303.7</v>
      </c>
      <c r="K26" s="15">
        <v>0</v>
      </c>
      <c r="L26" s="26">
        <v>-5</v>
      </c>
    </row>
  </sheetData>
  <mergeCells count="1">
    <mergeCell ref="A2:L2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98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U149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25" customWidth="1"/>
    <col min="2" max="27" width="10.4844" style="325" customWidth="1"/>
    <col min="28" max="28" width="18.9766" style="326" customWidth="1"/>
    <col min="29" max="47" width="9" style="326" customWidth="1"/>
    <col min="48" max="16384" width="16.3516" style="326" customWidth="1"/>
  </cols>
  <sheetData>
    <row r="1" ht="11.65" customHeight="1"/>
    <row r="2" ht="27.65" customHeight="1">
      <c r="B2" t="s" s="2">
        <v>684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ht="32.25" customHeight="1">
      <c r="B3" t="s" s="3">
        <v>366</v>
      </c>
      <c r="C3" t="s" s="3">
        <v>5</v>
      </c>
      <c r="D3" t="s" s="3">
        <v>6</v>
      </c>
      <c r="E3" t="s" s="3">
        <v>7</v>
      </c>
      <c r="F3" t="s" s="3">
        <v>2</v>
      </c>
      <c r="G3" t="s" s="3">
        <v>3</v>
      </c>
      <c r="H3" t="s" s="3">
        <v>4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17</v>
      </c>
      <c r="W3" t="s" s="3">
        <v>12</v>
      </c>
      <c r="X3" t="s" s="3">
        <v>18</v>
      </c>
      <c r="Y3" t="s" s="3">
        <v>12</v>
      </c>
      <c r="Z3" t="s" s="3">
        <v>685</v>
      </c>
      <c r="AA3" t="s" s="3">
        <v>19</v>
      </c>
    </row>
    <row r="4" ht="20.25" customHeight="1">
      <c r="B4" s="6">
        <v>2017</v>
      </c>
      <c r="C4" s="7">
        <v>3198</v>
      </c>
      <c r="D4" s="8">
        <v>6702</v>
      </c>
      <c r="E4" s="8">
        <v>20024</v>
      </c>
      <c r="F4" s="8">
        <v>17077</v>
      </c>
      <c r="G4" s="8"/>
      <c r="H4" s="8">
        <v>-1824</v>
      </c>
      <c r="I4" s="8">
        <v>16614</v>
      </c>
      <c r="J4" s="8">
        <v>-1117</v>
      </c>
      <c r="K4" s="8">
        <v>-1017</v>
      </c>
      <c r="L4" s="8">
        <v>1957</v>
      </c>
      <c r="M4" s="8">
        <f>-18-24</f>
        <v>-42</v>
      </c>
      <c r="N4" s="59"/>
      <c r="O4" s="8"/>
      <c r="P4" s="9"/>
      <c r="Q4" s="9"/>
      <c r="R4" s="9"/>
      <c r="S4" s="9"/>
      <c r="T4" s="9"/>
      <c r="U4" s="9"/>
      <c r="V4" s="8">
        <f>-(L4+M4)</f>
        <v>-1915</v>
      </c>
      <c r="W4" s="9"/>
      <c r="X4" s="8">
        <f>C4-D4</f>
        <v>-3504</v>
      </c>
      <c r="Y4" s="9"/>
      <c r="Z4" s="8"/>
      <c r="AA4" s="9"/>
    </row>
    <row r="5" ht="20.05" customHeight="1">
      <c r="B5" s="21">
        <v>2018</v>
      </c>
      <c r="C5" s="14">
        <v>2527</v>
      </c>
      <c r="D5" s="15">
        <v>5944</v>
      </c>
      <c r="E5" s="15">
        <v>17161</v>
      </c>
      <c r="F5" s="15">
        <v>14982</v>
      </c>
      <c r="G5" s="15"/>
      <c r="H5" s="15">
        <v>-1620</v>
      </c>
      <c r="I5" s="15">
        <v>14588</v>
      </c>
      <c r="J5" s="15">
        <v>-423</v>
      </c>
      <c r="K5" s="15">
        <v>1023</v>
      </c>
      <c r="L5" s="15">
        <v>-1678</v>
      </c>
      <c r="M5" s="15">
        <f>496-25</f>
        <v>471</v>
      </c>
      <c r="N5" s="15"/>
      <c r="O5" s="15"/>
      <c r="P5" s="16"/>
      <c r="Q5" s="16"/>
      <c r="R5" s="16"/>
      <c r="S5" s="17"/>
      <c r="T5" s="17"/>
      <c r="U5" s="17"/>
      <c r="V5" s="15">
        <f>-(L5+M5)+V4</f>
        <v>-708</v>
      </c>
      <c r="W5" s="17"/>
      <c r="X5" s="15">
        <f>C5-D5</f>
        <v>-3417</v>
      </c>
      <c r="Y5" s="24"/>
      <c r="Z5" s="18"/>
      <c r="AA5" s="24"/>
    </row>
    <row r="6" ht="20.05" customHeight="1">
      <c r="B6" s="21">
        <v>2019</v>
      </c>
      <c r="C6" s="14">
        <v>1872</v>
      </c>
      <c r="D6" s="15">
        <v>9666</v>
      </c>
      <c r="E6" s="15">
        <v>15284</v>
      </c>
      <c r="F6" s="15">
        <v>12322</v>
      </c>
      <c r="G6" s="15"/>
      <c r="H6" s="15">
        <v>-1042</v>
      </c>
      <c r="I6" s="15">
        <v>12119</v>
      </c>
      <c r="J6" s="15">
        <v>-366</v>
      </c>
      <c r="K6" s="15">
        <v>798</v>
      </c>
      <c r="L6" s="15">
        <v>-1158</v>
      </c>
      <c r="M6" s="15">
        <f>37-64</f>
        <v>-27</v>
      </c>
      <c r="N6" s="15"/>
      <c r="O6" s="23"/>
      <c r="P6" s="16"/>
      <c r="Q6" s="16"/>
      <c r="R6" s="16"/>
      <c r="S6" s="17"/>
      <c r="T6" s="17"/>
      <c r="U6" s="17"/>
      <c r="V6" s="15">
        <f>-(L6+M6)+V5</f>
        <v>477</v>
      </c>
      <c r="W6" s="17"/>
      <c r="X6" s="15">
        <f>C6-D6</f>
        <v>-7794</v>
      </c>
      <c r="Y6" s="24"/>
      <c r="Z6" s="18"/>
      <c r="AA6" s="24"/>
    </row>
    <row r="7" ht="20.05" customHeight="1">
      <c r="B7" s="21">
        <v>2020</v>
      </c>
      <c r="C7" s="14">
        <v>1693</v>
      </c>
      <c r="D7" s="15">
        <v>11719</v>
      </c>
      <c r="E7" s="15">
        <v>15682</v>
      </c>
      <c r="F7" s="15">
        <v>2569.25</v>
      </c>
      <c r="G7" s="15"/>
      <c r="H7" s="15">
        <v>-247.5</v>
      </c>
      <c r="I7" s="15">
        <v>2576</v>
      </c>
      <c r="J7" s="15">
        <v>-9.75</v>
      </c>
      <c r="K7" s="15">
        <v>301.5</v>
      </c>
      <c r="L7" s="15">
        <v>-309.75</v>
      </c>
      <c r="M7" s="15">
        <v>-27.25</v>
      </c>
      <c r="N7" s="15"/>
      <c r="O7" s="15"/>
      <c r="P7" s="16"/>
      <c r="Q7" s="16"/>
      <c r="R7" s="16"/>
      <c r="S7" s="17"/>
      <c r="T7" s="17"/>
      <c r="U7" s="17"/>
      <c r="V7" s="15">
        <f>-(L7+M7)+V6</f>
        <v>814</v>
      </c>
      <c r="W7" s="17"/>
      <c r="X7" s="15">
        <f>C7-D7</f>
        <v>-10026</v>
      </c>
      <c r="Y7" s="24"/>
      <c r="Z7" s="18"/>
      <c r="AA7" s="24"/>
    </row>
    <row r="8" ht="20.05" customHeight="1">
      <c r="B8" s="13"/>
      <c r="C8" s="14"/>
      <c r="D8" s="15"/>
      <c r="E8" s="15"/>
      <c r="F8" s="15">
        <v>2569.25</v>
      </c>
      <c r="G8" s="15"/>
      <c r="H8" s="15">
        <v>-247.5</v>
      </c>
      <c r="I8" s="15">
        <v>2576</v>
      </c>
      <c r="J8" s="15">
        <v>-9.75</v>
      </c>
      <c r="K8" s="15">
        <v>301.5</v>
      </c>
      <c r="L8" s="15">
        <v>-309.75</v>
      </c>
      <c r="M8" s="15">
        <v>-27.25</v>
      </c>
      <c r="N8" s="15"/>
      <c r="O8" s="15"/>
      <c r="P8" s="16"/>
      <c r="Q8" s="16"/>
      <c r="R8" s="16"/>
      <c r="S8" s="17"/>
      <c r="T8" s="17"/>
      <c r="U8" s="17"/>
      <c r="V8" s="15">
        <f>-(L8+M8)+V7</f>
        <v>1151</v>
      </c>
      <c r="W8" s="17"/>
      <c r="X8" s="17"/>
      <c r="Y8" s="15"/>
      <c r="Z8" s="15"/>
      <c r="AA8" s="17"/>
    </row>
    <row r="9" ht="20.05" customHeight="1">
      <c r="B9" s="13"/>
      <c r="C9" s="14"/>
      <c r="D9" s="15"/>
      <c r="E9" s="15"/>
      <c r="F9" s="15">
        <v>2569.25</v>
      </c>
      <c r="G9" s="15"/>
      <c r="H9" s="15">
        <v>-247.5</v>
      </c>
      <c r="I9" s="15">
        <v>2576</v>
      </c>
      <c r="J9" s="15">
        <v>-9.75</v>
      </c>
      <c r="K9" s="15">
        <v>301.5</v>
      </c>
      <c r="L9" s="15">
        <v>-309.75</v>
      </c>
      <c r="M9" s="15">
        <v>-27.25</v>
      </c>
      <c r="N9" s="15"/>
      <c r="O9" s="15"/>
      <c r="P9" s="16"/>
      <c r="Q9" s="16"/>
      <c r="R9" s="16"/>
      <c r="S9" s="17"/>
      <c r="T9" s="17"/>
      <c r="U9" s="17"/>
      <c r="V9" s="15">
        <f>-(L9+M9)+V8</f>
        <v>1488</v>
      </c>
      <c r="W9" s="17"/>
      <c r="X9" s="17"/>
      <c r="Y9" s="15"/>
      <c r="Z9" s="15"/>
      <c r="AA9" s="17"/>
    </row>
    <row r="10" ht="20.05" customHeight="1">
      <c r="B10" s="13"/>
      <c r="C10" s="14"/>
      <c r="D10" s="15"/>
      <c r="E10" s="15"/>
      <c r="F10" s="15">
        <v>2569.25</v>
      </c>
      <c r="G10" s="15"/>
      <c r="H10" s="15">
        <v>-247.5</v>
      </c>
      <c r="I10" s="15">
        <v>2576</v>
      </c>
      <c r="J10" s="15">
        <v>-9.75</v>
      </c>
      <c r="K10" s="15">
        <v>301.5</v>
      </c>
      <c r="L10" s="15">
        <v>-309.75</v>
      </c>
      <c r="M10" s="15">
        <v>-27.25</v>
      </c>
      <c r="N10" s="15"/>
      <c r="O10" s="15"/>
      <c r="P10" s="16"/>
      <c r="Q10" s="16"/>
      <c r="R10" s="16"/>
      <c r="S10" s="17"/>
      <c r="T10" s="17"/>
      <c r="U10" s="17"/>
      <c r="V10" s="15">
        <f>-(L10+M10)+V9</f>
        <v>1825</v>
      </c>
      <c r="W10" s="17"/>
      <c r="X10" s="17"/>
      <c r="Y10" s="15"/>
      <c r="Z10" s="15"/>
      <c r="AA10" s="17"/>
    </row>
    <row r="11" ht="20.05" customHeight="1">
      <c r="B11" s="21">
        <v>2021</v>
      </c>
      <c r="C11" s="14"/>
      <c r="D11" s="15"/>
      <c r="E11" s="15"/>
      <c r="F11" s="15">
        <f>F21</f>
        <v>2306</v>
      </c>
      <c r="G11" s="15"/>
      <c r="H11" s="15">
        <f>H21</f>
        <v>-310</v>
      </c>
      <c r="I11" s="15">
        <f>I21</f>
        <v>2254</v>
      </c>
      <c r="J11" s="15">
        <f>J21</f>
        <v>-72</v>
      </c>
      <c r="K11" s="15">
        <f>K21</f>
        <v>-56</v>
      </c>
      <c r="L11" s="15">
        <f>L21</f>
        <v>33</v>
      </c>
      <c r="M11" s="15">
        <f>M21</f>
        <v>0</v>
      </c>
      <c r="N11" s="15">
        <f>AVERAGE(F8:F11)</f>
        <v>2503.4375</v>
      </c>
      <c r="O11" s="15"/>
      <c r="P11" s="16"/>
      <c r="Q11" s="16">
        <f>J11/I11</f>
        <v>-0.0319432120674357</v>
      </c>
      <c r="R11" s="16"/>
      <c r="S11" s="17"/>
      <c r="T11" s="17"/>
      <c r="U11" s="17"/>
      <c r="V11" s="15">
        <f>-(L11+M11)+V10</f>
        <v>1792</v>
      </c>
      <c r="W11" s="17"/>
      <c r="X11" s="17"/>
      <c r="Y11" s="15"/>
      <c r="Z11" s="15"/>
      <c r="AA11" s="17"/>
    </row>
    <row r="12" ht="20.05" customHeight="1">
      <c r="B12" s="13"/>
      <c r="C12" s="14"/>
      <c r="D12" s="15"/>
      <c r="E12" s="15"/>
      <c r="F12" s="15">
        <f>F22-F21</f>
        <v>2821</v>
      </c>
      <c r="G12" s="15"/>
      <c r="H12" s="15">
        <f>H22-H21</f>
        <v>35</v>
      </c>
      <c r="I12" s="15">
        <f>I22-I21</f>
        <v>2820</v>
      </c>
      <c r="J12" s="15">
        <f>J22-J21</f>
        <v>-62</v>
      </c>
      <c r="K12" s="15">
        <f>K22-K21</f>
        <v>456</v>
      </c>
      <c r="L12" s="15">
        <f>L22-L21</f>
        <v>-434</v>
      </c>
      <c r="M12" s="15">
        <f>M22-M21</f>
        <v>-30</v>
      </c>
      <c r="N12" s="15">
        <f>AVERAGE(F9:F12)</f>
        <v>2566.375</v>
      </c>
      <c r="O12" s="15"/>
      <c r="P12" s="16">
        <f>F12/F11-1</f>
        <v>0.223330442324371</v>
      </c>
      <c r="Q12" s="16">
        <f>J12/I12</f>
        <v>-0.0219858156028369</v>
      </c>
      <c r="R12" s="16"/>
      <c r="S12" s="17"/>
      <c r="T12" s="15">
        <f>SUM(J9:K12)/4</f>
        <v>212.375</v>
      </c>
      <c r="U12" s="17"/>
      <c r="V12" s="15">
        <f>-(L12+M12)+V11</f>
        <v>2256</v>
      </c>
      <c r="W12" s="17"/>
      <c r="X12" s="17"/>
      <c r="Y12" s="15"/>
      <c r="Z12" s="15"/>
      <c r="AA12" s="17"/>
    </row>
    <row r="13" ht="20.05" customHeight="1">
      <c r="B13" s="13"/>
      <c r="C13" s="14"/>
      <c r="D13" s="15"/>
      <c r="E13" s="15"/>
      <c r="F13" s="15">
        <f>F23-F22</f>
        <v>2294</v>
      </c>
      <c r="G13" s="15"/>
      <c r="H13" s="15">
        <f>H23-H22</f>
        <v>363</v>
      </c>
      <c r="I13" s="15">
        <f>I23-I22</f>
        <v>2175</v>
      </c>
      <c r="J13" s="15">
        <f>J23-J22</f>
        <v>-152</v>
      </c>
      <c r="K13" s="15">
        <f>K23-K22</f>
        <v>72</v>
      </c>
      <c r="L13" s="15">
        <f>L23-L22</f>
        <v>-42</v>
      </c>
      <c r="M13" s="15">
        <f>M23-M22</f>
        <v>-15</v>
      </c>
      <c r="N13" s="15">
        <f>AVERAGE(F10:F13)</f>
        <v>2497.5625</v>
      </c>
      <c r="O13" s="15"/>
      <c r="P13" s="16">
        <f>F13/F12-1</f>
        <v>-0.186813186813187</v>
      </c>
      <c r="Q13" s="16">
        <f>J13/I13</f>
        <v>-0.0698850574712644</v>
      </c>
      <c r="R13" s="16"/>
      <c r="S13" s="17"/>
      <c r="T13" s="15">
        <f>SUM(J10:K13)/4</f>
        <v>119.4375</v>
      </c>
      <c r="U13" s="17"/>
      <c r="V13" s="15">
        <f>-(L13+M13)+V12</f>
        <v>2313</v>
      </c>
      <c r="W13" s="17"/>
      <c r="X13" s="17"/>
      <c r="Y13" s="15"/>
      <c r="Z13" s="15"/>
      <c r="AA13" s="17"/>
    </row>
    <row r="14" ht="20.05" customHeight="1">
      <c r="B14" s="13"/>
      <c r="C14" s="14">
        <v>2432</v>
      </c>
      <c r="D14" s="15">
        <v>10233</v>
      </c>
      <c r="E14" s="15">
        <v>14761</v>
      </c>
      <c r="F14" s="15">
        <f>F24-F23</f>
        <v>2889</v>
      </c>
      <c r="G14" s="15"/>
      <c r="H14" s="15">
        <f>H24</f>
        <v>26</v>
      </c>
      <c r="I14" s="15">
        <f>I24</f>
        <v>10225</v>
      </c>
      <c r="J14" s="15">
        <f>J24</f>
        <v>-52</v>
      </c>
      <c r="K14" s="15">
        <f>K24</f>
        <v>1297</v>
      </c>
      <c r="L14" s="15">
        <f>L24</f>
        <v>-155</v>
      </c>
      <c r="M14" s="15">
        <f>M24</f>
        <v>-66</v>
      </c>
      <c r="N14" s="15">
        <f>AVERAGE(F11:F14)</f>
        <v>2577.5</v>
      </c>
      <c r="O14" s="15"/>
      <c r="P14" s="16">
        <f>F14/F13-1</f>
        <v>0.259372275501308</v>
      </c>
      <c r="Q14" s="16">
        <f>J14/I14</f>
        <v>-0.00508557457212714</v>
      </c>
      <c r="R14" s="16"/>
      <c r="S14" s="17"/>
      <c r="T14" s="15">
        <f>SUM(J11:K14)/4</f>
        <v>357.75</v>
      </c>
      <c r="U14" s="17"/>
      <c r="V14" s="15">
        <f>-(L14+M14)+V13</f>
        <v>2534</v>
      </c>
      <c r="W14" s="17"/>
      <c r="X14" s="15">
        <f>C14-D14</f>
        <v>-7801</v>
      </c>
      <c r="Y14" s="15"/>
      <c r="Z14" s="15"/>
      <c r="AA14" s="17"/>
    </row>
    <row r="15" ht="20.05" customHeight="1">
      <c r="B15" s="21">
        <v>2022</v>
      </c>
      <c r="C15" s="14">
        <v>1770</v>
      </c>
      <c r="D15" s="15">
        <v>10326</v>
      </c>
      <c r="E15" s="15">
        <v>15033</v>
      </c>
      <c r="F15" s="15">
        <f>F25</f>
        <v>2682</v>
      </c>
      <c r="G15" s="15"/>
      <c r="H15" s="15">
        <f>H25</f>
        <v>-134</v>
      </c>
      <c r="I15" s="15">
        <f>I25</f>
        <v>2385</v>
      </c>
      <c r="J15" s="15">
        <f>J25</f>
        <v>-833</v>
      </c>
      <c r="K15" s="15">
        <f>K25</f>
        <v>12</v>
      </c>
      <c r="L15" s="15">
        <f>L25</f>
        <v>191</v>
      </c>
      <c r="M15" s="15">
        <f>M25</f>
        <v>-36</v>
      </c>
      <c r="N15" s="15">
        <f>AVERAGE(F12:F15)</f>
        <v>2671.5</v>
      </c>
      <c r="O15" s="15"/>
      <c r="P15" s="16">
        <f>F15/F14-1</f>
        <v>-0.07165109034267909</v>
      </c>
      <c r="Q15" s="16">
        <f>J15/I15</f>
        <v>-0.349266247379455</v>
      </c>
      <c r="R15" s="16"/>
      <c r="S15" s="17"/>
      <c r="T15" s="15">
        <f>SUM(J12:K15)/4</f>
        <v>184.5</v>
      </c>
      <c r="U15" s="17"/>
      <c r="V15" s="15">
        <f>-(L15+M15)+V14</f>
        <v>2379</v>
      </c>
      <c r="W15" s="17"/>
      <c r="X15" s="15">
        <f>C15-D15</f>
        <v>-8556</v>
      </c>
      <c r="Y15" s="15"/>
      <c r="Z15" s="15"/>
      <c r="AA15" s="17"/>
    </row>
    <row r="16" ht="20.05" customHeight="1">
      <c r="B16" s="13"/>
      <c r="C16" s="14">
        <v>1740</v>
      </c>
      <c r="D16" s="15">
        <v>8982</v>
      </c>
      <c r="E16" s="15">
        <v>13608</v>
      </c>
      <c r="F16" s="15">
        <f>F26-F25</f>
        <v>2897</v>
      </c>
      <c r="G16" s="15"/>
      <c r="H16" s="15">
        <f>H26-H25</f>
        <v>138</v>
      </c>
      <c r="I16" s="15">
        <f>I26-I25</f>
        <v>2777</v>
      </c>
      <c r="J16" s="15">
        <f>J26-J25</f>
        <v>-14</v>
      </c>
      <c r="K16" s="15">
        <f>K26-K25</f>
        <v>498</v>
      </c>
      <c r="L16" s="15">
        <f>L26-L25</f>
        <v>-507</v>
      </c>
      <c r="M16" s="15">
        <f>M26-M25</f>
        <v>-11</v>
      </c>
      <c r="N16" s="15">
        <f>AVERAGE(F13:F16)</f>
        <v>2690.5</v>
      </c>
      <c r="O16" s="15"/>
      <c r="P16" s="16">
        <f>F16/F15-1</f>
        <v>0.0801640566741238</v>
      </c>
      <c r="Q16" s="16">
        <f>J16/I16</f>
        <v>-0.00504141159524667</v>
      </c>
      <c r="R16" s="16"/>
      <c r="S16" s="17"/>
      <c r="T16" s="15">
        <f>SUM(J13:K16)/4</f>
        <v>207</v>
      </c>
      <c r="U16" s="17"/>
      <c r="V16" s="15">
        <f>-(L16+M16)+V15</f>
        <v>2897</v>
      </c>
      <c r="W16" s="17"/>
      <c r="X16" s="15">
        <f>C16-D16</f>
        <v>-7242</v>
      </c>
      <c r="Y16" s="15"/>
      <c r="Z16" s="15"/>
      <c r="AA16" s="17"/>
    </row>
    <row r="17" ht="20.05" customHeight="1">
      <c r="B17" s="13"/>
      <c r="C17" s="14">
        <v>1450</v>
      </c>
      <c r="D17" s="15">
        <v>8414</v>
      </c>
      <c r="E17" s="15">
        <v>12917</v>
      </c>
      <c r="F17" s="15">
        <f>F27-F26</f>
        <v>2565</v>
      </c>
      <c r="G17" s="15"/>
      <c r="H17" s="15">
        <f>H27-H26</f>
        <v>-72</v>
      </c>
      <c r="I17" s="15">
        <f>I27-I26</f>
        <v>2881</v>
      </c>
      <c r="J17" s="15">
        <f>J27-J26</f>
        <v>445</v>
      </c>
      <c r="K17" s="15">
        <f>K27-K26</f>
        <v>-170</v>
      </c>
      <c r="L17" s="15">
        <f>L27-L26</f>
        <v>-521</v>
      </c>
      <c r="M17" s="15">
        <f>M27-M26</f>
        <v>-39</v>
      </c>
      <c r="N17" s="15">
        <f>AVERAGE(F14:F17)</f>
        <v>2758.25</v>
      </c>
      <c r="O17" s="15"/>
      <c r="P17" s="16">
        <f>F17/F16-1</f>
        <v>-0.11460131170176</v>
      </c>
      <c r="Q17" s="16">
        <f>J17/I17</f>
        <v>0.154460256855259</v>
      </c>
      <c r="R17" s="16"/>
      <c r="S17" s="17"/>
      <c r="T17" s="15">
        <f>SUM(J14:K17)/4</f>
        <v>295.75</v>
      </c>
      <c r="U17" s="17"/>
      <c r="V17" s="15">
        <f>-(L17+M17)+V16</f>
        <v>3457</v>
      </c>
      <c r="W17" s="17"/>
      <c r="X17" s="15">
        <f>C17-D17</f>
        <v>-6964</v>
      </c>
      <c r="Y17" s="15"/>
      <c r="Z17" s="15"/>
      <c r="AA17" s="17"/>
    </row>
    <row r="18" ht="20.05" customHeight="1">
      <c r="B18" s="13"/>
      <c r="C18" s="14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6"/>
      <c r="Q18" s="16"/>
      <c r="R18" s="16"/>
      <c r="S18" s="17"/>
      <c r="T18" s="17"/>
      <c r="U18" s="17"/>
      <c r="V18" s="17"/>
      <c r="W18" s="17"/>
      <c r="X18" s="17"/>
      <c r="Y18" s="15"/>
      <c r="Z18" s="15">
        <v>102</v>
      </c>
      <c r="AA18" s="17"/>
    </row>
    <row r="19" ht="20.05" customHeight="1">
      <c r="B19" s="13"/>
      <c r="C19" s="14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6"/>
      <c r="Q19" s="16"/>
      <c r="R19" s="16"/>
      <c r="S19" s="17"/>
      <c r="T19" s="17"/>
      <c r="U19" s="17"/>
      <c r="V19" s="17"/>
      <c r="W19" s="17"/>
      <c r="X19" s="17"/>
      <c r="Y19" s="15"/>
      <c r="Z19" s="15"/>
      <c r="AA19" s="17"/>
    </row>
    <row r="20" ht="20.05" customHeight="1">
      <c r="B20" s="13"/>
      <c r="C20" s="14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6"/>
      <c r="Q20" s="16"/>
      <c r="R20" s="16"/>
      <c r="S20" s="17"/>
      <c r="T20" s="17"/>
      <c r="U20" s="17"/>
      <c r="V20" s="17"/>
      <c r="W20" s="17"/>
      <c r="X20" s="17"/>
      <c r="Y20" s="15"/>
      <c r="Z20" s="15"/>
      <c r="AA20" s="17"/>
    </row>
    <row r="21" ht="20.05" customHeight="1">
      <c r="B21" s="21">
        <v>2021</v>
      </c>
      <c r="C21" s="14"/>
      <c r="D21" s="15"/>
      <c r="E21" s="15"/>
      <c r="F21" s="15">
        <v>2306</v>
      </c>
      <c r="G21" s="15"/>
      <c r="H21" s="15">
        <v>-310</v>
      </c>
      <c r="I21" s="15">
        <v>2254</v>
      </c>
      <c r="J21" s="15">
        <v>-72</v>
      </c>
      <c r="K21" s="15">
        <v>-56</v>
      </c>
      <c r="L21" s="15">
        <v>33</v>
      </c>
      <c r="M21" s="15"/>
      <c r="N21" s="15"/>
      <c r="O21" s="15"/>
      <c r="P21" s="16"/>
      <c r="Q21" s="16"/>
      <c r="R21" s="16"/>
      <c r="S21" s="17"/>
      <c r="T21" s="17"/>
      <c r="U21" s="17"/>
      <c r="V21" s="17"/>
      <c r="W21" s="17"/>
      <c r="X21" s="17"/>
      <c r="Y21" s="15"/>
      <c r="Z21" s="15"/>
      <c r="AA21" s="17"/>
    </row>
    <row r="22" ht="20.05" customHeight="1">
      <c r="B22" s="13"/>
      <c r="C22" s="14"/>
      <c r="D22" s="15"/>
      <c r="E22" s="15"/>
      <c r="F22" s="15">
        <v>5127</v>
      </c>
      <c r="G22" s="15"/>
      <c r="H22" s="15">
        <v>-275</v>
      </c>
      <c r="I22" s="15">
        <v>5074</v>
      </c>
      <c r="J22" s="15">
        <v>-134</v>
      </c>
      <c r="K22" s="15">
        <v>400</v>
      </c>
      <c r="L22" s="15">
        <v>-401</v>
      </c>
      <c r="M22" s="15">
        <v>-30</v>
      </c>
      <c r="N22" s="15"/>
      <c r="O22" s="15"/>
      <c r="P22" s="16"/>
      <c r="Q22" s="16"/>
      <c r="R22" s="16"/>
      <c r="S22" s="17"/>
      <c r="T22" s="17"/>
      <c r="U22" s="17"/>
      <c r="V22" s="17"/>
      <c r="W22" s="17"/>
      <c r="X22" s="17"/>
      <c r="Y22" s="15"/>
      <c r="Z22" s="15"/>
      <c r="AA22" s="17"/>
    </row>
    <row r="23" ht="20.05" customHeight="1">
      <c r="B23" s="13"/>
      <c r="C23" s="34"/>
      <c r="D23" s="17"/>
      <c r="E23" s="17"/>
      <c r="F23" s="15">
        <v>7421</v>
      </c>
      <c r="G23" s="15"/>
      <c r="H23" s="15">
        <v>88</v>
      </c>
      <c r="I23" s="15">
        <v>7249</v>
      </c>
      <c r="J23" s="15">
        <v>-286</v>
      </c>
      <c r="K23" s="15">
        <v>472</v>
      </c>
      <c r="L23" s="15">
        <v>-443</v>
      </c>
      <c r="M23" s="15">
        <f>-39-6</f>
        <v>-45</v>
      </c>
      <c r="N23" s="15"/>
      <c r="O23" s="15"/>
      <c r="P23" s="16"/>
      <c r="Q23" s="16"/>
      <c r="R23" s="16"/>
      <c r="S23" s="17"/>
      <c r="T23" s="17"/>
      <c r="U23" s="17"/>
      <c r="V23" s="17"/>
      <c r="W23" s="17"/>
      <c r="X23" s="17"/>
      <c r="Y23" s="15"/>
      <c r="Z23" s="15"/>
      <c r="AA23" s="17"/>
    </row>
    <row r="24" ht="20.05" customHeight="1">
      <c r="B24" s="13"/>
      <c r="C24" s="34"/>
      <c r="D24" s="17"/>
      <c r="E24" s="17"/>
      <c r="F24" s="15">
        <v>10310</v>
      </c>
      <c r="G24" s="15"/>
      <c r="H24" s="15">
        <v>26</v>
      </c>
      <c r="I24" s="15">
        <v>10225</v>
      </c>
      <c r="J24" s="15">
        <v>-52</v>
      </c>
      <c r="K24" s="15">
        <v>1297</v>
      </c>
      <c r="L24" s="15">
        <v>-155</v>
      </c>
      <c r="M24" s="15">
        <f>-39-27</f>
        <v>-66</v>
      </c>
      <c r="N24" s="15"/>
      <c r="O24" s="15"/>
      <c r="P24" s="16"/>
      <c r="Q24" s="16"/>
      <c r="R24" s="16"/>
      <c r="S24" s="17"/>
      <c r="T24" s="17"/>
      <c r="U24" s="17"/>
      <c r="V24" s="17"/>
      <c r="W24" s="17"/>
      <c r="X24" s="17"/>
      <c r="Y24" s="15"/>
      <c r="Z24" s="15"/>
      <c r="AA24" s="17"/>
    </row>
    <row r="25" ht="20.05" customHeight="1">
      <c r="B25" s="21">
        <v>2022</v>
      </c>
      <c r="C25" s="34"/>
      <c r="D25" s="17"/>
      <c r="E25" s="17"/>
      <c r="F25" s="15">
        <v>2682</v>
      </c>
      <c r="G25" s="15"/>
      <c r="H25" s="15">
        <v>-134</v>
      </c>
      <c r="I25" s="15">
        <v>2385</v>
      </c>
      <c r="J25" s="15">
        <v>-833</v>
      </c>
      <c r="K25" s="15">
        <v>12</v>
      </c>
      <c r="L25" s="15">
        <v>191</v>
      </c>
      <c r="M25" s="15">
        <v>-36</v>
      </c>
      <c r="N25" s="15"/>
      <c r="O25" s="15"/>
      <c r="P25" s="16"/>
      <c r="Q25" s="16"/>
      <c r="R25" s="16"/>
      <c r="S25" s="35"/>
      <c r="T25" s="17"/>
      <c r="U25" s="15"/>
      <c r="V25" s="17"/>
      <c r="W25" s="15"/>
      <c r="X25" s="17"/>
      <c r="Y25" s="15"/>
      <c r="Z25" s="15"/>
      <c r="AA25" s="15"/>
    </row>
    <row r="26" ht="20.05" customHeight="1">
      <c r="B26" s="13"/>
      <c r="C26" s="34"/>
      <c r="D26" s="17"/>
      <c r="E26" s="17"/>
      <c r="F26" s="15">
        <v>5579</v>
      </c>
      <c r="G26" s="15"/>
      <c r="H26" s="15">
        <v>4</v>
      </c>
      <c r="I26" s="15">
        <v>5162</v>
      </c>
      <c r="J26" s="15">
        <v>-847</v>
      </c>
      <c r="K26" s="15">
        <v>510</v>
      </c>
      <c r="L26" s="15">
        <v>-316</v>
      </c>
      <c r="M26" s="15">
        <f>-33-14</f>
        <v>-47</v>
      </c>
      <c r="N26" s="15"/>
      <c r="O26" s="15"/>
      <c r="P26" s="16"/>
      <c r="Q26" s="16"/>
      <c r="R26" s="16"/>
      <c r="S26" s="35"/>
      <c r="T26" s="17"/>
      <c r="U26" s="15"/>
      <c r="V26" s="17"/>
      <c r="W26" s="15"/>
      <c r="X26" s="17"/>
      <c r="Y26" s="15"/>
      <c r="Z26" s="15"/>
      <c r="AA26" s="15"/>
    </row>
    <row r="27" ht="20.05" customHeight="1">
      <c r="B27" s="13"/>
      <c r="C27" s="34"/>
      <c r="D27" s="17"/>
      <c r="E27" s="17"/>
      <c r="F27" s="15">
        <v>8144</v>
      </c>
      <c r="G27" s="15"/>
      <c r="H27" s="15">
        <v>-68</v>
      </c>
      <c r="I27" s="15">
        <v>8043</v>
      </c>
      <c r="J27" s="15">
        <v>-402</v>
      </c>
      <c r="K27" s="15">
        <v>340</v>
      </c>
      <c r="L27" s="15">
        <v>-837</v>
      </c>
      <c r="M27" s="15">
        <f>-72-14</f>
        <v>-86</v>
      </c>
      <c r="N27" s="15"/>
      <c r="O27" s="15"/>
      <c r="P27" s="16"/>
      <c r="Q27" s="16"/>
      <c r="R27" s="16"/>
      <c r="S27" s="35"/>
      <c r="T27" s="17"/>
      <c r="U27" s="15"/>
      <c r="V27" s="17"/>
      <c r="W27" s="15"/>
      <c r="X27" s="17"/>
      <c r="Y27" s="15"/>
      <c r="Z27" s="15"/>
      <c r="AA27" s="15"/>
    </row>
    <row r="28" ht="20.05" customHeight="1">
      <c r="B28" s="13"/>
      <c r="C28" s="14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26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5"/>
      <c r="Z28" s="15"/>
      <c r="AA28" s="15"/>
    </row>
    <row r="29" ht="20.05" customHeight="1">
      <c r="B29" s="21">
        <v>2023</v>
      </c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7"/>
      <c r="Q29" s="17"/>
      <c r="R29" s="17"/>
      <c r="S29" s="17"/>
      <c r="T29" s="17"/>
      <c r="U29" s="17"/>
      <c r="V29" s="17"/>
      <c r="W29" s="17"/>
      <c r="X29" s="17"/>
      <c r="Y29" s="15"/>
      <c r="Z29" s="15"/>
      <c r="AA29" s="15"/>
    </row>
    <row r="30" ht="20.05" customHeight="1">
      <c r="B30" s="13"/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5"/>
      <c r="Z30" s="15"/>
      <c r="AA30" s="15"/>
    </row>
    <row r="31" ht="8.35" customHeight="1" hidden="1">
      <c r="B31" t="s" s="56">
        <v>367</v>
      </c>
      <c r="C31" s="14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5"/>
      <c r="Z31" s="15"/>
      <c r="AA31" s="15"/>
    </row>
    <row r="32" ht="8.35" customHeight="1" hidden="1">
      <c r="B32" s="21">
        <v>2018</v>
      </c>
      <c r="C32" s="14">
        <v>91</v>
      </c>
      <c r="D32" s="15">
        <v>951</v>
      </c>
      <c r="E32" s="15">
        <v>1343</v>
      </c>
      <c r="F32" s="15">
        <v>2452</v>
      </c>
      <c r="G32" s="15">
        <f>94+4</f>
        <v>98</v>
      </c>
      <c r="H32" s="15">
        <v>124</v>
      </c>
      <c r="I32" s="15">
        <v>2393</v>
      </c>
      <c r="J32" s="15">
        <v>176</v>
      </c>
      <c r="K32" s="15">
        <v>-121</v>
      </c>
      <c r="L32" s="15">
        <v>-29</v>
      </c>
      <c r="M32" s="15">
        <v>-14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5"/>
      <c r="Z32" s="15"/>
      <c r="AA32" s="15"/>
    </row>
    <row r="33" ht="8.35" customHeight="1" hidden="1">
      <c r="B33" s="21">
        <v>2019</v>
      </c>
      <c r="C33" s="14">
        <v>61</v>
      </c>
      <c r="D33" s="15">
        <v>975</v>
      </c>
      <c r="E33" s="15">
        <v>1515</v>
      </c>
      <c r="F33" s="15">
        <v>2729</v>
      </c>
      <c r="G33" s="15">
        <f>95+5</f>
        <v>100</v>
      </c>
      <c r="H33" s="15">
        <v>174</v>
      </c>
      <c r="I33" s="15">
        <v>2686</v>
      </c>
      <c r="J33" s="15">
        <v>236</v>
      </c>
      <c r="K33" s="15">
        <v>-214</v>
      </c>
      <c r="L33" s="15">
        <v>-32</v>
      </c>
      <c r="M33" s="15">
        <v>-20</v>
      </c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5"/>
      <c r="Z33" s="15"/>
      <c r="AA33" s="15"/>
    </row>
    <row r="34" ht="8.35" customHeight="1" hidden="1">
      <c r="B34" s="21">
        <v>2020</v>
      </c>
      <c r="C34" s="14">
        <v>69</v>
      </c>
      <c r="D34" s="15">
        <v>1087</v>
      </c>
      <c r="E34" s="15">
        <v>1619</v>
      </c>
      <c r="F34" s="15">
        <v>1875</v>
      </c>
      <c r="G34" s="15">
        <f>102+6</f>
        <v>108</v>
      </c>
      <c r="H34" s="15">
        <v>8</v>
      </c>
      <c r="I34" s="15">
        <v>2054</v>
      </c>
      <c r="J34" s="15">
        <v>228</v>
      </c>
      <c r="K34" s="15">
        <v>-320</v>
      </c>
      <c r="L34" s="15">
        <v>99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5"/>
      <c r="Z34" s="15"/>
      <c r="AA34" s="15"/>
    </row>
    <row r="35" ht="8.35" customHeight="1" hidden="1">
      <c r="B35" s="21">
        <v>2021</v>
      </c>
      <c r="C35" s="14"/>
      <c r="D35" s="15"/>
      <c r="E35" s="15"/>
      <c r="F35" s="15">
        <v>676</v>
      </c>
      <c r="G35" s="15">
        <v>28</v>
      </c>
      <c r="H35" s="15">
        <v>53</v>
      </c>
      <c r="I35" s="15">
        <v>573</v>
      </c>
      <c r="J35" s="15">
        <v>9</v>
      </c>
      <c r="K35" s="15">
        <v>-56</v>
      </c>
      <c r="L35" s="15">
        <v>56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5"/>
      <c r="Z35" s="15"/>
      <c r="AA35" s="15"/>
    </row>
    <row r="36" ht="8.35" customHeight="1" hidden="1">
      <c r="B36" s="13"/>
      <c r="C36" s="14"/>
      <c r="D36" s="15"/>
      <c r="E36" s="15"/>
      <c r="F36" s="15">
        <v>1307</v>
      </c>
      <c r="G36" s="15">
        <f>G35*2</f>
        <v>56</v>
      </c>
      <c r="H36" s="15">
        <v>100</v>
      </c>
      <c r="I36" s="15">
        <v>1165</v>
      </c>
      <c r="J36" s="15">
        <v>21</v>
      </c>
      <c r="K36" s="15">
        <v>-139</v>
      </c>
      <c r="L36" s="15">
        <v>88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5"/>
      <c r="Z36" s="15"/>
      <c r="AA36" s="15"/>
    </row>
    <row r="37" ht="8.35" customHeight="1" hidden="1">
      <c r="B37" s="13"/>
      <c r="C37" s="14"/>
      <c r="D37" s="15"/>
      <c r="E37" s="15"/>
      <c r="F37" s="15">
        <v>2079</v>
      </c>
      <c r="G37" s="15">
        <f>G35*3</f>
        <v>84</v>
      </c>
      <c r="H37" s="15">
        <v>148</v>
      </c>
      <c r="I37" s="15">
        <v>1940</v>
      </c>
      <c r="J37" s="15">
        <v>79</v>
      </c>
      <c r="K37" s="15">
        <v>-162</v>
      </c>
      <c r="L37" s="15">
        <v>67</v>
      </c>
      <c r="M37" s="15"/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5"/>
      <c r="Z37" s="15"/>
      <c r="AA37" s="15"/>
    </row>
    <row r="38" ht="8.35" customHeight="1" hidden="1">
      <c r="B38" s="13"/>
      <c r="C38" s="14">
        <v>415</v>
      </c>
      <c r="D38" s="15">
        <v>1455</v>
      </c>
      <c r="E38" s="15">
        <v>2537</v>
      </c>
      <c r="F38" s="15">
        <v>2913</v>
      </c>
      <c r="G38" s="15">
        <f>G35*4</f>
        <v>112</v>
      </c>
      <c r="H38" s="15">
        <v>305</v>
      </c>
      <c r="I38" s="15">
        <v>2706</v>
      </c>
      <c r="J38" s="15">
        <v>244</v>
      </c>
      <c r="K38" s="15">
        <v>-229</v>
      </c>
      <c r="L38" s="15">
        <v>39</v>
      </c>
      <c r="M38" s="15">
        <v>292</v>
      </c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5"/>
      <c r="Z38" s="15"/>
      <c r="AA38" s="15"/>
    </row>
    <row r="39" ht="8.35" customHeight="1" hidden="1">
      <c r="B39" s="21">
        <v>2022</v>
      </c>
      <c r="C39" s="14">
        <v>429</v>
      </c>
      <c r="D39" s="15">
        <v>1406</v>
      </c>
      <c r="E39" s="15">
        <v>2605</v>
      </c>
      <c r="F39" s="15">
        <v>916</v>
      </c>
      <c r="G39" s="15">
        <v>30.6666666666667</v>
      </c>
      <c r="H39" s="15">
        <v>117</v>
      </c>
      <c r="I39" s="15">
        <v>845</v>
      </c>
      <c r="J39" s="15">
        <v>40</v>
      </c>
      <c r="K39" s="15">
        <v>0</v>
      </c>
      <c r="L39" s="15">
        <v>26</v>
      </c>
      <c r="M39" s="15"/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5"/>
      <c r="Z39" s="15"/>
      <c r="AA39" s="15"/>
    </row>
    <row r="40" ht="8.35" customHeight="1" hidden="1">
      <c r="B40" s="13"/>
      <c r="C40" s="14">
        <v>236</v>
      </c>
      <c r="D40" s="15">
        <v>1189</v>
      </c>
      <c r="E40" s="15">
        <v>2344</v>
      </c>
      <c r="F40" s="15">
        <v>1590</v>
      </c>
      <c r="G40" s="15">
        <f>G39*2</f>
        <v>61.3333333333334</v>
      </c>
      <c r="H40" s="15">
        <v>145</v>
      </c>
      <c r="I40" s="15">
        <v>1652</v>
      </c>
      <c r="J40" s="15">
        <v>35</v>
      </c>
      <c r="K40" s="15">
        <v>-79</v>
      </c>
      <c r="L40" s="15">
        <v>-65</v>
      </c>
      <c r="M40" s="15">
        <v>-70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5"/>
      <c r="Z40" s="15"/>
      <c r="AA40" s="15"/>
    </row>
    <row r="41" ht="8.35" customHeight="1" hidden="1">
      <c r="B41" s="13"/>
      <c r="C41" s="14">
        <v>173</v>
      </c>
      <c r="D41" s="15">
        <v>1235</v>
      </c>
      <c r="E41" s="15">
        <v>2498</v>
      </c>
      <c r="F41" s="15">
        <v>2659</v>
      </c>
      <c r="G41" s="15">
        <f>G39*3</f>
        <v>92.0000000000001</v>
      </c>
      <c r="H41" s="15">
        <v>252</v>
      </c>
      <c r="I41" s="15">
        <v>2545</v>
      </c>
      <c r="J41" s="15">
        <v>126</v>
      </c>
      <c r="K41" s="15">
        <v>-172</v>
      </c>
      <c r="L41" s="15">
        <v>-124</v>
      </c>
      <c r="M41" s="15">
        <v>-72</v>
      </c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5"/>
      <c r="Z41" s="15"/>
      <c r="AA41" s="15"/>
    </row>
    <row r="42" ht="8.35" customHeight="1" hidden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5"/>
      <c r="Z42" s="15"/>
      <c r="AA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5"/>
      <c r="Z43" s="15"/>
      <c r="AA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5"/>
      <c r="Z44" s="15"/>
      <c r="AA44" s="15"/>
    </row>
    <row r="45" ht="20.05" customHeight="1">
      <c r="B45" s="13"/>
      <c r="C45" s="14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26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5"/>
      <c r="Z45" s="15"/>
      <c r="AA45" s="15"/>
    </row>
    <row r="47" ht="27.65" customHeight="1">
      <c r="AB47" t="s" s="2">
        <v>685</v>
      </c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</row>
    <row r="48" ht="20.25" customHeight="1">
      <c r="AB48" t="s" s="28">
        <v>366</v>
      </c>
      <c r="AC48" t="s" s="29">
        <v>23</v>
      </c>
      <c r="AD48" t="s" s="29">
        <v>24</v>
      </c>
      <c r="AE48" t="s" s="29">
        <v>25</v>
      </c>
      <c r="AF48" t="s" s="29">
        <v>26</v>
      </c>
      <c r="AG48" t="s" s="29">
        <v>23</v>
      </c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</row>
    <row r="49" ht="20.25" customHeight="1">
      <c r="AB49" t="s" s="31">
        <v>15</v>
      </c>
      <c r="AC49" s="32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</row>
    <row r="50" ht="20.05" customHeight="1">
      <c r="AB50" t="s" s="33">
        <v>27</v>
      </c>
      <c r="AC50" s="34"/>
      <c r="AD50" s="16">
        <f>AVERAGE(P14:P17)</f>
        <v>0.0383209825327482</v>
      </c>
      <c r="AE50" s="35"/>
      <c r="AF50" s="35"/>
      <c r="AG50" s="35">
        <f>AVERAGE(AD52:AG52)</f>
        <v>0.01</v>
      </c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</row>
    <row r="51" ht="20.05" customHeight="1">
      <c r="AB51" s="36"/>
      <c r="AC51" s="37"/>
      <c r="AD51" s="35">
        <f>P14</f>
        <v>0.259372275501308</v>
      </c>
      <c r="AE51" s="35">
        <f>P15</f>
        <v>-0.07165109034267909</v>
      </c>
      <c r="AF51" s="35">
        <f>P16</f>
        <v>0.0801640566741238</v>
      </c>
      <c r="AG51" s="35">
        <f>P17</f>
        <v>-0.11460131170176</v>
      </c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</row>
    <row r="52" ht="20.05" customHeight="1">
      <c r="AB52" t="s" s="33">
        <v>13</v>
      </c>
      <c r="AC52" s="37"/>
      <c r="AD52" s="35">
        <v>0.03</v>
      </c>
      <c r="AE52" s="35">
        <v>-0.01</v>
      </c>
      <c r="AF52" s="35">
        <v>0.01</v>
      </c>
      <c r="AG52" s="35">
        <v>0.01</v>
      </c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</row>
    <row r="53" ht="20.05" customHeight="1">
      <c r="AB53" t="s" s="33">
        <v>28</v>
      </c>
      <c r="AC53" s="38">
        <f>F17</f>
        <v>2565</v>
      </c>
      <c r="AD53" s="23">
        <f>AC53*(1+AD52)</f>
        <v>2641.95</v>
      </c>
      <c r="AE53" s="23">
        <f>AD53*(1+AE52)</f>
        <v>2615.5305</v>
      </c>
      <c r="AF53" s="23">
        <f>AE53*(1+AF52)</f>
        <v>2641.685805</v>
      </c>
      <c r="AG53" s="23">
        <f>AF53*(1+AG52)</f>
        <v>2668.10266305</v>
      </c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</row>
    <row r="54" ht="20.05" customHeight="1">
      <c r="AB54" t="s" s="33">
        <v>14</v>
      </c>
      <c r="AC54" s="37"/>
      <c r="AD54" s="35">
        <f>AVERAGE(Q17)</f>
        <v>0.154460256855259</v>
      </c>
      <c r="AE54" s="35">
        <f>AD54</f>
        <v>0.154460256855259</v>
      </c>
      <c r="AF54" s="35">
        <f>AE54</f>
        <v>0.154460256855259</v>
      </c>
      <c r="AG54" s="35">
        <f>AF54</f>
        <v>0.154460256855259</v>
      </c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</row>
    <row r="55" ht="20.05" customHeight="1">
      <c r="AB55" t="s" s="33">
        <v>29</v>
      </c>
      <c r="AC55" s="14"/>
      <c r="AD55" s="15">
        <f>AVERAGE(K17)</f>
        <v>-170</v>
      </c>
      <c r="AE55" s="15">
        <f>AD55</f>
        <v>-170</v>
      </c>
      <c r="AF55" s="15">
        <f>AE55</f>
        <v>-170</v>
      </c>
      <c r="AG55" s="15">
        <f>AF55</f>
        <v>-170</v>
      </c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</row>
    <row r="56" ht="20.05" customHeight="1">
      <c r="AB56" t="s" s="33">
        <v>30</v>
      </c>
      <c r="AC56" s="14"/>
      <c r="AD56" s="15">
        <f>(AD53*AD54)+AD55</f>
        <v>238.076275598752</v>
      </c>
      <c r="AE56" s="15">
        <f>(AE53*AE54)+AE55</f>
        <v>233.995512842764</v>
      </c>
      <c r="AF56" s="15">
        <f>(AF53*AF54)+AF55</f>
        <v>238.035467971192</v>
      </c>
      <c r="AG56" s="15">
        <f>(AG53*AG54)+AG55</f>
        <v>242.115822650904</v>
      </c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</row>
    <row r="57" ht="20.05" customHeight="1">
      <c r="AB57" t="s" s="33">
        <v>31</v>
      </c>
      <c r="AC57" s="14"/>
      <c r="AD57" s="15">
        <f>-D17/20</f>
        <v>-420.7</v>
      </c>
      <c r="AE57" s="15">
        <f>-AD72/20</f>
        <v>-399.665</v>
      </c>
      <c r="AF57" s="15">
        <f>-AE72/20</f>
        <v>-379.68175</v>
      </c>
      <c r="AG57" s="15">
        <f>-AF72/20</f>
        <v>-360.6976625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</row>
    <row r="58" ht="20.05" customHeight="1">
      <c r="AB58" t="s" s="33">
        <v>32</v>
      </c>
      <c r="AC58" s="39"/>
      <c r="AD58" s="40">
        <v>0</v>
      </c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</row>
    <row r="59" ht="20.05" customHeight="1">
      <c r="AB59" t="s" s="33">
        <v>33</v>
      </c>
      <c r="AC59" s="14"/>
      <c r="AD59" s="15">
        <f>IF(AD67&gt;0,AD67*$AD$58,0)</f>
        <v>0</v>
      </c>
      <c r="AE59" s="15">
        <f>IF(AE67&gt;0,AE67*$AD$58,0)</f>
        <v>0</v>
      </c>
      <c r="AF59" s="15">
        <f>IF(AF67&gt;0,AF67*$AD$58,0)</f>
        <v>0</v>
      </c>
      <c r="AG59" s="15">
        <f>IF(AG67&gt;0,AG67*$AD$58,0)</f>
        <v>0</v>
      </c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</row>
    <row r="60" ht="20.05" customHeight="1">
      <c r="AB60" t="s" s="33">
        <v>34</v>
      </c>
      <c r="AC60" s="14"/>
      <c r="AD60" s="15">
        <f>AD56+AD57+AD59</f>
        <v>-182.623724401248</v>
      </c>
      <c r="AE60" s="15">
        <f>AE56+AE57+AE59</f>
        <v>-165.669487157236</v>
      </c>
      <c r="AF60" s="15">
        <f>AF56+AF57+AF59</f>
        <v>-141.646282028808</v>
      </c>
      <c r="AG60" s="15">
        <f>AG56+AG57+AG59</f>
        <v>-118.581839849096</v>
      </c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</row>
    <row r="61" ht="20.05" customHeight="1">
      <c r="AB61" t="s" s="33">
        <v>35</v>
      </c>
      <c r="AC61" s="14"/>
      <c r="AD61" s="15">
        <f>-MIN(0,AD60)</f>
        <v>182.623724401248</v>
      </c>
      <c r="AE61" s="15">
        <f>-MIN(AD73,AE60)</f>
        <v>165.669487157236</v>
      </c>
      <c r="AF61" s="15">
        <f>-MIN(AE73,AF60)</f>
        <v>141.646282028808</v>
      </c>
      <c r="AG61" s="15">
        <f>-MIN(AF73,AG60)</f>
        <v>118.581839849096</v>
      </c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</row>
    <row r="62" ht="20.05" customHeight="1">
      <c r="AB62" t="s" s="33">
        <v>36</v>
      </c>
      <c r="AC62" s="14"/>
      <c r="AD62" s="15">
        <f>C17</f>
        <v>1450</v>
      </c>
      <c r="AE62" s="15">
        <f>AD64</f>
        <v>1450</v>
      </c>
      <c r="AF62" s="15">
        <f>AE64</f>
        <v>1450</v>
      </c>
      <c r="AG62" s="15">
        <f>AF64</f>
        <v>1450</v>
      </c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</row>
    <row r="63" ht="20.05" customHeight="1">
      <c r="AB63" t="s" s="33">
        <v>37</v>
      </c>
      <c r="AC63" s="14"/>
      <c r="AD63" s="15">
        <f>AD56+AD57+AD59+AD61</f>
        <v>0</v>
      </c>
      <c r="AE63" s="15">
        <f>AE56+AE57+AE59+AE61</f>
        <v>0</v>
      </c>
      <c r="AF63" s="15">
        <f>AF56+AF57+AF59+AF61</f>
        <v>0</v>
      </c>
      <c r="AG63" s="15">
        <f>AG56+AG57+AG59+AG61</f>
        <v>0</v>
      </c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</row>
    <row r="64" ht="20.05" customHeight="1">
      <c r="AB64" t="s" s="33">
        <v>38</v>
      </c>
      <c r="AC64" s="14"/>
      <c r="AD64" s="15">
        <f>AD62+AD63</f>
        <v>1450</v>
      </c>
      <c r="AE64" s="15">
        <f>AE62+AE63</f>
        <v>1450</v>
      </c>
      <c r="AF64" s="15">
        <f>AF62+AF63</f>
        <v>1450</v>
      </c>
      <c r="AG64" s="15">
        <f>AG62+AG63</f>
        <v>1450</v>
      </c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</row>
    <row r="65" ht="20.05" customHeight="1">
      <c r="AB65" t="s" s="41">
        <v>4</v>
      </c>
      <c r="AC65" s="14"/>
      <c r="AD65" s="15"/>
      <c r="AE65" s="15"/>
      <c r="AF65" s="15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ht="20.05" customHeight="1">
      <c r="AB66" t="s" s="33">
        <v>3</v>
      </c>
      <c r="AC66" s="14"/>
      <c r="AD66" s="15"/>
      <c r="AE66" s="15">
        <f>AD66</f>
        <v>0</v>
      </c>
      <c r="AF66" s="15">
        <f>AE66</f>
        <v>0</v>
      </c>
      <c r="AG66" s="15">
        <f>AF66</f>
        <v>0</v>
      </c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</row>
    <row r="67" ht="20.05" customHeight="1">
      <c r="AB67" t="s" s="33">
        <v>4</v>
      </c>
      <c r="AC67" s="14"/>
      <c r="AD67" s="15">
        <f>(AD53*AD54)+AD66</f>
        <v>408.076275598752</v>
      </c>
      <c r="AE67" s="15">
        <f>(AE53*AE54)+AE66</f>
        <v>403.995512842764</v>
      </c>
      <c r="AF67" s="15">
        <f>(AF53*AF54)+AF66</f>
        <v>408.035467971192</v>
      </c>
      <c r="AG67" s="15">
        <f>(AG53*AG54)+AG66</f>
        <v>412.115822650904</v>
      </c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</row>
    <row r="68" ht="20.05" customHeight="1">
      <c r="AB68" t="s" s="41">
        <v>39</v>
      </c>
      <c r="AC68" s="14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</row>
    <row r="69" ht="20.05" customHeight="1">
      <c r="AB69" t="s" s="33">
        <v>40</v>
      </c>
      <c r="AC69" s="14"/>
      <c r="AD69" s="15">
        <f>E17-C17-AD55</f>
        <v>11637</v>
      </c>
      <c r="AE69" s="15">
        <f>AD69-AE55</f>
        <v>11807</v>
      </c>
      <c r="AF69" s="15">
        <f>AE69-AF55</f>
        <v>11977</v>
      </c>
      <c r="AG69" s="15">
        <f>AF69-AG55</f>
        <v>12147</v>
      </c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</row>
    <row r="70" ht="20.05" customHeight="1">
      <c r="AB70" t="s" s="33">
        <v>41</v>
      </c>
      <c r="AC70" s="14"/>
      <c r="AD70" s="15">
        <f>0-AD66</f>
        <v>0</v>
      </c>
      <c r="AE70" s="15">
        <f>AD70-AE66</f>
        <v>0</v>
      </c>
      <c r="AF70" s="15">
        <f>AE70-AF66</f>
        <v>0</v>
      </c>
      <c r="AG70" s="15">
        <f>AF70-AG66</f>
        <v>0</v>
      </c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</row>
    <row r="71" ht="20.05" customHeight="1">
      <c r="AB71" t="s" s="33">
        <v>42</v>
      </c>
      <c r="AC71" s="14"/>
      <c r="AD71" s="15">
        <f>AD69-AD70</f>
        <v>11637</v>
      </c>
      <c r="AE71" s="15">
        <f>AE69-AE70</f>
        <v>11807</v>
      </c>
      <c r="AF71" s="15">
        <f>AF69-AF70</f>
        <v>11977</v>
      </c>
      <c r="AG71" s="15">
        <f>AG69-AG70</f>
        <v>12147</v>
      </c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</row>
    <row r="72" ht="20.05" customHeight="1">
      <c r="AB72" t="s" s="33">
        <v>6</v>
      </c>
      <c r="AC72" s="14"/>
      <c r="AD72" s="15">
        <f>D17+AD57</f>
        <v>7993.3</v>
      </c>
      <c r="AE72" s="15">
        <f>AD72+AE57</f>
        <v>7593.635</v>
      </c>
      <c r="AF72" s="15">
        <f>AE72+AF57</f>
        <v>7213.95325</v>
      </c>
      <c r="AG72" s="15">
        <f>AF72+AG57</f>
        <v>6853.2555875</v>
      </c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</row>
    <row r="73" ht="20.05" customHeight="1">
      <c r="AB73" t="s" s="33">
        <v>35</v>
      </c>
      <c r="AC73" s="14"/>
      <c r="AD73" s="15">
        <f>AD61</f>
        <v>182.623724401248</v>
      </c>
      <c r="AE73" s="15">
        <f>AD73+AE61</f>
        <v>348.293211558484</v>
      </c>
      <c r="AF73" s="15">
        <f>AE73+AF61</f>
        <v>489.939493587292</v>
      </c>
      <c r="AG73" s="15">
        <f>AF73+AG61</f>
        <v>608.521333436388</v>
      </c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</row>
    <row r="74" ht="20.05" customHeight="1">
      <c r="AB74" t="s" s="33">
        <v>11</v>
      </c>
      <c r="AC74" s="14"/>
      <c r="AD74" s="15">
        <f>(E17-D17)+AD67+AD59</f>
        <v>4911.076275598750</v>
      </c>
      <c r="AE74" s="15">
        <f>AD74+AE67+AE59</f>
        <v>5315.071788441510</v>
      </c>
      <c r="AF74" s="15">
        <f>AE74+AF67+AF59</f>
        <v>5723.1072564127</v>
      </c>
      <c r="AG74" s="15">
        <f>AF74+AG67+AG59</f>
        <v>6135.2230790636</v>
      </c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</row>
    <row r="75" ht="20.05" customHeight="1">
      <c r="AB75" t="s" s="33">
        <v>43</v>
      </c>
      <c r="AC75" s="14"/>
      <c r="AD75" s="15">
        <f>AD72+AD73+AD74-AD64-AD71</f>
        <v>-2e-12</v>
      </c>
      <c r="AE75" s="15">
        <f>AE72+AE73+AE74-AE64-AE71</f>
        <v>-6e-12</v>
      </c>
      <c r="AF75" s="15">
        <f>AF72+AF73+AF74-AF64-AF71</f>
        <v>-8e-12</v>
      </c>
      <c r="AG75" s="15">
        <f>AG72+AG73+AG74-AG64-AG71</f>
        <v>-1.2e-11</v>
      </c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</row>
    <row r="76" ht="20.05" customHeight="1">
      <c r="AB76" t="s" s="33">
        <v>18</v>
      </c>
      <c r="AC76" s="14"/>
      <c r="AD76" s="15">
        <f>AD64-AD72-AD73</f>
        <v>-6725.923724401250</v>
      </c>
      <c r="AE76" s="15">
        <f>AE64-AE72-AE73</f>
        <v>-6491.928211558480</v>
      </c>
      <c r="AF76" s="15">
        <f>AF64-AF72-AF73</f>
        <v>-6253.892743587290</v>
      </c>
      <c r="AG76" s="15">
        <f>AG64-AG72-AG73</f>
        <v>-6011.776920936390</v>
      </c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</row>
    <row r="77" ht="20.05" customHeight="1">
      <c r="AB77" t="s" s="33">
        <v>44</v>
      </c>
      <c r="AC77" s="14"/>
      <c r="AD77" s="15">
        <f>AD57+AD59+AD61</f>
        <v>-238.076275598752</v>
      </c>
      <c r="AE77" s="15">
        <f>AE57+AE59+AE61</f>
        <v>-233.995512842764</v>
      </c>
      <c r="AF77" s="15">
        <f>AF57+AF59+AF61</f>
        <v>-238.035467971192</v>
      </c>
      <c r="AG77" s="15">
        <f>AG57+AG59+AG61</f>
        <v>-242.115822650904</v>
      </c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</row>
    <row r="78" ht="20.05" customHeight="1">
      <c r="AB78" t="s" s="33">
        <v>45</v>
      </c>
      <c r="AC78" s="14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</row>
    <row r="79" ht="20.05" customHeight="1">
      <c r="AB79" t="s" s="33">
        <f>Z$3</f>
        <v>686</v>
      </c>
      <c r="AC79" s="14"/>
      <c r="AD79" s="15"/>
      <c r="AE79" s="15"/>
      <c r="AF79" s="15"/>
      <c r="AG79" s="15">
        <v>102</v>
      </c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</row>
    <row r="80" ht="20.05" customHeight="1">
      <c r="AB80" t="s" s="33">
        <f>$AB79</f>
        <v>686</v>
      </c>
      <c r="AC80" s="14"/>
      <c r="AD80" s="15"/>
      <c r="AE80" s="15"/>
      <c r="AF80" s="15"/>
      <c r="AG80" s="15">
        <v>1599594590208</v>
      </c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</row>
    <row r="81" ht="20.05" customHeight="1">
      <c r="AB81" t="s" s="33">
        <v>46</v>
      </c>
      <c r="AC81" s="14"/>
      <c r="AD81" s="15"/>
      <c r="AE81" s="15"/>
      <c r="AF81" s="15"/>
      <c r="AG81" s="15">
        <f>AG80/1000000000</f>
        <v>1599.594590208</v>
      </c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</row>
    <row r="82" ht="20.05" customHeight="1">
      <c r="AB82" t="s" s="33">
        <v>47</v>
      </c>
      <c r="AC82" s="14"/>
      <c r="AD82" s="15"/>
      <c r="AE82" s="15"/>
      <c r="AF82" s="15"/>
      <c r="AG82" s="15">
        <f>AG81/AG79</f>
        <v>15.682299904</v>
      </c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</row>
    <row r="83" ht="20.05" customHeight="1">
      <c r="AB83" t="s" s="33">
        <v>48</v>
      </c>
      <c r="AC83" s="14"/>
      <c r="AD83" s="15"/>
      <c r="AE83" s="15"/>
      <c r="AF83" s="15"/>
      <c r="AG83" s="43">
        <f>AG81/(AG64+AG71)</f>
        <v>0.117643199985879</v>
      </c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</row>
    <row r="84" ht="20.05" customHeight="1">
      <c r="AB84" t="s" s="33">
        <v>49</v>
      </c>
      <c r="AC84" s="14"/>
      <c r="AD84" s="15"/>
      <c r="AE84" s="15"/>
      <c r="AF84" s="15"/>
      <c r="AG84" s="16">
        <f>-(AD59+AE59+AF59+AG59)/AG81</f>
        <v>0</v>
      </c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ht="20.05" customHeight="1">
      <c r="AB85" t="s" s="33">
        <v>50</v>
      </c>
      <c r="AC85" s="14"/>
      <c r="AD85" s="15"/>
      <c r="AE85" s="15"/>
      <c r="AF85" s="15"/>
      <c r="AG85" s="15">
        <f>SUM(AD56:AG56)</f>
        <v>952.223079063612</v>
      </c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</row>
    <row r="86" ht="20.05" customHeight="1">
      <c r="AB86" t="s" s="33">
        <v>51</v>
      </c>
      <c r="AC86" s="14"/>
      <c r="AD86" s="15"/>
      <c r="AE86" s="15"/>
      <c r="AF86" s="15"/>
      <c r="AG86" s="15">
        <f>AG71/AG85</f>
        <v>12.7564646006532</v>
      </c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</row>
    <row r="87" ht="20.05" customHeight="1">
      <c r="AB87" t="s" s="33">
        <v>52</v>
      </c>
      <c r="AC87" s="14"/>
      <c r="AD87" s="15"/>
      <c r="AE87" s="15"/>
      <c r="AF87" s="15">
        <f>AG81/AG85</f>
        <v>1.67985278384661</v>
      </c>
      <c r="AG87" s="15">
        <v>3</v>
      </c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</row>
    <row r="88" ht="20.05" customHeight="1">
      <c r="AB88" t="s" s="33">
        <v>53</v>
      </c>
      <c r="AC88" s="14"/>
      <c r="AD88" s="15"/>
      <c r="AE88" s="15"/>
      <c r="AF88" s="15"/>
      <c r="AG88" s="15">
        <f>AG85*AG87</f>
        <v>2856.669237190840</v>
      </c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</row>
    <row r="89" ht="20.05" customHeight="1">
      <c r="AB89" t="s" s="33">
        <v>54</v>
      </c>
      <c r="AC89" s="14"/>
      <c r="AD89" s="15"/>
      <c r="AE89" s="15"/>
      <c r="AF89" s="15"/>
      <c r="AG89" s="15">
        <f>(AG88/AG82)</f>
        <v>182.158819476613</v>
      </c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</row>
    <row r="90" ht="20.05" customHeight="1">
      <c r="AB90" t="s" s="33">
        <v>55</v>
      </c>
      <c r="AC90" s="38"/>
      <c r="AD90" s="23"/>
      <c r="AE90" s="23"/>
      <c r="AF90" s="23"/>
      <c r="AG90" s="16">
        <f>AG89/AG79-1</f>
        <v>0.7858707791824801</v>
      </c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</row>
    <row r="91" ht="20.05" customHeight="1">
      <c r="AB91" t="s" s="33">
        <v>56</v>
      </c>
      <c r="AC91" s="38"/>
      <c r="AD91" s="23"/>
      <c r="AE91" s="23"/>
      <c r="AF91" s="23"/>
      <c r="AG91" s="16">
        <f>F27/F23-1</f>
        <v>0.0974262228810133</v>
      </c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</row>
    <row r="92" ht="20.05" customHeight="1">
      <c r="AB92" t="s" s="33">
        <v>57</v>
      </c>
      <c r="AC92" s="38"/>
      <c r="AD92" s="23"/>
      <c r="AE92" s="23"/>
      <c r="AF92" s="23"/>
      <c r="AG92" s="16">
        <f>O29/N29-1</f>
      </c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</row>
    <row r="93" ht="20.05" customHeight="1">
      <c r="AB93" s="36"/>
      <c r="AC93" s="38"/>
      <c r="AD93" s="23"/>
      <c r="AE93" s="23"/>
      <c r="AF93" s="23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</row>
    <row r="94" ht="20.05" customHeight="1">
      <c r="AB94" s="36"/>
      <c r="AC94" s="38"/>
      <c r="AD94" s="23"/>
      <c r="AE94" s="23"/>
      <c r="AF94" s="23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</row>
    <row r="95" ht="20.05" customHeight="1">
      <c r="AB95" s="36"/>
      <c r="AC95" s="45"/>
      <c r="AD95" t="s" s="44">
        <f>$AB79</f>
        <v>686</v>
      </c>
      <c r="AE95" t="s" s="44">
        <v>60</v>
      </c>
      <c r="AF95" s="15">
        <f>AG79</f>
        <v>102</v>
      </c>
      <c r="AG95" t="s" s="44">
        <v>61</v>
      </c>
      <c r="AH95" s="15">
        <f>AG89</f>
        <v>182.158819476613</v>
      </c>
      <c r="AI95" t="s" s="44">
        <f>IF(AJ95&gt;0,"+","")</f>
        <v>361</v>
      </c>
      <c r="AJ95" s="16">
        <f>AH95/AF95-1</f>
        <v>0.7858707791824801</v>
      </c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ht="20.05" customHeight="1">
      <c r="AB96" s="36"/>
      <c r="AC96" s="46"/>
      <c r="AD96" s="47">
        <f>TODAY()</f>
        <v>44942</v>
      </c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ht="32.05" customHeight="1">
      <c r="AB97" s="36"/>
      <c r="AC97" s="34"/>
      <c r="AD97" t="s" s="44">
        <v>62</v>
      </c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ht="32.05" customHeight="1">
      <c r="AB98" s="36"/>
      <c r="AC98" s="34"/>
      <c r="AD98" t="s" s="44">
        <v>63</v>
      </c>
      <c r="AE98" t="s" s="44">
        <v>64</v>
      </c>
      <c r="AF98" t="s" s="44">
        <f>IF(AG98&gt;0,"+","")</f>
        <v>361</v>
      </c>
      <c r="AG98" s="16">
        <f>AH105/AD105-1</f>
        <v>0.118134263295554</v>
      </c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ht="32.05" customHeight="1">
      <c r="AB99" s="36"/>
      <c r="AC99" s="34"/>
      <c r="AD99" t="s" s="44">
        <v>63</v>
      </c>
      <c r="AE99" t="s" s="44">
        <v>65</v>
      </c>
      <c r="AF99" t="s" s="44">
        <f>IF(AG99&gt;0,"+","")</f>
        <v>361</v>
      </c>
      <c r="AG99" s="16">
        <f>SUM(AE118:AH119)/AE135</f>
        <v>0.739562391146979</v>
      </c>
      <c r="AH99" t="s" s="44">
        <v>66</v>
      </c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ht="32.05" customHeight="1">
      <c r="AB100" s="36"/>
      <c r="AC100" s="34"/>
      <c r="AD100" t="s" s="44">
        <v>63</v>
      </c>
      <c r="AE100" t="s" s="44">
        <v>17</v>
      </c>
      <c r="AF100" t="s" s="44">
        <f>IF(AG100&gt;0,"+","")</f>
        <v>361</v>
      </c>
      <c r="AG100" s="16">
        <f>SUM(AE132:AH133)/AE135</f>
        <v>0.715181213416859</v>
      </c>
      <c r="AH100" t="s" s="44">
        <f>AH99</f>
        <v>66</v>
      </c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ht="32.05" customHeight="1">
      <c r="AB101" s="36"/>
      <c r="AC101" s="34"/>
      <c r="AD101" t="s" s="44">
        <v>68</v>
      </c>
      <c r="AE101" t="s" s="44">
        <v>369</v>
      </c>
      <c r="AF101" s="16">
        <f>AO128/AE135</f>
        <v>-4.35360312083479</v>
      </c>
      <c r="AG101" t="s" s="44">
        <f>AH100</f>
        <v>66</v>
      </c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ht="20.05" customHeight="1">
      <c r="AB102" s="36"/>
      <c r="AC102" s="34"/>
      <c r="AD102" t="s" s="44">
        <v>28</v>
      </c>
      <c r="AE102" t="s" s="44">
        <f>AE106</f>
        <v>370</v>
      </c>
      <c r="AF102" s="16">
        <f>AF106</f>
        <v>-0.11460131170176</v>
      </c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ht="32.05" customHeight="1">
      <c r="AB103" s="36"/>
      <c r="AC103" s="34"/>
      <c r="AD103" t="s" s="44">
        <v>70</v>
      </c>
      <c r="AE103" t="s" s="44">
        <v>371</v>
      </c>
      <c r="AF103" t="s" s="44">
        <f>AL106</f>
        <v>372</v>
      </c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ht="20.05" customHeight="1">
      <c r="AB104" s="36"/>
      <c r="AC104" s="71"/>
      <c r="AD104" s="16">
        <f>P13</f>
        <v>-0.186813186813187</v>
      </c>
      <c r="AE104" s="16">
        <f>P14</f>
        <v>0.259372275501308</v>
      </c>
      <c r="AF104" s="16">
        <f>P15</f>
        <v>-0.07165109034267909</v>
      </c>
      <c r="AG104" s="16">
        <f>SUM(P16)</f>
        <v>0.0801640566741238</v>
      </c>
      <c r="AH104" s="16">
        <f>P17</f>
        <v>-0.11460131170176</v>
      </c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ht="20.05" customHeight="1">
      <c r="AB105" s="36"/>
      <c r="AC105" s="34"/>
      <c r="AD105" s="15">
        <f>F13</f>
        <v>2294</v>
      </c>
      <c r="AE105" s="15">
        <f>F14</f>
        <v>2889</v>
      </c>
      <c r="AF105" s="15">
        <f>F15</f>
        <v>2682</v>
      </c>
      <c r="AG105" s="15">
        <f>SUM(F16)</f>
        <v>2897</v>
      </c>
      <c r="AH105" s="15">
        <f>F17</f>
        <v>2565</v>
      </c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ht="44.05" customHeight="1">
      <c r="AB106" s="36"/>
      <c r="AC106" s="34"/>
      <c r="AD106" t="s" s="44">
        <v>2</v>
      </c>
      <c r="AE106" t="s" s="44">
        <f>IF(AF106&lt;0,"declined","grew")</f>
        <v>370</v>
      </c>
      <c r="AF106" s="16">
        <f>AH105/AG105-1</f>
        <v>-0.11460131170176</v>
      </c>
      <c r="AG106" t="s" s="44">
        <v>73</v>
      </c>
      <c r="AH106" t="s" s="44">
        <v>74</v>
      </c>
      <c r="AI106" t="s" s="44">
        <v>75</v>
      </c>
      <c r="AJ106" t="s" s="44">
        <v>76</v>
      </c>
      <c r="AK106" s="15">
        <f>AH105</f>
        <v>2565</v>
      </c>
      <c r="AL106" t="s" s="44">
        <v>372</v>
      </c>
      <c r="AM106" t="s" s="44">
        <v>378</v>
      </c>
      <c r="AN106" s="16">
        <v>0.0297063450445726</v>
      </c>
      <c r="AO106" t="s" s="44">
        <v>78</v>
      </c>
      <c r="AP106" s="17"/>
      <c r="AQ106" s="17"/>
      <c r="AR106" s="17"/>
      <c r="AS106" s="17"/>
      <c r="AT106" s="17"/>
      <c r="AU106" s="17"/>
    </row>
    <row r="107" ht="56.05" customHeight="1">
      <c r="AB107" s="36"/>
      <c r="AC107" s="34"/>
      <c r="AD107" t="s" s="44">
        <v>79</v>
      </c>
      <c r="AE107" s="16">
        <f>AVERAGE(AE104:AH104)</f>
        <v>0.0383209825327482</v>
      </c>
      <c r="AF107" t="s" s="44">
        <v>80</v>
      </c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ht="56.05" customHeight="1">
      <c r="AB108" s="36"/>
      <c r="AC108" s="34"/>
      <c r="AD108" t="s" s="44">
        <v>81</v>
      </c>
      <c r="AE108" s="35">
        <f>AG50</f>
        <v>0.01</v>
      </c>
      <c r="AF108" t="s" s="44">
        <v>82</v>
      </c>
      <c r="AG108" t="s" s="44">
        <v>83</v>
      </c>
      <c r="AH108" s="23">
        <f>AG53</f>
        <v>2668.10266305</v>
      </c>
      <c r="AI108" t="s" s="44">
        <f>AL106</f>
        <v>372</v>
      </c>
      <c r="AJ108" t="s" s="44">
        <v>84</v>
      </c>
      <c r="AK108" t="s" s="44">
        <f>AH106</f>
        <v>74</v>
      </c>
      <c r="AL108" t="s" s="44">
        <f>AI106</f>
        <v>75</v>
      </c>
      <c r="AM108" t="s" s="44">
        <v>85</v>
      </c>
      <c r="AN108" s="17"/>
      <c r="AO108" s="17"/>
      <c r="AP108" s="17"/>
      <c r="AQ108" s="17"/>
      <c r="AR108" s="17"/>
      <c r="AS108" s="17"/>
      <c r="AT108" s="17"/>
      <c r="AU108" s="17"/>
    </row>
    <row r="109" ht="20.05" customHeight="1">
      <c r="AB109" s="36"/>
      <c r="AC109" s="34"/>
      <c r="AD109" t="s" s="44">
        <v>14</v>
      </c>
      <c r="AE109" t="s" s="44">
        <f>IF(AG113&lt;AE113,"down","up")</f>
        <v>108</v>
      </c>
      <c r="AF109" t="s" s="44">
        <v>86</v>
      </c>
      <c r="AG109" t="s" s="44">
        <f>IF(AK113&gt;AI113,"up","down")</f>
        <v>87</v>
      </c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ht="44.05" customHeight="1">
      <c r="AB110" s="36"/>
      <c r="AC110" s="34"/>
      <c r="AD110" t="s" s="44">
        <f>AD103</f>
        <v>70</v>
      </c>
      <c r="AE110" t="s" s="44">
        <v>88</v>
      </c>
      <c r="AF110" t="s" s="44">
        <f>AL106</f>
        <v>372</v>
      </c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ht="20.05" customHeight="1">
      <c r="AB111" s="36"/>
      <c r="AC111" s="71"/>
      <c r="AD111" s="16"/>
      <c r="AE111" s="16"/>
      <c r="AF111" s="16"/>
      <c r="AG111" s="16"/>
      <c r="AH111" s="16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ht="20.05" customHeight="1">
      <c r="AB112" s="36"/>
      <c r="AC112" s="34"/>
      <c r="AD112" s="15">
        <f>H13</f>
        <v>363</v>
      </c>
      <c r="AE112" s="15">
        <f>H14</f>
        <v>26</v>
      </c>
      <c r="AF112" s="15">
        <f>H15</f>
        <v>-134</v>
      </c>
      <c r="AG112" s="15">
        <f>H16</f>
        <v>138</v>
      </c>
      <c r="AH112" s="15">
        <f>H17</f>
        <v>-72</v>
      </c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ht="44.05" customHeight="1">
      <c r="AB113" s="36"/>
      <c r="AC113" s="34"/>
      <c r="AD113" t="s" s="44">
        <v>89</v>
      </c>
      <c r="AE113" s="16">
        <f>AG111</f>
        <v>0</v>
      </c>
      <c r="AF113" t="s" s="44">
        <v>76</v>
      </c>
      <c r="AG113" s="16">
        <f>AH111</f>
        <v>0</v>
      </c>
      <c r="AH113" t="s" s="44">
        <v>90</v>
      </c>
      <c r="AI113" s="15">
        <f>AG112</f>
        <v>138</v>
      </c>
      <c r="AJ113" t="s" s="44">
        <v>76</v>
      </c>
      <c r="AK113" s="15">
        <f>AH112</f>
        <v>-72</v>
      </c>
      <c r="AL113" t="s" s="44">
        <f>AI108</f>
        <v>372</v>
      </c>
      <c r="AM113" t="s" s="44">
        <v>73</v>
      </c>
      <c r="AN113" t="s" s="44">
        <f>AK108</f>
        <v>74</v>
      </c>
      <c r="AO113" t="s" s="44">
        <v>91</v>
      </c>
      <c r="AP113" s="17"/>
      <c r="AQ113" s="17"/>
      <c r="AR113" s="17"/>
      <c r="AS113" s="17"/>
      <c r="AT113" s="17"/>
      <c r="AU113" s="17"/>
    </row>
    <row r="114" ht="68.05" customHeight="1">
      <c r="AB114" s="36"/>
      <c r="AC114" s="34"/>
      <c r="AD114" t="s" s="44">
        <v>92</v>
      </c>
      <c r="AE114" s="17">
        <f>AVERAGE(AE111:AH111)</f>
      </c>
      <c r="AF114" t="s" s="44">
        <v>78</v>
      </c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ht="44.05" customHeight="1">
      <c r="AB115" s="36"/>
      <c r="AC115" s="34"/>
      <c r="AD115" t="s" s="44">
        <v>93</v>
      </c>
      <c r="AE115" s="35">
        <f>AD54</f>
        <v>0.154460256855259</v>
      </c>
      <c r="AF115" t="s" s="44">
        <v>94</v>
      </c>
      <c r="AG115" s="15">
        <f>AG67</f>
        <v>412.115822650904</v>
      </c>
      <c r="AH115" t="s" s="44">
        <f>AL113</f>
        <v>372</v>
      </c>
      <c r="AI115" t="s" s="44">
        <v>95</v>
      </c>
      <c r="AJ115" t="s" s="44">
        <f>AN113</f>
        <v>74</v>
      </c>
      <c r="AK115" t="s" s="44">
        <f>AI106</f>
        <v>75</v>
      </c>
      <c r="AL115" t="s" s="44">
        <f>AM108</f>
        <v>85</v>
      </c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ht="20.05" customHeight="1">
      <c r="AB116" s="36"/>
      <c r="AC116" s="34"/>
      <c r="AD116" t="s" s="44">
        <v>15</v>
      </c>
      <c r="AE116" t="s" s="44">
        <f>IF(AG120&lt;AE120,"lower","higher")</f>
        <v>104</v>
      </c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ht="56.05" customHeight="1">
      <c r="AB117" s="36"/>
      <c r="AC117" s="34"/>
      <c r="AD117" t="s" s="44">
        <f>AD110</f>
        <v>70</v>
      </c>
      <c r="AE117" t="s" s="44">
        <v>96</v>
      </c>
      <c r="AF117" t="s" s="44">
        <f>AL106</f>
        <v>372</v>
      </c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ht="20.05" customHeight="1">
      <c r="AB118" s="36"/>
      <c r="AC118" s="34"/>
      <c r="AD118" s="15">
        <f>J13</f>
        <v>-152</v>
      </c>
      <c r="AE118" s="15">
        <f>J14</f>
        <v>-52</v>
      </c>
      <c r="AF118" s="15">
        <f>J15</f>
        <v>-833</v>
      </c>
      <c r="AG118" s="15">
        <f>J16</f>
        <v>-14</v>
      </c>
      <c r="AH118" s="15">
        <f>J17</f>
        <v>445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ht="20.05" customHeight="1">
      <c r="AB119" s="36"/>
      <c r="AC119" s="34"/>
      <c r="AD119" s="15">
        <f>K13</f>
        <v>72</v>
      </c>
      <c r="AE119" s="15">
        <f>K14</f>
        <v>1297</v>
      </c>
      <c r="AF119" s="15">
        <f>K15</f>
        <v>12</v>
      </c>
      <c r="AG119" s="15">
        <f>K16</f>
        <v>498</v>
      </c>
      <c r="AH119" s="15">
        <f>K17</f>
        <v>-170</v>
      </c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ht="44.05" customHeight="1">
      <c r="AB120" s="36"/>
      <c r="AC120" s="34"/>
      <c r="AD120" t="s" s="44">
        <v>97</v>
      </c>
      <c r="AE120" s="15">
        <f>AG118+AG119</f>
        <v>484</v>
      </c>
      <c r="AF120" t="s" s="44">
        <v>76</v>
      </c>
      <c r="AG120" s="15">
        <f>AH118+AH119</f>
        <v>275</v>
      </c>
      <c r="AH120" t="s" s="44">
        <f>AH115</f>
        <v>372</v>
      </c>
      <c r="AI120" t="s" s="44">
        <v>84</v>
      </c>
      <c r="AJ120" t="s" s="44">
        <f>AJ115</f>
        <v>74</v>
      </c>
      <c r="AK120" t="s" s="44">
        <v>98</v>
      </c>
      <c r="AL120" s="15">
        <f>AH119</f>
        <v>-170</v>
      </c>
      <c r="AM120" t="s" s="44">
        <f>AL106</f>
        <v>372</v>
      </c>
      <c r="AN120" t="s" s="44">
        <v>99</v>
      </c>
      <c r="AO120" s="17"/>
      <c r="AP120" s="17"/>
      <c r="AQ120" s="17"/>
      <c r="AR120" s="17"/>
      <c r="AS120" s="17"/>
      <c r="AT120" s="17"/>
      <c r="AU120" s="17"/>
    </row>
    <row r="121" ht="56.05" customHeight="1">
      <c r="AB121" s="36"/>
      <c r="AC121" s="34"/>
      <c r="AD121" t="s" s="44">
        <v>100</v>
      </c>
      <c r="AE121" s="15">
        <f>SUM(AE118:AH119)/4</f>
        <v>295.75</v>
      </c>
      <c r="AF121" t="s" s="44">
        <f>AL106</f>
        <v>372</v>
      </c>
      <c r="AG121" t="s" s="44">
        <v>78</v>
      </c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ht="44.05" customHeight="1">
      <c r="AB122" s="36"/>
      <c r="AC122" s="34"/>
      <c r="AD122" t="s" s="44">
        <v>101</v>
      </c>
      <c r="AE122" s="15">
        <f>AD55</f>
        <v>-170</v>
      </c>
      <c r="AF122" t="s" s="44">
        <f>AF121</f>
        <v>372</v>
      </c>
      <c r="AG122" t="s" s="44">
        <v>102</v>
      </c>
      <c r="AH122" t="s" s="44">
        <v>103</v>
      </c>
      <c r="AI122" t="s" s="44">
        <f>IF(AH108&gt;AK106,"higher","lower")</f>
        <v>363</v>
      </c>
      <c r="AJ122" t="s" s="44">
        <v>105</v>
      </c>
      <c r="AK122" s="15">
        <f>SUM(AD56:AG56)/4</f>
        <v>238.055769765903</v>
      </c>
      <c r="AL122" t="s" s="44">
        <f>AF122</f>
        <v>372</v>
      </c>
      <c r="AM122" t="s" s="44">
        <v>106</v>
      </c>
      <c r="AN122" t="s" s="44">
        <v>107</v>
      </c>
      <c r="AO122" s="17"/>
      <c r="AP122" s="17"/>
      <c r="AQ122" s="17"/>
      <c r="AR122" s="17"/>
      <c r="AS122" s="17"/>
      <c r="AT122" s="17"/>
      <c r="AU122" s="17"/>
    </row>
    <row r="123" ht="20.05" customHeight="1">
      <c r="AB123" s="36"/>
      <c r="AC123" s="34"/>
      <c r="AD123" t="s" s="44">
        <v>18</v>
      </c>
      <c r="AE123" t="s" s="44">
        <f>AL128</f>
        <v>108</v>
      </c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ht="32.05" customHeight="1">
      <c r="AB124" s="36"/>
      <c r="AC124" s="34"/>
      <c r="AD124" t="s" s="44">
        <f>AD103</f>
        <v>70</v>
      </c>
      <c r="AE124" t="s" s="44">
        <v>109</v>
      </c>
      <c r="AF124" t="s" s="44">
        <f>AL106</f>
        <v>372</v>
      </c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ht="20.05" customHeight="1">
      <c r="AB125" s="36"/>
      <c r="AC125" s="34"/>
      <c r="AD125" s="15">
        <f>C13</f>
        <v>0</v>
      </c>
      <c r="AE125" s="15">
        <f>C14</f>
        <v>2432</v>
      </c>
      <c r="AF125" s="15">
        <f>C15</f>
        <v>1770</v>
      </c>
      <c r="AG125" s="15">
        <f>C16</f>
        <v>1740</v>
      </c>
      <c r="AH125" s="15">
        <f>C17</f>
        <v>1450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ht="20.05" customHeight="1">
      <c r="AB126" s="36"/>
      <c r="AC126" s="34"/>
      <c r="AD126" s="15">
        <f>D13</f>
        <v>0</v>
      </c>
      <c r="AE126" s="15">
        <f>D14</f>
        <v>10233</v>
      </c>
      <c r="AF126" s="15">
        <f>D15</f>
        <v>10326</v>
      </c>
      <c r="AG126" s="15">
        <f>D16</f>
        <v>8982</v>
      </c>
      <c r="AH126" s="15">
        <f>D17</f>
        <v>8414</v>
      </c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ht="32.05" customHeight="1">
      <c r="AB127" s="36"/>
      <c r="AC127" s="34"/>
      <c r="AD127" t="s" s="44">
        <v>110</v>
      </c>
      <c r="AE127" t="s" s="44">
        <f>IF(AH127&lt;AF127,"declined","increased")</f>
        <v>370</v>
      </c>
      <c r="AF127" s="15">
        <f>AG125</f>
        <v>1740</v>
      </c>
      <c r="AG127" t="s" s="44">
        <v>76</v>
      </c>
      <c r="AH127" s="15">
        <f>AH125</f>
        <v>1450</v>
      </c>
      <c r="AI127" t="s" s="44">
        <f>AL122</f>
        <v>372</v>
      </c>
      <c r="AJ127" t="s" s="44">
        <v>84</v>
      </c>
      <c r="AK127" t="s" s="44">
        <f>AH106</f>
        <v>74</v>
      </c>
      <c r="AL127" t="s" s="44">
        <f>AO113</f>
        <v>91</v>
      </c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ht="32.05" customHeight="1">
      <c r="AB128" s="36"/>
      <c r="AC128" s="34"/>
      <c r="AD128" t="s" s="44">
        <v>112</v>
      </c>
      <c r="AE128" t="s" s="44">
        <f>IF(AH128&lt;AF128,"declined","increased")</f>
        <v>370</v>
      </c>
      <c r="AF128" s="15">
        <f>AG126</f>
        <v>8982</v>
      </c>
      <c r="AG128" t="s" s="44">
        <v>76</v>
      </c>
      <c r="AH128" s="15">
        <f>AH126</f>
        <v>8414</v>
      </c>
      <c r="AI128" t="s" s="44">
        <f>AI127</f>
        <v>372</v>
      </c>
      <c r="AJ128" t="s" s="44">
        <v>113</v>
      </c>
      <c r="AK128" t="s" s="44">
        <v>114</v>
      </c>
      <c r="AL128" t="s" s="44">
        <f>IF(AO128&lt;AM128,"down","up")</f>
        <v>108</v>
      </c>
      <c r="AM128" s="15">
        <f>AF127-AF128</f>
        <v>-7242</v>
      </c>
      <c r="AN128" t="s" s="44">
        <v>76</v>
      </c>
      <c r="AO128" s="15">
        <f>AH127-AH128</f>
        <v>-6964</v>
      </c>
      <c r="AP128" t="s" s="44">
        <f>AI128</f>
        <v>372</v>
      </c>
      <c r="AQ128" t="s" s="44">
        <v>115</v>
      </c>
      <c r="AR128" s="17"/>
      <c r="AS128" s="17"/>
      <c r="AT128" s="17"/>
      <c r="AU128" s="17"/>
    </row>
    <row r="129" ht="56.05" customHeight="1">
      <c r="AB129" s="36"/>
      <c r="AC129" s="34"/>
      <c r="AD129" t="s" s="44">
        <v>116</v>
      </c>
      <c r="AE129" s="15">
        <f>SUM(AD59:AG59)</f>
        <v>0</v>
      </c>
      <c r="AF129" t="s" s="44">
        <f>AI128</f>
        <v>372</v>
      </c>
      <c r="AG129" t="s" s="44">
        <v>117</v>
      </c>
      <c r="AH129" t="s" s="44">
        <f>IF(AI129&gt;0,"+","")</f>
      </c>
      <c r="AI129" s="15">
        <f>AD57+AE57+AF57+AG57+AD61+AE61+AF61+AG61</f>
        <v>-952.223079063612</v>
      </c>
      <c r="AJ129" t="s" s="44">
        <f>AP128</f>
        <v>372</v>
      </c>
      <c r="AK129" t="s" s="44">
        <v>118</v>
      </c>
      <c r="AL129" t="s" s="44">
        <v>119</v>
      </c>
      <c r="AM129" s="15">
        <f>AG76</f>
        <v>-6011.776920936390</v>
      </c>
      <c r="AN129" t="s" s="44">
        <f>AI128</f>
        <v>372</v>
      </c>
      <c r="AO129" t="s" s="44">
        <v>120</v>
      </c>
      <c r="AP129" s="17"/>
      <c r="AQ129" s="17"/>
      <c r="AR129" s="17"/>
      <c r="AS129" s="17"/>
      <c r="AT129" s="17"/>
      <c r="AU129" s="17"/>
    </row>
    <row r="130" ht="20.05" customHeight="1">
      <c r="AB130" s="36"/>
      <c r="AC130" s="34"/>
      <c r="AD130" t="s" s="44">
        <v>17</v>
      </c>
      <c r="AE130" t="s" s="44">
        <f>AE134</f>
        <v>374</v>
      </c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ht="56.05" customHeight="1">
      <c r="AB131" s="36"/>
      <c r="AC131" s="34"/>
      <c r="AD131" t="s" s="44">
        <f>AD103</f>
        <v>70</v>
      </c>
      <c r="AE131" t="s" s="44">
        <v>379</v>
      </c>
      <c r="AF131" t="s" s="44">
        <f>AL106</f>
        <v>372</v>
      </c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ht="20.05" customHeight="1">
      <c r="AB132" s="36"/>
      <c r="AC132" s="34"/>
      <c r="AD132" s="15">
        <f>-L13</f>
        <v>42</v>
      </c>
      <c r="AE132" s="15">
        <f>-L14</f>
        <v>155</v>
      </c>
      <c r="AF132" s="15">
        <f>-L15</f>
        <v>-191</v>
      </c>
      <c r="AG132" s="15">
        <f>-L16</f>
        <v>507</v>
      </c>
      <c r="AH132" s="15">
        <f>-L17</f>
        <v>521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ht="20.05" customHeight="1">
      <c r="AB133" s="36"/>
      <c r="AC133" s="34"/>
      <c r="AD133" s="15">
        <f>-M13</f>
        <v>15</v>
      </c>
      <c r="AE133" s="15">
        <f>-M14</f>
        <v>66</v>
      </c>
      <c r="AF133" s="15">
        <f>-M15</f>
        <v>36</v>
      </c>
      <c r="AG133" s="15">
        <f>-M16</f>
        <v>11</v>
      </c>
      <c r="AH133" s="15">
        <f>-M17</f>
        <v>39</v>
      </c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ht="44.05" customHeight="1">
      <c r="AB134" s="36"/>
      <c r="AC134" s="34"/>
      <c r="AD134" t="s" s="44">
        <f>AD95</f>
        <v>686</v>
      </c>
      <c r="AE134" t="s" s="44">
        <f>IF(AF134&gt;0,"paid","(raised)")</f>
        <v>374</v>
      </c>
      <c r="AF134" s="15">
        <f>SUM(AH132:AH133)</f>
        <v>560</v>
      </c>
      <c r="AG134" t="s" s="44">
        <f>AL106</f>
        <v>372</v>
      </c>
      <c r="AH134" t="s" s="44">
        <f>AG106</f>
        <v>73</v>
      </c>
      <c r="AI134" t="s" s="44">
        <f>AH106</f>
        <v>74</v>
      </c>
      <c r="AJ134" t="s" s="44">
        <f>AI106</f>
        <v>75</v>
      </c>
      <c r="AK134" s="15">
        <f>AH132</f>
        <v>521</v>
      </c>
      <c r="AL134" t="s" s="44">
        <f>AL106</f>
        <v>372</v>
      </c>
      <c r="AM134" t="s" s="44">
        <v>123</v>
      </c>
      <c r="AN134" s="15">
        <f>AH133</f>
        <v>39</v>
      </c>
      <c r="AO134" t="s" s="44">
        <f>AL106</f>
        <v>372</v>
      </c>
      <c r="AP134" t="s" s="44">
        <v>124</v>
      </c>
      <c r="AQ134" t="s" s="44">
        <v>125</v>
      </c>
      <c r="AR134" t="s" s="44">
        <f>IF(AS134&gt;0,"pay","raise")</f>
        <v>364</v>
      </c>
      <c r="AS134" s="15">
        <f>-SUM(AD77:AG77)</f>
        <v>952.223079063612</v>
      </c>
      <c r="AT134" t="s" s="44">
        <f>AL106</f>
        <v>372</v>
      </c>
      <c r="AU134" t="s" s="44">
        <v>126</v>
      </c>
    </row>
    <row r="135" ht="56.05" customHeight="1">
      <c r="AB135" s="36"/>
      <c r="AC135" s="34"/>
      <c r="AD135" t="s" s="44">
        <v>375</v>
      </c>
      <c r="AE135" s="15">
        <f>AG81</f>
        <v>1599.594590208</v>
      </c>
      <c r="AF135" t="s" s="44">
        <f>AL106</f>
        <v>372</v>
      </c>
      <c r="AG135" t="s" s="44">
        <v>128</v>
      </c>
      <c r="AH135" t="s" s="44">
        <v>129</v>
      </c>
      <c r="AI135" s="43">
        <f>AG83</f>
        <v>0.117643199985879</v>
      </c>
      <c r="AJ135" t="s" s="44">
        <v>130</v>
      </c>
      <c r="AK135" t="s" s="44">
        <v>131</v>
      </c>
      <c r="AL135" t="s" s="44">
        <v>132</v>
      </c>
      <c r="AM135" s="15">
        <f>AG86</f>
        <v>12.7564646006532</v>
      </c>
      <c r="AN135" t="s" s="44">
        <v>133</v>
      </c>
      <c r="AO135" s="16">
        <f>-AE129/AE135</f>
        <v>0</v>
      </c>
      <c r="AP135" t="s" s="44">
        <v>134</v>
      </c>
      <c r="AQ135" s="17"/>
      <c r="AR135" s="17"/>
      <c r="AS135" s="17"/>
      <c r="AT135" s="17"/>
      <c r="AU135" s="17"/>
    </row>
    <row r="136" ht="56.05" customHeight="1">
      <c r="AB136" s="36"/>
      <c r="AC136" s="34"/>
      <c r="AD136" t="s" s="44">
        <v>135</v>
      </c>
      <c r="AE136" s="15">
        <f>AG85</f>
        <v>952.223079063612</v>
      </c>
      <c r="AF136" t="s" s="44">
        <f>AF135</f>
        <v>372</v>
      </c>
      <c r="AG136" t="s" s="44">
        <v>136</v>
      </c>
      <c r="AH136" s="15">
        <f>AE135/AE136</f>
        <v>1.67985278384661</v>
      </c>
      <c r="AI136" t="s" s="44">
        <v>130</v>
      </c>
      <c r="AJ136" t="s" s="44">
        <v>137</v>
      </c>
      <c r="AK136" t="s" s="44">
        <v>138</v>
      </c>
      <c r="AL136" s="15">
        <f>AG87</f>
        <v>3</v>
      </c>
      <c r="AM136" t="s" s="44">
        <v>139</v>
      </c>
      <c r="AN136" t="s" s="44">
        <v>140</v>
      </c>
      <c r="AO136" t="s" s="44">
        <v>141</v>
      </c>
      <c r="AP136" s="16">
        <f>AJ95</f>
        <v>0.7858707791824801</v>
      </c>
      <c r="AQ136" t="s" s="44">
        <f>IF(AP136&gt;0,"higher","lower")</f>
        <v>363</v>
      </c>
      <c r="AR136" t="s" s="44">
        <v>142</v>
      </c>
      <c r="AS136" s="15">
        <f>AH95</f>
        <v>182.158819476613</v>
      </c>
      <c r="AT136" t="s" s="44">
        <v>143</v>
      </c>
      <c r="AU136" s="17"/>
    </row>
    <row r="137" ht="20.05" customHeight="1">
      <c r="AB137" s="36"/>
      <c r="AC137" s="34"/>
      <c r="AD137" s="17"/>
      <c r="AE137" s="17"/>
      <c r="AF137" s="17"/>
      <c r="AG137" s="17"/>
      <c r="AH137" s="15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ht="20.05" customHeight="1">
      <c r="AB138" t="s" s="33">
        <v>28</v>
      </c>
      <c r="AC138" s="14">
        <f>AD105</f>
        <v>2294</v>
      </c>
      <c r="AD138" s="15">
        <f>AE105</f>
        <v>2889</v>
      </c>
      <c r="AE138" s="15">
        <f>AF105</f>
        <v>2682</v>
      </c>
      <c r="AF138" s="15">
        <f>AG105</f>
        <v>2897</v>
      </c>
      <c r="AG138" s="15">
        <f>AH105</f>
        <v>2565</v>
      </c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ht="20.05" customHeight="1">
      <c r="AB139" t="s" s="33">
        <v>144</v>
      </c>
      <c r="AC139" s="14">
        <f>SUM(AD118:AD119)</f>
        <v>-80</v>
      </c>
      <c r="AD139" s="15">
        <f>SUM(AE118:AE119)</f>
        <v>1245</v>
      </c>
      <c r="AE139" s="15">
        <f>SUM(AF118:AF119)</f>
        <v>-821</v>
      </c>
      <c r="AF139" s="15">
        <f>SUM(AG118:AG119)</f>
        <v>484</v>
      </c>
      <c r="AG139" s="15">
        <f>SUM(AH118:AH119)</f>
        <v>275</v>
      </c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ht="20.05" customHeight="1">
      <c r="AB140" t="s" s="33">
        <v>145</v>
      </c>
      <c r="AC140" s="14">
        <f>SUM(AD132:AD133)</f>
        <v>57</v>
      </c>
      <c r="AD140" s="15">
        <f>SUM(AE132:AE133)</f>
        <v>221</v>
      </c>
      <c r="AE140" s="15">
        <f>SUM(AF132:AF133)</f>
        <v>-155</v>
      </c>
      <c r="AF140" s="15">
        <f>SUM(AG132:AG133)</f>
        <v>518</v>
      </c>
      <c r="AG140" s="15">
        <f>SUM(AH132:AH133)</f>
        <v>560</v>
      </c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ht="20.05" customHeight="1">
      <c r="AB141" t="s" s="33">
        <v>146</v>
      </c>
      <c r="AC141" s="14">
        <f>(AD125-AD126)</f>
        <v>0</v>
      </c>
      <c r="AD141" s="15">
        <f>(AE125-AE126)</f>
        <v>-7801</v>
      </c>
      <c r="AE141" s="15">
        <f>(AF125-AF126)</f>
        <v>-8556</v>
      </c>
      <c r="AF141" s="15">
        <f>(AG125-AG126)</f>
        <v>-7242</v>
      </c>
      <c r="AG141" s="15">
        <f>(AH125-AH126)</f>
        <v>-6964</v>
      </c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ht="20.05" customHeight="1">
      <c r="AB142" s="36"/>
      <c r="AC142" s="34"/>
      <c r="AD142" s="17"/>
      <c r="AE142" s="17"/>
      <c r="AF142" s="17"/>
      <c r="AG142" s="15">
        <f>AS136</f>
        <v>182.158819476613</v>
      </c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ht="20.05" customHeight="1">
      <c r="AB143" s="36"/>
      <c r="AC143" s="34"/>
      <c r="AD143" s="17"/>
      <c r="AE143" s="17"/>
      <c r="AF143" s="17"/>
      <c r="AG143" s="17"/>
      <c r="AH143" s="15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ht="20.05" customHeight="1">
      <c r="AB144" s="36"/>
      <c r="AC144" s="34"/>
      <c r="AD144" s="17"/>
      <c r="AE144" s="17"/>
      <c r="AF144" s="17"/>
      <c r="AG144" s="17"/>
      <c r="AH144" s="15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ht="20.05" customHeight="1">
      <c r="AB145" s="36"/>
      <c r="AC145" s="34"/>
      <c r="AD145" s="17"/>
      <c r="AE145" s="17"/>
      <c r="AF145" s="17"/>
      <c r="AG145" s="17"/>
      <c r="AH145" s="15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ht="20.05" customHeight="1">
      <c r="AB146" s="36"/>
      <c r="AC146" s="34"/>
      <c r="AD146" s="17"/>
      <c r="AE146" s="17"/>
      <c r="AF146" s="17"/>
      <c r="AG146" s="17"/>
      <c r="AH146" s="15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ht="20.05" customHeight="1">
      <c r="AB147" s="36"/>
      <c r="AC147" s="34"/>
      <c r="AD147" s="17"/>
      <c r="AE147" s="17"/>
      <c r="AF147" s="17"/>
      <c r="AG147" s="17"/>
      <c r="AH147" s="15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ht="20.05" customHeight="1">
      <c r="AB148" s="36"/>
      <c r="AC148" s="34"/>
      <c r="AD148" s="17"/>
      <c r="AE148" s="17"/>
      <c r="AF148" s="17"/>
      <c r="AG148" s="17"/>
      <c r="AH148" s="15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ht="20.05" customHeight="1">
      <c r="AB149" s="36"/>
      <c r="AC149" s="34"/>
      <c r="AD149" s="17"/>
      <c r="AE149" s="17"/>
      <c r="AF149" s="17"/>
      <c r="AG149" s="17"/>
      <c r="AH149" s="15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</sheetData>
  <mergeCells count="2">
    <mergeCell ref="B2:AA2"/>
    <mergeCell ref="AB47:AU47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xl/worksheets/sheet99.xml><?xml version="1.0" encoding="utf-8"?>
<worksheet xmlns:r="http://schemas.openxmlformats.org/officeDocument/2006/relationships" xmlns="http://schemas.openxmlformats.org/spreadsheetml/2006/main">
  <sheetPr>
    <pageSetUpPr fitToPage="1"/>
  </sheetPr>
  <dimension ref="B3:AX151"/>
  <sheetViews>
    <sheetView workbookViewId="0" showGridLines="0" defaultGridColor="1">
      <pane topLeftCell="C4" xSplit="2" ySplit="3" activePane="bottomRight" state="frozen"/>
    </sheetView>
  </sheetViews>
  <sheetFormatPr defaultColWidth="16.3333" defaultRowHeight="19.9" customHeight="1" outlineLevelRow="0" outlineLevelCol="0"/>
  <cols>
    <col min="1" max="1" width="1.84375" style="327" customWidth="1"/>
    <col min="2" max="30" width="10.4844" style="327" customWidth="1"/>
    <col min="31" max="31" width="18.9766" style="328" customWidth="1"/>
    <col min="32" max="50" width="9" style="328" customWidth="1"/>
    <col min="51" max="16384" width="16.3516" style="328" customWidth="1"/>
  </cols>
  <sheetData>
    <row r="1" ht="11.65" customHeight="1"/>
    <row r="2" ht="27.65" customHeight="1">
      <c r="B2" t="s" s="2">
        <v>687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ht="32.25" customHeight="1">
      <c r="B3" t="s" s="3">
        <v>1</v>
      </c>
      <c r="C3" t="s" s="3">
        <v>2</v>
      </c>
      <c r="D3" t="s" s="3">
        <v>3</v>
      </c>
      <c r="E3" t="s" s="3">
        <v>4</v>
      </c>
      <c r="F3" t="s" s="3">
        <v>5</v>
      </c>
      <c r="G3" t="s" s="3">
        <v>6</v>
      </c>
      <c r="H3" t="s" s="3">
        <v>7</v>
      </c>
      <c r="I3" t="s" s="3">
        <v>8</v>
      </c>
      <c r="J3" t="s" s="3">
        <v>9</v>
      </c>
      <c r="K3" t="s" s="3">
        <v>10</v>
      </c>
      <c r="L3" t="s" s="3">
        <v>6</v>
      </c>
      <c r="M3" t="s" s="3">
        <v>11</v>
      </c>
      <c r="N3" t="s" s="3">
        <v>2</v>
      </c>
      <c r="O3" t="s" s="3">
        <v>12</v>
      </c>
      <c r="P3" t="s" s="3">
        <v>13</v>
      </c>
      <c r="Q3" t="s" s="3">
        <v>14</v>
      </c>
      <c r="R3" t="s" s="3">
        <v>14</v>
      </c>
      <c r="S3" t="s" s="3">
        <v>12</v>
      </c>
      <c r="T3" t="s" s="3">
        <v>15</v>
      </c>
      <c r="U3" t="s" s="3">
        <v>12</v>
      </c>
      <c r="V3" t="s" s="3">
        <v>16</v>
      </c>
      <c r="W3" t="s" s="3">
        <v>17</v>
      </c>
      <c r="X3" t="s" s="3">
        <f>AB$3</f>
        <v>688</v>
      </c>
      <c r="Y3" t="s" s="3">
        <v>12</v>
      </c>
      <c r="Z3" t="s" s="3">
        <v>18</v>
      </c>
      <c r="AA3" t="s" s="3">
        <v>12</v>
      </c>
      <c r="AB3" t="s" s="3">
        <v>210</v>
      </c>
      <c r="AC3" t="s" s="3">
        <v>19</v>
      </c>
      <c r="AD3" t="s" s="3">
        <v>20</v>
      </c>
    </row>
    <row r="4" ht="20.25" customHeight="1">
      <c r="B4" s="6">
        <v>2017</v>
      </c>
      <c r="C4" s="7">
        <v>408.4</v>
      </c>
      <c r="D4" s="8">
        <v>22.9</v>
      </c>
      <c r="E4" s="8">
        <v>15.9</v>
      </c>
      <c r="F4" s="8"/>
      <c r="G4" s="8"/>
      <c r="H4" s="8"/>
      <c r="I4" s="8">
        <v>391.4</v>
      </c>
      <c r="J4" s="8">
        <v>15.8</v>
      </c>
      <c r="K4" s="8">
        <v>-8.699999999999999</v>
      </c>
      <c r="L4" s="8">
        <v>-4.25</v>
      </c>
      <c r="M4" s="8">
        <v>-10.5</v>
      </c>
      <c r="N4" s="8"/>
      <c r="O4" s="8"/>
      <c r="P4" s="9"/>
      <c r="Q4" s="9"/>
      <c r="R4" s="9"/>
      <c r="S4" s="9"/>
      <c r="T4" s="9"/>
      <c r="U4" s="9"/>
      <c r="V4" s="8">
        <f>J4+K4</f>
        <v>7.1</v>
      </c>
      <c r="W4" s="8">
        <f>-(L4+M4)</f>
        <v>14.75</v>
      </c>
      <c r="X4" s="8">
        <v>3684.37512576</v>
      </c>
      <c r="Y4" s="9"/>
      <c r="Z4" s="8">
        <f>F4-G4</f>
        <v>0</v>
      </c>
      <c r="AA4" s="9"/>
      <c r="AB4" s="10"/>
      <c r="AC4" s="11"/>
      <c r="AD4" s="12">
        <v>13.3</v>
      </c>
    </row>
    <row r="5" ht="20.05" customHeight="1">
      <c r="B5" s="13"/>
      <c r="C5" s="14">
        <v>440.9</v>
      </c>
      <c r="D5" s="15">
        <v>22.8</v>
      </c>
      <c r="E5" s="15">
        <v>17</v>
      </c>
      <c r="F5" s="15"/>
      <c r="G5" s="15"/>
      <c r="H5" s="15"/>
      <c r="I5" s="15">
        <v>462.7</v>
      </c>
      <c r="J5" s="15">
        <v>-24.3</v>
      </c>
      <c r="K5" s="15">
        <v>-12.6</v>
      </c>
      <c r="L5" s="15">
        <v>-4.25</v>
      </c>
      <c r="M5" s="15">
        <v>-10.5</v>
      </c>
      <c r="N5" s="15"/>
      <c r="O5" s="15"/>
      <c r="P5" s="16"/>
      <c r="Q5" s="17"/>
      <c r="R5" s="17"/>
      <c r="S5" s="17"/>
      <c r="T5" s="17"/>
      <c r="U5" s="17"/>
      <c r="V5" s="15">
        <f>J5+K5+V4</f>
        <v>-29.8</v>
      </c>
      <c r="W5" s="15">
        <f>-(L5+M5)+W4</f>
        <v>29.5</v>
      </c>
      <c r="X5" s="15">
        <f>X4</f>
        <v>3684.37512576</v>
      </c>
      <c r="Y5" s="17"/>
      <c r="Z5" s="15">
        <f>F5-G5</f>
        <v>0</v>
      </c>
      <c r="AA5" s="17"/>
      <c r="AB5" s="18"/>
      <c r="AC5" s="19"/>
      <c r="AD5" s="20">
        <v>13.327</v>
      </c>
    </row>
    <row r="6" ht="20.05" customHeight="1">
      <c r="B6" s="13"/>
      <c r="C6" s="14">
        <v>617.9</v>
      </c>
      <c r="D6" s="15">
        <v>22.6</v>
      </c>
      <c r="E6" s="15">
        <v>30.4</v>
      </c>
      <c r="F6" s="15"/>
      <c r="G6" s="15"/>
      <c r="H6" s="15"/>
      <c r="I6" s="15">
        <v>459.1</v>
      </c>
      <c r="J6" s="15">
        <v>-77</v>
      </c>
      <c r="K6" s="15">
        <v>-21.7</v>
      </c>
      <c r="L6" s="15">
        <v>-4.25</v>
      </c>
      <c r="M6" s="15">
        <v>-10.5</v>
      </c>
      <c r="N6" s="15"/>
      <c r="O6" s="15"/>
      <c r="P6" s="16"/>
      <c r="Q6" s="17"/>
      <c r="R6" s="17"/>
      <c r="S6" s="17"/>
      <c r="T6" s="17"/>
      <c r="U6" s="17"/>
      <c r="V6" s="15">
        <f>J6+K6+V5</f>
        <v>-128.5</v>
      </c>
      <c r="W6" s="15">
        <f>-(L6+M6)+W5</f>
        <v>44.25</v>
      </c>
      <c r="X6" s="15">
        <f>X5</f>
        <v>3684.37512576</v>
      </c>
      <c r="Y6" s="17"/>
      <c r="Z6" s="15">
        <f>F6-G6</f>
        <v>0</v>
      </c>
      <c r="AA6" s="17"/>
      <c r="AB6" s="18"/>
      <c r="AC6" s="19"/>
      <c r="AD6" s="20">
        <v>13.305</v>
      </c>
    </row>
    <row r="7" ht="20.05" customHeight="1">
      <c r="B7" s="13"/>
      <c r="C7" s="14">
        <v>673.4</v>
      </c>
      <c r="D7" s="15">
        <v>23.7</v>
      </c>
      <c r="E7" s="15">
        <v>36.7</v>
      </c>
      <c r="F7" s="15">
        <v>665</v>
      </c>
      <c r="G7" s="15">
        <v>993</v>
      </c>
      <c r="H7" s="15">
        <v>1871</v>
      </c>
      <c r="I7" s="15">
        <v>839.3</v>
      </c>
      <c r="J7" s="15">
        <v>275.4</v>
      </c>
      <c r="K7" s="15">
        <v>-54.5</v>
      </c>
      <c r="L7" s="15">
        <v>-4.25</v>
      </c>
      <c r="M7" s="15">
        <v>-10.5</v>
      </c>
      <c r="N7" s="15"/>
      <c r="O7" s="15"/>
      <c r="P7" s="16"/>
      <c r="Q7" s="17"/>
      <c r="R7" s="17"/>
      <c r="S7" s="17"/>
      <c r="T7" s="17"/>
      <c r="U7" s="17"/>
      <c r="V7" s="15">
        <f>J7+K7+V6</f>
        <v>92.40000000000001</v>
      </c>
      <c r="W7" s="15">
        <f>-(L7+M7)+W6</f>
        <v>59</v>
      </c>
      <c r="X7" s="15">
        <f>X6</f>
        <v>3684.37512576</v>
      </c>
      <c r="Y7" s="17"/>
      <c r="Z7" s="15">
        <f>F7-G7</f>
        <v>-328</v>
      </c>
      <c r="AA7" s="17"/>
      <c r="AB7" s="18"/>
      <c r="AC7" s="19"/>
      <c r="AD7" s="20">
        <v>13.557</v>
      </c>
    </row>
    <row r="8" ht="20.05" customHeight="1">
      <c r="B8" s="21">
        <v>2018</v>
      </c>
      <c r="C8" s="14">
        <v>457.7</v>
      </c>
      <c r="D8" s="15">
        <v>26.3</v>
      </c>
      <c r="E8" s="15">
        <v>15.88</v>
      </c>
      <c r="F8" s="15">
        <v>598</v>
      </c>
      <c r="G8" s="15">
        <v>1013</v>
      </c>
      <c r="H8" s="15">
        <v>1906</v>
      </c>
      <c r="I8" s="15">
        <v>377.54</v>
      </c>
      <c r="J8" s="15">
        <v>-41.26</v>
      </c>
      <c r="K8" s="15">
        <v>-25.74</v>
      </c>
      <c r="L8" s="15">
        <v>11</v>
      </c>
      <c r="M8" s="15">
        <v>-14</v>
      </c>
      <c r="N8" s="15">
        <f>SUM(C5:C8)/4</f>
        <v>547.475</v>
      </c>
      <c r="O8" s="15"/>
      <c r="P8" s="16"/>
      <c r="Q8" s="16"/>
      <c r="R8" s="16"/>
      <c r="S8" s="17"/>
      <c r="T8" s="15">
        <f>SUM(J5:K8)/4</f>
        <v>4.575</v>
      </c>
      <c r="U8" s="25"/>
      <c r="V8" s="15">
        <f>J8+K8+V7</f>
        <v>25.4</v>
      </c>
      <c r="W8" s="15">
        <f>-(L8+M8)+W7</f>
        <v>62</v>
      </c>
      <c r="X8" s="15">
        <f>X7</f>
        <v>3684.37512576</v>
      </c>
      <c r="Y8" s="17"/>
      <c r="Z8" s="15">
        <f>F8-G8</f>
        <v>-415</v>
      </c>
      <c r="AA8" s="24"/>
      <c r="AB8" s="18">
        <v>565</v>
      </c>
      <c r="AC8" s="22"/>
      <c r="AD8" s="20">
        <v>13.761</v>
      </c>
    </row>
    <row r="9" ht="20.05" customHeight="1">
      <c r="B9" s="13"/>
      <c r="C9" s="14">
        <v>457</v>
      </c>
      <c r="D9" s="15">
        <v>25.6</v>
      </c>
      <c r="E9" s="15">
        <v>8.119999999999999</v>
      </c>
      <c r="F9" s="15">
        <v>480</v>
      </c>
      <c r="G9" s="15">
        <v>1037</v>
      </c>
      <c r="H9" s="15">
        <v>1881</v>
      </c>
      <c r="I9" s="15">
        <v>369.36</v>
      </c>
      <c r="J9" s="15">
        <v>-92.97</v>
      </c>
      <c r="K9" s="15">
        <v>5.74</v>
      </c>
      <c r="L9" s="15">
        <v>11</v>
      </c>
      <c r="M9" s="15">
        <v>-14</v>
      </c>
      <c r="N9" s="15">
        <f>SUM(C6:C9)/4</f>
        <v>551.5</v>
      </c>
      <c r="O9" s="15"/>
      <c r="P9" s="16"/>
      <c r="Q9" s="16"/>
      <c r="R9" s="16"/>
      <c r="S9" s="17"/>
      <c r="T9" s="15">
        <f>SUM(J6:K9)/4</f>
        <v>-8.0075</v>
      </c>
      <c r="U9" s="25"/>
      <c r="V9" s="15">
        <f>J9+K9+V8</f>
        <v>-61.83</v>
      </c>
      <c r="W9" s="15">
        <f>-(L9+M9)+W8</f>
        <v>65</v>
      </c>
      <c r="X9" s="15">
        <f>X8</f>
        <v>3684.37512576</v>
      </c>
      <c r="Y9" s="17"/>
      <c r="Z9" s="15">
        <f>F13-G9</f>
        <v>-698.3</v>
      </c>
      <c r="AA9" s="24"/>
      <c r="AB9" s="18">
        <v>925</v>
      </c>
      <c r="AC9" s="22"/>
      <c r="AD9" s="20">
        <v>14</v>
      </c>
    </row>
    <row r="10" ht="20.05" customHeight="1">
      <c r="B10" s="13"/>
      <c r="C10" s="14">
        <v>606.66</v>
      </c>
      <c r="D10" s="15">
        <v>26.3</v>
      </c>
      <c r="E10" s="15">
        <v>16.54</v>
      </c>
      <c r="F10" s="15">
        <v>495</v>
      </c>
      <c r="G10" s="15">
        <v>1233</v>
      </c>
      <c r="H10" s="15">
        <v>2093</v>
      </c>
      <c r="I10" s="15">
        <v>565.9</v>
      </c>
      <c r="J10" s="15">
        <v>31.47</v>
      </c>
      <c r="K10" s="15">
        <v>-23.6</v>
      </c>
      <c r="L10" s="15">
        <v>11</v>
      </c>
      <c r="M10" s="15">
        <v>-14</v>
      </c>
      <c r="N10" s="15">
        <f>SUM(C7:C10)/4</f>
        <v>548.6900000000001</v>
      </c>
      <c r="O10" s="15"/>
      <c r="P10" s="16"/>
      <c r="Q10" s="16"/>
      <c r="R10" s="16"/>
      <c r="S10" s="17"/>
      <c r="T10" s="15">
        <f>SUM(J7:K10)/4</f>
        <v>18.635</v>
      </c>
      <c r="U10" s="25"/>
      <c r="V10" s="15">
        <f>J10+K10+V9</f>
        <v>-53.96</v>
      </c>
      <c r="W10" s="15">
        <f>-(L10+M10)+W9</f>
        <v>68</v>
      </c>
      <c r="X10" s="15">
        <f>X9</f>
        <v>3684.37512576</v>
      </c>
      <c r="Y10" s="17"/>
      <c r="Z10" s="15">
        <f>F10-G10</f>
        <v>-738</v>
      </c>
      <c r="AA10" s="24"/>
      <c r="AB10" s="18">
        <v>890</v>
      </c>
      <c r="AC10" s="22"/>
      <c r="AD10" s="20">
        <v>14.902</v>
      </c>
    </row>
    <row r="11" ht="20.05" customHeight="1">
      <c r="B11" s="13"/>
      <c r="C11" s="14">
        <v>914.13</v>
      </c>
      <c r="D11" s="15">
        <v>27.4</v>
      </c>
      <c r="E11" s="15">
        <v>43.86</v>
      </c>
      <c r="F11" s="15">
        <v>620.3</v>
      </c>
      <c r="G11" s="15">
        <v>1147.66</v>
      </c>
      <c r="H11" s="15">
        <v>2059</v>
      </c>
      <c r="I11" s="15">
        <v>978.48</v>
      </c>
      <c r="J11" s="15">
        <v>204.6</v>
      </c>
      <c r="K11" s="15">
        <v>-94.40000000000001</v>
      </c>
      <c r="L11" s="15">
        <v>11</v>
      </c>
      <c r="M11" s="15">
        <v>-14</v>
      </c>
      <c r="N11" s="15">
        <f>SUM(C8:C11)/4</f>
        <v>608.8724999999999</v>
      </c>
      <c r="O11" s="15"/>
      <c r="P11" s="16"/>
      <c r="Q11" s="16"/>
      <c r="R11" s="16"/>
      <c r="S11" s="17"/>
      <c r="T11" s="15">
        <f>SUM(J8:K11)/4</f>
        <v>-9.039999999999999</v>
      </c>
      <c r="U11" s="25"/>
      <c r="V11" s="15">
        <f>J11+K11+V10</f>
        <v>56.24</v>
      </c>
      <c r="W11" s="15">
        <f>-(L11+M11)+W10</f>
        <v>71</v>
      </c>
      <c r="X11" s="15">
        <f>X10</f>
        <v>3684.37512576</v>
      </c>
      <c r="Y11" s="17"/>
      <c r="Z11" s="15">
        <f>F11-G11</f>
        <v>-527.36</v>
      </c>
      <c r="AA11" s="24"/>
      <c r="AB11" s="18">
        <v>915</v>
      </c>
      <c r="AC11" s="22"/>
      <c r="AD11" s="20">
        <v>14.38</v>
      </c>
    </row>
    <row r="12" ht="20.05" customHeight="1">
      <c r="B12" s="21">
        <v>2019</v>
      </c>
      <c r="C12" s="14">
        <v>470.7</v>
      </c>
      <c r="D12" s="15">
        <v>28.7</v>
      </c>
      <c r="E12" s="15">
        <v>16.9</v>
      </c>
      <c r="F12" s="15">
        <v>633.46</v>
      </c>
      <c r="G12" s="15">
        <v>1176.64</v>
      </c>
      <c r="H12" s="15">
        <v>2106</v>
      </c>
      <c r="I12" s="15">
        <v>510.1</v>
      </c>
      <c r="J12" s="15">
        <v>82.8</v>
      </c>
      <c r="K12" s="15">
        <v>-86.09999999999999</v>
      </c>
      <c r="L12" s="15">
        <v>13.9315</v>
      </c>
      <c r="M12" s="15">
        <v>-14.87525</v>
      </c>
      <c r="N12" s="15">
        <f>SUM(C9:C12)/4</f>
        <v>612.1224999999999</v>
      </c>
      <c r="O12" s="23"/>
      <c r="P12" s="16"/>
      <c r="Q12" s="16">
        <f>(E12+D12)/C12</f>
        <v>0.0968769917144678</v>
      </c>
      <c r="R12" s="16">
        <f>AVERAGE(Q9:Q12)</f>
        <v>0.0968769917144678</v>
      </c>
      <c r="S12" s="17"/>
      <c r="T12" s="15">
        <f>SUM(J9:K12)/4</f>
        <v>6.885</v>
      </c>
      <c r="U12" s="25"/>
      <c r="V12" s="15">
        <f>J12+K12+V11</f>
        <v>52.94</v>
      </c>
      <c r="W12" s="15">
        <f>-(L12+M12)+W11</f>
        <v>71.94374999999999</v>
      </c>
      <c r="X12" s="15">
        <f>X11</f>
        <v>3684.37512576</v>
      </c>
      <c r="Y12" s="17"/>
      <c r="Z12" s="15">
        <f>F12-G12</f>
        <v>-543.1799999999999</v>
      </c>
      <c r="AA12" s="24"/>
      <c r="AB12" s="18">
        <v>1380</v>
      </c>
      <c r="AC12" s="22"/>
      <c r="AD12" s="20">
        <v>14.24</v>
      </c>
    </row>
    <row r="13" ht="20.05" customHeight="1">
      <c r="B13" s="13"/>
      <c r="C13" s="14">
        <v>624</v>
      </c>
      <c r="D13" s="15">
        <v>31.8</v>
      </c>
      <c r="E13" s="15">
        <v>29.4</v>
      </c>
      <c r="F13" s="15">
        <v>338.7</v>
      </c>
      <c r="G13" s="15">
        <v>1346.49</v>
      </c>
      <c r="H13" s="15">
        <v>2226</v>
      </c>
      <c r="I13" s="15">
        <v>441.4</v>
      </c>
      <c r="J13" s="15">
        <v>28.5</v>
      </c>
      <c r="K13" s="15">
        <v>-41.8</v>
      </c>
      <c r="L13" s="15">
        <v>13.9315</v>
      </c>
      <c r="M13" s="15">
        <v>-14.87525</v>
      </c>
      <c r="N13" s="15">
        <f>SUM(C10:C13)/4</f>
        <v>653.8724999999999</v>
      </c>
      <c r="O13" s="23"/>
      <c r="P13" s="16">
        <f>C13/C12-1</f>
        <v>0.325685149776928</v>
      </c>
      <c r="Q13" s="16">
        <f>(E13+D13)/C13</f>
        <v>0.0980769230769231</v>
      </c>
      <c r="R13" s="16">
        <f>AVERAGE(Q10:Q13)</f>
        <v>0.09747695739569549</v>
      </c>
      <c r="S13" s="17"/>
      <c r="T13" s="15">
        <f>SUM(J10:K13)/4</f>
        <v>25.3675</v>
      </c>
      <c r="U13" s="25"/>
      <c r="V13" s="15">
        <f>J13+K13+V12</f>
        <v>39.64</v>
      </c>
      <c r="W13" s="15">
        <f>-(L13+M13)+W12</f>
        <v>72.8875</v>
      </c>
      <c r="X13" s="15">
        <f>X12</f>
        <v>3684.37512576</v>
      </c>
      <c r="Y13" s="17"/>
      <c r="Z13" s="15">
        <f>F13-G13</f>
        <v>-1007.79</v>
      </c>
      <c r="AA13" s="24"/>
      <c r="AB13" s="18">
        <v>700</v>
      </c>
      <c r="AC13" s="24"/>
      <c r="AD13" s="15">
        <v>14.127</v>
      </c>
    </row>
    <row r="14" ht="20.05" customHeight="1">
      <c r="B14" s="13"/>
      <c r="C14" s="14">
        <v>593.2</v>
      </c>
      <c r="D14" s="15">
        <v>36.5</v>
      </c>
      <c r="E14" s="15">
        <v>43.4</v>
      </c>
      <c r="F14" s="15">
        <v>284.6</v>
      </c>
      <c r="G14" s="15">
        <v>1241.99</v>
      </c>
      <c r="H14" s="15">
        <v>2186.9</v>
      </c>
      <c r="I14" s="15">
        <v>716.8</v>
      </c>
      <c r="J14" s="15">
        <v>-173.5</v>
      </c>
      <c r="K14" s="15">
        <v>-141.4</v>
      </c>
      <c r="L14" s="15">
        <v>13.9315</v>
      </c>
      <c r="M14" s="15">
        <v>-14.87525</v>
      </c>
      <c r="N14" s="15">
        <f>SUM(C11:C14)/4</f>
        <v>650.5075000000001</v>
      </c>
      <c r="O14" s="23"/>
      <c r="P14" s="16">
        <f>C14/C13-1</f>
        <v>-0.0493589743589744</v>
      </c>
      <c r="Q14" s="16">
        <f>(E14+D14)/C14</f>
        <v>0.134693189480782</v>
      </c>
      <c r="R14" s="16">
        <f>AVERAGE(Q11:Q14)</f>
        <v>0.109882368090724</v>
      </c>
      <c r="S14" s="17"/>
      <c r="T14" s="15">
        <f>SUM(J11:K14)/4</f>
        <v>-55.325</v>
      </c>
      <c r="U14" s="25"/>
      <c r="V14" s="15">
        <f>J14+K14+V13</f>
        <v>-275.26</v>
      </c>
      <c r="W14" s="15">
        <f>-(L14+M14)+W13</f>
        <v>73.83125</v>
      </c>
      <c r="X14" s="15">
        <f>X13</f>
        <v>3684.37512576</v>
      </c>
      <c r="Y14" s="17"/>
      <c r="Z14" s="15">
        <f>F14-G14</f>
        <v>-957.39</v>
      </c>
      <c r="AA14" s="24"/>
      <c r="AB14" s="18">
        <v>700</v>
      </c>
      <c r="AC14" s="24"/>
      <c r="AD14" s="15">
        <v>14.195</v>
      </c>
    </row>
    <row r="15" ht="20.05" customHeight="1">
      <c r="B15" s="13"/>
      <c r="C15" s="14">
        <v>767.6</v>
      </c>
      <c r="D15" s="15">
        <v>40.1</v>
      </c>
      <c r="E15" s="15">
        <v>35.5</v>
      </c>
      <c r="F15" s="15">
        <v>403</v>
      </c>
      <c r="G15" s="15">
        <v>1128</v>
      </c>
      <c r="H15" s="15">
        <v>2106</v>
      </c>
      <c r="I15" s="15">
        <v>833.3</v>
      </c>
      <c r="J15" s="15">
        <v>166.8</v>
      </c>
      <c r="K15" s="15">
        <v>-45.3</v>
      </c>
      <c r="L15" s="15">
        <v>13.9315</v>
      </c>
      <c r="M15" s="15">
        <v>-14.87525</v>
      </c>
      <c r="N15" s="15">
        <f>SUM(C12:C15)/4</f>
        <v>613.875</v>
      </c>
      <c r="O15" s="15"/>
      <c r="P15" s="16">
        <f>C15/C14-1</f>
        <v>0.293998651382333</v>
      </c>
      <c r="Q15" s="16">
        <f>(E15+D15)/C15</f>
        <v>0.09848879624804591</v>
      </c>
      <c r="R15" s="16">
        <f>AVERAGE(Q12:Q15)</f>
        <v>0.107033975130055</v>
      </c>
      <c r="S15" s="17"/>
      <c r="T15" s="15">
        <f>SUM(J12:K15)/4</f>
        <v>-52.5</v>
      </c>
      <c r="U15" s="25"/>
      <c r="V15" s="15">
        <f>J15+K15+V14</f>
        <v>-153.76</v>
      </c>
      <c r="W15" s="15">
        <f>-(L15+M15)+W14</f>
        <v>74.77500000000001</v>
      </c>
      <c r="X15" s="15">
        <f>X14</f>
        <v>3684.37512576</v>
      </c>
      <c r="Y15" s="17"/>
      <c r="Z15" s="15">
        <f>F15-G15</f>
        <v>-725</v>
      </c>
      <c r="AA15" s="24"/>
      <c r="AB15" s="18">
        <v>448</v>
      </c>
      <c r="AC15" s="24"/>
      <c r="AD15" s="15">
        <v>13.882</v>
      </c>
    </row>
    <row r="16" ht="20.05" customHeight="1">
      <c r="B16" s="21">
        <v>2020</v>
      </c>
      <c r="C16" s="14">
        <v>508.9</v>
      </c>
      <c r="D16" s="15">
        <v>41</v>
      </c>
      <c r="E16" s="15">
        <v>27.8</v>
      </c>
      <c r="F16" s="15">
        <v>439</v>
      </c>
      <c r="G16" s="15">
        <v>1178</v>
      </c>
      <c r="H16" s="15">
        <v>2181</v>
      </c>
      <c r="I16" s="15">
        <v>534.3</v>
      </c>
      <c r="J16" s="15">
        <v>83.2</v>
      </c>
      <c r="K16" s="15">
        <v>-45.9</v>
      </c>
      <c r="L16" s="15">
        <v>7.75</v>
      </c>
      <c r="M16" s="15">
        <v>-62.34375</v>
      </c>
      <c r="N16" s="15">
        <f>SUM(C13:C16)/4</f>
        <v>623.425</v>
      </c>
      <c r="O16" s="15"/>
      <c r="P16" s="16">
        <f>C16/C15-1</f>
        <v>-0.337024491922876</v>
      </c>
      <c r="Q16" s="16">
        <f>(E16+D16)/C16</f>
        <v>0.135193554725879</v>
      </c>
      <c r="R16" s="16">
        <f>AVERAGE(Q13:Q16)</f>
        <v>0.116613115882908</v>
      </c>
      <c r="S16" s="17"/>
      <c r="T16" s="15">
        <f>SUM(J13:K16)/4</f>
        <v>-42.35</v>
      </c>
      <c r="U16" s="25"/>
      <c r="V16" s="15">
        <f>J16+K16+V15</f>
        <v>-116.46</v>
      </c>
      <c r="W16" s="15">
        <f>-(L16+M16)+W15</f>
        <v>129.36875</v>
      </c>
      <c r="X16" s="15">
        <f>X15</f>
        <v>3684.37512576</v>
      </c>
      <c r="Y16" s="17"/>
      <c r="Z16" s="15">
        <f>F16-G16</f>
        <v>-739</v>
      </c>
      <c r="AA16" s="24"/>
      <c r="AB16" s="18">
        <v>342</v>
      </c>
      <c r="AC16" s="24"/>
      <c r="AD16" s="15">
        <v>16.31</v>
      </c>
    </row>
    <row r="17" ht="20.05" customHeight="1">
      <c r="B17" s="13"/>
      <c r="C17" s="14">
        <v>647.5</v>
      </c>
      <c r="D17" s="15">
        <v>41.3</v>
      </c>
      <c r="E17" s="15">
        <v>46.4</v>
      </c>
      <c r="F17" s="15">
        <v>340</v>
      </c>
      <c r="G17" s="15">
        <v>1545</v>
      </c>
      <c r="H17" s="15">
        <v>2337</v>
      </c>
      <c r="I17" s="15">
        <v>675.7</v>
      </c>
      <c r="J17" s="15">
        <v>79.40000000000001</v>
      </c>
      <c r="K17" s="15">
        <v>-11.4</v>
      </c>
      <c r="L17" s="15">
        <v>7.75</v>
      </c>
      <c r="M17" s="15">
        <v>-62.34375</v>
      </c>
      <c r="N17" s="15">
        <f>SUM(C14:C17)/4</f>
        <v>629.3</v>
      </c>
      <c r="O17" s="15"/>
      <c r="P17" s="16">
        <f>C17/C16-1</f>
        <v>0.272352132049519</v>
      </c>
      <c r="Q17" s="16">
        <f>(E17+D17)/C17</f>
        <v>0.135444015444015</v>
      </c>
      <c r="R17" s="16">
        <f>AVERAGE(Q14:Q17)</f>
        <v>0.12595488897468</v>
      </c>
      <c r="S17" s="17"/>
      <c r="T17" s="25">
        <f>SUM(J14:K17)/4</f>
        <v>-22.025</v>
      </c>
      <c r="U17" s="25"/>
      <c r="V17" s="15">
        <f>J17+K17+V16</f>
        <v>-48.46</v>
      </c>
      <c r="W17" s="15">
        <f>-(L17+M17)+W16</f>
        <v>183.9625</v>
      </c>
      <c r="X17" s="15">
        <f>X16</f>
        <v>3684.37512576</v>
      </c>
      <c r="Y17" s="17"/>
      <c r="Z17" s="15">
        <f>F17-G17</f>
        <v>-1205</v>
      </c>
      <c r="AA17" s="24"/>
      <c r="AB17" s="18">
        <v>625</v>
      </c>
      <c r="AC17" s="24"/>
      <c r="AD17" s="15">
        <v>14.255</v>
      </c>
    </row>
    <row r="18" ht="20.05" customHeight="1">
      <c r="B18" s="13"/>
      <c r="C18" s="14">
        <v>678.3</v>
      </c>
      <c r="D18" s="15">
        <v>40.8</v>
      </c>
      <c r="E18" s="15">
        <v>39.1</v>
      </c>
      <c r="F18" s="15">
        <v>293</v>
      </c>
      <c r="G18" s="15">
        <v>1495</v>
      </c>
      <c r="H18" s="15">
        <v>2326</v>
      </c>
      <c r="I18" s="15">
        <v>649.5</v>
      </c>
      <c r="J18" s="15">
        <v>-38.2</v>
      </c>
      <c r="K18" s="15">
        <v>7.1</v>
      </c>
      <c r="L18" s="15">
        <v>7.75</v>
      </c>
      <c r="M18" s="15">
        <v>-62.34375</v>
      </c>
      <c r="N18" s="15">
        <f>SUM(C15:C18)/4</f>
        <v>650.575</v>
      </c>
      <c r="O18" s="15"/>
      <c r="P18" s="16">
        <f>C18/C17-1</f>
        <v>0.0475675675675676</v>
      </c>
      <c r="Q18" s="16">
        <f>(E18+D18)/C18</f>
        <v>0.117794486215539</v>
      </c>
      <c r="R18" s="16">
        <f>AVERAGE(Q15:Q18)</f>
        <v>0.12173021315837</v>
      </c>
      <c r="S18" s="17"/>
      <c r="T18" s="25">
        <f>SUM(J15:K18)/4</f>
        <v>48.925</v>
      </c>
      <c r="U18" s="25"/>
      <c r="V18" s="15">
        <f>J18+K18+V17</f>
        <v>-79.56</v>
      </c>
      <c r="W18" s="15">
        <f>-(L18+M18)+W17</f>
        <v>238.55625</v>
      </c>
      <c r="X18" s="15">
        <f>X17</f>
        <v>3684.37512576</v>
      </c>
      <c r="Y18" s="17"/>
      <c r="Z18" s="15">
        <f>F18-G18</f>
        <v>-1202</v>
      </c>
      <c r="AA18" s="24"/>
      <c r="AB18" s="18">
        <v>570</v>
      </c>
      <c r="AC18" s="24"/>
      <c r="AD18" s="15">
        <v>14.79</v>
      </c>
    </row>
    <row r="19" ht="20.05" customHeight="1">
      <c r="B19" s="13"/>
      <c r="C19" s="14">
        <v>851.1</v>
      </c>
      <c r="D19" s="15">
        <v>40.9</v>
      </c>
      <c r="E19" s="15">
        <v>47.3</v>
      </c>
      <c r="F19" s="15">
        <v>630</v>
      </c>
      <c r="G19" s="15">
        <v>1536</v>
      </c>
      <c r="H19" s="15">
        <v>2418</v>
      </c>
      <c r="I19" s="15">
        <v>960.2</v>
      </c>
      <c r="J19" s="15">
        <v>413.3</v>
      </c>
      <c r="K19" s="15">
        <v>-44.2</v>
      </c>
      <c r="L19" s="15">
        <v>7.75</v>
      </c>
      <c r="M19" s="15">
        <v>-62.34375</v>
      </c>
      <c r="N19" s="15">
        <f>SUM(C16:C19)/4</f>
        <v>671.45</v>
      </c>
      <c r="O19" s="15"/>
      <c r="P19" s="16">
        <f>C19/C18-1</f>
        <v>0.254754533392304</v>
      </c>
      <c r="Q19" s="16">
        <f>(E19+D19)/C19</f>
        <v>0.103630595699683</v>
      </c>
      <c r="R19" s="16">
        <f>AVERAGE(Q16:Q19)</f>
        <v>0.123015663021279</v>
      </c>
      <c r="S19" s="17"/>
      <c r="T19" s="25">
        <f>SUM(J16:K19)/4</f>
        <v>110.825</v>
      </c>
      <c r="U19" s="25"/>
      <c r="V19" s="15">
        <f>J19+K19+V18</f>
        <v>289.54</v>
      </c>
      <c r="W19" s="15">
        <f>-(L19+M19)+W18</f>
        <v>293.15</v>
      </c>
      <c r="X19" s="15">
        <f>X18</f>
        <v>3684.37512576</v>
      </c>
      <c r="Y19" s="17"/>
      <c r="Z19" s="15">
        <f>F19-G19</f>
        <v>-906</v>
      </c>
      <c r="AA19" s="24"/>
      <c r="AB19" s="18">
        <v>710</v>
      </c>
      <c r="AC19" s="24"/>
      <c r="AD19" s="15">
        <v>14.1</v>
      </c>
    </row>
    <row r="20" ht="20.05" customHeight="1">
      <c r="B20" s="21">
        <v>2021</v>
      </c>
      <c r="C20" s="14">
        <v>556.9</v>
      </c>
      <c r="D20" s="15">
        <v>37.5</v>
      </c>
      <c r="E20" s="15">
        <v>28.1</v>
      </c>
      <c r="F20" s="15">
        <v>565</v>
      </c>
      <c r="G20" s="15">
        <v>1501</v>
      </c>
      <c r="H20" s="15">
        <v>2408</v>
      </c>
      <c r="I20" s="15">
        <v>526.8</v>
      </c>
      <c r="J20" s="15">
        <v>3.7</v>
      </c>
      <c r="K20" s="15">
        <v>-54.1</v>
      </c>
      <c r="L20" s="15">
        <v>-16.25</v>
      </c>
      <c r="M20" s="15">
        <v>0</v>
      </c>
      <c r="N20" s="15">
        <f>SUM(C17:C20)/4</f>
        <v>683.45</v>
      </c>
      <c r="O20" s="15"/>
      <c r="P20" s="16">
        <f>C20/C19-1</f>
        <v>-0.345670309011867</v>
      </c>
      <c r="Q20" s="16">
        <f>(E20+D20)/C20</f>
        <v>0.117794936254265</v>
      </c>
      <c r="R20" s="16">
        <f>AVERAGE(Q17:Q20)</f>
        <v>0.118666008403376</v>
      </c>
      <c r="S20" s="17"/>
      <c r="T20" s="25">
        <f>SUM(J17:K20)/4</f>
        <v>88.90000000000001</v>
      </c>
      <c r="U20" s="25"/>
      <c r="V20" s="15">
        <f>J20+K20+V19</f>
        <v>239.14</v>
      </c>
      <c r="W20" s="15">
        <f>-(L20+M20)+W19</f>
        <v>309.4</v>
      </c>
      <c r="X20" s="15">
        <f>X19</f>
        <v>3684.37512576</v>
      </c>
      <c r="Y20" s="17"/>
      <c r="Z20" s="15">
        <f>F20-G20</f>
        <v>-936</v>
      </c>
      <c r="AA20" s="15"/>
      <c r="AB20" s="18">
        <v>1165</v>
      </c>
      <c r="AC20" s="15"/>
      <c r="AD20" s="15">
        <v>14.606</v>
      </c>
    </row>
    <row r="21" ht="20.05" customHeight="1">
      <c r="B21" s="13"/>
      <c r="C21" s="14">
        <v>644.4</v>
      </c>
      <c r="D21" s="15">
        <v>37.5</v>
      </c>
      <c r="E21" s="15">
        <v>54</v>
      </c>
      <c r="F21" s="15">
        <v>408</v>
      </c>
      <c r="G21" s="15">
        <v>1550</v>
      </c>
      <c r="H21" s="15">
        <v>2296</v>
      </c>
      <c r="I21" s="15">
        <v>681.1</v>
      </c>
      <c r="J21" s="15">
        <v>74.2</v>
      </c>
      <c r="K21" s="15">
        <v>-6.5</v>
      </c>
      <c r="L21" s="15">
        <v>-8.917999999999999</v>
      </c>
      <c r="M21" s="15">
        <v>-215.625</v>
      </c>
      <c r="N21" s="15">
        <f>SUM(C18:C21)/4</f>
        <v>682.675</v>
      </c>
      <c r="O21" s="15"/>
      <c r="P21" s="16">
        <f>C21/C20-1</f>
        <v>0.157119770156222</v>
      </c>
      <c r="Q21" s="16">
        <f>(E21+D21)/C21</f>
        <v>0.141992551210428</v>
      </c>
      <c r="R21" s="16">
        <f>AVERAGE(Q18:Q21)</f>
        <v>0.120303142344979</v>
      </c>
      <c r="S21" s="17"/>
      <c r="T21" s="25">
        <f>SUM(J18:K21)/4</f>
        <v>88.825</v>
      </c>
      <c r="U21" s="25"/>
      <c r="V21" s="15">
        <f>J21+K21+V20</f>
        <v>306.84</v>
      </c>
      <c r="W21" s="15">
        <f>-(L21+M21)+W20</f>
        <v>533.943</v>
      </c>
      <c r="X21" s="15">
        <f>X20</f>
        <v>3684.37512576</v>
      </c>
      <c r="Y21" s="17"/>
      <c r="Z21" s="15">
        <f>F21-G21</f>
        <v>-1142</v>
      </c>
      <c r="AA21" s="15"/>
      <c r="AB21" s="15">
        <v>4020</v>
      </c>
      <c r="AC21" s="15"/>
      <c r="AD21" s="15">
        <v>14.45</v>
      </c>
    </row>
    <row r="22" ht="20.05" customHeight="1">
      <c r="B22" s="13"/>
      <c r="C22" s="14">
        <v>743</v>
      </c>
      <c r="D22" s="15">
        <v>37.5</v>
      </c>
      <c r="E22" s="15">
        <v>96</v>
      </c>
      <c r="F22" s="15">
        <v>379</v>
      </c>
      <c r="G22" s="15">
        <v>1574</v>
      </c>
      <c r="H22" s="15">
        <v>2448</v>
      </c>
      <c r="I22" s="15">
        <v>668.5</v>
      </c>
      <c r="J22" s="15">
        <v>13.1</v>
      </c>
      <c r="K22" s="15">
        <v>-15.9</v>
      </c>
      <c r="L22" s="15">
        <v>-36.748</v>
      </c>
      <c r="M22" s="15">
        <v>11.102</v>
      </c>
      <c r="N22" s="15">
        <f>SUM(C19:C22)/4</f>
        <v>698.85</v>
      </c>
      <c r="O22" s="15">
        <v>691.9415</v>
      </c>
      <c r="P22" s="16">
        <f>C22/C21-1</f>
        <v>0.153010552451893</v>
      </c>
      <c r="Q22" s="16">
        <f>(E22+D22)/C22</f>
        <v>0.179676985195155</v>
      </c>
      <c r="R22" s="16">
        <f>AVERAGE(Q19:Q22)</f>
        <v>0.135773767089883</v>
      </c>
      <c r="S22" s="17"/>
      <c r="T22" s="25">
        <f>SUM(J19:K22)/4</f>
        <v>95.90000000000001</v>
      </c>
      <c r="U22" s="25"/>
      <c r="V22" s="15">
        <f>J22+K22+V21</f>
        <v>304.04</v>
      </c>
      <c r="W22" s="15">
        <f>-(L22+M22)+W21</f>
        <v>559.5890000000001</v>
      </c>
      <c r="X22" s="15">
        <f>X21</f>
        <v>3684.37512576</v>
      </c>
      <c r="Y22" s="17"/>
      <c r="Z22" s="15">
        <f>F22-G22</f>
        <v>-1195</v>
      </c>
      <c r="AA22" s="15"/>
      <c r="AB22" s="15">
        <v>3470</v>
      </c>
      <c r="AC22" s="15"/>
      <c r="AD22" s="15">
        <v>14.328</v>
      </c>
    </row>
    <row r="23" ht="20.05" customHeight="1">
      <c r="B23" s="13"/>
      <c r="C23" s="14">
        <v>1052.7</v>
      </c>
      <c r="D23" s="15">
        <v>37.5</v>
      </c>
      <c r="E23" s="15">
        <v>82.90000000000001</v>
      </c>
      <c r="F23" s="15">
        <v>704</v>
      </c>
      <c r="G23" s="15">
        <v>2034</v>
      </c>
      <c r="H23" s="15">
        <v>2993</v>
      </c>
      <c r="I23" s="15">
        <v>1266.6</v>
      </c>
      <c r="J23" s="15">
        <v>372.2</v>
      </c>
      <c r="K23" s="15">
        <v>-41.5</v>
      </c>
      <c r="L23" s="15">
        <v>-6.084</v>
      </c>
      <c r="M23" s="15">
        <v>-11.477</v>
      </c>
      <c r="N23" s="15">
        <f>SUM(C20:C23)/4</f>
        <v>749.25</v>
      </c>
      <c r="O23" s="15">
        <v>770.877666666667</v>
      </c>
      <c r="P23" s="16">
        <f>C23/C22-1</f>
        <v>0.416823687752355</v>
      </c>
      <c r="Q23" s="16">
        <f>(E23+D23)/C23</f>
        <v>0.114372565783224</v>
      </c>
      <c r="R23" s="16">
        <f>AVERAGE(Q20:Q23)</f>
        <v>0.138459259610768</v>
      </c>
      <c r="S23" s="17"/>
      <c r="T23" s="25">
        <f>SUM(J20:K23)/4</f>
        <v>86.3</v>
      </c>
      <c r="U23" s="25"/>
      <c r="V23" s="15">
        <f>J23+K23+V22</f>
        <v>634.74</v>
      </c>
      <c r="W23" s="15">
        <f>-(L23+M23)+W22</f>
        <v>577.15</v>
      </c>
      <c r="X23" s="15">
        <f>X22</f>
        <v>3684.37512576</v>
      </c>
      <c r="Y23" s="17"/>
      <c r="Z23" s="15">
        <f>F23-G23</f>
        <v>-1330</v>
      </c>
      <c r="AA23" s="15"/>
      <c r="AB23" s="15">
        <v>3510</v>
      </c>
      <c r="AC23" s="15"/>
      <c r="AD23" s="15">
        <v>14.275</v>
      </c>
    </row>
    <row r="24" ht="20.05" customHeight="1">
      <c r="B24" s="21">
        <v>2022</v>
      </c>
      <c r="C24" s="14">
        <v>911.3</v>
      </c>
      <c r="D24" s="15">
        <v>38.2</v>
      </c>
      <c r="E24" s="15">
        <v>68.40000000000001</v>
      </c>
      <c r="F24" s="15">
        <v>206</v>
      </c>
      <c r="G24" s="15">
        <v>1895</v>
      </c>
      <c r="H24" s="15">
        <v>2749</v>
      </c>
      <c r="I24" s="15">
        <v>603</v>
      </c>
      <c r="J24" s="15">
        <v>-293.4</v>
      </c>
      <c r="K24" s="15">
        <v>-29.5</v>
      </c>
      <c r="L24" s="15">
        <v>-5.6</v>
      </c>
      <c r="M24" s="15">
        <v>-168.8</v>
      </c>
      <c r="N24" s="15">
        <f>SUM(C21:C24)/4</f>
        <v>837.85</v>
      </c>
      <c r="O24" s="15">
        <v>788.69825</v>
      </c>
      <c r="P24" s="16">
        <f>C24/C23-1</f>
        <v>-0.134321269117507</v>
      </c>
      <c r="Q24" s="16">
        <f>(E24+D24)/C24</f>
        <v>0.1169757489301</v>
      </c>
      <c r="R24" s="16">
        <f>AVERAGE(Q21:Q24)</f>
        <v>0.138254462779727</v>
      </c>
      <c r="S24" s="35"/>
      <c r="T24" s="25">
        <f>SUM(J21:K24)/4</f>
        <v>18.175</v>
      </c>
      <c r="U24" s="15">
        <v>121.835954160344</v>
      </c>
      <c r="V24" s="15">
        <f>J24+K24+V23</f>
        <v>311.84</v>
      </c>
      <c r="W24" s="15">
        <f>-(L24+M24)+W23</f>
        <v>751.55</v>
      </c>
      <c r="X24" s="15">
        <f>X23</f>
        <v>3684.37512576</v>
      </c>
      <c r="Y24" s="15"/>
      <c r="Z24" s="15">
        <f>F24-G24</f>
        <v>-1689</v>
      </c>
      <c r="AA24" s="15">
        <v>-1033.850033539350</v>
      </c>
      <c r="AB24" s="15">
        <v>3400</v>
      </c>
      <c r="AC24" s="15">
        <v>4677.953894464650</v>
      </c>
      <c r="AD24" s="15">
        <v>14.327</v>
      </c>
    </row>
    <row r="25" ht="20.05" customHeight="1">
      <c r="B25" s="13"/>
      <c r="C25" s="14">
        <v>759</v>
      </c>
      <c r="D25" s="15">
        <v>33.6</v>
      </c>
      <c r="E25" s="15">
        <v>225.2</v>
      </c>
      <c r="F25" s="15">
        <v>347</v>
      </c>
      <c r="G25" s="15">
        <v>1815</v>
      </c>
      <c r="H25" s="15">
        <v>2677</v>
      </c>
      <c r="I25" s="15">
        <v>655.2</v>
      </c>
      <c r="J25" s="15">
        <v>-83.40000000000001</v>
      </c>
      <c r="K25" s="15">
        <v>314.2</v>
      </c>
      <c r="L25" s="15">
        <v>-5.9</v>
      </c>
      <c r="M25" s="15">
        <v>-84.3</v>
      </c>
      <c r="N25" s="15">
        <f>SUM(C22:C25)/4</f>
        <v>866.5</v>
      </c>
      <c r="O25" s="15">
        <v>846.54225</v>
      </c>
      <c r="P25" s="16">
        <f>C25/C24-1</f>
        <v>-0.167123888949852</v>
      </c>
      <c r="Q25" s="16">
        <f>(E25+D25)/C25</f>
        <v>0.340974967061924</v>
      </c>
      <c r="R25" s="16">
        <f>AVERAGE(Q22:Q25)</f>
        <v>0.188000066742601</v>
      </c>
      <c r="S25" s="35"/>
      <c r="T25" s="25">
        <f>SUM(J22:K25)/4</f>
        <v>58.95</v>
      </c>
      <c r="U25" s="15">
        <v>121.835954160344</v>
      </c>
      <c r="V25" s="15">
        <f>J25+K25+V24</f>
        <v>542.64</v>
      </c>
      <c r="W25" s="15">
        <f>-(L25+M25)+W24</f>
        <v>841.75</v>
      </c>
      <c r="X25" s="15">
        <f>X24</f>
        <v>3684.37512576</v>
      </c>
      <c r="Y25" s="15"/>
      <c r="Z25" s="15">
        <f>F25-G25</f>
        <v>-1468</v>
      </c>
      <c r="AA25" s="15">
        <v>-1033.850033539350</v>
      </c>
      <c r="AB25" s="15">
        <v>2800</v>
      </c>
      <c r="AC25" s="15">
        <v>4262.239354186920</v>
      </c>
      <c r="AD25" s="15">
        <v>14.66</v>
      </c>
    </row>
    <row r="26" ht="20.05" customHeight="1">
      <c r="B26" s="13"/>
      <c r="C26" s="14">
        <v>852.7</v>
      </c>
      <c r="D26" s="15">
        <v>34.1</v>
      </c>
      <c r="E26" s="15">
        <v>60.6</v>
      </c>
      <c r="F26" s="15">
        <v>320</v>
      </c>
      <c r="G26" s="15">
        <v>1726</v>
      </c>
      <c r="H26" s="15">
        <v>2344</v>
      </c>
      <c r="I26" s="15">
        <v>1126.9</v>
      </c>
      <c r="J26" s="15">
        <v>393.5</v>
      </c>
      <c r="K26" s="15">
        <v>-124.8</v>
      </c>
      <c r="L26" s="15">
        <v>-5.7</v>
      </c>
      <c r="M26" s="15">
        <v>-290.7</v>
      </c>
      <c r="N26" s="15">
        <f>SUM(C23:C26)/4</f>
        <v>893.925</v>
      </c>
      <c r="O26" s="15">
        <v>912.047</v>
      </c>
      <c r="P26" s="16">
        <f>C26/C25-1</f>
        <v>0.123451910408432</v>
      </c>
      <c r="Q26" s="16">
        <f>(E26+D26)/C26</f>
        <v>0.111058989093468</v>
      </c>
      <c r="R26" s="16">
        <f>AVERAGE(Q23:Q26)</f>
        <v>0.170845567717179</v>
      </c>
      <c r="S26" s="35">
        <f>S27</f>
        <v>0.111058989093468</v>
      </c>
      <c r="T26" s="25">
        <f>SUM(J23:K26)/4</f>
        <v>126.825</v>
      </c>
      <c r="U26" s="15">
        <v>111.703096433170</v>
      </c>
      <c r="V26" s="15">
        <f>J26+K26+V25</f>
        <v>811.34</v>
      </c>
      <c r="W26" s="15">
        <f>-(L26+M26)+W25</f>
        <v>1138.15</v>
      </c>
      <c r="X26" s="15">
        <f>X25</f>
        <v>3684.37512576</v>
      </c>
      <c r="Y26" s="15">
        <f>Y27</f>
        <v>1513.4805633</v>
      </c>
      <c r="Z26" s="15">
        <f>F26-G26</f>
        <v>-1406</v>
      </c>
      <c r="AA26" s="15">
        <v>-1348.565985027080</v>
      </c>
      <c r="AB26" s="15">
        <v>2240</v>
      </c>
      <c r="AC26" s="15">
        <v>4262.239354186920</v>
      </c>
      <c r="AD26" s="15">
        <v>15.705</v>
      </c>
    </row>
    <row r="27" ht="20.05" customHeight="1">
      <c r="B27" s="13"/>
      <c r="C27" s="14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23">
        <f>AVERAGE(AG52:AJ52)</f>
        <v>938.7843285</v>
      </c>
      <c r="P27" s="17"/>
      <c r="Q27" s="17"/>
      <c r="R27" s="17"/>
      <c r="S27" s="35">
        <f>AG53</f>
        <v>0.111058989093468</v>
      </c>
      <c r="T27" s="25"/>
      <c r="U27" s="15">
        <f>SUM(AG55:AJ55)/4</f>
        <v>96.1104385000002</v>
      </c>
      <c r="V27" s="17"/>
      <c r="W27" s="17"/>
      <c r="X27" s="17"/>
      <c r="Y27" s="15">
        <f>-SUM(AG76:AJ76)+W26</f>
        <v>1513.4805633</v>
      </c>
      <c r="Z27" s="26"/>
      <c r="AA27" s="15">
        <f>AJ75</f>
        <v>-1076.7265968</v>
      </c>
      <c r="AB27" s="15">
        <v>1965</v>
      </c>
      <c r="AC27" s="15">
        <v>4262.239354186920</v>
      </c>
      <c r="AD27" s="17"/>
    </row>
    <row r="28" ht="20.05" customHeight="1">
      <c r="B28" s="21">
        <v>2023</v>
      </c>
      <c r="C28" s="14"/>
      <c r="D28" s="15"/>
      <c r="E28" s="15"/>
      <c r="F28" s="15"/>
      <c r="G28" s="15"/>
      <c r="H28" s="15"/>
      <c r="I28" s="15"/>
      <c r="J28" s="16"/>
      <c r="K28" s="15"/>
      <c r="L28" s="15"/>
      <c r="M28" s="15"/>
      <c r="N28" s="15">
        <f>SUM(N22:N26)</f>
        <v>4046.375</v>
      </c>
      <c r="O28" s="15">
        <f>SUM(O22:O26)</f>
        <v>4010.106666666670</v>
      </c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26"/>
      <c r="AA28" s="15"/>
      <c r="AB28" s="15"/>
      <c r="AC28" s="15">
        <f>AJ88</f>
        <v>2460.427141617430</v>
      </c>
      <c r="AD28" s="15"/>
    </row>
    <row r="29" ht="20.05" customHeight="1">
      <c r="B29" s="13"/>
      <c r="C29" s="14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26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26"/>
      <c r="AA29" s="15"/>
      <c r="AB29" s="15"/>
      <c r="AC29" s="15"/>
      <c r="AD29" s="15"/>
    </row>
    <row r="30" ht="8.35" customHeight="1" hidden="1">
      <c r="B30" t="s" s="56">
        <v>367</v>
      </c>
      <c r="C30" s="14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26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5"/>
      <c r="AB30" s="15"/>
      <c r="AC30" s="15"/>
      <c r="AD30" s="15"/>
    </row>
    <row r="31" ht="8.35" customHeight="1" hidden="1">
      <c r="B31" s="21">
        <v>2018</v>
      </c>
      <c r="C31" s="14">
        <v>2452</v>
      </c>
      <c r="D31" s="15">
        <f>94+4</f>
        <v>98</v>
      </c>
      <c r="E31" s="15">
        <v>124</v>
      </c>
      <c r="F31" s="15">
        <v>91</v>
      </c>
      <c r="G31" s="15">
        <v>951</v>
      </c>
      <c r="H31" s="15">
        <v>1343</v>
      </c>
      <c r="I31" s="15">
        <v>2393</v>
      </c>
      <c r="J31" s="15">
        <v>176</v>
      </c>
      <c r="K31" s="15">
        <v>-121</v>
      </c>
      <c r="L31" s="15">
        <v>-29</v>
      </c>
      <c r="M31" s="15">
        <v>-14</v>
      </c>
      <c r="N31" s="26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5"/>
      <c r="AB31" s="15"/>
      <c r="AC31" s="15"/>
      <c r="AD31" s="15"/>
    </row>
    <row r="32" ht="8.35" customHeight="1" hidden="1">
      <c r="B32" s="21">
        <v>2019</v>
      </c>
      <c r="C32" s="14">
        <v>2729</v>
      </c>
      <c r="D32" s="15">
        <f>95+5</f>
        <v>100</v>
      </c>
      <c r="E32" s="15">
        <v>174</v>
      </c>
      <c r="F32" s="15">
        <v>61</v>
      </c>
      <c r="G32" s="15">
        <v>975</v>
      </c>
      <c r="H32" s="15">
        <v>1515</v>
      </c>
      <c r="I32" s="15">
        <v>2686</v>
      </c>
      <c r="J32" s="15">
        <v>236</v>
      </c>
      <c r="K32" s="15">
        <v>-214</v>
      </c>
      <c r="L32" s="15">
        <v>-32</v>
      </c>
      <c r="M32" s="15">
        <v>-20</v>
      </c>
      <c r="N32" s="26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5"/>
      <c r="AB32" s="15"/>
      <c r="AC32" s="15"/>
      <c r="AD32" s="15"/>
    </row>
    <row r="33" ht="8.35" customHeight="1" hidden="1">
      <c r="B33" s="21">
        <v>2020</v>
      </c>
      <c r="C33" s="14">
        <v>1875</v>
      </c>
      <c r="D33" s="15">
        <f>102+6</f>
        <v>108</v>
      </c>
      <c r="E33" s="15">
        <v>8</v>
      </c>
      <c r="F33" s="15">
        <v>69</v>
      </c>
      <c r="G33" s="15">
        <v>1087</v>
      </c>
      <c r="H33" s="15">
        <v>1619</v>
      </c>
      <c r="I33" s="15">
        <v>2054</v>
      </c>
      <c r="J33" s="15">
        <v>228</v>
      </c>
      <c r="K33" s="15">
        <v>-320</v>
      </c>
      <c r="L33" s="15">
        <v>99</v>
      </c>
      <c r="M33" s="15"/>
      <c r="N33" s="26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5"/>
      <c r="AB33" s="15"/>
      <c r="AC33" s="15"/>
      <c r="AD33" s="15"/>
    </row>
    <row r="34" ht="8.35" customHeight="1" hidden="1">
      <c r="B34" s="21">
        <v>2021</v>
      </c>
      <c r="C34" s="14">
        <v>676</v>
      </c>
      <c r="D34" s="15">
        <v>28</v>
      </c>
      <c r="E34" s="15">
        <v>53</v>
      </c>
      <c r="F34" s="15"/>
      <c r="G34" s="15"/>
      <c r="H34" s="15"/>
      <c r="I34" s="15">
        <v>573</v>
      </c>
      <c r="J34" s="15">
        <v>9</v>
      </c>
      <c r="K34" s="15">
        <v>-56</v>
      </c>
      <c r="L34" s="15">
        <v>56</v>
      </c>
      <c r="M34" s="15"/>
      <c r="N34" s="26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5"/>
      <c r="AB34" s="15"/>
      <c r="AC34" s="15"/>
      <c r="AD34" s="15"/>
    </row>
    <row r="35" ht="8.35" customHeight="1" hidden="1">
      <c r="B35" s="13"/>
      <c r="C35" s="14">
        <v>1307</v>
      </c>
      <c r="D35" s="15">
        <f>D34*2</f>
        <v>56</v>
      </c>
      <c r="E35" s="15">
        <v>100</v>
      </c>
      <c r="F35" s="15"/>
      <c r="G35" s="15"/>
      <c r="H35" s="15"/>
      <c r="I35" s="15">
        <v>1165</v>
      </c>
      <c r="J35" s="15">
        <v>21</v>
      </c>
      <c r="K35" s="15">
        <v>-139</v>
      </c>
      <c r="L35" s="15">
        <v>88</v>
      </c>
      <c r="M35" s="15"/>
      <c r="N35" s="26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5"/>
      <c r="AB35" s="15"/>
      <c r="AC35" s="15"/>
      <c r="AD35" s="15"/>
    </row>
    <row r="36" ht="8.35" customHeight="1" hidden="1">
      <c r="B36" s="13"/>
      <c r="C36" s="14">
        <v>2079</v>
      </c>
      <c r="D36" s="15">
        <f>D34*3</f>
        <v>84</v>
      </c>
      <c r="E36" s="15">
        <v>148</v>
      </c>
      <c r="F36" s="15"/>
      <c r="G36" s="15"/>
      <c r="H36" s="15"/>
      <c r="I36" s="15">
        <v>1940</v>
      </c>
      <c r="J36" s="15">
        <v>79</v>
      </c>
      <c r="K36" s="15">
        <v>-162</v>
      </c>
      <c r="L36" s="15">
        <v>67</v>
      </c>
      <c r="M36" s="15"/>
      <c r="N36" s="26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5"/>
      <c r="AB36" s="15"/>
      <c r="AC36" s="15"/>
      <c r="AD36" s="15"/>
    </row>
    <row r="37" ht="8.35" customHeight="1" hidden="1">
      <c r="B37" s="13"/>
      <c r="C37" s="14">
        <v>2913</v>
      </c>
      <c r="D37" s="15">
        <f>D34*4</f>
        <v>112</v>
      </c>
      <c r="E37" s="15">
        <v>305</v>
      </c>
      <c r="F37" s="15">
        <v>415</v>
      </c>
      <c r="G37" s="15">
        <v>1455</v>
      </c>
      <c r="H37" s="15">
        <v>2537</v>
      </c>
      <c r="I37" s="15">
        <v>2706</v>
      </c>
      <c r="J37" s="15">
        <v>244</v>
      </c>
      <c r="K37" s="15">
        <v>-229</v>
      </c>
      <c r="L37" s="15">
        <v>39</v>
      </c>
      <c r="M37" s="15">
        <v>292</v>
      </c>
      <c r="N37" s="26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5"/>
      <c r="AB37" s="15"/>
      <c r="AC37" s="15"/>
      <c r="AD37" s="15"/>
    </row>
    <row r="38" ht="8.35" customHeight="1" hidden="1">
      <c r="B38" s="21">
        <v>2022</v>
      </c>
      <c r="C38" s="14">
        <v>916</v>
      </c>
      <c r="D38" s="15">
        <v>30.6666666666667</v>
      </c>
      <c r="E38" s="15">
        <v>117</v>
      </c>
      <c r="F38" s="15">
        <v>429</v>
      </c>
      <c r="G38" s="15">
        <v>1406</v>
      </c>
      <c r="H38" s="15">
        <v>2605</v>
      </c>
      <c r="I38" s="15">
        <v>845</v>
      </c>
      <c r="J38" s="15">
        <v>40</v>
      </c>
      <c r="K38" s="15">
        <v>0</v>
      </c>
      <c r="L38" s="15">
        <v>26</v>
      </c>
      <c r="M38" s="15"/>
      <c r="N38" s="26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5"/>
      <c r="AB38" s="15"/>
      <c r="AC38" s="15"/>
      <c r="AD38" s="15"/>
    </row>
    <row r="39" ht="8.35" customHeight="1" hidden="1">
      <c r="B39" s="13"/>
      <c r="C39" s="14">
        <v>1590</v>
      </c>
      <c r="D39" s="15">
        <f>D38*2</f>
        <v>61.3333333333334</v>
      </c>
      <c r="E39" s="15">
        <v>145</v>
      </c>
      <c r="F39" s="15">
        <v>236</v>
      </c>
      <c r="G39" s="15">
        <v>1189</v>
      </c>
      <c r="H39" s="15">
        <v>2344</v>
      </c>
      <c r="I39" s="15">
        <v>1652</v>
      </c>
      <c r="J39" s="15">
        <v>35</v>
      </c>
      <c r="K39" s="15">
        <v>-79</v>
      </c>
      <c r="L39" s="15">
        <v>-65</v>
      </c>
      <c r="M39" s="15">
        <v>-70</v>
      </c>
      <c r="N39" s="26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5"/>
      <c r="AB39" s="15"/>
      <c r="AC39" s="15"/>
      <c r="AD39" s="15"/>
    </row>
    <row r="40" ht="8.35" customHeight="1" hidden="1">
      <c r="B40" s="13"/>
      <c r="C40" s="14">
        <v>2659</v>
      </c>
      <c r="D40" s="15">
        <f>D38*3</f>
        <v>92.0000000000001</v>
      </c>
      <c r="E40" s="15">
        <v>252</v>
      </c>
      <c r="F40" s="15">
        <v>173</v>
      </c>
      <c r="G40" s="15">
        <v>1235</v>
      </c>
      <c r="H40" s="15">
        <v>2498</v>
      </c>
      <c r="I40" s="15">
        <v>2545</v>
      </c>
      <c r="J40" s="15">
        <v>126</v>
      </c>
      <c r="K40" s="15">
        <v>-172</v>
      </c>
      <c r="L40" s="15">
        <v>-124</v>
      </c>
      <c r="M40" s="15">
        <v>-72</v>
      </c>
      <c r="N40" s="26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5"/>
      <c r="AB40" s="15"/>
      <c r="AC40" s="15"/>
      <c r="AD40" s="15"/>
    </row>
    <row r="41" ht="8.35" customHeight="1" hidden="1">
      <c r="B41" s="13"/>
      <c r="C41" s="14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26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5"/>
      <c r="AB41" s="15"/>
      <c r="AC41" s="15"/>
      <c r="AD41" s="15"/>
    </row>
    <row r="42" ht="20.05" customHeight="1">
      <c r="B42" s="13"/>
      <c r="C42" s="14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26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26"/>
      <c r="AA42" s="15"/>
      <c r="AB42" s="15"/>
      <c r="AC42" s="15"/>
      <c r="AD42" s="15"/>
    </row>
    <row r="43" ht="20.05" customHeight="1">
      <c r="B43" s="13"/>
      <c r="C43" s="14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26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5"/>
      <c r="AB43" s="15"/>
      <c r="AC43" s="15"/>
      <c r="AD43" s="15"/>
    </row>
    <row r="44" ht="20.05" customHeight="1">
      <c r="B44" s="13"/>
      <c r="C44" s="14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26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5"/>
      <c r="AB44" s="15"/>
      <c r="AC44" s="15"/>
      <c r="AD44" s="15"/>
    </row>
    <row r="46" ht="27.65" customHeight="1">
      <c r="AE46" t="s" s="2">
        <v>210</v>
      </c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ht="20.25" customHeight="1">
      <c r="AE47" t="s" s="28">
        <f>B$3</f>
        <v>22</v>
      </c>
      <c r="AF47" t="s" s="29">
        <v>23</v>
      </c>
      <c r="AG47" t="s" s="29">
        <v>24</v>
      </c>
      <c r="AH47" t="s" s="29">
        <v>25</v>
      </c>
      <c r="AI47" t="s" s="29">
        <v>26</v>
      </c>
      <c r="AJ47" t="s" s="29">
        <v>23</v>
      </c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</row>
    <row r="48" ht="20.25" customHeight="1">
      <c r="AE48" t="s" s="31">
        <v>15</v>
      </c>
      <c r="AF48" s="32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ht="20.05" customHeight="1">
      <c r="AE49" t="s" s="33">
        <v>27</v>
      </c>
      <c r="AF49" s="34"/>
      <c r="AG49" s="16">
        <f>AVERAGE(P23:P26)</f>
        <v>0.059707610023357</v>
      </c>
      <c r="AH49" s="35"/>
      <c r="AI49" s="35"/>
      <c r="AJ49" s="35">
        <f>AVERAGE(AG51:AJ51)</f>
        <v>0.03</v>
      </c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</row>
    <row r="50" ht="20.05" customHeight="1">
      <c r="AE50" s="36"/>
      <c r="AF50" s="37"/>
      <c r="AG50" s="35">
        <f>P23</f>
        <v>0.416823687752355</v>
      </c>
      <c r="AH50" s="35">
        <f>P24</f>
        <v>-0.134321269117507</v>
      </c>
      <c r="AI50" s="35">
        <f>P25</f>
        <v>-0.167123888949852</v>
      </c>
      <c r="AJ50" s="35">
        <f>P26</f>
        <v>0.123451910408432</v>
      </c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</row>
    <row r="51" ht="20.05" customHeight="1">
      <c r="AE51" t="s" s="33">
        <v>13</v>
      </c>
      <c r="AF51" s="37"/>
      <c r="AG51" s="35">
        <v>0.2</v>
      </c>
      <c r="AH51" s="35">
        <v>-0.1</v>
      </c>
      <c r="AI51" s="35">
        <v>-0.05</v>
      </c>
      <c r="AJ51" s="35">
        <v>0.07000000000000001</v>
      </c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</row>
    <row r="52" ht="20.05" customHeight="1">
      <c r="AE52" t="s" s="33">
        <v>28</v>
      </c>
      <c r="AF52" s="38">
        <f>C26</f>
        <v>852.7</v>
      </c>
      <c r="AG52" s="23">
        <f>C26*(1+AG51)</f>
        <v>1023.24</v>
      </c>
      <c r="AH52" s="23">
        <f>AG52*(1+AH51)</f>
        <v>920.9160000000001</v>
      </c>
      <c r="AI52" s="23">
        <f>AH52*(1+AI51)</f>
        <v>874.8702</v>
      </c>
      <c r="AJ52" s="23">
        <f>AI52*(1+AJ51)</f>
        <v>936.111114</v>
      </c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</row>
    <row r="53" ht="20.05" customHeight="1">
      <c r="AE53" t="s" s="33">
        <v>14</v>
      </c>
      <c r="AF53" s="37"/>
      <c r="AG53" s="35">
        <f>AVERAGE(Q26)</f>
        <v>0.111058989093468</v>
      </c>
      <c r="AH53" s="35">
        <f>AG53</f>
        <v>0.111058989093468</v>
      </c>
      <c r="AI53" s="35">
        <f>AH53</f>
        <v>0.111058989093468</v>
      </c>
      <c r="AJ53" s="35">
        <f>AI53</f>
        <v>0.111058989093468</v>
      </c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</row>
    <row r="54" ht="20.05" customHeight="1">
      <c r="AE54" t="s" s="33">
        <v>29</v>
      </c>
      <c r="AF54" s="14"/>
      <c r="AG54" s="15">
        <f>AVERAGE(K15:K26)</f>
        <v>-8.15</v>
      </c>
      <c r="AH54" s="15">
        <f>AG54</f>
        <v>-8.15</v>
      </c>
      <c r="AI54" s="15">
        <f>AH54</f>
        <v>-8.15</v>
      </c>
      <c r="AJ54" s="15">
        <f>AI54</f>
        <v>-8.15</v>
      </c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</row>
    <row r="55" ht="20.05" customHeight="1">
      <c r="AE55" t="s" s="33">
        <v>30</v>
      </c>
      <c r="AF55" s="14"/>
      <c r="AG55" s="15">
        <f>(AG52*AG53)+AG54</f>
        <v>105.49</v>
      </c>
      <c r="AH55" s="15">
        <f>(AH52*AH53)+AH54</f>
        <v>94.1260000000002</v>
      </c>
      <c r="AI55" s="15">
        <f>(AI52*AI53)+AI54</f>
        <v>89.01220000000021</v>
      </c>
      <c r="AJ55" s="15">
        <f>(AJ52*AJ53)+AJ54</f>
        <v>95.8135540000002</v>
      </c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</row>
    <row r="56" ht="20.05" customHeight="1">
      <c r="AE56" t="s" s="33">
        <v>31</v>
      </c>
      <c r="AF56" s="14"/>
      <c r="AG56" s="15">
        <f>-G26/20</f>
        <v>-86.3</v>
      </c>
      <c r="AH56" s="15">
        <f>-AG71/20</f>
        <v>-81.985</v>
      </c>
      <c r="AI56" s="15">
        <f>-AH71/20</f>
        <v>-77.88575</v>
      </c>
      <c r="AJ56" s="15">
        <f>-AI71/20</f>
        <v>-73.9914625</v>
      </c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</row>
    <row r="57" ht="20.05" customHeight="1">
      <c r="AE57" t="s" s="33">
        <v>32</v>
      </c>
      <c r="AF57" s="39"/>
      <c r="AG57" s="40">
        <v>-0.2</v>
      </c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</row>
    <row r="58" ht="20.05" customHeight="1">
      <c r="AE58" t="s" s="33">
        <v>33</v>
      </c>
      <c r="AF58" s="14"/>
      <c r="AG58" s="15">
        <f>IF(AG66&gt;0,AG66*$AG$57,0)</f>
        <v>-15.668</v>
      </c>
      <c r="AH58" s="15">
        <f>IF(AH66&gt;0,AH66*$AG$57,0)</f>
        <v>-13.3952</v>
      </c>
      <c r="AI58" s="15">
        <f>IF(AI66&gt;0,AI66*$AG$57,0)</f>
        <v>-12.37244</v>
      </c>
      <c r="AJ58" s="15">
        <f>IF(AJ66&gt;0,AJ66*$AG$57,0)</f>
        <v>-13.7327108</v>
      </c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</row>
    <row r="59" ht="20.05" customHeight="1">
      <c r="AE59" t="s" s="33">
        <v>34</v>
      </c>
      <c r="AF59" s="14"/>
      <c r="AG59" s="15">
        <f>AG55+AG56+AG58</f>
        <v>3.522</v>
      </c>
      <c r="AH59" s="15">
        <f>AH55+AH56+AH58</f>
        <v>-1.2541999999998</v>
      </c>
      <c r="AI59" s="15">
        <f>AI55+AI56+AI58</f>
        <v>-1.2459899999998</v>
      </c>
      <c r="AJ59" s="15">
        <f>AJ55+AJ56+AJ58</f>
        <v>8.0893807000002</v>
      </c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</row>
    <row r="60" ht="20.05" customHeight="1">
      <c r="AE60" t="s" s="33">
        <v>35</v>
      </c>
      <c r="AF60" s="14"/>
      <c r="AG60" s="15">
        <f>-MIN(0,AG59)</f>
        <v>0</v>
      </c>
      <c r="AH60" s="15">
        <f>-MIN(AG72,AH59)</f>
        <v>1.2541999999998</v>
      </c>
      <c r="AI60" s="15">
        <f>-MIN(AH72,AI59)</f>
        <v>1.2459899999998</v>
      </c>
      <c r="AJ60" s="15">
        <f>-MIN(AI72,AJ59)</f>
        <v>-2.5001899999996</v>
      </c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</row>
    <row r="61" ht="20.05" customHeight="1">
      <c r="AE61" t="s" s="33">
        <v>36</v>
      </c>
      <c r="AF61" s="14"/>
      <c r="AG61" s="15">
        <f>F26</f>
        <v>320</v>
      </c>
      <c r="AH61" s="15">
        <f>AG63</f>
        <v>323.522</v>
      </c>
      <c r="AI61" s="15">
        <f>AH63</f>
        <v>323.522</v>
      </c>
      <c r="AJ61" s="15">
        <f>AI63</f>
        <v>323.522</v>
      </c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</row>
    <row r="62" ht="20.05" customHeight="1">
      <c r="AE62" t="s" s="33">
        <v>37</v>
      </c>
      <c r="AF62" s="14"/>
      <c r="AG62" s="15">
        <f>AG55+AG56+AG58+AG60</f>
        <v>3.522</v>
      </c>
      <c r="AH62" s="15">
        <f>AH55+AH56+AH58+AH60</f>
        <v>0</v>
      </c>
      <c r="AI62" s="15">
        <f>AI55+AI56+AI58+AI60</f>
        <v>0</v>
      </c>
      <c r="AJ62" s="15">
        <f>AJ55+AJ56+AJ58+AJ60</f>
        <v>5.5891907000006</v>
      </c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</row>
    <row r="63" ht="20.05" customHeight="1">
      <c r="AE63" t="s" s="33">
        <v>38</v>
      </c>
      <c r="AF63" s="14"/>
      <c r="AG63" s="15">
        <f>AG61+AG62</f>
        <v>323.522</v>
      </c>
      <c r="AH63" s="15">
        <f>AH61+AH62</f>
        <v>323.522</v>
      </c>
      <c r="AI63" s="15">
        <f>AI61+AI62</f>
        <v>323.522</v>
      </c>
      <c r="AJ63" s="15">
        <f>AJ61+AJ62</f>
        <v>329.111190700001</v>
      </c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</row>
    <row r="64" ht="20.05" customHeight="1">
      <c r="AE64" t="s" s="41">
        <v>4</v>
      </c>
      <c r="AF64" s="14"/>
      <c r="AG64" s="15"/>
      <c r="AH64" s="15"/>
      <c r="AI64" s="15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</row>
    <row r="65" ht="20.05" customHeight="1">
      <c r="AE65" t="s" s="33">
        <v>3</v>
      </c>
      <c r="AF65" s="14"/>
      <c r="AG65" s="15">
        <f>-AVERAGE(D24:D26)</f>
        <v>-35.3</v>
      </c>
      <c r="AH65" s="15">
        <f>AG65</f>
        <v>-35.3</v>
      </c>
      <c r="AI65" s="15">
        <f>AH65</f>
        <v>-35.3</v>
      </c>
      <c r="AJ65" s="15">
        <f>AI65</f>
        <v>-35.3</v>
      </c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</row>
    <row r="66" ht="20.05" customHeight="1">
      <c r="AE66" t="s" s="33">
        <v>4</v>
      </c>
      <c r="AF66" s="14"/>
      <c r="AG66" s="15">
        <f>(AG52*AG53)+AG65</f>
        <v>78.3400000000002</v>
      </c>
      <c r="AH66" s="15">
        <f>(AH52*AH53)+AH65</f>
        <v>66.9760000000002</v>
      </c>
      <c r="AI66" s="15">
        <f>(AI52*AI53)+AI65</f>
        <v>61.8622000000002</v>
      </c>
      <c r="AJ66" s="15">
        <f>(AJ52*AJ53)+AJ65</f>
        <v>68.6635540000002</v>
      </c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</row>
    <row r="67" ht="20.05" customHeight="1">
      <c r="AE67" t="s" s="41">
        <v>39</v>
      </c>
      <c r="AF67" s="14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</row>
    <row r="68" ht="20.05" customHeight="1">
      <c r="AE68" t="s" s="33">
        <v>40</v>
      </c>
      <c r="AF68" s="14"/>
      <c r="AG68" s="15">
        <f>H26-F26-AG54</f>
        <v>2032.15</v>
      </c>
      <c r="AH68" s="15">
        <f>AG68-AH54</f>
        <v>2040.3</v>
      </c>
      <c r="AI68" s="15">
        <f>AH68-AI54</f>
        <v>2048.45</v>
      </c>
      <c r="AJ68" s="15">
        <f>AI68-AJ54</f>
        <v>2056.6</v>
      </c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</row>
    <row r="69" ht="20.05" customHeight="1">
      <c r="AE69" t="s" s="33">
        <v>41</v>
      </c>
      <c r="AF69" s="14"/>
      <c r="AG69" s="15">
        <f>0-AG65</f>
        <v>35.3</v>
      </c>
      <c r="AH69" s="15">
        <f>AG69-AH65</f>
        <v>70.59999999999999</v>
      </c>
      <c r="AI69" s="15">
        <f>AH69-AI65</f>
        <v>105.9</v>
      </c>
      <c r="AJ69" s="15">
        <f>AI69-AJ65</f>
        <v>141.2</v>
      </c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</row>
    <row r="70" ht="20.05" customHeight="1">
      <c r="AE70" t="s" s="33">
        <v>42</v>
      </c>
      <c r="AF70" s="14"/>
      <c r="AG70" s="15">
        <f>AG68-AG69</f>
        <v>1996.85</v>
      </c>
      <c r="AH70" s="15">
        <f>AH68-AH69</f>
        <v>1969.7</v>
      </c>
      <c r="AI70" s="15">
        <f>AI68-AI69</f>
        <v>1942.55</v>
      </c>
      <c r="AJ70" s="15">
        <f>AJ68-AJ69</f>
        <v>1915.4</v>
      </c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</row>
    <row r="71" ht="20.05" customHeight="1">
      <c r="AE71" t="s" s="33">
        <v>6</v>
      </c>
      <c r="AF71" s="14"/>
      <c r="AG71" s="15">
        <f>G26+AG56</f>
        <v>1639.7</v>
      </c>
      <c r="AH71" s="15">
        <f>AG71+AH56</f>
        <v>1557.715</v>
      </c>
      <c r="AI71" s="15">
        <f>AH71+AI56</f>
        <v>1479.82925</v>
      </c>
      <c r="AJ71" s="15">
        <f>AI71+AJ56</f>
        <v>1405.8377875</v>
      </c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</row>
    <row r="72" ht="20.05" customHeight="1">
      <c r="AE72" t="s" s="33">
        <v>35</v>
      </c>
      <c r="AF72" s="14"/>
      <c r="AG72" s="15">
        <f>AG60</f>
        <v>0</v>
      </c>
      <c r="AH72" s="15">
        <f>AG72+AH60</f>
        <v>1.2541999999998</v>
      </c>
      <c r="AI72" s="15">
        <f>AH72+AI60</f>
        <v>2.5001899999996</v>
      </c>
      <c r="AJ72" s="15">
        <f>AI72+AJ60</f>
        <v>0</v>
      </c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</row>
    <row r="73" ht="20.05" customHeight="1">
      <c r="AE73" t="s" s="33">
        <v>11</v>
      </c>
      <c r="AF73" s="14"/>
      <c r="AG73" s="15">
        <f>(H26-G26)+AG66+AG58</f>
        <v>680.672</v>
      </c>
      <c r="AH73" s="15">
        <f>AG73+AH66+AH58</f>
        <v>734.2528</v>
      </c>
      <c r="AI73" s="15">
        <f>AH73+AI66+AI58</f>
        <v>783.74256</v>
      </c>
      <c r="AJ73" s="15">
        <f>AI73+AJ66+AJ58</f>
        <v>838.6734032000001</v>
      </c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</row>
    <row r="74" ht="20.05" customHeight="1">
      <c r="AE74" t="s" s="33">
        <v>43</v>
      </c>
      <c r="AF74" s="14"/>
      <c r="AG74" s="15">
        <f>AG71+AG72+AG73-AG63-AG70</f>
        <v>0</v>
      </c>
      <c r="AH74" s="15">
        <f>AH71+AH72+AH73-AH63-AH70</f>
        <v>-2e-13</v>
      </c>
      <c r="AI74" s="15">
        <f>AI71+AI72+AI73-AI63-AI70</f>
        <v>-4e-13</v>
      </c>
      <c r="AJ74" s="15">
        <f>AJ71+AJ72+AJ73-AJ63-AJ70</f>
        <v>-1e-12</v>
      </c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</row>
    <row r="75" ht="20.05" customHeight="1">
      <c r="AE75" t="s" s="33">
        <v>18</v>
      </c>
      <c r="AF75" s="14"/>
      <c r="AG75" s="15">
        <f>AG63-AG71-AG72</f>
        <v>-1316.178</v>
      </c>
      <c r="AH75" s="15">
        <f>AH63-AH71-AH72</f>
        <v>-1235.4472</v>
      </c>
      <c r="AI75" s="15">
        <f>AI63-AI71-AI72</f>
        <v>-1158.80744</v>
      </c>
      <c r="AJ75" s="15">
        <f>AJ63-AJ71-AJ72</f>
        <v>-1076.7265968</v>
      </c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</row>
    <row r="76" ht="20.05" customHeight="1">
      <c r="AE76" t="s" s="33">
        <v>44</v>
      </c>
      <c r="AF76" s="14"/>
      <c r="AG76" s="15">
        <f>AG56+AG58+AG60</f>
        <v>-101.968</v>
      </c>
      <c r="AH76" s="15">
        <f>AH56+AH58+AH60</f>
        <v>-94.1260000000002</v>
      </c>
      <c r="AI76" s="15">
        <f>AI56+AI58+AI60</f>
        <v>-89.01220000000021</v>
      </c>
      <c r="AJ76" s="15">
        <f>AJ56+AJ58+AJ60</f>
        <v>-90.2243632999996</v>
      </c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</row>
    <row r="77" ht="20.05" customHeight="1">
      <c r="AE77" t="s" s="33">
        <v>45</v>
      </c>
      <c r="AF77" s="14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</row>
    <row r="78" ht="20.05" customHeight="1">
      <c r="AE78" t="s" s="33">
        <f>AB$3</f>
        <v>689</v>
      </c>
      <c r="AF78" s="14"/>
      <c r="AG78" s="15"/>
      <c r="AH78" s="15"/>
      <c r="AI78" s="15"/>
      <c r="AJ78" s="15">
        <v>1965</v>
      </c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</row>
    <row r="79" ht="20.05" customHeight="1">
      <c r="AE79" t="s" s="33">
        <f>$AE78</f>
        <v>689</v>
      </c>
      <c r="AF79" s="14"/>
      <c r="AG79" s="15"/>
      <c r="AH79" s="15"/>
      <c r="AI79" s="15"/>
      <c r="AJ79" s="15">
        <v>3684375125760</v>
      </c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</row>
    <row r="80" ht="20.05" customHeight="1">
      <c r="AE80" t="s" s="33">
        <v>46</v>
      </c>
      <c r="AF80" s="14"/>
      <c r="AG80" s="15"/>
      <c r="AH80" s="15"/>
      <c r="AI80" s="15"/>
      <c r="AJ80" s="15">
        <f>AJ79/1000000000</f>
        <v>3684.37512576</v>
      </c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</row>
    <row r="81" ht="20.05" customHeight="1">
      <c r="AE81" t="s" s="33">
        <v>47</v>
      </c>
      <c r="AF81" s="14"/>
      <c r="AG81" s="15"/>
      <c r="AH81" s="15"/>
      <c r="AI81" s="15"/>
      <c r="AJ81" s="15">
        <f>AJ80/AJ78</f>
        <v>1.875000064</v>
      </c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</row>
    <row r="82" ht="20.05" customHeight="1">
      <c r="AE82" t="s" s="33">
        <v>48</v>
      </c>
      <c r="AF82" s="14"/>
      <c r="AG82" s="15"/>
      <c r="AH82" s="15"/>
      <c r="AI82" s="15"/>
      <c r="AJ82" s="43">
        <f>AJ80/(AJ63+AJ70)</f>
        <v>1.64150445808691</v>
      </c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</row>
    <row r="83" ht="20.05" customHeight="1">
      <c r="AE83" t="s" s="33">
        <v>49</v>
      </c>
      <c r="AF83" s="14"/>
      <c r="AG83" s="15"/>
      <c r="AH83" s="15"/>
      <c r="AI83" s="15"/>
      <c r="AJ83" s="16">
        <f>-(AG58+AH58+AI58+AJ58)/AJ80</f>
        <v>0.014973597670411</v>
      </c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</row>
    <row r="84" ht="20.05" customHeight="1">
      <c r="AE84" t="s" s="33">
        <v>50</v>
      </c>
      <c r="AF84" s="14"/>
      <c r="AG84" s="15"/>
      <c r="AH84" s="15"/>
      <c r="AI84" s="15">
        <f>SUM(J23:K26)</f>
        <v>507.3</v>
      </c>
      <c r="AJ84" s="15">
        <f>SUM(AG55:AJ55)</f>
        <v>384.441754000001</v>
      </c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</row>
    <row r="85" ht="20.05" customHeight="1">
      <c r="AE85" t="s" s="33">
        <v>51</v>
      </c>
      <c r="AF85" s="14"/>
      <c r="AG85" s="15"/>
      <c r="AH85" s="15"/>
      <c r="AI85" s="15"/>
      <c r="AJ85" s="15">
        <f>AJ70/AJ84</f>
        <v>4.98228920264471</v>
      </c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</row>
    <row r="86" ht="20.05" customHeight="1">
      <c r="AE86" t="s" s="33">
        <v>52</v>
      </c>
      <c r="AF86" s="14"/>
      <c r="AG86" s="15"/>
      <c r="AH86" s="15"/>
      <c r="AI86" s="15">
        <f>AJ80/AJ84</f>
        <v>9.58370178947834</v>
      </c>
      <c r="AJ86" s="15">
        <v>12</v>
      </c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</row>
    <row r="87" ht="20.05" customHeight="1">
      <c r="AE87" t="s" s="33">
        <v>53</v>
      </c>
      <c r="AF87" s="14"/>
      <c r="AG87" s="15"/>
      <c r="AH87" s="15"/>
      <c r="AI87" s="15"/>
      <c r="AJ87" s="15">
        <f>AJ84*AJ86</f>
        <v>4613.301048000010</v>
      </c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</row>
    <row r="88" ht="20.05" customHeight="1">
      <c r="AE88" t="s" s="33">
        <v>54</v>
      </c>
      <c r="AF88" s="14"/>
      <c r="AG88" s="15"/>
      <c r="AH88" s="15"/>
      <c r="AI88" s="15"/>
      <c r="AJ88" s="15">
        <f>(AJ87/AJ81)</f>
        <v>2460.427141617430</v>
      </c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</row>
    <row r="89" ht="20.05" customHeight="1">
      <c r="AE89" t="s" s="33">
        <v>55</v>
      </c>
      <c r="AF89" s="38"/>
      <c r="AG89" s="23"/>
      <c r="AH89" s="23"/>
      <c r="AI89" s="23"/>
      <c r="AJ89" s="16">
        <f>AJ88/AJ78-1</f>
        <v>0.252125771815486</v>
      </c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</row>
    <row r="90" ht="20.05" customHeight="1">
      <c r="AE90" t="s" s="33">
        <v>56</v>
      </c>
      <c r="AF90" s="38"/>
      <c r="AG90" s="23"/>
      <c r="AH90" s="23"/>
      <c r="AI90" s="23"/>
      <c r="AJ90" s="16">
        <f>C26/C22-1</f>
        <v>0.14764468371467</v>
      </c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</row>
    <row r="91" ht="20.05" customHeight="1">
      <c r="AE91" t="s" s="33">
        <v>57</v>
      </c>
      <c r="AF91" s="38"/>
      <c r="AG91" s="23"/>
      <c r="AH91" s="23"/>
      <c r="AI91" s="23"/>
      <c r="AJ91" s="16">
        <f>O28/N28-1</f>
        <v>-0.00896316662032807</v>
      </c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</row>
    <row r="92" ht="20.05" customHeight="1">
      <c r="AE92" s="36"/>
      <c r="AF92" s="38"/>
      <c r="AG92" s="23"/>
      <c r="AH92" s="23"/>
      <c r="AI92" s="23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</row>
    <row r="93" ht="20.05" customHeight="1">
      <c r="AE93" s="36"/>
      <c r="AF93" s="38"/>
      <c r="AG93" t="s" s="44">
        <f>$AE78</f>
        <v>689</v>
      </c>
      <c r="AH93" t="s" s="44">
        <f>AG115</f>
        <v>15</v>
      </c>
      <c r="AI93" t="s" s="44">
        <f>AH115</f>
        <v>360</v>
      </c>
      <c r="AJ93" t="s" s="44">
        <f>AI115</f>
        <v>59</v>
      </c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</row>
    <row r="94" ht="20.05" customHeight="1">
      <c r="AE94" s="36"/>
      <c r="AF94" s="45"/>
      <c r="AG94" t="s" s="44">
        <v>60</v>
      </c>
      <c r="AH94" s="15">
        <f>AJ78</f>
        <v>1965</v>
      </c>
      <c r="AI94" t="s" s="44">
        <v>61</v>
      </c>
      <c r="AJ94" s="15">
        <f>AJ88</f>
        <v>2460.427141617430</v>
      </c>
      <c r="AK94" t="s" s="44">
        <f>IF(AL94&gt;0,"+","")</f>
        <v>361</v>
      </c>
      <c r="AL94" s="16">
        <f>AJ94/AH94-1</f>
        <v>0.252125771815486</v>
      </c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</row>
    <row r="95" ht="20.05" customHeight="1">
      <c r="AE95" s="36"/>
      <c r="AF95" s="46"/>
      <c r="AG95" s="47">
        <f>TODAY()</f>
        <v>44942</v>
      </c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</row>
    <row r="96" ht="32.05" customHeight="1">
      <c r="AE96" s="36"/>
      <c r="AF96" s="34"/>
      <c r="AG96" t="s" s="44">
        <v>62</v>
      </c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</row>
    <row r="97" ht="32.05" customHeight="1">
      <c r="AE97" s="36"/>
      <c r="AF97" s="34"/>
      <c r="AG97" t="s" s="44">
        <v>63</v>
      </c>
      <c r="AH97" t="s" s="44">
        <v>64</v>
      </c>
      <c r="AI97" t="s" s="44">
        <f>IF(AJ97&gt;0,"+","")</f>
        <v>361</v>
      </c>
      <c r="AJ97" s="16">
        <f>AO104/AG104-1</f>
        <v>0.14764468371467</v>
      </c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</row>
    <row r="98" ht="32.05" customHeight="1">
      <c r="AE98" s="36"/>
      <c r="AF98" s="34"/>
      <c r="AG98" t="s" s="44">
        <v>63</v>
      </c>
      <c r="AH98" t="s" s="44">
        <v>65</v>
      </c>
      <c r="AI98" t="s" s="44">
        <f>IF(AJ98&gt;0,"+","")</f>
        <v>361</v>
      </c>
      <c r="AJ98" s="16">
        <f>(AI119+AI120+AK119+AK120+AM119+AM120+AO119+AO120)/AH136</f>
        <v>0.137689562730222</v>
      </c>
      <c r="AK98" t="s" s="44">
        <v>66</v>
      </c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</row>
    <row r="99" ht="68.05" customHeight="1">
      <c r="AE99" s="36"/>
      <c r="AF99" s="34"/>
      <c r="AG99" t="s" s="44">
        <v>63</v>
      </c>
      <c r="AH99" t="s" s="44">
        <v>67</v>
      </c>
      <c r="AI99" t="s" s="44">
        <f>IF(AJ99&gt;0,"+","")</f>
        <v>361</v>
      </c>
      <c r="AJ99" s="16">
        <f>(AI133+AI134+AK133+AK134+AM133+AM134+AO133+AO134)/AH136</f>
        <v>0.157030970042893</v>
      </c>
      <c r="AK99" t="s" s="44">
        <f>AK98</f>
        <v>66</v>
      </c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</row>
    <row r="100" ht="44.05" customHeight="1">
      <c r="AE100" s="36"/>
      <c r="AF100" s="34"/>
      <c r="AG100" t="s" s="44">
        <v>68</v>
      </c>
      <c r="AH100" t="s" s="44">
        <v>69</v>
      </c>
      <c r="AI100" s="16">
        <f>AR129/AH136</f>
        <v>-0.381611522173648</v>
      </c>
      <c r="AJ100" t="s" s="44">
        <f>AK99</f>
        <v>66</v>
      </c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</row>
    <row r="101" ht="20.05" customHeight="1">
      <c r="AE101" s="36"/>
      <c r="AF101" s="34"/>
      <c r="AG101" t="s" s="44">
        <v>28</v>
      </c>
      <c r="AH101" t="s" s="44">
        <f>AH105</f>
        <v>362</v>
      </c>
      <c r="AI101" s="16">
        <f>AI105</f>
        <v>0.123451910408432</v>
      </c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</row>
    <row r="102" ht="68.05" customHeight="1">
      <c r="AE102" s="36"/>
      <c r="AF102" s="34"/>
      <c r="AG102" t="s" s="44">
        <v>70</v>
      </c>
      <c r="AH102" t="s" s="44">
        <v>393</v>
      </c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</row>
    <row r="103" ht="20.05" customHeight="1">
      <c r="AE103" s="36"/>
      <c r="AF103" s="34"/>
      <c r="AG103" s="16">
        <f>P22</f>
        <v>0.153010552451893</v>
      </c>
      <c r="AH103" s="16">
        <f>P23</f>
        <v>0.416823687752355</v>
      </c>
      <c r="AI103" s="16">
        <f>P24</f>
        <v>-0.134321269117507</v>
      </c>
      <c r="AJ103" s="16">
        <f>P25</f>
        <v>-0.167123888949852</v>
      </c>
      <c r="AK103" s="16">
        <f>P26</f>
        <v>0.123451910408432</v>
      </c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</row>
    <row r="104" ht="32.05" customHeight="1">
      <c r="AE104" s="36"/>
      <c r="AF104" s="34"/>
      <c r="AG104" s="15">
        <f>C22</f>
        <v>743</v>
      </c>
      <c r="AH104" t="s" s="44">
        <v>72</v>
      </c>
      <c r="AI104" s="15">
        <f>C23</f>
        <v>1052.7</v>
      </c>
      <c r="AJ104" t="s" s="44">
        <v>72</v>
      </c>
      <c r="AK104" s="15">
        <f>C24</f>
        <v>911.3</v>
      </c>
      <c r="AL104" t="s" s="44">
        <v>72</v>
      </c>
      <c r="AM104" s="15">
        <f>C25</f>
        <v>759</v>
      </c>
      <c r="AN104" t="s" s="44">
        <v>72</v>
      </c>
      <c r="AO104" s="15">
        <f>C26</f>
        <v>852.7</v>
      </c>
      <c r="AP104" t="s" s="48">
        <f>AE$47</f>
        <v>22</v>
      </c>
      <c r="AQ104" s="17"/>
      <c r="AR104" s="17"/>
      <c r="AS104" s="17"/>
      <c r="AT104" s="17"/>
      <c r="AU104" s="17"/>
      <c r="AV104" s="17"/>
      <c r="AW104" s="17"/>
      <c r="AX104" s="17"/>
    </row>
    <row r="105" ht="56.05" customHeight="1">
      <c r="AE105" s="36"/>
      <c r="AF105" s="34"/>
      <c r="AG105" t="s" s="44">
        <v>2</v>
      </c>
      <c r="AH105" t="s" s="44">
        <f>IF(AI105&lt;0,"declined","grew")</f>
        <v>362</v>
      </c>
      <c r="AI105" s="16">
        <f>AO104/AM104-1</f>
        <v>0.123451910408432</v>
      </c>
      <c r="AJ105" t="s" s="44">
        <v>73</v>
      </c>
      <c r="AK105" t="s" s="44">
        <v>74</v>
      </c>
      <c r="AL105" t="s" s="44">
        <v>75</v>
      </c>
      <c r="AM105" t="s" s="44">
        <v>76</v>
      </c>
      <c r="AN105" s="15">
        <f>AO104</f>
        <v>852.7</v>
      </c>
      <c r="AO105" t="s" s="48">
        <f>AP104</f>
        <v>22</v>
      </c>
      <c r="AP105" t="s" s="44">
        <v>77</v>
      </c>
      <c r="AQ105" t="s" s="44">
        <f>IF(AR105&gt;0,"+","")</f>
      </c>
      <c r="AR105" s="16">
        <f>AJ91</f>
        <v>-0.00896316662032807</v>
      </c>
      <c r="AS105" t="s" s="44">
        <v>78</v>
      </c>
      <c r="AT105" s="17"/>
      <c r="AU105" s="17"/>
      <c r="AV105" s="17"/>
      <c r="AW105" s="17"/>
      <c r="AX105" s="17"/>
    </row>
    <row r="106" ht="56.05" customHeight="1">
      <c r="AE106" s="36"/>
      <c r="AF106" s="34"/>
      <c r="AG106" t="s" s="44">
        <v>79</v>
      </c>
      <c r="AH106" s="16">
        <f>AVERAGE(AH103:AK103)</f>
        <v>0.059707610023357</v>
      </c>
      <c r="AI106" t="s" s="44">
        <v>80</v>
      </c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</row>
    <row r="107" ht="56.05" customHeight="1">
      <c r="AE107" s="36"/>
      <c r="AF107" s="34"/>
      <c r="AG107" t="s" s="44">
        <v>81</v>
      </c>
      <c r="AH107" s="35">
        <f>AJ49</f>
        <v>0.03</v>
      </c>
      <c r="AI107" t="s" s="44">
        <v>82</v>
      </c>
      <c r="AJ107" t="s" s="44">
        <v>83</v>
      </c>
      <c r="AK107" s="23">
        <f>AJ52</f>
        <v>936.111114</v>
      </c>
      <c r="AL107" t="s" s="48">
        <f>AP104</f>
        <v>22</v>
      </c>
      <c r="AM107" t="s" s="44">
        <v>84</v>
      </c>
      <c r="AN107" t="s" s="44">
        <f>AK105</f>
        <v>74</v>
      </c>
      <c r="AO107" t="s" s="44">
        <f>AL105</f>
        <v>75</v>
      </c>
      <c r="AP107" t="s" s="44">
        <v>85</v>
      </c>
      <c r="AQ107" s="17"/>
      <c r="AR107" s="17"/>
      <c r="AS107" s="17"/>
      <c r="AT107" s="17"/>
      <c r="AU107" s="17"/>
      <c r="AV107" s="17"/>
      <c r="AW107" s="17"/>
      <c r="AX107" s="17"/>
    </row>
    <row r="108" ht="20.05" customHeight="1">
      <c r="AE108" s="36"/>
      <c r="AF108" s="34"/>
      <c r="AG108" t="s" s="44">
        <v>14</v>
      </c>
      <c r="AH108" t="s" s="44">
        <f>IF(AJ112&lt;AH112,"down","up")</f>
        <v>87</v>
      </c>
      <c r="AI108" t="s" s="44">
        <v>86</v>
      </c>
      <c r="AJ108" t="s" s="44">
        <f>IF(AN112&gt;AL112,"up","down")</f>
        <v>87</v>
      </c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</row>
    <row r="109" ht="44.05" customHeight="1">
      <c r="AE109" s="36"/>
      <c r="AF109" s="34"/>
      <c r="AG109" t="s" s="44">
        <f>AG102</f>
        <v>70</v>
      </c>
      <c r="AH109" t="s" s="44">
        <v>88</v>
      </c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</row>
    <row r="110" ht="20.05" customHeight="1">
      <c r="AE110" s="36"/>
      <c r="AF110" s="34"/>
      <c r="AG110" s="16">
        <f>(D22+E22)/C22</f>
        <v>0.179676985195155</v>
      </c>
      <c r="AH110" s="16">
        <f>(D23+E23)/C23</f>
        <v>0.114372565783224</v>
      </c>
      <c r="AI110" s="16">
        <f>((E24+D24)/C24)</f>
        <v>0.1169757489301</v>
      </c>
      <c r="AJ110" s="16">
        <f>(D25+E25)/C25</f>
        <v>0.340974967061924</v>
      </c>
      <c r="AK110" s="16">
        <f>(D26+E26)/C26</f>
        <v>0.111058989093468</v>
      </c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</row>
    <row r="111" ht="32.05" customHeight="1">
      <c r="AE111" s="36"/>
      <c r="AF111" s="34"/>
      <c r="AG111" s="15">
        <f>E22</f>
        <v>96</v>
      </c>
      <c r="AH111" t="s" s="44">
        <v>72</v>
      </c>
      <c r="AI111" s="15">
        <f>E23</f>
        <v>82.90000000000001</v>
      </c>
      <c r="AJ111" t="s" s="44">
        <v>72</v>
      </c>
      <c r="AK111" s="15">
        <f>E24</f>
        <v>68.40000000000001</v>
      </c>
      <c r="AL111" t="s" s="44">
        <v>72</v>
      </c>
      <c r="AM111" s="15">
        <f>E25</f>
        <v>225.2</v>
      </c>
      <c r="AN111" t="s" s="44">
        <v>72</v>
      </c>
      <c r="AO111" s="15">
        <f>E26</f>
        <v>60.6</v>
      </c>
      <c r="AP111" t="s" s="48">
        <f>AP104</f>
        <v>22</v>
      </c>
      <c r="AQ111" s="17"/>
      <c r="AR111" s="17"/>
      <c r="AS111" s="17"/>
      <c r="AT111" s="17"/>
      <c r="AU111" s="17"/>
      <c r="AV111" s="17"/>
      <c r="AW111" s="17"/>
      <c r="AX111" s="17"/>
    </row>
    <row r="112" ht="44.05" customHeight="1">
      <c r="AE112" s="36"/>
      <c r="AF112" s="34"/>
      <c r="AG112" t="s" s="44">
        <v>89</v>
      </c>
      <c r="AH112" s="16">
        <f>AJ110</f>
        <v>0.340974967061924</v>
      </c>
      <c r="AI112" t="s" s="44">
        <v>76</v>
      </c>
      <c r="AJ112" s="16">
        <f>AK110</f>
        <v>0.111058989093468</v>
      </c>
      <c r="AK112" t="s" s="44">
        <v>90</v>
      </c>
      <c r="AL112" s="15">
        <f>AM111</f>
        <v>225.2</v>
      </c>
      <c r="AM112" t="s" s="44">
        <v>76</v>
      </c>
      <c r="AN112" s="15">
        <f>AO111</f>
        <v>60.6</v>
      </c>
      <c r="AO112" t="s" s="48">
        <f>AL107</f>
        <v>22</v>
      </c>
      <c r="AP112" t="s" s="44">
        <v>73</v>
      </c>
      <c r="AQ112" t="s" s="44">
        <f>AN107</f>
        <v>74</v>
      </c>
      <c r="AR112" t="s" s="44">
        <v>91</v>
      </c>
      <c r="AS112" s="17"/>
      <c r="AT112" s="17"/>
      <c r="AU112" s="17"/>
      <c r="AV112" s="17"/>
      <c r="AW112" s="17"/>
      <c r="AX112" s="17"/>
    </row>
    <row r="113" ht="68.05" customHeight="1">
      <c r="AE113" s="36"/>
      <c r="AF113" s="34"/>
      <c r="AG113" t="s" s="44">
        <v>92</v>
      </c>
      <c r="AH113" s="16">
        <f>AVERAGE(AH110:AK110)</f>
        <v>0.170845567717179</v>
      </c>
      <c r="AI113" t="s" s="44">
        <v>78</v>
      </c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</row>
    <row r="114" ht="44.05" customHeight="1">
      <c r="AE114" s="36"/>
      <c r="AF114" s="34"/>
      <c r="AG114" t="s" s="44">
        <v>93</v>
      </c>
      <c r="AH114" s="35">
        <f>AG53</f>
        <v>0.111058989093468</v>
      </c>
      <c r="AI114" t="s" s="44">
        <v>94</v>
      </c>
      <c r="AJ114" s="15">
        <f>AJ66</f>
        <v>68.6635540000002</v>
      </c>
      <c r="AK114" t="s" s="48">
        <f>AO112</f>
        <v>22</v>
      </c>
      <c r="AL114" t="s" s="44">
        <v>95</v>
      </c>
      <c r="AM114" t="s" s="44">
        <f>AQ112</f>
        <v>74</v>
      </c>
      <c r="AN114" t="s" s="44">
        <f>AL105</f>
        <v>75</v>
      </c>
      <c r="AO114" t="s" s="44">
        <f>AP107</f>
        <v>85</v>
      </c>
      <c r="AP114" s="17"/>
      <c r="AQ114" s="17"/>
      <c r="AR114" s="17"/>
      <c r="AS114" s="17"/>
      <c r="AT114" s="17"/>
      <c r="AU114" s="17"/>
      <c r="AV114" s="17"/>
      <c r="AW114" s="17"/>
      <c r="AX114" s="17"/>
    </row>
    <row r="115" ht="20.05" customHeight="1">
      <c r="AE115" s="36"/>
      <c r="AF115" s="34"/>
      <c r="AG115" t="s" s="44">
        <v>15</v>
      </c>
      <c r="AH115" t="s" s="44">
        <f>IF(AH117&gt;AG117,"more","less")</f>
        <v>360</v>
      </c>
      <c r="AI115" t="s" s="44">
        <f>IF(AJ121&lt;0,"negative","positive")</f>
        <v>59</v>
      </c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</row>
    <row r="116" ht="8.35" customHeight="1" hidden="1">
      <c r="AE116" s="36"/>
      <c r="AF116" s="34"/>
      <c r="AG116" s="17"/>
      <c r="AH116" s="15">
        <f>ABS(AH121)</f>
        <v>230.8</v>
      </c>
      <c r="AI116" s="15">
        <f>ABS(AJ121)</f>
        <v>268.7</v>
      </c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</row>
    <row r="117" ht="8.35" customHeight="1" hidden="1">
      <c r="AE117" s="36"/>
      <c r="AF117" s="34"/>
      <c r="AG117" s="15">
        <f>ABS(AH121)</f>
        <v>230.8</v>
      </c>
      <c r="AH117" s="15">
        <f>ABS(AJ121)</f>
        <v>268.7</v>
      </c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</row>
    <row r="118" ht="56.05" customHeight="1">
      <c r="AE118" s="36"/>
      <c r="AF118" s="34"/>
      <c r="AG118" t="s" s="44">
        <f>AG109</f>
        <v>70</v>
      </c>
      <c r="AH118" t="s" s="44">
        <v>96</v>
      </c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</row>
    <row r="119" ht="32.05" customHeight="1">
      <c r="AE119" s="36"/>
      <c r="AF119" s="34"/>
      <c r="AG119" s="15">
        <f>J22</f>
        <v>13.1</v>
      </c>
      <c r="AH119" t="s" s="44">
        <v>72</v>
      </c>
      <c r="AI119" s="15">
        <f>J23</f>
        <v>372.2</v>
      </c>
      <c r="AJ119" t="s" s="44">
        <v>72</v>
      </c>
      <c r="AK119" s="15">
        <f>J24</f>
        <v>-293.4</v>
      </c>
      <c r="AL119" t="s" s="44">
        <v>72</v>
      </c>
      <c r="AM119" s="15">
        <f>J25</f>
        <v>-83.40000000000001</v>
      </c>
      <c r="AN119" t="s" s="44">
        <v>72</v>
      </c>
      <c r="AO119" s="15">
        <f>J26</f>
        <v>393.5</v>
      </c>
      <c r="AP119" t="s" s="48">
        <f>AP104</f>
        <v>22</v>
      </c>
      <c r="AQ119" s="17"/>
      <c r="AR119" s="17"/>
      <c r="AS119" s="17"/>
      <c r="AT119" s="17"/>
      <c r="AU119" s="17"/>
      <c r="AV119" s="17"/>
      <c r="AW119" s="17"/>
      <c r="AX119" s="17"/>
    </row>
    <row r="120" ht="32.05" customHeight="1">
      <c r="AE120" s="36"/>
      <c r="AF120" s="34"/>
      <c r="AG120" s="15">
        <f>K22</f>
        <v>-15.9</v>
      </c>
      <c r="AH120" t="s" s="44">
        <v>72</v>
      </c>
      <c r="AI120" s="15">
        <f>K23</f>
        <v>-41.5</v>
      </c>
      <c r="AJ120" t="s" s="44">
        <v>72</v>
      </c>
      <c r="AK120" s="15">
        <f>K24</f>
        <v>-29.5</v>
      </c>
      <c r="AL120" t="s" s="44">
        <v>72</v>
      </c>
      <c r="AM120" s="15">
        <f>K25</f>
        <v>314.2</v>
      </c>
      <c r="AN120" t="s" s="44">
        <v>72</v>
      </c>
      <c r="AO120" s="15">
        <f>K26</f>
        <v>-124.8</v>
      </c>
      <c r="AP120" t="s" s="48">
        <f>AP119</f>
        <v>22</v>
      </c>
      <c r="AQ120" s="17"/>
      <c r="AR120" s="17"/>
      <c r="AS120" s="17"/>
      <c r="AT120" s="17"/>
      <c r="AU120" s="17"/>
      <c r="AV120" s="17"/>
      <c r="AW120" s="17"/>
      <c r="AX120" s="17"/>
    </row>
    <row r="121" ht="44.05" customHeight="1">
      <c r="AE121" s="36"/>
      <c r="AF121" s="34"/>
      <c r="AG121" t="s" s="44">
        <v>97</v>
      </c>
      <c r="AH121" s="15">
        <f>AM119+AM120</f>
        <v>230.8</v>
      </c>
      <c r="AI121" t="s" s="44">
        <v>76</v>
      </c>
      <c r="AJ121" s="15">
        <f>AO119+AO120</f>
        <v>268.7</v>
      </c>
      <c r="AK121" t="s" s="48">
        <f>AK114</f>
        <v>22</v>
      </c>
      <c r="AL121" t="s" s="44">
        <v>84</v>
      </c>
      <c r="AM121" t="s" s="44">
        <f>AM114</f>
        <v>74</v>
      </c>
      <c r="AN121" t="s" s="44">
        <v>98</v>
      </c>
      <c r="AO121" s="15">
        <f>AO120</f>
        <v>-124.8</v>
      </c>
      <c r="AP121" t="s" s="48">
        <f>AP104</f>
        <v>22</v>
      </c>
      <c r="AQ121" t="s" s="44">
        <v>99</v>
      </c>
      <c r="AR121" s="17"/>
      <c r="AS121" s="17"/>
      <c r="AT121" s="17"/>
      <c r="AU121" s="17"/>
      <c r="AV121" s="17"/>
      <c r="AW121" s="17"/>
      <c r="AX121" s="17"/>
    </row>
    <row r="122" ht="56.05" customHeight="1">
      <c r="AE122" s="36"/>
      <c r="AF122" s="34"/>
      <c r="AG122" t="s" s="44">
        <v>100</v>
      </c>
      <c r="AH122" s="15">
        <f>(AI119+AI120+AK119+AK120+AM119+AM120+AO119+AO120)/4</f>
        <v>126.825</v>
      </c>
      <c r="AI122" t="s" s="48">
        <f>AP104</f>
        <v>22</v>
      </c>
      <c r="AJ122" t="s" s="44">
        <v>78</v>
      </c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</row>
    <row r="123" ht="44.05" customHeight="1">
      <c r="AE123" s="36"/>
      <c r="AF123" s="34"/>
      <c r="AG123" t="s" s="44">
        <v>101</v>
      </c>
      <c r="AH123" s="15">
        <f>AG54</f>
        <v>-8.15</v>
      </c>
      <c r="AI123" t="s" s="48">
        <f>AI122</f>
        <v>22</v>
      </c>
      <c r="AJ123" t="s" s="44">
        <v>102</v>
      </c>
      <c r="AK123" t="s" s="44">
        <v>103</v>
      </c>
      <c r="AL123" t="s" s="44">
        <f>IF(AK107&gt;AN105,"higher","lower")</f>
        <v>363</v>
      </c>
      <c r="AM123" t="s" s="44">
        <v>105</v>
      </c>
      <c r="AN123" s="15">
        <f>SUM(AG55:AJ55)/4</f>
        <v>96.1104385000002</v>
      </c>
      <c r="AO123" t="s" s="48">
        <f>AI123</f>
        <v>22</v>
      </c>
      <c r="AP123" t="s" s="44">
        <v>106</v>
      </c>
      <c r="AQ123" t="s" s="44">
        <v>107</v>
      </c>
      <c r="AR123" s="17"/>
      <c r="AS123" s="17"/>
      <c r="AT123" s="17"/>
      <c r="AU123" s="17"/>
      <c r="AV123" s="17"/>
      <c r="AW123" s="17"/>
      <c r="AX123" s="17"/>
    </row>
    <row r="124" ht="20.05" customHeight="1">
      <c r="AE124" s="36"/>
      <c r="AF124" s="34"/>
      <c r="AG124" t="s" s="44">
        <v>18</v>
      </c>
      <c r="AH124" t="s" s="44">
        <f>AO129</f>
        <v>108</v>
      </c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</row>
    <row r="125" ht="32.05" customHeight="1">
      <c r="AE125" s="36"/>
      <c r="AF125" s="34"/>
      <c r="AG125" t="s" s="44">
        <f>AG102</f>
        <v>70</v>
      </c>
      <c r="AH125" t="s" s="44">
        <v>109</v>
      </c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</row>
    <row r="126" ht="32.05" customHeight="1">
      <c r="AE126" s="36"/>
      <c r="AF126" s="34"/>
      <c r="AG126" s="15">
        <f>F22</f>
        <v>379</v>
      </c>
      <c r="AH126" t="s" s="44">
        <v>72</v>
      </c>
      <c r="AI126" s="15">
        <f>F23</f>
        <v>704</v>
      </c>
      <c r="AJ126" t="s" s="44">
        <v>72</v>
      </c>
      <c r="AK126" s="15">
        <f>F24</f>
        <v>206</v>
      </c>
      <c r="AL126" t="s" s="44">
        <v>72</v>
      </c>
      <c r="AM126" s="15">
        <f>F25</f>
        <v>347</v>
      </c>
      <c r="AN126" t="s" s="44">
        <v>72</v>
      </c>
      <c r="AO126" s="15">
        <f>F26</f>
        <v>320</v>
      </c>
      <c r="AP126" t="s" s="48">
        <f>AP104</f>
        <v>22</v>
      </c>
      <c r="AQ126" s="17"/>
      <c r="AR126" s="17"/>
      <c r="AS126" s="17"/>
      <c r="AT126" s="17"/>
      <c r="AU126" s="17"/>
      <c r="AV126" s="17"/>
      <c r="AW126" s="17"/>
      <c r="AX126" s="17"/>
    </row>
    <row r="127" ht="32.05" customHeight="1">
      <c r="AE127" s="36"/>
      <c r="AF127" s="34"/>
      <c r="AG127" s="15">
        <f>G22</f>
        <v>1574</v>
      </c>
      <c r="AH127" t="s" s="44">
        <v>72</v>
      </c>
      <c r="AI127" s="15">
        <f>G23</f>
        <v>2034</v>
      </c>
      <c r="AJ127" t="s" s="44">
        <v>72</v>
      </c>
      <c r="AK127" s="15">
        <f>G24</f>
        <v>1895</v>
      </c>
      <c r="AL127" t="s" s="44">
        <v>72</v>
      </c>
      <c r="AM127" s="15">
        <f>G25</f>
        <v>1815</v>
      </c>
      <c r="AN127" t="s" s="44">
        <v>72</v>
      </c>
      <c r="AO127" s="15">
        <f>G26</f>
        <v>1726</v>
      </c>
      <c r="AP127" t="s" s="48">
        <f>AP126</f>
        <v>22</v>
      </c>
      <c r="AQ127" s="17"/>
      <c r="AR127" s="17"/>
      <c r="AS127" s="17"/>
      <c r="AT127" s="17"/>
      <c r="AU127" s="17"/>
      <c r="AV127" s="17"/>
      <c r="AW127" s="17"/>
      <c r="AX127" s="17"/>
    </row>
    <row r="128" ht="32.05" customHeight="1">
      <c r="AE128" s="36"/>
      <c r="AF128" s="34"/>
      <c r="AG128" t="s" s="44">
        <v>110</v>
      </c>
      <c r="AH128" t="s" s="44">
        <f>IF(AK128&lt;AI128,"declined","increased")</f>
        <v>370</v>
      </c>
      <c r="AI128" s="15">
        <f>AM126</f>
        <v>347</v>
      </c>
      <c r="AJ128" t="s" s="44">
        <v>76</v>
      </c>
      <c r="AK128" s="15">
        <f>AO126</f>
        <v>320</v>
      </c>
      <c r="AL128" t="s" s="48">
        <f>AO123</f>
        <v>22</v>
      </c>
      <c r="AM128" t="s" s="44">
        <v>84</v>
      </c>
      <c r="AN128" t="s" s="44">
        <f>AK105</f>
        <v>74</v>
      </c>
      <c r="AO128" t="s" s="44">
        <f>AR112</f>
        <v>91</v>
      </c>
      <c r="AP128" s="17"/>
      <c r="AQ128" s="17"/>
      <c r="AR128" s="17"/>
      <c r="AS128" s="17"/>
      <c r="AT128" s="17"/>
      <c r="AU128" s="17"/>
      <c r="AV128" s="17"/>
      <c r="AW128" s="17"/>
      <c r="AX128" s="17"/>
    </row>
    <row r="129" ht="32.05" customHeight="1">
      <c r="AE129" s="36"/>
      <c r="AF129" s="34"/>
      <c r="AG129" t="s" s="44">
        <v>112</v>
      </c>
      <c r="AH129" t="s" s="44">
        <f>IF(AK129&lt;AI129,"declined","increased")</f>
        <v>370</v>
      </c>
      <c r="AI129" s="15">
        <f>AM127</f>
        <v>1815</v>
      </c>
      <c r="AJ129" t="s" s="44">
        <v>76</v>
      </c>
      <c r="AK129" s="15">
        <f>AO127</f>
        <v>1726</v>
      </c>
      <c r="AL129" t="s" s="48">
        <f>AL128</f>
        <v>22</v>
      </c>
      <c r="AM129" t="s" s="44">
        <v>113</v>
      </c>
      <c r="AN129" t="s" s="44">
        <v>114</v>
      </c>
      <c r="AO129" t="s" s="44">
        <f>IF(AR129&lt;AP129,"down","up")</f>
        <v>108</v>
      </c>
      <c r="AP129" s="15">
        <f>AI128-AI129</f>
        <v>-1468</v>
      </c>
      <c r="AQ129" t="s" s="44">
        <v>76</v>
      </c>
      <c r="AR129" s="15">
        <f>AK128-AK129</f>
        <v>-1406</v>
      </c>
      <c r="AS129" t="s" s="48">
        <f>AL129</f>
        <v>22</v>
      </c>
      <c r="AT129" t="s" s="44">
        <v>115</v>
      </c>
      <c r="AU129" s="17"/>
      <c r="AV129" s="17"/>
      <c r="AW129" s="17"/>
      <c r="AX129" s="17"/>
    </row>
    <row r="130" ht="56.05" customHeight="1">
      <c r="AE130" s="36"/>
      <c r="AF130" s="34"/>
      <c r="AG130" t="s" s="44">
        <v>116</v>
      </c>
      <c r="AH130" s="15">
        <f>SUM(AG58:AJ58)</f>
        <v>-55.1683508</v>
      </c>
      <c r="AI130" t="s" s="48">
        <f>AL129</f>
        <v>22</v>
      </c>
      <c r="AJ130" t="s" s="44">
        <v>117</v>
      </c>
      <c r="AK130" t="s" s="44">
        <f>IF(AL130&gt;0,"+","")</f>
      </c>
      <c r="AL130" s="15">
        <f>AG56+AH56+AI56+AJ56+AG60+AH60+AI60+AJ60</f>
        <v>-320.1622125</v>
      </c>
      <c r="AM130" t="s" s="48">
        <f>AS129</f>
        <v>22</v>
      </c>
      <c r="AN130" t="s" s="44">
        <v>118</v>
      </c>
      <c r="AO130" t="s" s="44">
        <v>119</v>
      </c>
      <c r="AP130" s="15">
        <f>AJ75</f>
        <v>-1076.7265968</v>
      </c>
      <c r="AQ130" t="s" s="48">
        <f>AL129</f>
        <v>22</v>
      </c>
      <c r="AR130" t="s" s="44">
        <v>120</v>
      </c>
      <c r="AS130" s="17"/>
      <c r="AT130" s="17"/>
      <c r="AU130" s="17"/>
      <c r="AV130" s="17"/>
      <c r="AW130" s="17"/>
      <c r="AX130" s="17"/>
    </row>
    <row r="131" ht="20.05" customHeight="1">
      <c r="AE131" s="36"/>
      <c r="AF131" s="34"/>
      <c r="AG131" t="s" s="44">
        <v>17</v>
      </c>
      <c r="AH131" t="s" s="44">
        <f>AH135</f>
        <v>374</v>
      </c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</row>
    <row r="132" ht="68.05" customHeight="1">
      <c r="AE132" s="36"/>
      <c r="AF132" s="34"/>
      <c r="AG132" t="s" s="44">
        <f>AG102</f>
        <v>70</v>
      </c>
      <c r="AH132" t="s" s="44">
        <v>122</v>
      </c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</row>
    <row r="133" ht="32.05" customHeight="1">
      <c r="AE133" s="36"/>
      <c r="AF133" s="34"/>
      <c r="AG133" s="15">
        <f>-L22</f>
        <v>36.748</v>
      </c>
      <c r="AH133" t="s" s="44">
        <v>72</v>
      </c>
      <c r="AI133" s="15">
        <f>-L23</f>
        <v>6.084</v>
      </c>
      <c r="AJ133" t="s" s="44">
        <v>72</v>
      </c>
      <c r="AK133" s="15">
        <f>-L24</f>
        <v>5.6</v>
      </c>
      <c r="AL133" t="s" s="44">
        <v>72</v>
      </c>
      <c r="AM133" s="15">
        <f>-L25</f>
        <v>5.9</v>
      </c>
      <c r="AN133" t="s" s="44">
        <v>72</v>
      </c>
      <c r="AO133" s="15">
        <f>-L26</f>
        <v>5.7</v>
      </c>
      <c r="AP133" t="s" s="48">
        <f>AP104</f>
        <v>22</v>
      </c>
      <c r="AQ133" s="17"/>
      <c r="AR133" s="17"/>
      <c r="AS133" s="17"/>
      <c r="AT133" s="17"/>
      <c r="AU133" s="17"/>
      <c r="AV133" s="17"/>
      <c r="AW133" s="17"/>
      <c r="AX133" s="17"/>
    </row>
    <row r="134" ht="32.05" customHeight="1">
      <c r="AE134" s="36"/>
      <c r="AF134" s="34"/>
      <c r="AG134" s="15">
        <f>-M22</f>
        <v>-11.102</v>
      </c>
      <c r="AH134" t="s" s="44">
        <v>72</v>
      </c>
      <c r="AI134" s="15">
        <f>-M23</f>
        <v>11.477</v>
      </c>
      <c r="AJ134" t="s" s="44">
        <v>72</v>
      </c>
      <c r="AK134" s="15">
        <f>-M24</f>
        <v>168.8</v>
      </c>
      <c r="AL134" t="s" s="44">
        <v>72</v>
      </c>
      <c r="AM134" s="15">
        <f>-M25</f>
        <v>84.3</v>
      </c>
      <c r="AN134" t="s" s="44">
        <v>72</v>
      </c>
      <c r="AO134" s="15">
        <f>-M26</f>
        <v>290.7</v>
      </c>
      <c r="AP134" t="s" s="48">
        <f>AP133</f>
        <v>22</v>
      </c>
      <c r="AQ134" s="17"/>
      <c r="AR134" s="17"/>
      <c r="AS134" s="17"/>
      <c r="AT134" s="17"/>
      <c r="AU134" s="17"/>
      <c r="AV134" s="17"/>
      <c r="AW134" s="17"/>
      <c r="AX134" s="17"/>
    </row>
    <row r="135" ht="44.05" customHeight="1">
      <c r="AE135" s="36"/>
      <c r="AF135" s="34"/>
      <c r="AG135" t="s" s="44">
        <f>AG93</f>
        <v>689</v>
      </c>
      <c r="AH135" t="s" s="44">
        <f>IF(AI135&gt;0,"paid","(raised)")</f>
        <v>374</v>
      </c>
      <c r="AI135" s="15">
        <f>SUM(AO133:AO134)</f>
        <v>296.4</v>
      </c>
      <c r="AJ135" t="s" s="48">
        <f>AP104</f>
        <v>22</v>
      </c>
      <c r="AK135" t="s" s="44">
        <f>AJ105</f>
        <v>73</v>
      </c>
      <c r="AL135" t="s" s="44">
        <f>AK105</f>
        <v>74</v>
      </c>
      <c r="AM135" t="s" s="44">
        <f>AL105</f>
        <v>75</v>
      </c>
      <c r="AN135" s="15">
        <f>AO133</f>
        <v>5.7</v>
      </c>
      <c r="AO135" t="s" s="48">
        <f>AP104</f>
        <v>22</v>
      </c>
      <c r="AP135" t="s" s="44">
        <v>123</v>
      </c>
      <c r="AQ135" s="15">
        <f>AO134</f>
        <v>290.7</v>
      </c>
      <c r="AR135" t="s" s="48">
        <f>AP104</f>
        <v>22</v>
      </c>
      <c r="AS135" t="s" s="44">
        <v>124</v>
      </c>
      <c r="AT135" t="s" s="44">
        <v>125</v>
      </c>
      <c r="AU135" t="s" s="44">
        <f>IF(AV135&gt;0,"pay","raise")</f>
        <v>364</v>
      </c>
      <c r="AV135" s="15">
        <f>-SUM(AG76:AJ76)</f>
        <v>375.3305633</v>
      </c>
      <c r="AW135" t="s" s="48">
        <f>AP104</f>
        <v>22</v>
      </c>
      <c r="AX135" t="s" s="44">
        <v>126</v>
      </c>
    </row>
    <row r="136" ht="56.05" customHeight="1">
      <c r="AE136" s="36"/>
      <c r="AF136" s="34"/>
      <c r="AG136" t="s" s="44">
        <v>127</v>
      </c>
      <c r="AH136" s="15">
        <f>AJ80</f>
        <v>3684.37512576</v>
      </c>
      <c r="AI136" t="s" s="48">
        <f>AP104</f>
        <v>22</v>
      </c>
      <c r="AJ136" t="s" s="44">
        <v>128</v>
      </c>
      <c r="AK136" t="s" s="44">
        <v>129</v>
      </c>
      <c r="AL136" s="43">
        <f>AJ82</f>
        <v>1.64150445808691</v>
      </c>
      <c r="AM136" t="s" s="44">
        <v>130</v>
      </c>
      <c r="AN136" t="s" s="44">
        <v>131</v>
      </c>
      <c r="AO136" t="s" s="44">
        <v>132</v>
      </c>
      <c r="AP136" s="15">
        <f>AJ85</f>
        <v>4.98228920264471</v>
      </c>
      <c r="AQ136" t="s" s="44">
        <v>133</v>
      </c>
      <c r="AR136" s="16">
        <f>-AH130/AH136</f>
        <v>0.014973597670411</v>
      </c>
      <c r="AS136" t="s" s="44">
        <v>134</v>
      </c>
      <c r="AT136" s="17"/>
      <c r="AU136" s="17"/>
      <c r="AV136" s="17"/>
      <c r="AW136" s="17"/>
      <c r="AX136" s="17"/>
    </row>
    <row r="137" ht="56.05" customHeight="1">
      <c r="AE137" s="36"/>
      <c r="AF137" s="34"/>
      <c r="AG137" t="s" s="44">
        <v>135</v>
      </c>
      <c r="AH137" s="15">
        <f>AJ84</f>
        <v>384.441754000001</v>
      </c>
      <c r="AI137" t="s" s="48">
        <f>AI136</f>
        <v>22</v>
      </c>
      <c r="AJ137" t="s" s="44">
        <v>136</v>
      </c>
      <c r="AK137" s="15">
        <f>AH136/AH137</f>
        <v>9.58370178947834</v>
      </c>
      <c r="AL137" t="s" s="44">
        <v>130</v>
      </c>
      <c r="AM137" t="s" s="44">
        <v>137</v>
      </c>
      <c r="AN137" t="s" s="44">
        <v>138</v>
      </c>
      <c r="AO137" s="15">
        <f>AJ86</f>
        <v>12</v>
      </c>
      <c r="AP137" t="s" s="44">
        <v>139</v>
      </c>
      <c r="AQ137" t="s" s="44">
        <v>140</v>
      </c>
      <c r="AR137" t="s" s="44">
        <v>141</v>
      </c>
      <c r="AS137" s="16">
        <f>AL94</f>
        <v>0.252125771815486</v>
      </c>
      <c r="AT137" t="s" s="44">
        <f>IF(AS137&gt;0,"higher","lower")</f>
        <v>363</v>
      </c>
      <c r="AU137" t="s" s="44">
        <v>142</v>
      </c>
      <c r="AV137" s="15">
        <f>AJ94</f>
        <v>2460.427141617430</v>
      </c>
      <c r="AW137" t="s" s="44">
        <v>143</v>
      </c>
      <c r="AX137" s="17"/>
    </row>
    <row r="138" ht="20.05" customHeight="1">
      <c r="AE138" s="36"/>
      <c r="AF138" s="38"/>
      <c r="AG138" s="44"/>
      <c r="AH138" s="17"/>
      <c r="AI138" s="17"/>
      <c r="AJ138" s="17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</row>
    <row r="139" ht="20.05" customHeight="1">
      <c r="AE139" s="36"/>
      <c r="AF139" s="34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</row>
    <row r="140" ht="20.05" customHeight="1">
      <c r="AE140" t="s" s="33">
        <v>28</v>
      </c>
      <c r="AF140" s="14">
        <f>AG104</f>
        <v>743</v>
      </c>
      <c r="AG140" s="15">
        <f>AI104</f>
        <v>1052.7</v>
      </c>
      <c r="AH140" s="15">
        <f>AK104</f>
        <v>911.3</v>
      </c>
      <c r="AI140" s="15">
        <f>AM104</f>
        <v>759</v>
      </c>
      <c r="AJ140" s="15">
        <f>AO104</f>
        <v>852.7</v>
      </c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</row>
    <row r="141" ht="20.05" customHeight="1">
      <c r="AE141" t="s" s="33">
        <v>144</v>
      </c>
      <c r="AF141" s="14">
        <f>SUM(AG119:AG120)</f>
        <v>-2.8</v>
      </c>
      <c r="AG141" s="15">
        <f>SUM(AI119:AI120)</f>
        <v>330.7</v>
      </c>
      <c r="AH141" s="15">
        <f>SUM(AK119:AK120)</f>
        <v>-322.9</v>
      </c>
      <c r="AI141" s="15">
        <f>SUM(AM119:AM120)</f>
        <v>230.8</v>
      </c>
      <c r="AJ141" s="15">
        <f>SUM(AO119:AO120)</f>
        <v>268.7</v>
      </c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</row>
    <row r="142" ht="20.05" customHeight="1">
      <c r="AE142" t="s" s="33">
        <v>145</v>
      </c>
      <c r="AF142" s="14">
        <f>SUM(AG133:AG134)</f>
        <v>25.646</v>
      </c>
      <c r="AG142" s="15">
        <f>SUM(AI133:AI134)</f>
        <v>17.561</v>
      </c>
      <c r="AH142" s="15">
        <f>SUM(AK133:AK134)</f>
        <v>174.4</v>
      </c>
      <c r="AI142" s="15">
        <f>SUM(AM133:AM134)</f>
        <v>90.2</v>
      </c>
      <c r="AJ142" s="15">
        <f>SUM(AO133:AO134)</f>
        <v>296.4</v>
      </c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</row>
    <row r="143" ht="20.05" customHeight="1">
      <c r="AE143" t="s" s="33">
        <v>146</v>
      </c>
      <c r="AF143" s="14">
        <f>(AG126-AG127)</f>
        <v>-1195</v>
      </c>
      <c r="AG143" s="15">
        <f>(AI126-AI127)</f>
        <v>-1330</v>
      </c>
      <c r="AH143" s="15">
        <f>(AK126-AK127)</f>
        <v>-1689</v>
      </c>
      <c r="AI143" s="15">
        <f>(AM126-AM127)</f>
        <v>-1468</v>
      </c>
      <c r="AJ143" s="15">
        <f>(AO126-AO127)</f>
        <v>-1406</v>
      </c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</row>
    <row r="144" ht="20.05" customHeight="1">
      <c r="AE144" s="36"/>
      <c r="AF144" s="34"/>
      <c r="AG144" s="17"/>
      <c r="AH144" s="17"/>
      <c r="AI144" s="17"/>
      <c r="AJ144" s="15">
        <f>AV137</f>
        <v>2460.427141617430</v>
      </c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</row>
    <row r="145" ht="20.05" customHeight="1">
      <c r="AE145" s="36"/>
      <c r="AF145" s="34"/>
      <c r="AG145" s="17"/>
      <c r="AH145" s="17"/>
      <c r="AI145" s="17"/>
      <c r="AJ145" s="17"/>
      <c r="AK145" s="15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</row>
    <row r="146" ht="20.05" customHeight="1">
      <c r="AE146" s="36"/>
      <c r="AF146" s="34"/>
      <c r="AG146" s="17"/>
      <c r="AH146" s="17"/>
      <c r="AI146" s="17"/>
      <c r="AJ146" s="17"/>
      <c r="AK146" s="15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</row>
    <row r="147" ht="20.05" customHeight="1">
      <c r="AE147" s="36"/>
      <c r="AF147" s="34"/>
      <c r="AG147" s="17"/>
      <c r="AH147" s="17"/>
      <c r="AI147" s="17"/>
      <c r="AJ147" s="17"/>
      <c r="AK147" s="15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</row>
    <row r="148" ht="20.05" customHeight="1">
      <c r="AE148" s="36"/>
      <c r="AF148" s="34"/>
      <c r="AG148" s="17"/>
      <c r="AH148" s="17"/>
      <c r="AI148" s="17"/>
      <c r="AJ148" s="17"/>
      <c r="AK148" s="15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</row>
    <row r="149" ht="20.05" customHeight="1">
      <c r="AE149" s="36"/>
      <c r="AF149" s="34"/>
      <c r="AG149" s="17"/>
      <c r="AH149" s="17"/>
      <c r="AI149" s="17"/>
      <c r="AJ149" s="17"/>
      <c r="AK149" s="15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</row>
    <row r="150" ht="20.05" customHeight="1">
      <c r="AE150" s="36"/>
      <c r="AF150" s="34"/>
      <c r="AG150" s="17"/>
      <c r="AH150" s="17"/>
      <c r="AI150" s="17"/>
      <c r="AJ150" s="17"/>
      <c r="AK150" s="15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</row>
    <row r="151" ht="20.05" customHeight="1">
      <c r="AE151" s="36"/>
      <c r="AF151" s="34"/>
      <c r="AG151" s="17"/>
      <c r="AH151" s="17"/>
      <c r="AI151" s="17"/>
      <c r="AJ151" s="17"/>
      <c r="AK151" s="15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</row>
  </sheetData>
  <mergeCells count="2">
    <mergeCell ref="B2:AD2"/>
    <mergeCell ref="AE46:AX46"/>
  </mergeCells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